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guel 1/Desktop/UIA/6to Semestre UIA/Práctica Actuarial/Entrega Final/"/>
    </mc:Choice>
  </mc:AlternateContent>
  <xr:revisionPtr revIDLastSave="0" documentId="13_ncr:1_{9DD455D7-08BA-0C48-B9C7-4032CAB5EBEC}" xr6:coauthVersionLast="47" xr6:coauthVersionMax="47" xr10:uidLastSave="{00000000-0000-0000-0000-000000000000}"/>
  <bookViews>
    <workbookView xWindow="2820" yWindow="480" windowWidth="25200" windowHeight="16680" activeTab="1" xr2:uid="{FD60AE37-AD21-0745-AC29-02571BB138A0}"/>
  </bookViews>
  <sheets>
    <sheet name="Asset-Share" sheetId="1" r:id="rId1"/>
    <sheet name="Hipotesis" sheetId="2" r:id="rId2"/>
    <sheet name="Primas Netas Y Reservas" sheetId="5" r:id="rId3"/>
    <sheet name="Tabla de Mortalidad Conmuta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9" i="1" l="1"/>
  <c r="K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AM10" i="1" s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AU2" i="1"/>
  <c r="AR1" i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3" i="4"/>
  <c r="AR2" i="1"/>
  <c r="Q17" i="2" s="1"/>
  <c r="AM11" i="1" l="1"/>
  <c r="AM12" i="1" s="1"/>
  <c r="AM13" i="1" s="1"/>
  <c r="AM14" i="1" s="1"/>
  <c r="AM15" i="1" s="1"/>
  <c r="AM16" i="1" s="1"/>
  <c r="AM17" i="1" s="1"/>
  <c r="AM18" i="1" s="1"/>
  <c r="AM19" i="1" s="1"/>
  <c r="AM20" i="1" s="1"/>
  <c r="Q24" i="2"/>
  <c r="Q31" i="2"/>
  <c r="Q14" i="2"/>
  <c r="Q21" i="2"/>
  <c r="Q28" i="2"/>
  <c r="Q35" i="2"/>
  <c r="Q27" i="2"/>
  <c r="Q19" i="2"/>
  <c r="Q11" i="2"/>
  <c r="Q16" i="2"/>
  <c r="Q9" i="2"/>
  <c r="Q15" i="2"/>
  <c r="Q38" i="2"/>
  <c r="Q22" i="2"/>
  <c r="Q37" i="2"/>
  <c r="Q13" i="2"/>
  <c r="Q36" i="2"/>
  <c r="Q20" i="2"/>
  <c r="Q34" i="2"/>
  <c r="Q26" i="2"/>
  <c r="Q18" i="2"/>
  <c r="Q10" i="2"/>
  <c r="Q32" i="2"/>
  <c r="Q23" i="2"/>
  <c r="Q30" i="2"/>
  <c r="Q29" i="2"/>
  <c r="Q12" i="2"/>
  <c r="Q33" i="2"/>
  <c r="Q25" i="2"/>
  <c r="AO19" i="1" l="1"/>
  <c r="AM21" i="1"/>
  <c r="AO20" i="1"/>
  <c r="E1" i="2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" i="1"/>
  <c r="X3" i="1" s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4" i="1"/>
  <c r="AM22" i="1" l="1"/>
  <c r="AO21" i="1"/>
  <c r="T112" i="1"/>
  <c r="T103" i="1"/>
  <c r="T346" i="1"/>
  <c r="T329" i="1"/>
  <c r="T320" i="1"/>
  <c r="T311" i="1"/>
  <c r="T302" i="1"/>
  <c r="T294" i="1"/>
  <c r="T285" i="1"/>
  <c r="T259" i="1"/>
  <c r="T241" i="1"/>
  <c r="T163" i="1"/>
  <c r="T137" i="1"/>
  <c r="T128" i="1"/>
  <c r="T119" i="1"/>
  <c r="T110" i="1"/>
  <c r="T102" i="1"/>
  <c r="T93" i="1"/>
  <c r="T67" i="1"/>
  <c r="T58" i="1"/>
  <c r="T49" i="1"/>
  <c r="T338" i="1"/>
  <c r="T304" i="1"/>
  <c r="T155" i="1"/>
  <c r="T205" i="1"/>
  <c r="T179" i="1"/>
  <c r="T101" i="1"/>
  <c r="T83" i="1"/>
  <c r="T74" i="1"/>
  <c r="T40" i="1"/>
  <c r="T31" i="1"/>
  <c r="T22" i="1"/>
  <c r="T13" i="1"/>
  <c r="T251" i="1"/>
  <c r="T77" i="1"/>
  <c r="T354" i="1"/>
  <c r="T283" i="1"/>
  <c r="T274" i="1"/>
  <c r="T265" i="1"/>
  <c r="T257" i="1"/>
  <c r="T248" i="1"/>
  <c r="T239" i="1"/>
  <c r="T230" i="1"/>
  <c r="T187" i="1"/>
  <c r="T91" i="1"/>
  <c r="T82" i="1"/>
  <c r="T73" i="1"/>
  <c r="T65" i="1"/>
  <c r="T56" i="1"/>
  <c r="T47" i="1"/>
  <c r="T38" i="1"/>
  <c r="T360" i="1"/>
  <c r="T282" i="1"/>
  <c r="T256" i="1"/>
  <c r="T247" i="1"/>
  <c r="T238" i="1"/>
  <c r="T229" i="1"/>
  <c r="T221" i="1"/>
  <c r="T203" i="1"/>
  <c r="T194" i="1"/>
  <c r="T168" i="1"/>
  <c r="T64" i="1"/>
  <c r="T55" i="1"/>
  <c r="T46" i="1"/>
  <c r="T37" i="1"/>
  <c r="T29" i="1"/>
  <c r="T11" i="1"/>
  <c r="T146" i="1"/>
  <c r="T129" i="1"/>
  <c r="T120" i="1"/>
  <c r="T211" i="1"/>
  <c r="T202" i="1"/>
  <c r="T193" i="1"/>
  <c r="T158" i="1"/>
  <c r="T115" i="1"/>
  <c r="T45" i="1"/>
  <c r="T19" i="1"/>
  <c r="T10" i="1"/>
  <c r="T347" i="1"/>
  <c r="T321" i="1"/>
  <c r="T295" i="1"/>
  <c r="T138" i="1"/>
  <c r="T293" i="1"/>
  <c r="T266" i="1"/>
  <c r="T359" i="1"/>
  <c r="T350" i="1"/>
  <c r="T358" i="1"/>
  <c r="T349" i="1"/>
  <c r="T314" i="1"/>
  <c r="T227" i="1"/>
  <c r="T218" i="1"/>
  <c r="T210" i="1"/>
  <c r="T201" i="1"/>
  <c r="T192" i="1"/>
  <c r="T184" i="1"/>
  <c r="T175" i="1"/>
  <c r="T166" i="1"/>
  <c r="T157" i="1"/>
  <c r="T149" i="1"/>
  <c r="T131" i="1"/>
  <c r="T122" i="1"/>
  <c r="T35" i="1"/>
  <c r="T26" i="1"/>
  <c r="T18" i="1"/>
  <c r="T9" i="1"/>
  <c r="T330" i="1"/>
  <c r="T312" i="1"/>
  <c r="T286" i="1"/>
  <c r="T275" i="1"/>
  <c r="T357" i="1"/>
  <c r="T331" i="1"/>
  <c r="T322" i="1"/>
  <c r="T313" i="1"/>
  <c r="T305" i="1"/>
  <c r="T278" i="1"/>
  <c r="T235" i="1"/>
  <c r="T174" i="1"/>
  <c r="T165" i="1"/>
  <c r="T139" i="1"/>
  <c r="T121" i="1"/>
  <c r="T86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T277" i="1"/>
  <c r="T114" i="1"/>
  <c r="T242" i="1"/>
  <c r="T90" i="1"/>
  <c r="T215" i="1"/>
  <c r="T89" i="1"/>
  <c r="T189" i="1"/>
  <c r="T62" i="1"/>
  <c r="T167" i="1"/>
  <c r="T61" i="1"/>
  <c r="T141" i="1"/>
  <c r="T36" i="1"/>
  <c r="T333" i="1"/>
  <c r="T140" i="1"/>
  <c r="T34" i="1"/>
  <c r="T306" i="1"/>
  <c r="T116" i="1"/>
  <c r="T362" i="1"/>
  <c r="T332" i="1"/>
  <c r="T300" i="1"/>
  <c r="T273" i="1"/>
  <c r="T240" i="1"/>
  <c r="T214" i="1"/>
  <c r="T188" i="1"/>
  <c r="T164" i="1"/>
  <c r="T356" i="1"/>
  <c r="T298" i="1"/>
  <c r="T272" i="1"/>
  <c r="T234" i="1"/>
  <c r="T213" i="1"/>
  <c r="T186" i="1"/>
  <c r="T162" i="1"/>
  <c r="T130" i="1"/>
  <c r="T113" i="1"/>
  <c r="T88" i="1"/>
  <c r="T60" i="1"/>
  <c r="T355" i="1"/>
  <c r="T324" i="1"/>
  <c r="T297" i="1"/>
  <c r="T263" i="1"/>
  <c r="T226" i="1"/>
  <c r="T200" i="1"/>
  <c r="T178" i="1"/>
  <c r="T154" i="1"/>
  <c r="T127" i="1"/>
  <c r="T106" i="1"/>
  <c r="T80" i="1"/>
  <c r="T54" i="1"/>
  <c r="T21" i="1"/>
  <c r="T323" i="1"/>
  <c r="T296" i="1"/>
  <c r="T258" i="1"/>
  <c r="T225" i="1"/>
  <c r="T199" i="1"/>
  <c r="T177" i="1"/>
  <c r="T153" i="1"/>
  <c r="T126" i="1"/>
  <c r="T105" i="1"/>
  <c r="T79" i="1"/>
  <c r="T53" i="1"/>
  <c r="T17" i="1"/>
  <c r="T290" i="1"/>
  <c r="T252" i="1"/>
  <c r="T224" i="1"/>
  <c r="T198" i="1"/>
  <c r="T176" i="1"/>
  <c r="T152" i="1"/>
  <c r="T124" i="1"/>
  <c r="T104" i="1"/>
  <c r="T78" i="1"/>
  <c r="T48" i="1"/>
  <c r="T6" i="1"/>
  <c r="T288" i="1"/>
  <c r="T250" i="1"/>
  <c r="T223" i="1"/>
  <c r="T173" i="1"/>
  <c r="T151" i="1"/>
  <c r="T97" i="1"/>
  <c r="T71" i="1"/>
  <c r="T5" i="1"/>
  <c r="T334" i="1"/>
  <c r="T249" i="1"/>
  <c r="T190" i="1"/>
  <c r="T170" i="1"/>
  <c r="T142" i="1"/>
  <c r="T117" i="1"/>
  <c r="T96" i="1"/>
  <c r="T70" i="1"/>
  <c r="T44" i="1"/>
  <c r="T94" i="1"/>
  <c r="T343" i="1"/>
  <c r="T310" i="1"/>
  <c r="T237" i="1"/>
  <c r="T342" i="1"/>
  <c r="T236" i="1"/>
  <c r="T76" i="1"/>
  <c r="T32" i="1"/>
  <c r="T341" i="1"/>
  <c r="T319" i="1"/>
  <c r="T308" i="1"/>
  <c r="T271" i="1"/>
  <c r="T260" i="1"/>
  <c r="T246" i="1"/>
  <c r="T209" i="1"/>
  <c r="T161" i="1"/>
  <c r="T150" i="1"/>
  <c r="T136" i="1"/>
  <c r="T125" i="1"/>
  <c r="T100" i="1"/>
  <c r="T72" i="1"/>
  <c r="T30" i="1"/>
  <c r="T59" i="1"/>
  <c r="T220" i="1"/>
  <c r="T84" i="1"/>
  <c r="T16" i="1"/>
  <c r="T307" i="1"/>
  <c r="T299" i="1"/>
  <c r="T107" i="1"/>
  <c r="T20" i="1"/>
  <c r="T340" i="1"/>
  <c r="T318" i="1"/>
  <c r="T281" i="1"/>
  <c r="T270" i="1"/>
  <c r="T245" i="1"/>
  <c r="T233" i="1"/>
  <c r="T222" i="1"/>
  <c r="T208" i="1"/>
  <c r="T197" i="1"/>
  <c r="T185" i="1"/>
  <c r="T172" i="1"/>
  <c r="T160" i="1"/>
  <c r="T98" i="1"/>
  <c r="T57" i="1"/>
  <c r="T42" i="1"/>
  <c r="T14" i="1"/>
  <c r="T204" i="1"/>
  <c r="T287" i="1"/>
  <c r="T262" i="1"/>
  <c r="T33" i="1"/>
  <c r="T92" i="1"/>
  <c r="T317" i="1"/>
  <c r="T292" i="1"/>
  <c r="T280" i="1"/>
  <c r="T269" i="1"/>
  <c r="T244" i="1"/>
  <c r="T232" i="1"/>
  <c r="T196" i="1"/>
  <c r="T182" i="1"/>
  <c r="T145" i="1"/>
  <c r="T134" i="1"/>
  <c r="T109" i="1"/>
  <c r="T85" i="1"/>
  <c r="T41" i="1"/>
  <c r="T25" i="1"/>
  <c r="T12" i="1"/>
  <c r="T212" i="1"/>
  <c r="T68" i="1"/>
  <c r="T50" i="1"/>
  <c r="T261" i="1"/>
  <c r="T361" i="1"/>
  <c r="T353" i="1"/>
  <c r="T345" i="1"/>
  <c r="T337" i="1"/>
  <c r="T156" i="1"/>
  <c r="T148" i="1"/>
  <c r="T348" i="1"/>
  <c r="T326" i="1"/>
  <c r="T316" i="1"/>
  <c r="T268" i="1"/>
  <c r="T254" i="1"/>
  <c r="T217" i="1"/>
  <c r="T206" i="1"/>
  <c r="T181" i="1"/>
  <c r="T169" i="1"/>
  <c r="T144" i="1"/>
  <c r="T133" i="1"/>
  <c r="T108" i="1"/>
  <c r="T81" i="1"/>
  <c r="T69" i="1"/>
  <c r="T24" i="1"/>
  <c r="T8" i="1"/>
  <c r="T309" i="1"/>
  <c r="T284" i="1"/>
  <c r="T276" i="1"/>
  <c r="T4" i="1"/>
  <c r="T352" i="1"/>
  <c r="T344" i="1"/>
  <c r="T336" i="1"/>
  <c r="T328" i="1"/>
  <c r="T43" i="1"/>
  <c r="T335" i="1"/>
  <c r="T325" i="1"/>
  <c r="T301" i="1"/>
  <c r="T289" i="1"/>
  <c r="T264" i="1"/>
  <c r="T253" i="1"/>
  <c r="T228" i="1"/>
  <c r="T216" i="1"/>
  <c r="T191" i="1"/>
  <c r="T180" i="1"/>
  <c r="T143" i="1"/>
  <c r="T132" i="1"/>
  <c r="T118" i="1"/>
  <c r="T95" i="1"/>
  <c r="T66" i="1"/>
  <c r="T52" i="1"/>
  <c r="T23" i="1"/>
  <c r="T7" i="1"/>
  <c r="T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" i="1"/>
  <c r="G3" i="1"/>
  <c r="V3" i="1" s="1"/>
  <c r="I4" i="5"/>
  <c r="AM23" i="1" l="1"/>
  <c r="AO22" i="1"/>
  <c r="AL9" i="1"/>
  <c r="AO9" i="1" s="1"/>
  <c r="U3" i="1"/>
  <c r="T3" i="1"/>
  <c r="B8" i="1"/>
  <c r="B5" i="1"/>
  <c r="B7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I3" i="4"/>
  <c r="K3" i="4" s="1"/>
  <c r="J4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E9" i="2"/>
  <c r="E10" i="2" s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B5" i="5"/>
  <c r="B4" i="5"/>
  <c r="B2" i="5"/>
  <c r="B1" i="5"/>
  <c r="E4" i="5" s="1"/>
  <c r="B1" i="4"/>
  <c r="B2" i="4"/>
  <c r="L81" i="4" s="1"/>
  <c r="B4" i="4"/>
  <c r="B5" i="4"/>
  <c r="B3" i="2"/>
  <c r="B3" i="5" s="1"/>
  <c r="AM24" i="1" l="1"/>
  <c r="AO23" i="1"/>
  <c r="AC3" i="1"/>
  <c r="AB3" i="1" s="1"/>
  <c r="Y3" i="1" s="1"/>
  <c r="G171" i="1"/>
  <c r="G243" i="1"/>
  <c r="G123" i="1"/>
  <c r="G147" i="1"/>
  <c r="G195" i="1"/>
  <c r="G219" i="1"/>
  <c r="G267" i="1"/>
  <c r="G255" i="1"/>
  <c r="G339" i="1"/>
  <c r="G231" i="1"/>
  <c r="G303" i="1"/>
  <c r="G207" i="1"/>
  <c r="G315" i="1"/>
  <c r="G327" i="1"/>
  <c r="G351" i="1"/>
  <c r="G183" i="1"/>
  <c r="G291" i="1"/>
  <c r="G159" i="1"/>
  <c r="G135" i="1"/>
  <c r="G279" i="1"/>
  <c r="F9" i="2"/>
  <c r="J9" i="2" s="1"/>
  <c r="F6" i="1"/>
  <c r="F14" i="1"/>
  <c r="F21" i="1"/>
  <c r="F28" i="1"/>
  <c r="F36" i="1"/>
  <c r="F43" i="1"/>
  <c r="F58" i="1"/>
  <c r="F65" i="1"/>
  <c r="F73" i="1"/>
  <c r="F80" i="1"/>
  <c r="F87" i="1"/>
  <c r="F95" i="1"/>
  <c r="F102" i="1"/>
  <c r="F110" i="1"/>
  <c r="F117" i="1"/>
  <c r="F124" i="1"/>
  <c r="F132" i="1"/>
  <c r="F139" i="1"/>
  <c r="F154" i="1"/>
  <c r="F161" i="1"/>
  <c r="F169" i="1"/>
  <c r="F176" i="1"/>
  <c r="F183" i="1"/>
  <c r="F191" i="1"/>
  <c r="F198" i="1"/>
  <c r="F206" i="1"/>
  <c r="F213" i="1"/>
  <c r="F220" i="1"/>
  <c r="F228" i="1"/>
  <c r="F235" i="1"/>
  <c r="F250" i="1"/>
  <c r="F7" i="1"/>
  <c r="F22" i="1"/>
  <c r="F29" i="1"/>
  <c r="F37" i="1"/>
  <c r="F44" i="1"/>
  <c r="F51" i="1"/>
  <c r="F59" i="1"/>
  <c r="F66" i="1"/>
  <c r="F74" i="1"/>
  <c r="F81" i="1"/>
  <c r="F88" i="1"/>
  <c r="F96" i="1"/>
  <c r="F103" i="1"/>
  <c r="F118" i="1"/>
  <c r="F125" i="1"/>
  <c r="F133" i="1"/>
  <c r="F140" i="1"/>
  <c r="F147" i="1"/>
  <c r="F155" i="1"/>
  <c r="F162" i="1"/>
  <c r="F170" i="1"/>
  <c r="F177" i="1"/>
  <c r="F184" i="1"/>
  <c r="F192" i="1"/>
  <c r="F199" i="1"/>
  <c r="F214" i="1"/>
  <c r="F221" i="1"/>
  <c r="F229" i="1"/>
  <c r="F236" i="1"/>
  <c r="F243" i="1"/>
  <c r="F251" i="1"/>
  <c r="F258" i="1"/>
  <c r="F8" i="1"/>
  <c r="F15" i="1"/>
  <c r="F23" i="1"/>
  <c r="F30" i="1"/>
  <c r="F38" i="1"/>
  <c r="F45" i="1"/>
  <c r="F52" i="1"/>
  <c r="F60" i="1"/>
  <c r="F67" i="1"/>
  <c r="F82" i="1"/>
  <c r="F89" i="1"/>
  <c r="F97" i="1"/>
  <c r="F104" i="1"/>
  <c r="F111" i="1"/>
  <c r="F119" i="1"/>
  <c r="F126" i="1"/>
  <c r="F134" i="1"/>
  <c r="F141" i="1"/>
  <c r="F148" i="1"/>
  <c r="F156" i="1"/>
  <c r="F163" i="1"/>
  <c r="F178" i="1"/>
  <c r="F185" i="1"/>
  <c r="F193" i="1"/>
  <c r="F200" i="1"/>
  <c r="F207" i="1"/>
  <c r="F215" i="1"/>
  <c r="F222" i="1"/>
  <c r="F230" i="1"/>
  <c r="F237" i="1"/>
  <c r="F244" i="1"/>
  <c r="F252" i="1"/>
  <c r="F9" i="1"/>
  <c r="F16" i="1"/>
  <c r="F24" i="1"/>
  <c r="F31" i="1"/>
  <c r="F46" i="1"/>
  <c r="F53" i="1"/>
  <c r="F61" i="1"/>
  <c r="F68" i="1"/>
  <c r="F75" i="1"/>
  <c r="F83" i="1"/>
  <c r="F90" i="1"/>
  <c r="F98" i="1"/>
  <c r="F105" i="1"/>
  <c r="F112" i="1"/>
  <c r="F120" i="1"/>
  <c r="F127" i="1"/>
  <c r="F142" i="1"/>
  <c r="F149" i="1"/>
  <c r="F157" i="1"/>
  <c r="F164" i="1"/>
  <c r="F171" i="1"/>
  <c r="F179" i="1"/>
  <c r="F186" i="1"/>
  <c r="F194" i="1"/>
  <c r="F201" i="1"/>
  <c r="F208" i="1"/>
  <c r="F216" i="1"/>
  <c r="F223" i="1"/>
  <c r="F238" i="1"/>
  <c r="F245" i="1"/>
  <c r="F253" i="1"/>
  <c r="F10" i="1"/>
  <c r="F17" i="1"/>
  <c r="F25" i="1"/>
  <c r="F32" i="1"/>
  <c r="F39" i="1"/>
  <c r="F47" i="1"/>
  <c r="F54" i="1"/>
  <c r="F62" i="1"/>
  <c r="F69" i="1"/>
  <c r="F76" i="1"/>
  <c r="F84" i="1"/>
  <c r="F91" i="1"/>
  <c r="F106" i="1"/>
  <c r="F113" i="1"/>
  <c r="F121" i="1"/>
  <c r="F128" i="1"/>
  <c r="F135" i="1"/>
  <c r="F143" i="1"/>
  <c r="F150" i="1"/>
  <c r="F158" i="1"/>
  <c r="F165" i="1"/>
  <c r="F172" i="1"/>
  <c r="F180" i="1"/>
  <c r="F187" i="1"/>
  <c r="F202" i="1"/>
  <c r="F209" i="1"/>
  <c r="F217" i="1"/>
  <c r="F224" i="1"/>
  <c r="F231" i="1"/>
  <c r="F239" i="1"/>
  <c r="F246" i="1"/>
  <c r="F254" i="1"/>
  <c r="F261" i="1"/>
  <c r="F268" i="1"/>
  <c r="F20" i="1"/>
  <c r="F41" i="1"/>
  <c r="F79" i="1"/>
  <c r="F100" i="1"/>
  <c r="F122" i="1"/>
  <c r="F138" i="1"/>
  <c r="F159" i="1"/>
  <c r="F181" i="1"/>
  <c r="F197" i="1"/>
  <c r="F240" i="1"/>
  <c r="F256" i="1"/>
  <c r="F266" i="1"/>
  <c r="F274" i="1"/>
  <c r="F281" i="1"/>
  <c r="F289" i="1"/>
  <c r="F296" i="1"/>
  <c r="F303" i="1"/>
  <c r="F311" i="1"/>
  <c r="F318" i="1"/>
  <c r="F326" i="1"/>
  <c r="F333" i="1"/>
  <c r="F340" i="1"/>
  <c r="F348" i="1"/>
  <c r="F355" i="1"/>
  <c r="F107" i="1"/>
  <c r="F166" i="1"/>
  <c r="F204" i="1"/>
  <c r="F225" i="1"/>
  <c r="F267" i="1"/>
  <c r="F283" i="1"/>
  <c r="F298" i="1"/>
  <c r="F313" i="1"/>
  <c r="F327" i="1"/>
  <c r="F342" i="1"/>
  <c r="F357" i="1"/>
  <c r="F11" i="1"/>
  <c r="F49" i="1"/>
  <c r="F108" i="1"/>
  <c r="F146" i="1"/>
  <c r="F205" i="1"/>
  <c r="F260" i="1"/>
  <c r="F299" i="1"/>
  <c r="F321" i="1"/>
  <c r="F33" i="1"/>
  <c r="F71" i="1"/>
  <c r="F4" i="1"/>
  <c r="F26" i="1"/>
  <c r="F42" i="1"/>
  <c r="F63" i="1"/>
  <c r="F85" i="1"/>
  <c r="F101" i="1"/>
  <c r="F144" i="1"/>
  <c r="F160" i="1"/>
  <c r="F182" i="1"/>
  <c r="F203" i="1"/>
  <c r="F219" i="1"/>
  <c r="F241" i="1"/>
  <c r="F257" i="1"/>
  <c r="F275" i="1"/>
  <c r="F282" i="1"/>
  <c r="F290" i="1"/>
  <c r="F297" i="1"/>
  <c r="F304" i="1"/>
  <c r="F312" i="1"/>
  <c r="F319" i="1"/>
  <c r="F334" i="1"/>
  <c r="F341" i="1"/>
  <c r="F349" i="1"/>
  <c r="F356" i="1"/>
  <c r="F3" i="1"/>
  <c r="F48" i="1"/>
  <c r="F64" i="1"/>
  <c r="F86" i="1"/>
  <c r="F145" i="1"/>
  <c r="F242" i="1"/>
  <c r="F276" i="1"/>
  <c r="F305" i="1"/>
  <c r="F320" i="1"/>
  <c r="F350" i="1"/>
  <c r="F70" i="1"/>
  <c r="F129" i="1"/>
  <c r="F188" i="1"/>
  <c r="F226" i="1"/>
  <c r="F269" i="1"/>
  <c r="F291" i="1"/>
  <c r="F314" i="1"/>
  <c r="F336" i="1"/>
  <c r="F50" i="1"/>
  <c r="F5" i="1"/>
  <c r="F123" i="1"/>
  <c r="F259" i="1"/>
  <c r="F335" i="1"/>
  <c r="F27" i="1"/>
  <c r="F167" i="1"/>
  <c r="F247" i="1"/>
  <c r="F284" i="1"/>
  <c r="F306" i="1"/>
  <c r="F328" i="1"/>
  <c r="F343" i="1"/>
  <c r="F358" i="1"/>
  <c r="F277" i="1"/>
  <c r="F12" i="1"/>
  <c r="F19" i="1"/>
  <c r="F77" i="1"/>
  <c r="F115" i="1"/>
  <c r="F153" i="1"/>
  <c r="F195" i="1"/>
  <c r="F233" i="1"/>
  <c r="F264" i="1"/>
  <c r="F279" i="1"/>
  <c r="F294" i="1"/>
  <c r="F309" i="1"/>
  <c r="F324" i="1"/>
  <c r="F353" i="1"/>
  <c r="F168" i="1"/>
  <c r="F270" i="1"/>
  <c r="F329" i="1"/>
  <c r="F249" i="1"/>
  <c r="F315" i="1"/>
  <c r="F345" i="1"/>
  <c r="F272" i="1"/>
  <c r="F331" i="1"/>
  <c r="F255" i="1"/>
  <c r="F317" i="1"/>
  <c r="F189" i="1"/>
  <c r="F292" i="1"/>
  <c r="F351" i="1"/>
  <c r="F114" i="1"/>
  <c r="F263" i="1"/>
  <c r="F323" i="1"/>
  <c r="F34" i="1"/>
  <c r="F78" i="1"/>
  <c r="F116" i="1"/>
  <c r="F196" i="1"/>
  <c r="F234" i="1"/>
  <c r="F265" i="1"/>
  <c r="F280" i="1"/>
  <c r="F295" i="1"/>
  <c r="F310" i="1"/>
  <c r="F325" i="1"/>
  <c r="F339" i="1"/>
  <c r="F354" i="1"/>
  <c r="F92" i="1"/>
  <c r="F210" i="1"/>
  <c r="F248" i="1"/>
  <c r="F300" i="1"/>
  <c r="F344" i="1"/>
  <c r="F301" i="1"/>
  <c r="F94" i="1"/>
  <c r="F212" i="1"/>
  <c r="F287" i="1"/>
  <c r="F346" i="1"/>
  <c r="F99" i="1"/>
  <c r="F218" i="1"/>
  <c r="F362" i="1"/>
  <c r="F13" i="1"/>
  <c r="F151" i="1"/>
  <c r="F227" i="1"/>
  <c r="F322" i="1"/>
  <c r="F18" i="1"/>
  <c r="F152" i="1"/>
  <c r="F338" i="1"/>
  <c r="F35" i="1"/>
  <c r="F130" i="1"/>
  <c r="F285" i="1"/>
  <c r="F359" i="1"/>
  <c r="F360" i="1"/>
  <c r="F55" i="1"/>
  <c r="F174" i="1"/>
  <c r="F302" i="1"/>
  <c r="F361" i="1"/>
  <c r="F56" i="1"/>
  <c r="F175" i="1"/>
  <c r="F288" i="1"/>
  <c r="F347" i="1"/>
  <c r="F57" i="1"/>
  <c r="F278" i="1"/>
  <c r="F337" i="1"/>
  <c r="F72" i="1"/>
  <c r="F190" i="1"/>
  <c r="F293" i="1"/>
  <c r="F352" i="1"/>
  <c r="F40" i="1"/>
  <c r="F93" i="1"/>
  <c r="F131" i="1"/>
  <c r="F173" i="1"/>
  <c r="F211" i="1"/>
  <c r="F271" i="1"/>
  <c r="F286" i="1"/>
  <c r="F330" i="1"/>
  <c r="F136" i="1"/>
  <c r="F316" i="1"/>
  <c r="F137" i="1"/>
  <c r="F273" i="1"/>
  <c r="F332" i="1"/>
  <c r="F109" i="1"/>
  <c r="F262" i="1"/>
  <c r="F307" i="1"/>
  <c r="F232" i="1"/>
  <c r="F308" i="1"/>
  <c r="B6" i="1"/>
  <c r="E11" i="2"/>
  <c r="F10" i="2"/>
  <c r="J10" i="2" s="1"/>
  <c r="L87" i="4"/>
  <c r="L40" i="4"/>
  <c r="L17" i="4"/>
  <c r="L63" i="4"/>
  <c r="F4" i="5"/>
  <c r="G4" i="5" s="1"/>
  <c r="B3" i="4"/>
  <c r="E5" i="5"/>
  <c r="D5" i="5"/>
  <c r="L80" i="4"/>
  <c r="L57" i="4"/>
  <c r="L39" i="4"/>
  <c r="L16" i="4"/>
  <c r="L10" i="4"/>
  <c r="L79" i="4"/>
  <c r="L56" i="4"/>
  <c r="L33" i="4"/>
  <c r="L15" i="4"/>
  <c r="L73" i="4"/>
  <c r="L55" i="4"/>
  <c r="L32" i="4"/>
  <c r="L9" i="4"/>
  <c r="L3" i="4"/>
  <c r="M3" i="4" s="1"/>
  <c r="L72" i="4"/>
  <c r="L49" i="4"/>
  <c r="L31" i="4"/>
  <c r="L8" i="4"/>
  <c r="L89" i="4"/>
  <c r="L71" i="4"/>
  <c r="L48" i="4"/>
  <c r="L25" i="4"/>
  <c r="L7" i="4"/>
  <c r="L88" i="4"/>
  <c r="L65" i="4"/>
  <c r="L47" i="4"/>
  <c r="L24" i="4"/>
  <c r="L64" i="4"/>
  <c r="L41" i="4"/>
  <c r="L23" i="4"/>
  <c r="L86" i="4"/>
  <c r="L78" i="4"/>
  <c r="L70" i="4"/>
  <c r="L62" i="4"/>
  <c r="L54" i="4"/>
  <c r="L46" i="4"/>
  <c r="L38" i="4"/>
  <c r="L30" i="4"/>
  <c r="L22" i="4"/>
  <c r="L14" i="4"/>
  <c r="L6" i="4"/>
  <c r="L4" i="4"/>
  <c r="O3" i="4" s="1"/>
  <c r="L85" i="4"/>
  <c r="L77" i="4"/>
  <c r="L69" i="4"/>
  <c r="L61" i="4"/>
  <c r="L53" i="4"/>
  <c r="L45" i="4"/>
  <c r="L37" i="4"/>
  <c r="L29" i="4"/>
  <c r="L21" i="4"/>
  <c r="L13" i="4"/>
  <c r="L5" i="4"/>
  <c r="L92" i="4"/>
  <c r="L84" i="4"/>
  <c r="L76" i="4"/>
  <c r="L68" i="4"/>
  <c r="L60" i="4"/>
  <c r="L52" i="4"/>
  <c r="L44" i="4"/>
  <c r="L36" i="4"/>
  <c r="L28" i="4"/>
  <c r="L20" i="4"/>
  <c r="L12" i="4"/>
  <c r="L91" i="4"/>
  <c r="L83" i="4"/>
  <c r="L75" i="4"/>
  <c r="L67" i="4"/>
  <c r="L59" i="4"/>
  <c r="L51" i="4"/>
  <c r="L43" i="4"/>
  <c r="L35" i="4"/>
  <c r="L27" i="4"/>
  <c r="L19" i="4"/>
  <c r="L11" i="4"/>
  <c r="L90" i="4"/>
  <c r="L82" i="4"/>
  <c r="L74" i="4"/>
  <c r="L66" i="4"/>
  <c r="L58" i="4"/>
  <c r="L50" i="4"/>
  <c r="L42" i="4"/>
  <c r="L34" i="4"/>
  <c r="L26" i="4"/>
  <c r="L18" i="4"/>
  <c r="K4" i="4"/>
  <c r="AM25" i="1" l="1"/>
  <c r="AO24" i="1"/>
  <c r="T255" i="1"/>
  <c r="T267" i="1"/>
  <c r="T219" i="1"/>
  <c r="T195" i="1"/>
  <c r="T279" i="1"/>
  <c r="T207" i="1"/>
  <c r="T147" i="1"/>
  <c r="T351" i="1"/>
  <c r="T327" i="1"/>
  <c r="T135" i="1"/>
  <c r="T303" i="1"/>
  <c r="T123" i="1"/>
  <c r="T183" i="1"/>
  <c r="T315" i="1"/>
  <c r="T159" i="1"/>
  <c r="T231" i="1"/>
  <c r="T243" i="1"/>
  <c r="T291" i="1"/>
  <c r="T339" i="1"/>
  <c r="T171" i="1"/>
  <c r="H13" i="1"/>
  <c r="H5" i="1"/>
  <c r="H15" i="1"/>
  <c r="H9" i="1"/>
  <c r="H19" i="1"/>
  <c r="H4" i="1"/>
  <c r="H20" i="1"/>
  <c r="F5" i="5"/>
  <c r="G5" i="5" s="1"/>
  <c r="H22" i="1"/>
  <c r="H23" i="1"/>
  <c r="H18" i="1"/>
  <c r="H25" i="1"/>
  <c r="H3" i="1"/>
  <c r="I3" i="1" s="1"/>
  <c r="H17" i="1"/>
  <c r="H7" i="1"/>
  <c r="H21" i="1"/>
  <c r="H12" i="1"/>
  <c r="H11" i="1"/>
  <c r="H10" i="1"/>
  <c r="H24" i="1"/>
  <c r="H14" i="1"/>
  <c r="H8" i="1"/>
  <c r="H26" i="1"/>
  <c r="H16" i="1"/>
  <c r="H6" i="1"/>
  <c r="E12" i="2"/>
  <c r="F11" i="2"/>
  <c r="E6" i="5"/>
  <c r="F6" i="5" s="1"/>
  <c r="G6" i="5" s="1"/>
  <c r="D6" i="5"/>
  <c r="M4" i="4"/>
  <c r="J5" i="4"/>
  <c r="O4" i="4"/>
  <c r="J11" i="2" l="1"/>
  <c r="H36" i="1" s="1"/>
  <c r="AM26" i="1"/>
  <c r="AO25" i="1"/>
  <c r="L3" i="1"/>
  <c r="E13" i="2"/>
  <c r="F12" i="2"/>
  <c r="E7" i="5"/>
  <c r="F7" i="5" s="1"/>
  <c r="G7" i="5" s="1"/>
  <c r="D7" i="5"/>
  <c r="K5" i="4"/>
  <c r="M5" i="4"/>
  <c r="H38" i="1" l="1"/>
  <c r="H32" i="1"/>
  <c r="H35" i="1"/>
  <c r="H30" i="1"/>
  <c r="H34" i="1"/>
  <c r="H27" i="1"/>
  <c r="H28" i="1"/>
  <c r="H33" i="1"/>
  <c r="H29" i="1"/>
  <c r="J12" i="2"/>
  <c r="H48" i="1" s="1"/>
  <c r="H37" i="1"/>
  <c r="H31" i="1"/>
  <c r="AM27" i="1"/>
  <c r="AO26" i="1"/>
  <c r="M3" i="1"/>
  <c r="V4" i="1" s="1"/>
  <c r="AC4" i="1" s="1"/>
  <c r="H42" i="1"/>
  <c r="E14" i="2"/>
  <c r="F13" i="2"/>
  <c r="E8" i="5"/>
  <c r="F8" i="5" s="1"/>
  <c r="G8" i="5" s="1"/>
  <c r="D8" i="5"/>
  <c r="J6" i="4"/>
  <c r="O5" i="4"/>
  <c r="H44" i="1" l="1"/>
  <c r="H47" i="1"/>
  <c r="H41" i="1"/>
  <c r="H50" i="1"/>
  <c r="H46" i="1"/>
  <c r="H39" i="1"/>
  <c r="H49" i="1"/>
  <c r="H40" i="1"/>
  <c r="H45" i="1"/>
  <c r="H43" i="1"/>
  <c r="J13" i="2"/>
  <c r="H60" i="1" s="1"/>
  <c r="AM28" i="1"/>
  <c r="AO27" i="1"/>
  <c r="I4" i="1"/>
  <c r="E15" i="2"/>
  <c r="F14" i="2"/>
  <c r="E9" i="5"/>
  <c r="F9" i="5" s="1"/>
  <c r="G9" i="5" s="1"/>
  <c r="D9" i="5"/>
  <c r="M6" i="4"/>
  <c r="K6" i="4"/>
  <c r="H51" i="1" l="1"/>
  <c r="H62" i="1"/>
  <c r="H56" i="1"/>
  <c r="H52" i="1"/>
  <c r="H58" i="1"/>
  <c r="H61" i="1"/>
  <c r="H55" i="1"/>
  <c r="H53" i="1"/>
  <c r="L4" i="1"/>
  <c r="M4" i="1" s="1"/>
  <c r="V5" i="1" s="1"/>
  <c r="AC5" i="1" s="1"/>
  <c r="H59" i="1"/>
  <c r="H54" i="1"/>
  <c r="J14" i="2"/>
  <c r="H64" i="1" s="1"/>
  <c r="H57" i="1"/>
  <c r="AM29" i="1"/>
  <c r="AO28" i="1"/>
  <c r="E16" i="2"/>
  <c r="F15" i="2"/>
  <c r="D10" i="5"/>
  <c r="E10" i="5"/>
  <c r="F10" i="5" s="1"/>
  <c r="G10" i="5" s="1"/>
  <c r="J7" i="4"/>
  <c r="O6" i="4"/>
  <c r="H66" i="1" l="1"/>
  <c r="H72" i="1"/>
  <c r="H63" i="1"/>
  <c r="H67" i="1"/>
  <c r="H71" i="1"/>
  <c r="H69" i="1"/>
  <c r="H68" i="1"/>
  <c r="H70" i="1"/>
  <c r="H74" i="1"/>
  <c r="H65" i="1"/>
  <c r="J15" i="2"/>
  <c r="H85" i="1" s="1"/>
  <c r="AM30" i="1"/>
  <c r="AO29" i="1"/>
  <c r="I5" i="1"/>
  <c r="E17" i="2"/>
  <c r="F16" i="2"/>
  <c r="J16" i="2" s="1"/>
  <c r="D11" i="5"/>
  <c r="E11" i="5"/>
  <c r="F11" i="5" s="1"/>
  <c r="G11" i="5" s="1"/>
  <c r="M7" i="4"/>
  <c r="K7" i="4"/>
  <c r="H82" i="1" l="1"/>
  <c r="H84" i="1"/>
  <c r="H78" i="1"/>
  <c r="H81" i="1"/>
  <c r="H75" i="1"/>
  <c r="AM31" i="1"/>
  <c r="AO30" i="1"/>
  <c r="L5" i="1"/>
  <c r="E18" i="2"/>
  <c r="F17" i="2"/>
  <c r="D12" i="5"/>
  <c r="E12" i="5"/>
  <c r="F12" i="5" s="1"/>
  <c r="G12" i="5" s="1"/>
  <c r="J8" i="4"/>
  <c r="O7" i="4"/>
  <c r="J17" i="2" l="1"/>
  <c r="H104" i="1" s="1"/>
  <c r="AM32" i="1"/>
  <c r="AO31" i="1"/>
  <c r="M5" i="1"/>
  <c r="V6" i="1" s="1"/>
  <c r="AC6" i="1" s="1"/>
  <c r="E19" i="2"/>
  <c r="F18" i="2"/>
  <c r="J18" i="2" s="1"/>
  <c r="D13" i="5"/>
  <c r="E13" i="5"/>
  <c r="F13" i="5" s="1"/>
  <c r="G13" i="5" s="1"/>
  <c r="M8" i="4"/>
  <c r="K8" i="4"/>
  <c r="AM33" i="1" l="1"/>
  <c r="AO32" i="1"/>
  <c r="I6" i="1"/>
  <c r="H14" i="5"/>
  <c r="E20" i="2"/>
  <c r="F19" i="2"/>
  <c r="J19" i="2" s="1"/>
  <c r="E14" i="5"/>
  <c r="F14" i="5" s="1"/>
  <c r="G14" i="5" s="1"/>
  <c r="D14" i="5"/>
  <c r="H15" i="5" s="1"/>
  <c r="J9" i="4"/>
  <c r="O8" i="4"/>
  <c r="L6" i="1" l="1"/>
  <c r="M6" i="1" s="1"/>
  <c r="V7" i="1" s="1"/>
  <c r="AC7" i="1" s="1"/>
  <c r="AM34" i="1"/>
  <c r="AO33" i="1"/>
  <c r="E21" i="2"/>
  <c r="F20" i="2"/>
  <c r="J20" i="2" s="1"/>
  <c r="E15" i="5"/>
  <c r="F15" i="5" s="1"/>
  <c r="G15" i="5" s="1"/>
  <c r="D15" i="5"/>
  <c r="H16" i="5" s="1"/>
  <c r="M9" i="4"/>
  <c r="K9" i="4"/>
  <c r="AM35" i="1" l="1"/>
  <c r="AO34" i="1"/>
  <c r="I7" i="1"/>
  <c r="E22" i="2"/>
  <c r="F21" i="2"/>
  <c r="J21" i="2" s="1"/>
  <c r="E16" i="5"/>
  <c r="F16" i="5" s="1"/>
  <c r="G16" i="5" s="1"/>
  <c r="D16" i="5"/>
  <c r="H17" i="5" s="1"/>
  <c r="J10" i="4"/>
  <c r="O9" i="4"/>
  <c r="L7" i="1" l="1"/>
  <c r="M7" i="1" s="1"/>
  <c r="I8" i="1" s="1"/>
  <c r="AM36" i="1"/>
  <c r="AO35" i="1"/>
  <c r="E23" i="2"/>
  <c r="F22" i="2"/>
  <c r="J22" i="2" s="1"/>
  <c r="E17" i="5"/>
  <c r="F17" i="5" s="1"/>
  <c r="G17" i="5" s="1"/>
  <c r="D17" i="5"/>
  <c r="H18" i="5" s="1"/>
  <c r="M10" i="4"/>
  <c r="K10" i="4"/>
  <c r="L8" i="1" l="1"/>
  <c r="M8" i="1" s="1"/>
  <c r="V9" i="1" s="1"/>
  <c r="AC9" i="1" s="1"/>
  <c r="AM37" i="1"/>
  <c r="AO36" i="1"/>
  <c r="V8" i="1"/>
  <c r="AC8" i="1" s="1"/>
  <c r="E24" i="2"/>
  <c r="F23" i="2"/>
  <c r="J23" i="2" s="1"/>
  <c r="E18" i="5"/>
  <c r="F18" i="5" s="1"/>
  <c r="G18" i="5" s="1"/>
  <c r="D18" i="5"/>
  <c r="H19" i="5" s="1"/>
  <c r="J11" i="4"/>
  <c r="O10" i="4"/>
  <c r="I9" i="1" l="1"/>
  <c r="L9" i="1" s="1"/>
  <c r="M9" i="1" s="1"/>
  <c r="V10" i="1" s="1"/>
  <c r="AC10" i="1" s="1"/>
  <c r="AM38" i="1"/>
  <c r="AO38" i="1" s="1"/>
  <c r="AO37" i="1"/>
  <c r="E25" i="2"/>
  <c r="F24" i="2"/>
  <c r="J24" i="2" s="1"/>
  <c r="E19" i="5"/>
  <c r="F19" i="5" s="1"/>
  <c r="G19" i="5" s="1"/>
  <c r="D19" i="5"/>
  <c r="H20" i="5" s="1"/>
  <c r="M11" i="4"/>
  <c r="K11" i="4"/>
  <c r="I10" i="1" l="1"/>
  <c r="E26" i="2"/>
  <c r="F25" i="2"/>
  <c r="J25" i="2" s="1"/>
  <c r="E20" i="5"/>
  <c r="F20" i="5" s="1"/>
  <c r="G20" i="5" s="1"/>
  <c r="D20" i="5"/>
  <c r="H21" i="5" s="1"/>
  <c r="J12" i="4"/>
  <c r="O11" i="4"/>
  <c r="L10" i="1" l="1"/>
  <c r="M10" i="1" s="1"/>
  <c r="V11" i="1" s="1"/>
  <c r="AC11" i="1" s="1"/>
  <c r="E27" i="2"/>
  <c r="F26" i="2"/>
  <c r="J26" i="2" s="1"/>
  <c r="D21" i="5"/>
  <c r="H22" i="5" s="1"/>
  <c r="E21" i="5"/>
  <c r="F21" i="5" s="1"/>
  <c r="G21" i="5" s="1"/>
  <c r="M12" i="4"/>
  <c r="K12" i="4"/>
  <c r="I11" i="1" l="1"/>
  <c r="E28" i="2"/>
  <c r="F27" i="2"/>
  <c r="J27" i="2" s="1"/>
  <c r="D22" i="5"/>
  <c r="H23" i="5" s="1"/>
  <c r="E22" i="5"/>
  <c r="F22" i="5" s="1"/>
  <c r="G22" i="5" s="1"/>
  <c r="J13" i="4"/>
  <c r="O12" i="4"/>
  <c r="L11" i="1" l="1"/>
  <c r="M11" i="1" s="1"/>
  <c r="V12" i="1" s="1"/>
  <c r="AC12" i="1" s="1"/>
  <c r="E29" i="2"/>
  <c r="F28" i="2"/>
  <c r="J28" i="2" s="1"/>
  <c r="E23" i="5"/>
  <c r="F23" i="5" s="1"/>
  <c r="G23" i="5" s="1"/>
  <c r="D23" i="5"/>
  <c r="H24" i="5" s="1"/>
  <c r="M13" i="4"/>
  <c r="K13" i="4"/>
  <c r="I12" i="1" l="1"/>
  <c r="E30" i="2"/>
  <c r="F29" i="2"/>
  <c r="J29" i="2" s="1"/>
  <c r="E24" i="5"/>
  <c r="F24" i="5" s="1"/>
  <c r="G24" i="5" s="1"/>
  <c r="D24" i="5"/>
  <c r="H25" i="5" s="1"/>
  <c r="J14" i="4"/>
  <c r="O13" i="4"/>
  <c r="L12" i="1" l="1"/>
  <c r="M12" i="1" s="1"/>
  <c r="V13" i="1" s="1"/>
  <c r="AC13" i="1" s="1"/>
  <c r="E31" i="2"/>
  <c r="F30" i="2"/>
  <c r="J30" i="2" s="1"/>
  <c r="E25" i="5"/>
  <c r="F25" i="5" s="1"/>
  <c r="G25" i="5" s="1"/>
  <c r="D25" i="5"/>
  <c r="H26" i="5" s="1"/>
  <c r="M14" i="4"/>
  <c r="K14" i="4"/>
  <c r="I13" i="1" l="1"/>
  <c r="E32" i="2"/>
  <c r="F31" i="2"/>
  <c r="J31" i="2" s="1"/>
  <c r="E26" i="5"/>
  <c r="F26" i="5" s="1"/>
  <c r="G26" i="5" s="1"/>
  <c r="D26" i="5"/>
  <c r="H27" i="5" s="1"/>
  <c r="J15" i="4"/>
  <c r="O14" i="4"/>
  <c r="L13" i="1" l="1"/>
  <c r="M13" i="1" s="1"/>
  <c r="V14" i="1" s="1"/>
  <c r="AC14" i="1" s="1"/>
  <c r="E33" i="2"/>
  <c r="F32" i="2"/>
  <c r="J32" i="2" s="1"/>
  <c r="E27" i="5"/>
  <c r="F27" i="5" s="1"/>
  <c r="G27" i="5" s="1"/>
  <c r="D27" i="5"/>
  <c r="H28" i="5" s="1"/>
  <c r="M15" i="4"/>
  <c r="K15" i="4"/>
  <c r="I14" i="1" l="1"/>
  <c r="E34" i="2"/>
  <c r="F33" i="2"/>
  <c r="J33" i="2" s="1"/>
  <c r="E28" i="5"/>
  <c r="F28" i="5" s="1"/>
  <c r="G28" i="5" s="1"/>
  <c r="D28" i="5"/>
  <c r="H29" i="5" s="1"/>
  <c r="J16" i="4"/>
  <c r="O15" i="4"/>
  <c r="L14" i="1" l="1"/>
  <c r="E35" i="2"/>
  <c r="F34" i="2"/>
  <c r="J34" i="2" s="1"/>
  <c r="D29" i="5"/>
  <c r="H30" i="5" s="1"/>
  <c r="E29" i="5"/>
  <c r="F29" i="5" s="1"/>
  <c r="G29" i="5" s="1"/>
  <c r="M16" i="4"/>
  <c r="K16" i="4"/>
  <c r="M14" i="1" l="1"/>
  <c r="E36" i="2"/>
  <c r="F35" i="2"/>
  <c r="J35" i="2" s="1"/>
  <c r="D30" i="5"/>
  <c r="H31" i="5" s="1"/>
  <c r="E30" i="5"/>
  <c r="F30" i="5" s="1"/>
  <c r="G30" i="5" s="1"/>
  <c r="J17" i="4"/>
  <c r="O16" i="4"/>
  <c r="G15" i="1" l="1"/>
  <c r="I15" i="1"/>
  <c r="E37" i="2"/>
  <c r="F36" i="2"/>
  <c r="J36" i="2" s="1"/>
  <c r="E31" i="5"/>
  <c r="F31" i="5" s="1"/>
  <c r="G31" i="5" s="1"/>
  <c r="D31" i="5"/>
  <c r="H32" i="5" s="1"/>
  <c r="M17" i="4"/>
  <c r="K17" i="4"/>
  <c r="L15" i="1" l="1"/>
  <c r="M15" i="1" s="1"/>
  <c r="V16" i="1" s="1"/>
  <c r="AC16" i="1" s="1"/>
  <c r="AL10" i="1"/>
  <c r="AO10" i="1" s="1"/>
  <c r="V15" i="1"/>
  <c r="T15" i="1"/>
  <c r="E38" i="2"/>
  <c r="F38" i="2" s="1"/>
  <c r="J38" i="2" s="1"/>
  <c r="F37" i="2"/>
  <c r="J37" i="2" s="1"/>
  <c r="D32" i="5"/>
  <c r="H33" i="5" s="1"/>
  <c r="E32" i="5"/>
  <c r="F32" i="5" s="1"/>
  <c r="G32" i="5" s="1"/>
  <c r="J18" i="4"/>
  <c r="O17" i="4"/>
  <c r="AC15" i="1" l="1"/>
  <c r="I16" i="1"/>
  <c r="H170" i="1"/>
  <c r="H317" i="1"/>
  <c r="H184" i="1"/>
  <c r="H189" i="1"/>
  <c r="H238" i="1"/>
  <c r="H194" i="1"/>
  <c r="H312" i="1"/>
  <c r="H323" i="1"/>
  <c r="H150" i="1"/>
  <c r="H73" i="1"/>
  <c r="H285" i="1"/>
  <c r="H271" i="1"/>
  <c r="H101" i="1"/>
  <c r="H195" i="1"/>
  <c r="H93" i="1"/>
  <c r="H355" i="1"/>
  <c r="H127" i="1"/>
  <c r="H336" i="1"/>
  <c r="H254" i="1"/>
  <c r="H202" i="1"/>
  <c r="H125" i="1"/>
  <c r="H80" i="1"/>
  <c r="H328" i="1"/>
  <c r="H110" i="1"/>
  <c r="H332" i="1"/>
  <c r="H116" i="1"/>
  <c r="H155" i="1"/>
  <c r="H260" i="1"/>
  <c r="H311" i="1"/>
  <c r="H268" i="1"/>
  <c r="H138" i="1"/>
  <c r="H153" i="1"/>
  <c r="H266" i="1"/>
  <c r="H192" i="1"/>
  <c r="H219" i="1"/>
  <c r="H354" i="1"/>
  <c r="H351" i="1"/>
  <c r="H169" i="1"/>
  <c r="H147" i="1"/>
  <c r="H287" i="1"/>
  <c r="H196" i="1"/>
  <c r="H235" i="1"/>
  <c r="H115" i="1"/>
  <c r="H325" i="1"/>
  <c r="H146" i="1"/>
  <c r="H274" i="1"/>
  <c r="H128" i="1"/>
  <c r="H187" i="1"/>
  <c r="H344" i="1"/>
  <c r="H307" i="1"/>
  <c r="H248" i="1"/>
  <c r="H97" i="1"/>
  <c r="H90" i="1"/>
  <c r="H212" i="1"/>
  <c r="H361" i="1"/>
  <c r="H168" i="1"/>
  <c r="H183" i="1"/>
  <c r="H214" i="1"/>
  <c r="H280" i="1"/>
  <c r="H272" i="1"/>
  <c r="H348" i="1"/>
  <c r="H265" i="1"/>
  <c r="H166" i="1"/>
  <c r="H213" i="1"/>
  <c r="H140" i="1"/>
  <c r="H98" i="1"/>
  <c r="H157" i="1"/>
  <c r="H88" i="1"/>
  <c r="H327" i="1"/>
  <c r="H122" i="1"/>
  <c r="H167" i="1"/>
  <c r="H145" i="1"/>
  <c r="H245" i="1"/>
  <c r="H299" i="1"/>
  <c r="H137" i="1"/>
  <c r="H258" i="1"/>
  <c r="H309" i="1"/>
  <c r="H333" i="1"/>
  <c r="H76" i="1"/>
  <c r="H225" i="1"/>
  <c r="H224" i="1"/>
  <c r="H278" i="1"/>
  <c r="H87" i="1"/>
  <c r="H329" i="1"/>
  <c r="H156" i="1"/>
  <c r="H119" i="1"/>
  <c r="H288" i="1"/>
  <c r="H188" i="1"/>
  <c r="H267" i="1"/>
  <c r="H281" i="1"/>
  <c r="H130" i="1"/>
  <c r="H259" i="1"/>
  <c r="H229" i="1"/>
  <c r="H360" i="1"/>
  <c r="H198" i="1"/>
  <c r="H121" i="1"/>
  <c r="H164" i="1"/>
  <c r="H326" i="1"/>
  <c r="H347" i="1"/>
  <c r="H227" i="1"/>
  <c r="H177" i="1"/>
  <c r="H270" i="1"/>
  <c r="H305" i="1"/>
  <c r="H120" i="1"/>
  <c r="H284" i="1"/>
  <c r="H181" i="1"/>
  <c r="H352" i="1"/>
  <c r="H330" i="1"/>
  <c r="H247" i="1"/>
  <c r="H216" i="1"/>
  <c r="H340" i="1"/>
  <c r="H209" i="1"/>
  <c r="H304" i="1"/>
  <c r="H86" i="1"/>
  <c r="H179" i="1"/>
  <c r="H291" i="1"/>
  <c r="H77" i="1"/>
  <c r="H105" i="1"/>
  <c r="H220" i="1"/>
  <c r="H204" i="1"/>
  <c r="H290" i="1"/>
  <c r="H293" i="1"/>
  <c r="H244" i="1"/>
  <c r="H337" i="1"/>
  <c r="H186" i="1"/>
  <c r="H295" i="1"/>
  <c r="H109" i="1"/>
  <c r="H174" i="1"/>
  <c r="H296" i="1"/>
  <c r="H249" i="1"/>
  <c r="H353" i="1"/>
  <c r="H144" i="1"/>
  <c r="H241" i="1"/>
  <c r="H303" i="1"/>
  <c r="H131" i="1"/>
  <c r="H230" i="1"/>
  <c r="H256" i="1"/>
  <c r="H159" i="1"/>
  <c r="H191" i="1"/>
  <c r="H320" i="1"/>
  <c r="H161" i="1"/>
  <c r="H358" i="1"/>
  <c r="H359" i="1"/>
  <c r="H356" i="1"/>
  <c r="H275" i="1"/>
  <c r="H232" i="1"/>
  <c r="H102" i="1"/>
  <c r="H251" i="1"/>
  <c r="H123" i="1"/>
  <c r="H231" i="1"/>
  <c r="H200" i="1"/>
  <c r="H314" i="1"/>
  <c r="H218" i="1"/>
  <c r="H250" i="1"/>
  <c r="H350" i="1"/>
  <c r="H171" i="1"/>
  <c r="H100" i="1"/>
  <c r="H255" i="1"/>
  <c r="H118" i="1"/>
  <c r="H319" i="1"/>
  <c r="H193" i="1"/>
  <c r="H154" i="1"/>
  <c r="H273" i="1"/>
  <c r="H346" i="1"/>
  <c r="H339" i="1"/>
  <c r="H165" i="1"/>
  <c r="H294" i="1"/>
  <c r="H226" i="1"/>
  <c r="H108" i="1"/>
  <c r="H83" i="1"/>
  <c r="H148" i="1"/>
  <c r="H208" i="1"/>
  <c r="H136" i="1"/>
  <c r="H289" i="1"/>
  <c r="H160" i="1"/>
  <c r="H313" i="1"/>
  <c r="H173" i="1"/>
  <c r="H162" i="1"/>
  <c r="H310" i="1"/>
  <c r="H207" i="1"/>
  <c r="H158" i="1"/>
  <c r="H228" i="1"/>
  <c r="H341" i="1"/>
  <c r="H126" i="1"/>
  <c r="H210" i="1"/>
  <c r="H139" i="1"/>
  <c r="H242" i="1"/>
  <c r="H261" i="1"/>
  <c r="H349" i="1"/>
  <c r="H262" i="1"/>
  <c r="H282" i="1"/>
  <c r="H197" i="1"/>
  <c r="H215" i="1"/>
  <c r="H199" i="1"/>
  <c r="H237" i="1"/>
  <c r="H172" i="1"/>
  <c r="H342" i="1"/>
  <c r="H175" i="1"/>
  <c r="H222" i="1"/>
  <c r="H362" i="1"/>
  <c r="H107" i="1"/>
  <c r="H79" i="1"/>
  <c r="H306" i="1"/>
  <c r="H182" i="1"/>
  <c r="H252" i="1"/>
  <c r="H203" i="1"/>
  <c r="H233" i="1"/>
  <c r="H315" i="1"/>
  <c r="H151" i="1"/>
  <c r="H345" i="1"/>
  <c r="H149" i="1"/>
  <c r="H117" i="1"/>
  <c r="H95" i="1"/>
  <c r="H338" i="1"/>
  <c r="H180" i="1"/>
  <c r="H331" i="1"/>
  <c r="H297" i="1"/>
  <c r="H240" i="1"/>
  <c r="H292" i="1"/>
  <c r="H283" i="1"/>
  <c r="H302" i="1"/>
  <c r="H206" i="1"/>
  <c r="H185" i="1"/>
  <c r="H286" i="1"/>
  <c r="H318" i="1"/>
  <c r="H343" i="1"/>
  <c r="H335" i="1"/>
  <c r="H257" i="1"/>
  <c r="H141" i="1"/>
  <c r="H205" i="1"/>
  <c r="H246" i="1"/>
  <c r="H89" i="1"/>
  <c r="H243" i="1"/>
  <c r="H221" i="1"/>
  <c r="H217" i="1"/>
  <c r="H133" i="1"/>
  <c r="H132" i="1"/>
  <c r="H263" i="1"/>
  <c r="H114" i="1"/>
  <c r="H334" i="1"/>
  <c r="H111" i="1"/>
  <c r="H103" i="1"/>
  <c r="H129" i="1"/>
  <c r="H94" i="1"/>
  <c r="H253" i="1"/>
  <c r="H92" i="1"/>
  <c r="H269" i="1"/>
  <c r="H264" i="1"/>
  <c r="H152" i="1"/>
  <c r="H316" i="1"/>
  <c r="H201" i="1"/>
  <c r="H134" i="1"/>
  <c r="H308" i="1"/>
  <c r="H96" i="1"/>
  <c r="H300" i="1"/>
  <c r="H301" i="1"/>
  <c r="H135" i="1"/>
  <c r="H277" i="1"/>
  <c r="H321" i="1"/>
  <c r="H190" i="1"/>
  <c r="H113" i="1"/>
  <c r="H357" i="1"/>
  <c r="H176" i="1"/>
  <c r="H279" i="1"/>
  <c r="H223" i="1"/>
  <c r="H91" i="1"/>
  <c r="H124" i="1"/>
  <c r="H106" i="1"/>
  <c r="H112" i="1"/>
  <c r="H99" i="1"/>
  <c r="H143" i="1"/>
  <c r="H211" i="1"/>
  <c r="H322" i="1"/>
  <c r="H163" i="1"/>
  <c r="H234" i="1"/>
  <c r="H239" i="1"/>
  <c r="H276" i="1"/>
  <c r="H236" i="1"/>
  <c r="H142" i="1"/>
  <c r="H324" i="1"/>
  <c r="H178" i="1"/>
  <c r="H298" i="1"/>
  <c r="D33" i="5"/>
  <c r="H34" i="5" s="1"/>
  <c r="E33" i="5"/>
  <c r="F33" i="5" s="1"/>
  <c r="G33" i="5" s="1"/>
  <c r="M18" i="4"/>
  <c r="K18" i="4"/>
  <c r="L16" i="1" l="1"/>
  <c r="M16" i="1" s="1"/>
  <c r="V17" i="1" s="1"/>
  <c r="AC17" i="1" s="1"/>
  <c r="E34" i="5"/>
  <c r="F34" i="5" s="1"/>
  <c r="G34" i="5" s="1"/>
  <c r="D34" i="5"/>
  <c r="H35" i="5" s="1"/>
  <c r="J19" i="4"/>
  <c r="O18" i="4"/>
  <c r="I17" i="1" l="1"/>
  <c r="D35" i="5"/>
  <c r="H36" i="5" s="1"/>
  <c r="E35" i="5"/>
  <c r="F35" i="5" s="1"/>
  <c r="G35" i="5" s="1"/>
  <c r="M19" i="4"/>
  <c r="K19" i="4"/>
  <c r="L17" i="1" l="1"/>
  <c r="M17" i="1" s="1"/>
  <c r="V18" i="1" s="1"/>
  <c r="AC18" i="1" s="1"/>
  <c r="E36" i="5"/>
  <c r="F36" i="5" s="1"/>
  <c r="G36" i="5" s="1"/>
  <c r="D36" i="5"/>
  <c r="H37" i="5" s="1"/>
  <c r="J20" i="4"/>
  <c r="O19" i="4"/>
  <c r="I18" i="1" l="1"/>
  <c r="D37" i="5"/>
  <c r="H38" i="5" s="1"/>
  <c r="E37" i="5"/>
  <c r="F37" i="5" s="1"/>
  <c r="G37" i="5" s="1"/>
  <c r="M20" i="4"/>
  <c r="K20" i="4"/>
  <c r="L18" i="1" l="1"/>
  <c r="E38" i="5"/>
  <c r="F38" i="5" s="1"/>
  <c r="G38" i="5" s="1"/>
  <c r="D38" i="5"/>
  <c r="H39" i="5" s="1"/>
  <c r="J21" i="4"/>
  <c r="O20" i="4"/>
  <c r="M18" i="1" l="1"/>
  <c r="V19" i="1" s="1"/>
  <c r="AC19" i="1" s="1"/>
  <c r="E39" i="5"/>
  <c r="F39" i="5" s="1"/>
  <c r="G39" i="5" s="1"/>
  <c r="D39" i="5"/>
  <c r="H40" i="5" s="1"/>
  <c r="M21" i="4"/>
  <c r="K21" i="4"/>
  <c r="I19" i="1" l="1"/>
  <c r="E40" i="5"/>
  <c r="F40" i="5" s="1"/>
  <c r="G40" i="5" s="1"/>
  <c r="D40" i="5"/>
  <c r="H41" i="5" s="1"/>
  <c r="J22" i="4"/>
  <c r="O21" i="4"/>
  <c r="L19" i="1" l="1"/>
  <c r="M19" i="1" s="1"/>
  <c r="V20" i="1" s="1"/>
  <c r="AC20" i="1" s="1"/>
  <c r="D41" i="5"/>
  <c r="H42" i="5" s="1"/>
  <c r="E41" i="5"/>
  <c r="F41" i="5" s="1"/>
  <c r="G41" i="5" s="1"/>
  <c r="M22" i="4"/>
  <c r="K22" i="4"/>
  <c r="I20" i="1" l="1"/>
  <c r="E42" i="5"/>
  <c r="F42" i="5" s="1"/>
  <c r="G42" i="5" s="1"/>
  <c r="D42" i="5"/>
  <c r="H43" i="5" s="1"/>
  <c r="J23" i="4"/>
  <c r="O22" i="4"/>
  <c r="L20" i="1" l="1"/>
  <c r="M20" i="1" s="1"/>
  <c r="V21" i="1" s="1"/>
  <c r="AC21" i="1" s="1"/>
  <c r="E43" i="5"/>
  <c r="F43" i="5" s="1"/>
  <c r="G43" i="5" s="1"/>
  <c r="D43" i="5"/>
  <c r="H44" i="5" s="1"/>
  <c r="M23" i="4"/>
  <c r="K23" i="4"/>
  <c r="I21" i="1" l="1"/>
  <c r="E44" i="5"/>
  <c r="F44" i="5" s="1"/>
  <c r="G44" i="5" s="1"/>
  <c r="D44" i="5"/>
  <c r="H45" i="5" s="1"/>
  <c r="J24" i="4"/>
  <c r="O23" i="4"/>
  <c r="L21" i="1" l="1"/>
  <c r="M21" i="1" s="1"/>
  <c r="V22" i="1" s="1"/>
  <c r="AC22" i="1" s="1"/>
  <c r="D45" i="5"/>
  <c r="H46" i="5" s="1"/>
  <c r="E45" i="5"/>
  <c r="F45" i="5" s="1"/>
  <c r="G45" i="5" s="1"/>
  <c r="M24" i="4"/>
  <c r="K24" i="4"/>
  <c r="I22" i="1" l="1"/>
  <c r="E46" i="5"/>
  <c r="F46" i="5" s="1"/>
  <c r="G46" i="5" s="1"/>
  <c r="D46" i="5"/>
  <c r="H47" i="5" s="1"/>
  <c r="J25" i="4"/>
  <c r="O24" i="4"/>
  <c r="L22" i="1" l="1"/>
  <c r="M22" i="1" s="1"/>
  <c r="V23" i="1" s="1"/>
  <c r="AC23" i="1" s="1"/>
  <c r="E47" i="5"/>
  <c r="F47" i="5" s="1"/>
  <c r="G47" i="5" s="1"/>
  <c r="D47" i="5"/>
  <c r="H48" i="5" s="1"/>
  <c r="M25" i="4"/>
  <c r="K25" i="4"/>
  <c r="I23" i="1" l="1"/>
  <c r="E48" i="5"/>
  <c r="F48" i="5" s="1"/>
  <c r="G48" i="5" s="1"/>
  <c r="D48" i="5"/>
  <c r="H49" i="5" s="1"/>
  <c r="J26" i="4"/>
  <c r="O25" i="4"/>
  <c r="L23" i="1" l="1"/>
  <c r="M23" i="1" s="1"/>
  <c r="V24" i="1" s="1"/>
  <c r="AC24" i="1" s="1"/>
  <c r="D49" i="5"/>
  <c r="H50" i="5" s="1"/>
  <c r="E49" i="5"/>
  <c r="F49" i="5" s="1"/>
  <c r="G49" i="5" s="1"/>
  <c r="M26" i="4"/>
  <c r="K26" i="4"/>
  <c r="I24" i="1" l="1"/>
  <c r="E50" i="5"/>
  <c r="F50" i="5" s="1"/>
  <c r="G50" i="5" s="1"/>
  <c r="D50" i="5"/>
  <c r="H51" i="5" s="1"/>
  <c r="J27" i="4"/>
  <c r="O26" i="4"/>
  <c r="L24" i="1" l="1"/>
  <c r="M24" i="1" s="1"/>
  <c r="V25" i="1" s="1"/>
  <c r="AC25" i="1" s="1"/>
  <c r="E51" i="5"/>
  <c r="F51" i="5" s="1"/>
  <c r="G51" i="5" s="1"/>
  <c r="D51" i="5"/>
  <c r="H52" i="5" s="1"/>
  <c r="M27" i="4"/>
  <c r="K27" i="4"/>
  <c r="I25" i="1" l="1"/>
  <c r="E52" i="5"/>
  <c r="F52" i="5" s="1"/>
  <c r="G52" i="5" s="1"/>
  <c r="D52" i="5"/>
  <c r="H53" i="5" s="1"/>
  <c r="J28" i="4"/>
  <c r="O27" i="4"/>
  <c r="L25" i="1" l="1"/>
  <c r="M25" i="1" s="1"/>
  <c r="V26" i="1" s="1"/>
  <c r="AC26" i="1" s="1"/>
  <c r="D53" i="5"/>
  <c r="H54" i="5" s="1"/>
  <c r="E53" i="5"/>
  <c r="F53" i="5" s="1"/>
  <c r="G53" i="5" s="1"/>
  <c r="M28" i="4"/>
  <c r="K28" i="4"/>
  <c r="I26" i="1" l="1"/>
  <c r="E54" i="5"/>
  <c r="F54" i="5" s="1"/>
  <c r="G54" i="5" s="1"/>
  <c r="D54" i="5"/>
  <c r="H55" i="5" s="1"/>
  <c r="J29" i="4"/>
  <c r="O28" i="4"/>
  <c r="L26" i="1" l="1"/>
  <c r="M26" i="1"/>
  <c r="G27" i="1" s="1"/>
  <c r="E55" i="5"/>
  <c r="F55" i="5" s="1"/>
  <c r="G55" i="5" s="1"/>
  <c r="D55" i="5"/>
  <c r="H56" i="5" s="1"/>
  <c r="M29" i="4"/>
  <c r="K29" i="4"/>
  <c r="AL11" i="1" l="1"/>
  <c r="AO11" i="1" s="1"/>
  <c r="V27" i="1"/>
  <c r="T27" i="1"/>
  <c r="I27" i="1"/>
  <c r="E56" i="5"/>
  <c r="F56" i="5" s="1"/>
  <c r="G56" i="5" s="1"/>
  <c r="D56" i="5"/>
  <c r="H57" i="5" s="1"/>
  <c r="J30" i="4"/>
  <c r="O29" i="4"/>
  <c r="L27" i="1" l="1"/>
  <c r="AC27" i="1"/>
  <c r="M27" i="1"/>
  <c r="V28" i="1" s="1"/>
  <c r="AC28" i="1" s="1"/>
  <c r="D57" i="5"/>
  <c r="H58" i="5" s="1"/>
  <c r="E57" i="5"/>
  <c r="F57" i="5" s="1"/>
  <c r="G57" i="5" s="1"/>
  <c r="M30" i="4"/>
  <c r="K30" i="4"/>
  <c r="I28" i="1" l="1"/>
  <c r="E58" i="5"/>
  <c r="F58" i="5" s="1"/>
  <c r="G58" i="5" s="1"/>
  <c r="D58" i="5"/>
  <c r="H59" i="5" s="1"/>
  <c r="J31" i="4"/>
  <c r="O30" i="4"/>
  <c r="L28" i="1" l="1"/>
  <c r="M28" i="1" s="1"/>
  <c r="D59" i="5"/>
  <c r="H60" i="5" s="1"/>
  <c r="E59" i="5"/>
  <c r="F59" i="5" s="1"/>
  <c r="G59" i="5" s="1"/>
  <c r="M31" i="4"/>
  <c r="K31" i="4"/>
  <c r="I29" i="1" l="1"/>
  <c r="V29" i="1"/>
  <c r="AC29" i="1" s="1"/>
  <c r="E60" i="5"/>
  <c r="F60" i="5" s="1"/>
  <c r="G60" i="5" s="1"/>
  <c r="D60" i="5"/>
  <c r="H61" i="5" s="1"/>
  <c r="J32" i="4"/>
  <c r="O31" i="4"/>
  <c r="H4" i="5" s="1"/>
  <c r="N5" i="1" l="1"/>
  <c r="N9" i="1"/>
  <c r="N10" i="1"/>
  <c r="N4" i="1"/>
  <c r="N11" i="1"/>
  <c r="N3" i="1"/>
  <c r="N14" i="1"/>
  <c r="N7" i="1"/>
  <c r="N6" i="1"/>
  <c r="N12" i="1"/>
  <c r="N13" i="1"/>
  <c r="N8" i="1"/>
  <c r="L29" i="1"/>
  <c r="M29" i="1" s="1"/>
  <c r="V30" i="1" s="1"/>
  <c r="AC30" i="1" s="1"/>
  <c r="D61" i="5"/>
  <c r="H62" i="5" s="1"/>
  <c r="E61" i="5"/>
  <c r="F61" i="5" s="1"/>
  <c r="G61" i="5" s="1"/>
  <c r="M32" i="4"/>
  <c r="K32" i="4"/>
  <c r="R7" i="1" l="1"/>
  <c r="O7" i="1"/>
  <c r="AA8" i="1"/>
  <c r="P7" i="1"/>
  <c r="R11" i="1"/>
  <c r="P11" i="1"/>
  <c r="AA12" i="1"/>
  <c r="O11" i="1"/>
  <c r="O4" i="1"/>
  <c r="P4" i="1"/>
  <c r="AA5" i="1"/>
  <c r="R4" i="1"/>
  <c r="AA4" i="1"/>
  <c r="R3" i="1"/>
  <c r="P3" i="1"/>
  <c r="O3" i="1"/>
  <c r="AA11" i="1"/>
  <c r="O10" i="1"/>
  <c r="P10" i="1"/>
  <c r="R10" i="1"/>
  <c r="R14" i="1"/>
  <c r="P14" i="1"/>
  <c r="AA15" i="1"/>
  <c r="O14" i="1"/>
  <c r="R13" i="1"/>
  <c r="P13" i="1"/>
  <c r="AA14" i="1"/>
  <c r="O13" i="1"/>
  <c r="AA10" i="1"/>
  <c r="O9" i="1"/>
  <c r="R9" i="1"/>
  <c r="P9" i="1"/>
  <c r="P8" i="1"/>
  <c r="AA9" i="1"/>
  <c r="R8" i="1"/>
  <c r="O8" i="1"/>
  <c r="O12" i="1"/>
  <c r="AA13" i="1"/>
  <c r="R12" i="1"/>
  <c r="P12" i="1"/>
  <c r="AA7" i="1"/>
  <c r="R6" i="1"/>
  <c r="O6" i="1"/>
  <c r="P6" i="1"/>
  <c r="AA6" i="1"/>
  <c r="P5" i="1"/>
  <c r="R5" i="1"/>
  <c r="O5" i="1"/>
  <c r="I30" i="1"/>
  <c r="L30" i="1"/>
  <c r="E62" i="5"/>
  <c r="F62" i="5" s="1"/>
  <c r="G62" i="5" s="1"/>
  <c r="D62" i="5"/>
  <c r="H63" i="5" s="1"/>
  <c r="J33" i="4"/>
  <c r="O32" i="4"/>
  <c r="Q11" i="1" l="1"/>
  <c r="S11" i="1"/>
  <c r="AD11" i="1" s="1"/>
  <c r="AB12" i="1" s="1"/>
  <c r="Y12" i="1" s="1"/>
  <c r="S12" i="1"/>
  <c r="AD12" i="1" s="1"/>
  <c r="AB13" i="1" s="1"/>
  <c r="Y13" i="1" s="1"/>
  <c r="Q12" i="1"/>
  <c r="Q5" i="1"/>
  <c r="S5" i="1"/>
  <c r="AD5" i="1" s="1"/>
  <c r="AB6" i="1" s="1"/>
  <c r="Y6" i="1" s="1"/>
  <c r="AE6" i="1" s="1"/>
  <c r="AF6" i="1" s="1"/>
  <c r="AG6" i="1" s="1"/>
  <c r="S6" i="1"/>
  <c r="AD6" i="1" s="1"/>
  <c r="AB7" i="1" s="1"/>
  <c r="Y7" i="1" s="1"/>
  <c r="AE7" i="1" s="1"/>
  <c r="AF7" i="1" s="1"/>
  <c r="AG7" i="1" s="1"/>
  <c r="Q6" i="1"/>
  <c r="S7" i="1"/>
  <c r="AD7" i="1" s="1"/>
  <c r="AB8" i="1" s="1"/>
  <c r="Y8" i="1" s="1"/>
  <c r="Q7" i="1"/>
  <c r="S9" i="1"/>
  <c r="AD9" i="1" s="1"/>
  <c r="AB10" i="1" s="1"/>
  <c r="Y10" i="1" s="1"/>
  <c r="Q9" i="1"/>
  <c r="S3" i="1"/>
  <c r="Q3" i="1"/>
  <c r="S10" i="1"/>
  <c r="AD10" i="1" s="1"/>
  <c r="AB11" i="1" s="1"/>
  <c r="Y11" i="1" s="1"/>
  <c r="AE11" i="1" s="1"/>
  <c r="AF11" i="1" s="1"/>
  <c r="AG11" i="1" s="1"/>
  <c r="Q10" i="1"/>
  <c r="Q14" i="1"/>
  <c r="S14" i="1"/>
  <c r="AD14" i="1" s="1"/>
  <c r="AB15" i="1" s="1"/>
  <c r="Y15" i="1" s="1"/>
  <c r="Q13" i="1"/>
  <c r="S13" i="1"/>
  <c r="AD13" i="1" s="1"/>
  <c r="AB14" i="1" s="1"/>
  <c r="Y14" i="1" s="1"/>
  <c r="AE14" i="1" s="1"/>
  <c r="AF14" i="1" s="1"/>
  <c r="AG14" i="1" s="1"/>
  <c r="S4" i="1"/>
  <c r="AD4" i="1" s="1"/>
  <c r="AB5" i="1" s="1"/>
  <c r="Y5" i="1" s="1"/>
  <c r="Q4" i="1"/>
  <c r="S8" i="1"/>
  <c r="AD8" i="1" s="1"/>
  <c r="AB9" i="1" s="1"/>
  <c r="Y9" i="1" s="1"/>
  <c r="AE9" i="1" s="1"/>
  <c r="AF9" i="1" s="1"/>
  <c r="AG9" i="1" s="1"/>
  <c r="Q8" i="1"/>
  <c r="M30" i="1"/>
  <c r="V31" i="1" s="1"/>
  <c r="AC31" i="1" s="1"/>
  <c r="E63" i="5"/>
  <c r="F63" i="5" s="1"/>
  <c r="G63" i="5" s="1"/>
  <c r="D63" i="5"/>
  <c r="H64" i="5" s="1"/>
  <c r="M33" i="4"/>
  <c r="K33" i="4"/>
  <c r="AE5" i="1" l="1"/>
  <c r="AF5" i="1" s="1"/>
  <c r="AG5" i="1" s="1"/>
  <c r="AE10" i="1"/>
  <c r="AF10" i="1" s="1"/>
  <c r="AG10" i="1" s="1"/>
  <c r="AE13" i="1"/>
  <c r="AF13" i="1" s="1"/>
  <c r="AG13" i="1" s="1"/>
  <c r="AD3" i="1"/>
  <c r="AB4" i="1" s="1"/>
  <c r="Y4" i="1" s="1"/>
  <c r="AE4" i="1" s="1"/>
  <c r="AF4" i="1" s="1"/>
  <c r="AG4" i="1" s="1"/>
  <c r="AE3" i="1"/>
  <c r="AF3" i="1" s="1"/>
  <c r="AG3" i="1" s="1"/>
  <c r="AE12" i="1"/>
  <c r="AF12" i="1" s="1"/>
  <c r="AG12" i="1" s="1"/>
  <c r="AE8" i="1"/>
  <c r="AF8" i="1" s="1"/>
  <c r="AG8" i="1" s="1"/>
  <c r="I31" i="1"/>
  <c r="E64" i="5"/>
  <c r="F64" i="5" s="1"/>
  <c r="G64" i="5" s="1"/>
  <c r="D64" i="5"/>
  <c r="H65" i="5" s="1"/>
  <c r="J34" i="4"/>
  <c r="O33" i="4"/>
  <c r="AK9" i="1" l="1"/>
  <c r="L31" i="1"/>
  <c r="D65" i="5"/>
  <c r="H66" i="5" s="1"/>
  <c r="E65" i="5"/>
  <c r="F65" i="5" s="1"/>
  <c r="G65" i="5" s="1"/>
  <c r="M34" i="4"/>
  <c r="K34" i="4"/>
  <c r="AN9" i="1" l="1"/>
  <c r="AQ9" i="1" s="1"/>
  <c r="AR9" i="1" s="1"/>
  <c r="AP9" i="1"/>
  <c r="M31" i="1"/>
  <c r="V32" i="1" s="1"/>
  <c r="AC32" i="1" s="1"/>
  <c r="E66" i="5"/>
  <c r="F66" i="5" s="1"/>
  <c r="G66" i="5" s="1"/>
  <c r="D66" i="5"/>
  <c r="H67" i="5" s="1"/>
  <c r="J35" i="4"/>
  <c r="O34" i="4"/>
  <c r="I32" i="1" l="1"/>
  <c r="E67" i="5"/>
  <c r="F67" i="5" s="1"/>
  <c r="G67" i="5" s="1"/>
  <c r="D67" i="5"/>
  <c r="H68" i="5" s="1"/>
  <c r="M35" i="4"/>
  <c r="K35" i="4"/>
  <c r="L32" i="1" l="1"/>
  <c r="M32" i="1"/>
  <c r="V33" i="1" s="1"/>
  <c r="AC33" i="1" s="1"/>
  <c r="E68" i="5"/>
  <c r="F68" i="5" s="1"/>
  <c r="G68" i="5" s="1"/>
  <c r="D68" i="5"/>
  <c r="H69" i="5" s="1"/>
  <c r="J36" i="4"/>
  <c r="O35" i="4"/>
  <c r="I33" i="1" l="1"/>
  <c r="D69" i="5"/>
  <c r="H70" i="5" s="1"/>
  <c r="E69" i="5"/>
  <c r="F69" i="5" s="1"/>
  <c r="G69" i="5" s="1"/>
  <c r="M36" i="4"/>
  <c r="K36" i="4"/>
  <c r="L33" i="1" l="1"/>
  <c r="M33" i="1" s="1"/>
  <c r="V34" i="1" s="1"/>
  <c r="AC34" i="1" s="1"/>
  <c r="E70" i="5"/>
  <c r="F70" i="5" s="1"/>
  <c r="G70" i="5" s="1"/>
  <c r="D70" i="5"/>
  <c r="H71" i="5" s="1"/>
  <c r="J37" i="4"/>
  <c r="O36" i="4"/>
  <c r="I34" i="1" l="1"/>
  <c r="E71" i="5"/>
  <c r="F71" i="5" s="1"/>
  <c r="G71" i="5" s="1"/>
  <c r="D71" i="5"/>
  <c r="H72" i="5" s="1"/>
  <c r="M37" i="4"/>
  <c r="K37" i="4"/>
  <c r="L34" i="1" l="1"/>
  <c r="M34" i="1" s="1"/>
  <c r="V35" i="1" s="1"/>
  <c r="AC35" i="1" s="1"/>
  <c r="E72" i="5"/>
  <c r="F72" i="5" s="1"/>
  <c r="G72" i="5" s="1"/>
  <c r="D72" i="5"/>
  <c r="H73" i="5" s="1"/>
  <c r="J38" i="4"/>
  <c r="O37" i="4"/>
  <c r="I35" i="1" l="1"/>
  <c r="D73" i="5"/>
  <c r="H74" i="5" s="1"/>
  <c r="E73" i="5"/>
  <c r="F73" i="5" s="1"/>
  <c r="G73" i="5" s="1"/>
  <c r="M38" i="4"/>
  <c r="K38" i="4"/>
  <c r="L35" i="1" l="1"/>
  <c r="M35" i="1"/>
  <c r="V36" i="1" s="1"/>
  <c r="AC36" i="1" s="1"/>
  <c r="E74" i="5"/>
  <c r="F74" i="5" s="1"/>
  <c r="G74" i="5" s="1"/>
  <c r="D74" i="5"/>
  <c r="H75" i="5" s="1"/>
  <c r="J39" i="4"/>
  <c r="O38" i="4"/>
  <c r="I36" i="1" l="1"/>
  <c r="E75" i="5"/>
  <c r="F75" i="5" s="1"/>
  <c r="G75" i="5" s="1"/>
  <c r="D75" i="5"/>
  <c r="H76" i="5" s="1"/>
  <c r="M39" i="4"/>
  <c r="K39" i="4"/>
  <c r="L36" i="1" l="1"/>
  <c r="M36" i="1"/>
  <c r="V37" i="1" s="1"/>
  <c r="AC37" i="1" s="1"/>
  <c r="E76" i="5"/>
  <c r="F76" i="5" s="1"/>
  <c r="G76" i="5" s="1"/>
  <c r="D76" i="5"/>
  <c r="H77" i="5" s="1"/>
  <c r="J40" i="4"/>
  <c r="O39" i="4"/>
  <c r="I37" i="1" l="1"/>
  <c r="D77" i="5"/>
  <c r="H78" i="5" s="1"/>
  <c r="E77" i="5"/>
  <c r="F77" i="5" s="1"/>
  <c r="G77" i="5" s="1"/>
  <c r="M40" i="4"/>
  <c r="K40" i="4"/>
  <c r="L37" i="1" l="1"/>
  <c r="E78" i="5"/>
  <c r="F78" i="5" s="1"/>
  <c r="G78" i="5" s="1"/>
  <c r="D78" i="5"/>
  <c r="H79" i="5" s="1"/>
  <c r="J41" i="4"/>
  <c r="O40" i="4"/>
  <c r="M37" i="1" l="1"/>
  <c r="V38" i="1" s="1"/>
  <c r="AC38" i="1" s="1"/>
  <c r="D79" i="5"/>
  <c r="H80" i="5" s="1"/>
  <c r="E79" i="5"/>
  <c r="F79" i="5" s="1"/>
  <c r="G79" i="5" s="1"/>
  <c r="M41" i="4"/>
  <c r="K41" i="4"/>
  <c r="I38" i="1" l="1"/>
  <c r="E80" i="5"/>
  <c r="F80" i="5" s="1"/>
  <c r="G80" i="5" s="1"/>
  <c r="D80" i="5"/>
  <c r="H81" i="5" s="1"/>
  <c r="J42" i="4"/>
  <c r="O41" i="4"/>
  <c r="L38" i="1" l="1"/>
  <c r="M38" i="1"/>
  <c r="G39" i="1" s="1"/>
  <c r="E81" i="5"/>
  <c r="F81" i="5" s="1"/>
  <c r="G81" i="5" s="1"/>
  <c r="D81" i="5"/>
  <c r="H82" i="5" s="1"/>
  <c r="M42" i="4"/>
  <c r="K42" i="4"/>
  <c r="AL12" i="1" l="1"/>
  <c r="AO12" i="1" s="1"/>
  <c r="V39" i="1"/>
  <c r="T39" i="1"/>
  <c r="I39" i="1"/>
  <c r="E82" i="5"/>
  <c r="F82" i="5" s="1"/>
  <c r="G82" i="5" s="1"/>
  <c r="D82" i="5"/>
  <c r="H83" i="5" s="1"/>
  <c r="J43" i="4"/>
  <c r="O42" i="4"/>
  <c r="L39" i="1" l="1"/>
  <c r="AC39" i="1"/>
  <c r="M39" i="1"/>
  <c r="V40" i="1" s="1"/>
  <c r="AC40" i="1" s="1"/>
  <c r="E83" i="5"/>
  <c r="F83" i="5" s="1"/>
  <c r="G83" i="5" s="1"/>
  <c r="D83" i="5"/>
  <c r="H84" i="5" s="1"/>
  <c r="M43" i="4"/>
  <c r="K43" i="4"/>
  <c r="I40" i="1" l="1"/>
  <c r="L40" i="1"/>
  <c r="E84" i="5"/>
  <c r="D84" i="5"/>
  <c r="H85" i="5" s="1"/>
  <c r="J44" i="4"/>
  <c r="O43" i="4"/>
  <c r="M40" i="1" l="1"/>
  <c r="V41" i="1" s="1"/>
  <c r="AC41" i="1" s="1"/>
  <c r="E85" i="5"/>
  <c r="F85" i="5" s="1"/>
  <c r="G85" i="5" s="1"/>
  <c r="F84" i="5"/>
  <c r="G84" i="5" s="1"/>
  <c r="D85" i="5"/>
  <c r="H86" i="5" s="1"/>
  <c r="M44" i="4"/>
  <c r="K44" i="4"/>
  <c r="I41" i="1" l="1"/>
  <c r="E86" i="5"/>
  <c r="F86" i="5" s="1"/>
  <c r="G86" i="5" s="1"/>
  <c r="D86" i="5"/>
  <c r="H87" i="5" s="1"/>
  <c r="J45" i="4"/>
  <c r="O44" i="4"/>
  <c r="L41" i="1" l="1"/>
  <c r="M41" i="1"/>
  <c r="V42" i="1" s="1"/>
  <c r="AC42" i="1" s="1"/>
  <c r="D87" i="5"/>
  <c r="H88" i="5" s="1"/>
  <c r="E87" i="5"/>
  <c r="F87" i="5" s="1"/>
  <c r="G87" i="5" s="1"/>
  <c r="M45" i="4"/>
  <c r="K45" i="4"/>
  <c r="I42" i="1" l="1"/>
  <c r="D88" i="5"/>
  <c r="H89" i="5" s="1"/>
  <c r="E88" i="5"/>
  <c r="F88" i="5" s="1"/>
  <c r="G88" i="5" s="1"/>
  <c r="J46" i="4"/>
  <c r="O45" i="4"/>
  <c r="L42" i="1" l="1"/>
  <c r="M42" i="1"/>
  <c r="V43" i="1" s="1"/>
  <c r="AC43" i="1" s="1"/>
  <c r="D89" i="5"/>
  <c r="H90" i="5" s="1"/>
  <c r="E89" i="5"/>
  <c r="F89" i="5" s="1"/>
  <c r="G89" i="5" s="1"/>
  <c r="M46" i="4"/>
  <c r="K46" i="4"/>
  <c r="I43" i="1" l="1"/>
  <c r="D90" i="5"/>
  <c r="H91" i="5" s="1"/>
  <c r="E90" i="5"/>
  <c r="F90" i="5" s="1"/>
  <c r="G90" i="5" s="1"/>
  <c r="J47" i="4"/>
  <c r="O46" i="4"/>
  <c r="L43" i="1" l="1"/>
  <c r="M43" i="1"/>
  <c r="V44" i="1" s="1"/>
  <c r="AC44" i="1" s="1"/>
  <c r="D91" i="5"/>
  <c r="H92" i="5" s="1"/>
  <c r="E91" i="5"/>
  <c r="F91" i="5" s="1"/>
  <c r="G91" i="5" s="1"/>
  <c r="M47" i="4"/>
  <c r="K47" i="4"/>
  <c r="I44" i="1" l="1"/>
  <c r="D92" i="5"/>
  <c r="H93" i="5" s="1"/>
  <c r="E92" i="5"/>
  <c r="F92" i="5" s="1"/>
  <c r="G92" i="5" s="1"/>
  <c r="J48" i="4"/>
  <c r="O47" i="4"/>
  <c r="L44" i="1" l="1"/>
  <c r="M44" i="1"/>
  <c r="V45" i="1" s="1"/>
  <c r="AC45" i="1" s="1"/>
  <c r="D93" i="5"/>
  <c r="H94" i="5" s="1"/>
  <c r="E93" i="5"/>
  <c r="F93" i="5" s="1"/>
  <c r="G93" i="5" s="1"/>
  <c r="M48" i="4"/>
  <c r="K48" i="4"/>
  <c r="I45" i="1" l="1"/>
  <c r="D94" i="5"/>
  <c r="H95" i="5" s="1"/>
  <c r="E94" i="5"/>
  <c r="F94" i="5" s="1"/>
  <c r="G94" i="5" s="1"/>
  <c r="J49" i="4"/>
  <c r="O48" i="4"/>
  <c r="L45" i="1" l="1"/>
  <c r="M45" i="1"/>
  <c r="V46" i="1" s="1"/>
  <c r="AC46" i="1" s="1"/>
  <c r="D95" i="5"/>
  <c r="H96" i="5" s="1"/>
  <c r="E95" i="5"/>
  <c r="F95" i="5" s="1"/>
  <c r="G95" i="5" s="1"/>
  <c r="M49" i="4"/>
  <c r="K49" i="4"/>
  <c r="I46" i="1" l="1"/>
  <c r="D96" i="5"/>
  <c r="E96" i="5"/>
  <c r="F96" i="5" s="1"/>
  <c r="G96" i="5" s="1"/>
  <c r="J50" i="4"/>
  <c r="O49" i="4"/>
  <c r="L46" i="1" l="1"/>
  <c r="M46" i="1"/>
  <c r="V47" i="1" s="1"/>
  <c r="AC47" i="1" s="1"/>
  <c r="M50" i="4"/>
  <c r="K50" i="4"/>
  <c r="I47" i="1" l="1"/>
  <c r="J51" i="4"/>
  <c r="O50" i="4"/>
  <c r="L47" i="1" l="1"/>
  <c r="M47" i="1" s="1"/>
  <c r="V48" i="1" s="1"/>
  <c r="AC48" i="1" s="1"/>
  <c r="M51" i="4"/>
  <c r="K51" i="4"/>
  <c r="I48" i="1" l="1"/>
  <c r="J52" i="4"/>
  <c r="O51" i="4"/>
  <c r="L48" i="1" l="1"/>
  <c r="M48" i="1" s="1"/>
  <c r="V49" i="1" s="1"/>
  <c r="AC49" i="1" s="1"/>
  <c r="M52" i="4"/>
  <c r="K52" i="4"/>
  <c r="I49" i="1" l="1"/>
  <c r="J53" i="4"/>
  <c r="O52" i="4"/>
  <c r="L49" i="1" l="1"/>
  <c r="M49" i="1"/>
  <c r="V50" i="1" s="1"/>
  <c r="AC50" i="1" s="1"/>
  <c r="M53" i="4"/>
  <c r="K53" i="4"/>
  <c r="I50" i="1" l="1"/>
  <c r="J54" i="4"/>
  <c r="O53" i="4"/>
  <c r="L50" i="1" l="1"/>
  <c r="M50" i="1"/>
  <c r="G51" i="1" s="1"/>
  <c r="M54" i="4"/>
  <c r="K54" i="4"/>
  <c r="AL13" i="1" l="1"/>
  <c r="AO13" i="1" s="1"/>
  <c r="V51" i="1"/>
  <c r="T51" i="1"/>
  <c r="I51" i="1"/>
  <c r="J55" i="4"/>
  <c r="O54" i="4"/>
  <c r="L51" i="1" l="1"/>
  <c r="AC51" i="1"/>
  <c r="M51" i="1"/>
  <c r="V52" i="1" s="1"/>
  <c r="AC52" i="1" s="1"/>
  <c r="M55" i="4"/>
  <c r="K55" i="4"/>
  <c r="I52" i="1" l="1"/>
  <c r="J56" i="4"/>
  <c r="O55" i="4"/>
  <c r="L52" i="1" l="1"/>
  <c r="M52" i="1" s="1"/>
  <c r="V53" i="1" s="1"/>
  <c r="AC53" i="1" s="1"/>
  <c r="M56" i="4"/>
  <c r="K56" i="4"/>
  <c r="I53" i="1" l="1"/>
  <c r="J57" i="4"/>
  <c r="O56" i="4"/>
  <c r="L53" i="1" l="1"/>
  <c r="M53" i="1"/>
  <c r="V54" i="1" s="1"/>
  <c r="AC54" i="1" s="1"/>
  <c r="M57" i="4"/>
  <c r="K57" i="4"/>
  <c r="I54" i="1" l="1"/>
  <c r="J58" i="4"/>
  <c r="O57" i="4"/>
  <c r="L54" i="1" l="1"/>
  <c r="M54" i="1"/>
  <c r="V55" i="1" s="1"/>
  <c r="AC55" i="1" s="1"/>
  <c r="M58" i="4"/>
  <c r="K58" i="4"/>
  <c r="I55" i="1" l="1"/>
  <c r="J59" i="4"/>
  <c r="O58" i="4"/>
  <c r="L55" i="1" l="1"/>
  <c r="M55" i="1"/>
  <c r="V56" i="1" s="1"/>
  <c r="AC56" i="1" s="1"/>
  <c r="M59" i="4"/>
  <c r="K59" i="4"/>
  <c r="I56" i="1" l="1"/>
  <c r="J60" i="4"/>
  <c r="O59" i="4"/>
  <c r="L56" i="1" l="1"/>
  <c r="M56" i="1"/>
  <c r="V57" i="1" s="1"/>
  <c r="AC57" i="1" s="1"/>
  <c r="M60" i="4"/>
  <c r="K60" i="4"/>
  <c r="I57" i="1" l="1"/>
  <c r="J61" i="4"/>
  <c r="O60" i="4"/>
  <c r="L57" i="1" l="1"/>
  <c r="M57" i="1"/>
  <c r="V58" i="1" s="1"/>
  <c r="AC58" i="1" s="1"/>
  <c r="M61" i="4"/>
  <c r="K61" i="4"/>
  <c r="I58" i="1" l="1"/>
  <c r="J62" i="4"/>
  <c r="O61" i="4"/>
  <c r="L58" i="1" l="1"/>
  <c r="M62" i="4"/>
  <c r="K62" i="4"/>
  <c r="M58" i="1" l="1"/>
  <c r="V59" i="1" s="1"/>
  <c r="AC59" i="1" s="1"/>
  <c r="J63" i="4"/>
  <c r="O62" i="4"/>
  <c r="I59" i="1" l="1"/>
  <c r="M63" i="4"/>
  <c r="K63" i="4"/>
  <c r="L59" i="1" l="1"/>
  <c r="M59" i="1"/>
  <c r="V60" i="1" s="1"/>
  <c r="AC60" i="1" s="1"/>
  <c r="J64" i="4"/>
  <c r="O63" i="4"/>
  <c r="I60" i="1" l="1"/>
  <c r="M64" i="4"/>
  <c r="K64" i="4"/>
  <c r="L60" i="1" l="1"/>
  <c r="M60" i="1" s="1"/>
  <c r="V61" i="1" s="1"/>
  <c r="AC61" i="1" s="1"/>
  <c r="I61" i="1"/>
  <c r="L61" i="1" s="1"/>
  <c r="J65" i="4"/>
  <c r="O64" i="4"/>
  <c r="M61" i="1" l="1"/>
  <c r="V62" i="1" s="1"/>
  <c r="AC62" i="1" s="1"/>
  <c r="M65" i="4"/>
  <c r="K65" i="4"/>
  <c r="I62" i="1" l="1"/>
  <c r="J66" i="4"/>
  <c r="O65" i="4"/>
  <c r="L62" i="1" l="1"/>
  <c r="M62" i="1"/>
  <c r="G63" i="1" s="1"/>
  <c r="M66" i="4"/>
  <c r="K66" i="4"/>
  <c r="AL14" i="1" l="1"/>
  <c r="AO14" i="1" s="1"/>
  <c r="V63" i="1"/>
  <c r="T63" i="1"/>
  <c r="I63" i="1"/>
  <c r="J67" i="4"/>
  <c r="O66" i="4"/>
  <c r="L63" i="1" l="1"/>
  <c r="AC63" i="1"/>
  <c r="M63" i="1"/>
  <c r="V64" i="1" s="1"/>
  <c r="AC64" i="1" s="1"/>
  <c r="M67" i="4"/>
  <c r="K67" i="4"/>
  <c r="I64" i="1" l="1"/>
  <c r="J68" i="4"/>
  <c r="O67" i="4"/>
  <c r="L64" i="1" l="1"/>
  <c r="M64" i="1"/>
  <c r="V65" i="1" s="1"/>
  <c r="AC65" i="1" s="1"/>
  <c r="M68" i="4"/>
  <c r="K68" i="4"/>
  <c r="I65" i="1" l="1"/>
  <c r="J69" i="4"/>
  <c r="O68" i="4"/>
  <c r="L65" i="1" l="1"/>
  <c r="M65" i="1" s="1"/>
  <c r="V66" i="1" s="1"/>
  <c r="AC66" i="1" s="1"/>
  <c r="M69" i="4"/>
  <c r="K69" i="4"/>
  <c r="I66" i="1" l="1"/>
  <c r="J70" i="4"/>
  <c r="O69" i="4"/>
  <c r="L66" i="1" l="1"/>
  <c r="M66" i="1" s="1"/>
  <c r="V67" i="1" s="1"/>
  <c r="AC67" i="1" s="1"/>
  <c r="M70" i="4"/>
  <c r="K70" i="4"/>
  <c r="I67" i="1" l="1"/>
  <c r="J71" i="4"/>
  <c r="O70" i="4"/>
  <c r="L67" i="1" l="1"/>
  <c r="M67" i="1" s="1"/>
  <c r="V68" i="1" s="1"/>
  <c r="AC68" i="1" s="1"/>
  <c r="M71" i="4"/>
  <c r="K71" i="4"/>
  <c r="I68" i="1" l="1"/>
  <c r="J72" i="4"/>
  <c r="O71" i="4"/>
  <c r="L68" i="1" l="1"/>
  <c r="M68" i="1"/>
  <c r="V69" i="1" s="1"/>
  <c r="AC69" i="1" s="1"/>
  <c r="M72" i="4"/>
  <c r="K72" i="4"/>
  <c r="I69" i="1" l="1"/>
  <c r="J73" i="4"/>
  <c r="O72" i="4"/>
  <c r="L69" i="1" l="1"/>
  <c r="M69" i="1"/>
  <c r="V70" i="1" s="1"/>
  <c r="AC70" i="1" s="1"/>
  <c r="M73" i="4"/>
  <c r="K73" i="4"/>
  <c r="I70" i="1" l="1"/>
  <c r="J74" i="4"/>
  <c r="O73" i="4"/>
  <c r="L70" i="1" l="1"/>
  <c r="M70" i="1"/>
  <c r="V71" i="1" s="1"/>
  <c r="AC71" i="1" s="1"/>
  <c r="M74" i="4"/>
  <c r="K74" i="4"/>
  <c r="I71" i="1" l="1"/>
  <c r="J75" i="4"/>
  <c r="O74" i="4"/>
  <c r="L71" i="1" l="1"/>
  <c r="M71" i="1"/>
  <c r="V72" i="1" s="1"/>
  <c r="AC72" i="1" s="1"/>
  <c r="M75" i="4"/>
  <c r="K75" i="4"/>
  <c r="I72" i="1" l="1"/>
  <c r="J76" i="4"/>
  <c r="O75" i="4"/>
  <c r="L72" i="1" l="1"/>
  <c r="M72" i="1" s="1"/>
  <c r="V73" i="1" s="1"/>
  <c r="AC73" i="1" s="1"/>
  <c r="M76" i="4"/>
  <c r="K76" i="4"/>
  <c r="I73" i="1" l="1"/>
  <c r="J77" i="4"/>
  <c r="O76" i="4"/>
  <c r="L73" i="1" l="1"/>
  <c r="M73" i="1"/>
  <c r="V74" i="1" s="1"/>
  <c r="AC74" i="1" s="1"/>
  <c r="M77" i="4"/>
  <c r="K77" i="4"/>
  <c r="I74" i="1" l="1"/>
  <c r="J78" i="4"/>
  <c r="O77" i="4"/>
  <c r="L74" i="1" l="1"/>
  <c r="M74" i="1"/>
  <c r="G75" i="1" s="1"/>
  <c r="M78" i="4"/>
  <c r="K78" i="4"/>
  <c r="AL15" i="1" l="1"/>
  <c r="AO15" i="1" s="1"/>
  <c r="V75" i="1"/>
  <c r="T75" i="1"/>
  <c r="I75" i="1"/>
  <c r="J79" i="4"/>
  <c r="O78" i="4"/>
  <c r="AC75" i="1" l="1"/>
  <c r="L75" i="1"/>
  <c r="M79" i="4"/>
  <c r="K79" i="4"/>
  <c r="M75" i="1" l="1"/>
  <c r="V76" i="1" s="1"/>
  <c r="AC76" i="1" s="1"/>
  <c r="J80" i="4"/>
  <c r="O79" i="4"/>
  <c r="I76" i="1" l="1"/>
  <c r="M80" i="4"/>
  <c r="K80" i="4"/>
  <c r="L76" i="1" l="1"/>
  <c r="M76" i="1" s="1"/>
  <c r="V77" i="1" s="1"/>
  <c r="AC77" i="1" s="1"/>
  <c r="J81" i="4"/>
  <c r="O80" i="4"/>
  <c r="I77" i="1" l="1"/>
  <c r="M81" i="4"/>
  <c r="K81" i="4"/>
  <c r="L77" i="1" l="1"/>
  <c r="M77" i="1" s="1"/>
  <c r="V78" i="1" s="1"/>
  <c r="AC78" i="1" s="1"/>
  <c r="J82" i="4"/>
  <c r="O81" i="4"/>
  <c r="I78" i="1" l="1"/>
  <c r="L78" i="1"/>
  <c r="M82" i="4"/>
  <c r="K82" i="4"/>
  <c r="M78" i="1" l="1"/>
  <c r="V79" i="1" s="1"/>
  <c r="AC79" i="1" s="1"/>
  <c r="J83" i="4"/>
  <c r="O82" i="4"/>
  <c r="I79" i="1" l="1"/>
  <c r="M83" i="4"/>
  <c r="K83" i="4"/>
  <c r="L79" i="1" l="1"/>
  <c r="M79" i="1"/>
  <c r="V80" i="1" s="1"/>
  <c r="AC80" i="1" s="1"/>
  <c r="J84" i="4"/>
  <c r="O83" i="4"/>
  <c r="I80" i="1" l="1"/>
  <c r="M84" i="4"/>
  <c r="K84" i="4"/>
  <c r="L80" i="1" l="1"/>
  <c r="M80" i="1"/>
  <c r="V81" i="1" s="1"/>
  <c r="AC81" i="1" s="1"/>
  <c r="J85" i="4"/>
  <c r="O84" i="4"/>
  <c r="I81" i="1" l="1"/>
  <c r="M85" i="4"/>
  <c r="K85" i="4"/>
  <c r="L81" i="1" l="1"/>
  <c r="M81" i="1"/>
  <c r="V82" i="1" s="1"/>
  <c r="AC82" i="1" s="1"/>
  <c r="J86" i="4"/>
  <c r="O85" i="4"/>
  <c r="I82" i="1" l="1"/>
  <c r="M86" i="4"/>
  <c r="K86" i="4"/>
  <c r="L82" i="1" l="1"/>
  <c r="M82" i="1"/>
  <c r="V83" i="1" s="1"/>
  <c r="AC83" i="1" s="1"/>
  <c r="J87" i="4"/>
  <c r="O86" i="4"/>
  <c r="I83" i="1" l="1"/>
  <c r="M87" i="4"/>
  <c r="K87" i="4"/>
  <c r="L83" i="1" l="1"/>
  <c r="M83" i="1" s="1"/>
  <c r="V84" i="1" s="1"/>
  <c r="AC84" i="1" s="1"/>
  <c r="J88" i="4"/>
  <c r="O87" i="4"/>
  <c r="I84" i="1" l="1"/>
  <c r="M88" i="4"/>
  <c r="K88" i="4"/>
  <c r="L84" i="1" l="1"/>
  <c r="M84" i="1"/>
  <c r="V85" i="1" s="1"/>
  <c r="AC85" i="1" s="1"/>
  <c r="J89" i="4"/>
  <c r="O88" i="4"/>
  <c r="I85" i="1" l="1"/>
  <c r="M89" i="4"/>
  <c r="K89" i="4"/>
  <c r="L85" i="1" l="1"/>
  <c r="M85" i="1" s="1"/>
  <c r="V86" i="1" s="1"/>
  <c r="AC86" i="1" s="1"/>
  <c r="J90" i="4"/>
  <c r="O89" i="4"/>
  <c r="I86" i="1" l="1"/>
  <c r="M90" i="4"/>
  <c r="K90" i="4"/>
  <c r="L86" i="1" l="1"/>
  <c r="M86" i="1"/>
  <c r="G87" i="1" s="1"/>
  <c r="J91" i="4"/>
  <c r="O90" i="4"/>
  <c r="AL16" i="1" l="1"/>
  <c r="AO16" i="1" s="1"/>
  <c r="V87" i="1"/>
  <c r="T87" i="1"/>
  <c r="I87" i="1"/>
  <c r="M91" i="4"/>
  <c r="K91" i="4"/>
  <c r="AC87" i="1" l="1"/>
  <c r="L87" i="1"/>
  <c r="J92" i="4"/>
  <c r="O91" i="4"/>
  <c r="N91" i="4"/>
  <c r="N3" i="4"/>
  <c r="N5" i="4"/>
  <c r="N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90" i="4"/>
  <c r="N89" i="4"/>
  <c r="N88" i="4"/>
  <c r="N86" i="4"/>
  <c r="N87" i="4"/>
  <c r="M87" i="1" l="1"/>
  <c r="V88" i="1" s="1"/>
  <c r="AC88" i="1" s="1"/>
  <c r="M92" i="4"/>
  <c r="N92" i="4" s="1"/>
  <c r="K92" i="4"/>
  <c r="O92" i="4" s="1"/>
  <c r="P88" i="4" s="1"/>
  <c r="I88" i="1" l="1"/>
  <c r="P9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9" i="4"/>
  <c r="P90" i="4"/>
  <c r="P91" i="4"/>
  <c r="H5" i="5" l="1"/>
  <c r="H12" i="5" s="1"/>
  <c r="L88" i="1"/>
  <c r="M88" i="1"/>
  <c r="V89" i="1" s="1"/>
  <c r="AC89" i="1" s="1"/>
  <c r="H10" i="5" l="1"/>
  <c r="I5" i="5"/>
  <c r="N24" i="1" s="1"/>
  <c r="AA25" i="1" s="1"/>
  <c r="H11" i="5"/>
  <c r="H8" i="5"/>
  <c r="H13" i="5"/>
  <c r="H9" i="5"/>
  <c r="H7" i="5"/>
  <c r="H6" i="5"/>
  <c r="I6" i="5" s="1"/>
  <c r="N29" i="1" s="1"/>
  <c r="AA30" i="1" s="1"/>
  <c r="N26" i="1"/>
  <c r="AA27" i="1" s="1"/>
  <c r="N22" i="1"/>
  <c r="AA23" i="1" s="1"/>
  <c r="N16" i="1"/>
  <c r="AA17" i="1" s="1"/>
  <c r="N20" i="1"/>
  <c r="AA21" i="1" s="1"/>
  <c r="N19" i="1"/>
  <c r="AA20" i="1" s="1"/>
  <c r="N15" i="1"/>
  <c r="AA16" i="1" s="1"/>
  <c r="N17" i="1"/>
  <c r="AA18" i="1" s="1"/>
  <c r="N23" i="1"/>
  <c r="AA24" i="1" s="1"/>
  <c r="N21" i="1"/>
  <c r="AA22" i="1" s="1"/>
  <c r="N25" i="1"/>
  <c r="AA26" i="1" s="1"/>
  <c r="I89" i="1"/>
  <c r="L89" i="1" l="1"/>
  <c r="P29" i="1"/>
  <c r="R29" i="1"/>
  <c r="P16" i="1"/>
  <c r="R16" i="1"/>
  <c r="O16" i="1"/>
  <c r="P26" i="1"/>
  <c r="R26" i="1"/>
  <c r="O26" i="1"/>
  <c r="P25" i="1"/>
  <c r="R25" i="1"/>
  <c r="O25" i="1"/>
  <c r="P22" i="1"/>
  <c r="R22" i="1"/>
  <c r="O22" i="1"/>
  <c r="N31" i="1"/>
  <c r="AA32" i="1" s="1"/>
  <c r="P21" i="1"/>
  <c r="R21" i="1"/>
  <c r="O21" i="1"/>
  <c r="N36" i="1"/>
  <c r="AA37" i="1" s="1"/>
  <c r="N27" i="1"/>
  <c r="AA28" i="1" s="1"/>
  <c r="P23" i="1"/>
  <c r="R23" i="1"/>
  <c r="O23" i="1"/>
  <c r="N37" i="1"/>
  <c r="AA38" i="1" s="1"/>
  <c r="P24" i="1"/>
  <c r="R24" i="1"/>
  <c r="O24" i="1"/>
  <c r="P17" i="1"/>
  <c r="R17" i="1"/>
  <c r="O17" i="1"/>
  <c r="N33" i="1"/>
  <c r="AA34" i="1" s="1"/>
  <c r="I7" i="5"/>
  <c r="N48" i="1" s="1"/>
  <c r="AA49" i="1" s="1"/>
  <c r="P15" i="1"/>
  <c r="R15" i="1"/>
  <c r="O15" i="1"/>
  <c r="N32" i="1"/>
  <c r="AA33" i="1" s="1"/>
  <c r="N38" i="1"/>
  <c r="AA39" i="1" s="1"/>
  <c r="P19" i="1"/>
  <c r="R19" i="1"/>
  <c r="N28" i="1"/>
  <c r="AA29" i="1" s="1"/>
  <c r="N30" i="1"/>
  <c r="AA31" i="1" s="1"/>
  <c r="P20" i="1"/>
  <c r="R20" i="1"/>
  <c r="O20" i="1"/>
  <c r="N35" i="1"/>
  <c r="AA36" i="1" s="1"/>
  <c r="N34" i="1"/>
  <c r="AA35" i="1" s="1"/>
  <c r="M89" i="1"/>
  <c r="V90" i="1" s="1"/>
  <c r="AC90" i="1" s="1"/>
  <c r="N46" i="1" l="1"/>
  <c r="AA47" i="1" s="1"/>
  <c r="N45" i="1"/>
  <c r="AA46" i="1" s="1"/>
  <c r="N42" i="1"/>
  <c r="N49" i="1"/>
  <c r="N43" i="1"/>
  <c r="N44" i="1"/>
  <c r="AA45" i="1" s="1"/>
  <c r="N50" i="1"/>
  <c r="N41" i="1"/>
  <c r="P48" i="1"/>
  <c r="R48" i="1"/>
  <c r="Q15" i="1"/>
  <c r="S15" i="1"/>
  <c r="AD15" i="1" s="1"/>
  <c r="S23" i="1"/>
  <c r="Q23" i="1"/>
  <c r="S17" i="1"/>
  <c r="Q17" i="1"/>
  <c r="P27" i="1"/>
  <c r="R27" i="1"/>
  <c r="O27" i="1"/>
  <c r="S22" i="1"/>
  <c r="Q22" i="1"/>
  <c r="P36" i="1"/>
  <c r="R36" i="1"/>
  <c r="O36" i="1"/>
  <c r="S16" i="1"/>
  <c r="Q16" i="1"/>
  <c r="P28" i="1"/>
  <c r="R28" i="1"/>
  <c r="O28" i="1"/>
  <c r="P38" i="1"/>
  <c r="R38" i="1"/>
  <c r="O38" i="1"/>
  <c r="N47" i="1"/>
  <c r="S24" i="1"/>
  <c r="Q24" i="1"/>
  <c r="S25" i="1"/>
  <c r="Q25" i="1"/>
  <c r="P35" i="1"/>
  <c r="R35" i="1"/>
  <c r="O35" i="1"/>
  <c r="P37" i="1"/>
  <c r="R37" i="1"/>
  <c r="O37" i="1"/>
  <c r="S21" i="1"/>
  <c r="Q21" i="1"/>
  <c r="O29" i="1"/>
  <c r="P46" i="1"/>
  <c r="R46" i="1"/>
  <c r="O46" i="1"/>
  <c r="I8" i="5"/>
  <c r="N55" i="1" s="1"/>
  <c r="AA56" i="1" s="1"/>
  <c r="N40" i="1"/>
  <c r="AA41" i="1" s="1"/>
  <c r="P33" i="1"/>
  <c r="R33" i="1"/>
  <c r="O33" i="1"/>
  <c r="P31" i="1"/>
  <c r="R31" i="1"/>
  <c r="O31" i="1"/>
  <c r="P34" i="1"/>
  <c r="R34" i="1"/>
  <c r="O34" i="1"/>
  <c r="S19" i="1"/>
  <c r="Q19" i="1"/>
  <c r="P32" i="1"/>
  <c r="R32" i="1"/>
  <c r="O32" i="1"/>
  <c r="S20" i="1"/>
  <c r="Q20" i="1"/>
  <c r="P30" i="1"/>
  <c r="R30" i="1"/>
  <c r="O30" i="1"/>
  <c r="N39" i="1"/>
  <c r="AA40" i="1" s="1"/>
  <c r="S26" i="1"/>
  <c r="Q26" i="1"/>
  <c r="S29" i="1"/>
  <c r="Q29" i="1"/>
  <c r="I90" i="1"/>
  <c r="AD17" i="1" l="1"/>
  <c r="AB18" i="1" s="1"/>
  <c r="Y18" i="1" s="1"/>
  <c r="AD23" i="1"/>
  <c r="AB24" i="1" s="1"/>
  <c r="Y24" i="1" s="1"/>
  <c r="AE24" i="1" s="1"/>
  <c r="AD25" i="1"/>
  <c r="AB26" i="1" s="1"/>
  <c r="Y26" i="1" s="1"/>
  <c r="AE26" i="1" s="1"/>
  <c r="AD22" i="1"/>
  <c r="AB23" i="1" s="1"/>
  <c r="Y23" i="1" s="1"/>
  <c r="AE23" i="1" s="1"/>
  <c r="AF23" i="1" s="1"/>
  <c r="AG23" i="1" s="1"/>
  <c r="AD26" i="1"/>
  <c r="AB27" i="1" s="1"/>
  <c r="Y27" i="1" s="1"/>
  <c r="AD19" i="1"/>
  <c r="AB20" i="1" s="1"/>
  <c r="Y20" i="1" s="1"/>
  <c r="AE20" i="1" s="1"/>
  <c r="AD20" i="1"/>
  <c r="AB21" i="1" s="1"/>
  <c r="Y21" i="1" s="1"/>
  <c r="AE21" i="1" s="1"/>
  <c r="AF21" i="1" s="1"/>
  <c r="AG21" i="1" s="1"/>
  <c r="AD24" i="1"/>
  <c r="AB25" i="1" s="1"/>
  <c r="Y25" i="1" s="1"/>
  <c r="AE25" i="1" s="1"/>
  <c r="AF25" i="1" s="1"/>
  <c r="AG25" i="1" s="1"/>
  <c r="L90" i="1"/>
  <c r="AD21" i="1"/>
  <c r="AB22" i="1" s="1"/>
  <c r="Y22" i="1" s="1"/>
  <c r="AE22" i="1" s="1"/>
  <c r="AD29" i="1"/>
  <c r="AB30" i="1" s="1"/>
  <c r="Y30" i="1" s="1"/>
  <c r="AD16" i="1"/>
  <c r="AB17" i="1" s="1"/>
  <c r="Y17" i="1" s="1"/>
  <c r="AE17" i="1" s="1"/>
  <c r="AF17" i="1" s="1"/>
  <c r="AG17" i="1" s="1"/>
  <c r="AB16" i="1"/>
  <c r="Y16" i="1" s="1"/>
  <c r="AE16" i="1" s="1"/>
  <c r="AE15" i="1"/>
  <c r="O49" i="1"/>
  <c r="AA50" i="1"/>
  <c r="O48" i="1"/>
  <c r="AA48" i="1"/>
  <c r="R42" i="1"/>
  <c r="AA43" i="1"/>
  <c r="R41" i="1"/>
  <c r="AA42" i="1"/>
  <c r="R45" i="1"/>
  <c r="R50" i="1"/>
  <c r="AA51" i="1"/>
  <c r="P45" i="1"/>
  <c r="S45" i="1" s="1"/>
  <c r="R43" i="1"/>
  <c r="AA44" i="1"/>
  <c r="R49" i="1"/>
  <c r="P49" i="1"/>
  <c r="S49" i="1" s="1"/>
  <c r="P42" i="1"/>
  <c r="Q42" i="1" s="1"/>
  <c r="P43" i="1"/>
  <c r="Q43" i="1" s="1"/>
  <c r="O44" i="1"/>
  <c r="O41" i="1"/>
  <c r="N53" i="1"/>
  <c r="N51" i="1"/>
  <c r="O50" i="1"/>
  <c r="O42" i="1"/>
  <c r="R44" i="1"/>
  <c r="P50" i="1"/>
  <c r="S50" i="1" s="1"/>
  <c r="P41" i="1"/>
  <c r="Q41" i="1" s="1"/>
  <c r="O45" i="1"/>
  <c r="P44" i="1"/>
  <c r="Q44" i="1" s="1"/>
  <c r="O43" i="1"/>
  <c r="S36" i="1"/>
  <c r="Q36" i="1"/>
  <c r="S27" i="1"/>
  <c r="Q27" i="1"/>
  <c r="I9" i="5"/>
  <c r="N67" i="1" s="1"/>
  <c r="AA68" i="1" s="1"/>
  <c r="N56" i="1"/>
  <c r="AA57" i="1" s="1"/>
  <c r="S30" i="1"/>
  <c r="Q30" i="1"/>
  <c r="S33" i="1"/>
  <c r="Q33" i="1"/>
  <c r="N52" i="1"/>
  <c r="AA53" i="1" s="1"/>
  <c r="S35" i="1"/>
  <c r="Q35" i="1"/>
  <c r="S38" i="1"/>
  <c r="Q38" i="1"/>
  <c r="N59" i="1"/>
  <c r="AA60" i="1" s="1"/>
  <c r="Q28" i="1"/>
  <c r="S28" i="1"/>
  <c r="P40" i="1"/>
  <c r="R40" i="1"/>
  <c r="O40" i="1"/>
  <c r="S34" i="1"/>
  <c r="Q34" i="1"/>
  <c r="N57" i="1"/>
  <c r="AA58" i="1" s="1"/>
  <c r="N58" i="1"/>
  <c r="AA59" i="1" s="1"/>
  <c r="S37" i="1"/>
  <c r="Q37" i="1"/>
  <c r="N61" i="1"/>
  <c r="AA62" i="1" s="1"/>
  <c r="N54" i="1"/>
  <c r="P55" i="1"/>
  <c r="R55" i="1"/>
  <c r="S46" i="1"/>
  <c r="Q46" i="1"/>
  <c r="P39" i="1"/>
  <c r="R39" i="1"/>
  <c r="O39" i="1"/>
  <c r="S32" i="1"/>
  <c r="Q32" i="1"/>
  <c r="S31" i="1"/>
  <c r="Q31" i="1"/>
  <c r="N60" i="1"/>
  <c r="AA61" i="1" s="1"/>
  <c r="N62" i="1"/>
  <c r="AA63" i="1" s="1"/>
  <c r="P47" i="1"/>
  <c r="R47" i="1"/>
  <c r="O47" i="1"/>
  <c r="S48" i="1"/>
  <c r="Q48" i="1"/>
  <c r="M90" i="1"/>
  <c r="V91" i="1" s="1"/>
  <c r="AC91" i="1" s="1"/>
  <c r="AD31" i="1" l="1"/>
  <c r="AB32" i="1" s="1"/>
  <c r="Y32" i="1" s="1"/>
  <c r="AE32" i="1" s="1"/>
  <c r="AF32" i="1" s="1"/>
  <c r="AG32" i="1" s="1"/>
  <c r="AD34" i="1"/>
  <c r="AB35" i="1" s="1"/>
  <c r="Y35" i="1" s="1"/>
  <c r="AE35" i="1" s="1"/>
  <c r="AF35" i="1" s="1"/>
  <c r="AG35" i="1" s="1"/>
  <c r="AD48" i="1"/>
  <c r="AB49" i="1" s="1"/>
  <c r="Y49" i="1" s="1"/>
  <c r="AE49" i="1" s="1"/>
  <c r="AD32" i="1"/>
  <c r="AB33" i="1" s="1"/>
  <c r="Y33" i="1" s="1"/>
  <c r="AE33" i="1" s="1"/>
  <c r="AF33" i="1" s="1"/>
  <c r="AG33" i="1" s="1"/>
  <c r="AD50" i="1"/>
  <c r="AB51" i="1" s="1"/>
  <c r="Y51" i="1" s="1"/>
  <c r="AD49" i="1"/>
  <c r="AB50" i="1" s="1"/>
  <c r="Y50" i="1" s="1"/>
  <c r="AE50" i="1" s="1"/>
  <c r="AD30" i="1"/>
  <c r="AB31" i="1" s="1"/>
  <c r="Y31" i="1" s="1"/>
  <c r="AE31" i="1" s="1"/>
  <c r="AD38" i="1"/>
  <c r="AB39" i="1" s="1"/>
  <c r="Y39" i="1" s="1"/>
  <c r="AD27" i="1"/>
  <c r="AB28" i="1" s="1"/>
  <c r="Y28" i="1" s="1"/>
  <c r="AE28" i="1" s="1"/>
  <c r="AD28" i="1"/>
  <c r="AB29" i="1" s="1"/>
  <c r="Y29" i="1" s="1"/>
  <c r="AE29" i="1" s="1"/>
  <c r="AF29" i="1" s="1"/>
  <c r="AG29" i="1" s="1"/>
  <c r="AD33" i="1"/>
  <c r="AB34" i="1" s="1"/>
  <c r="Y34" i="1" s="1"/>
  <c r="AE34" i="1" s="1"/>
  <c r="AD36" i="1"/>
  <c r="AB37" i="1" s="1"/>
  <c r="Y37" i="1" s="1"/>
  <c r="AE37" i="1" s="1"/>
  <c r="AF37" i="1" s="1"/>
  <c r="AG37" i="1" s="1"/>
  <c r="AD45" i="1"/>
  <c r="AB46" i="1" s="1"/>
  <c r="Y46" i="1" s="1"/>
  <c r="AE46" i="1" s="1"/>
  <c r="AF46" i="1" s="1"/>
  <c r="AG46" i="1" s="1"/>
  <c r="AD35" i="1"/>
  <c r="AB36" i="1" s="1"/>
  <c r="Y36" i="1" s="1"/>
  <c r="AE36" i="1" s="1"/>
  <c r="AF36" i="1" s="1"/>
  <c r="AG36" i="1" s="1"/>
  <c r="AD37" i="1"/>
  <c r="AB38" i="1" s="1"/>
  <c r="Y38" i="1" s="1"/>
  <c r="AE38" i="1" s="1"/>
  <c r="AD46" i="1"/>
  <c r="AB47" i="1" s="1"/>
  <c r="Y47" i="1" s="1"/>
  <c r="N64" i="1"/>
  <c r="AA65" i="1" s="1"/>
  <c r="Q45" i="1"/>
  <c r="S41" i="1"/>
  <c r="Q49" i="1"/>
  <c r="AF20" i="1"/>
  <c r="AG20" i="1" s="1"/>
  <c r="AF26" i="1"/>
  <c r="AG26" i="1" s="1"/>
  <c r="AE30" i="1"/>
  <c r="P51" i="1"/>
  <c r="S51" i="1" s="1"/>
  <c r="AA52" i="1"/>
  <c r="AF22" i="1"/>
  <c r="AG22" i="1" s="1"/>
  <c r="P53" i="1"/>
  <c r="S53" i="1" s="1"/>
  <c r="AA54" i="1"/>
  <c r="AF15" i="1"/>
  <c r="AG15" i="1" s="1"/>
  <c r="AF24" i="1"/>
  <c r="AG24" i="1" s="1"/>
  <c r="AF16" i="1"/>
  <c r="AG16" i="1" s="1"/>
  <c r="O55" i="1"/>
  <c r="AA55" i="1"/>
  <c r="AE27" i="1"/>
  <c r="S43" i="1"/>
  <c r="S42" i="1"/>
  <c r="O51" i="1"/>
  <c r="Q50" i="1"/>
  <c r="O53" i="1"/>
  <c r="R51" i="1"/>
  <c r="R53" i="1"/>
  <c r="N66" i="1"/>
  <c r="S44" i="1"/>
  <c r="N69" i="1"/>
  <c r="P67" i="1"/>
  <c r="R67" i="1"/>
  <c r="P64" i="1"/>
  <c r="R64" i="1"/>
  <c r="S55" i="1"/>
  <c r="Q55" i="1"/>
  <c r="P56" i="1"/>
  <c r="R56" i="1"/>
  <c r="O56" i="1"/>
  <c r="I10" i="5"/>
  <c r="N80" i="1" s="1"/>
  <c r="AA81" i="1" s="1"/>
  <c r="P59" i="1"/>
  <c r="R59" i="1"/>
  <c r="O59" i="1"/>
  <c r="Q47" i="1"/>
  <c r="S47" i="1"/>
  <c r="P61" i="1"/>
  <c r="R61" i="1"/>
  <c r="O61" i="1"/>
  <c r="P62" i="1"/>
  <c r="R62" i="1"/>
  <c r="O62" i="1"/>
  <c r="S39" i="1"/>
  <c r="Q39" i="1"/>
  <c r="P52" i="1"/>
  <c r="R52" i="1"/>
  <c r="O52" i="1"/>
  <c r="P58" i="1"/>
  <c r="R58" i="1"/>
  <c r="O58" i="1"/>
  <c r="N71" i="1"/>
  <c r="AA72" i="1" s="1"/>
  <c r="P60" i="1"/>
  <c r="R60" i="1"/>
  <c r="O60" i="1"/>
  <c r="S40" i="1"/>
  <c r="Q40" i="1"/>
  <c r="P54" i="1"/>
  <c r="R54" i="1"/>
  <c r="O54" i="1"/>
  <c r="P57" i="1"/>
  <c r="R57" i="1"/>
  <c r="O57" i="1"/>
  <c r="N63" i="1"/>
  <c r="I91" i="1"/>
  <c r="AD53" i="1" l="1"/>
  <c r="AB54" i="1" s="1"/>
  <c r="Y54" i="1" s="1"/>
  <c r="AD39" i="1"/>
  <c r="AB40" i="1" s="1"/>
  <c r="Y40" i="1" s="1"/>
  <c r="AE40" i="1" s="1"/>
  <c r="AF40" i="1" s="1"/>
  <c r="AG40" i="1" s="1"/>
  <c r="L91" i="1"/>
  <c r="M91" i="1" s="1"/>
  <c r="V92" i="1" s="1"/>
  <c r="AC92" i="1" s="1"/>
  <c r="AD51" i="1"/>
  <c r="AB52" i="1" s="1"/>
  <c r="Y52" i="1" s="1"/>
  <c r="AD41" i="1"/>
  <c r="AB42" i="1" s="1"/>
  <c r="Y42" i="1" s="1"/>
  <c r="AE42" i="1" s="1"/>
  <c r="AF42" i="1" s="1"/>
  <c r="AG42" i="1" s="1"/>
  <c r="AD55" i="1"/>
  <c r="AB56" i="1" s="1"/>
  <c r="Y56" i="1" s="1"/>
  <c r="AD42" i="1"/>
  <c r="AB43" i="1" s="1"/>
  <c r="Y43" i="1" s="1"/>
  <c r="AE43" i="1" s="1"/>
  <c r="AF43" i="1" s="1"/>
  <c r="AG43" i="1" s="1"/>
  <c r="AD40" i="1"/>
  <c r="AB41" i="1" s="1"/>
  <c r="Y41" i="1" s="1"/>
  <c r="AE41" i="1" s="1"/>
  <c r="AF41" i="1" s="1"/>
  <c r="AG41" i="1" s="1"/>
  <c r="AD47" i="1"/>
  <c r="AB48" i="1" s="1"/>
  <c r="Y48" i="1" s="1"/>
  <c r="AE48" i="1" s="1"/>
  <c r="AF48" i="1" s="1"/>
  <c r="AG48" i="1" s="1"/>
  <c r="AD44" i="1"/>
  <c r="AB45" i="1" s="1"/>
  <c r="Y45" i="1" s="1"/>
  <c r="AE45" i="1" s="1"/>
  <c r="AF45" i="1" s="1"/>
  <c r="AG45" i="1" s="1"/>
  <c r="AD43" i="1"/>
  <c r="AB44" i="1" s="1"/>
  <c r="Y44" i="1" s="1"/>
  <c r="AE44" i="1" s="1"/>
  <c r="AF44" i="1" s="1"/>
  <c r="AG44" i="1" s="1"/>
  <c r="Q51" i="1"/>
  <c r="Q53" i="1"/>
  <c r="AF31" i="1"/>
  <c r="AG31" i="1" s="1"/>
  <c r="AF38" i="1"/>
  <c r="AG38" i="1" s="1"/>
  <c r="AF28" i="1"/>
  <c r="AG28" i="1" s="1"/>
  <c r="AF49" i="1"/>
  <c r="AG49" i="1" s="1"/>
  <c r="AE39" i="1"/>
  <c r="AF50" i="1"/>
  <c r="AG50" i="1" s="1"/>
  <c r="AF30" i="1"/>
  <c r="AG30" i="1" s="1"/>
  <c r="P69" i="1"/>
  <c r="S69" i="1" s="1"/>
  <c r="AA70" i="1"/>
  <c r="AE51" i="1"/>
  <c r="AF34" i="1"/>
  <c r="AG34" i="1" s="1"/>
  <c r="O64" i="1"/>
  <c r="AA64" i="1"/>
  <c r="O67" i="1"/>
  <c r="AA67" i="1"/>
  <c r="AF27" i="1"/>
  <c r="AG27" i="1" s="1"/>
  <c r="AE47" i="1"/>
  <c r="R66" i="1"/>
  <c r="R69" i="1"/>
  <c r="P66" i="1"/>
  <c r="Q66" i="1" s="1"/>
  <c r="N78" i="1"/>
  <c r="N75" i="1"/>
  <c r="N81" i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S58" i="1"/>
  <c r="Q58" i="1"/>
  <c r="P63" i="1"/>
  <c r="R63" i="1"/>
  <c r="O63" i="1"/>
  <c r="S62" i="1"/>
  <c r="Q62" i="1"/>
  <c r="S60" i="1"/>
  <c r="Q60" i="1"/>
  <c r="S64" i="1"/>
  <c r="Q64" i="1"/>
  <c r="P80" i="1"/>
  <c r="R80" i="1"/>
  <c r="P71" i="1"/>
  <c r="R71" i="1"/>
  <c r="S52" i="1"/>
  <c r="Q52" i="1"/>
  <c r="S59" i="1"/>
  <c r="Q59" i="1"/>
  <c r="S57" i="1"/>
  <c r="Q57" i="1"/>
  <c r="S61" i="1"/>
  <c r="Q61" i="1"/>
  <c r="S54" i="1"/>
  <c r="Q54" i="1"/>
  <c r="S56" i="1"/>
  <c r="Q56" i="1"/>
  <c r="S67" i="1"/>
  <c r="Q67" i="1"/>
  <c r="AD57" i="1" l="1"/>
  <c r="AB58" i="1" s="1"/>
  <c r="Y58" i="1" s="1"/>
  <c r="AE58" i="1" s="1"/>
  <c r="AF58" i="1" s="1"/>
  <c r="AG58" i="1" s="1"/>
  <c r="AD56" i="1"/>
  <c r="AB57" i="1" s="1"/>
  <c r="Y57" i="1" s="1"/>
  <c r="AE57" i="1" s="1"/>
  <c r="AF57" i="1" s="1"/>
  <c r="AG57" i="1" s="1"/>
  <c r="AD59" i="1"/>
  <c r="AB60" i="1" s="1"/>
  <c r="Y60" i="1" s="1"/>
  <c r="AE60" i="1" s="1"/>
  <c r="AF60" i="1" s="1"/>
  <c r="AG60" i="1" s="1"/>
  <c r="AD67" i="1"/>
  <c r="AB68" i="1" s="1"/>
  <c r="Y68" i="1" s="1"/>
  <c r="AD52" i="1"/>
  <c r="AB53" i="1" s="1"/>
  <c r="Y53" i="1" s="1"/>
  <c r="AE53" i="1" s="1"/>
  <c r="AF53" i="1" s="1"/>
  <c r="AG53" i="1" s="1"/>
  <c r="AD69" i="1"/>
  <c r="AB70" i="1" s="1"/>
  <c r="Y70" i="1" s="1"/>
  <c r="AD64" i="1"/>
  <c r="AB65" i="1" s="1"/>
  <c r="Y65" i="1" s="1"/>
  <c r="AD58" i="1"/>
  <c r="AB59" i="1" s="1"/>
  <c r="Y59" i="1" s="1"/>
  <c r="AE59" i="1" s="1"/>
  <c r="AD54" i="1"/>
  <c r="AB55" i="1" s="1"/>
  <c r="Y55" i="1" s="1"/>
  <c r="AE55" i="1" s="1"/>
  <c r="AF55" i="1" s="1"/>
  <c r="AG55" i="1" s="1"/>
  <c r="AD60" i="1"/>
  <c r="AB61" i="1" s="1"/>
  <c r="Y61" i="1" s="1"/>
  <c r="AE61" i="1" s="1"/>
  <c r="AF61" i="1" s="1"/>
  <c r="AG61" i="1" s="1"/>
  <c r="AD61" i="1"/>
  <c r="AB62" i="1" s="1"/>
  <c r="Y62" i="1" s="1"/>
  <c r="AE62" i="1" s="1"/>
  <c r="AF62" i="1" s="1"/>
  <c r="AG62" i="1" s="1"/>
  <c r="AD62" i="1"/>
  <c r="AB63" i="1" s="1"/>
  <c r="Y63" i="1" s="1"/>
  <c r="AK11" i="1"/>
  <c r="AN11" i="1" s="1"/>
  <c r="Q69" i="1"/>
  <c r="AE54" i="1"/>
  <c r="AE56" i="1"/>
  <c r="AF47" i="1"/>
  <c r="AG47" i="1" s="1"/>
  <c r="AF39" i="1"/>
  <c r="AG39" i="1" s="1"/>
  <c r="P81" i="1"/>
  <c r="S81" i="1" s="1"/>
  <c r="AA82" i="1"/>
  <c r="P75" i="1"/>
  <c r="S75" i="1" s="1"/>
  <c r="AA76" i="1"/>
  <c r="AE52" i="1"/>
  <c r="R78" i="1"/>
  <c r="AA79" i="1"/>
  <c r="AF51" i="1"/>
  <c r="AG51" i="1" s="1"/>
  <c r="S66" i="1"/>
  <c r="P78" i="1"/>
  <c r="S78" i="1" s="1"/>
  <c r="R75" i="1"/>
  <c r="O81" i="1"/>
  <c r="R81" i="1"/>
  <c r="N93" i="1"/>
  <c r="S63" i="1"/>
  <c r="Q63" i="1"/>
  <c r="I34" i="5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N18" i="1"/>
  <c r="AA19" i="1" s="1"/>
  <c r="N256" i="1"/>
  <c r="N217" i="1"/>
  <c r="N201" i="1"/>
  <c r="N98" i="1"/>
  <c r="N325" i="1"/>
  <c r="N311" i="1"/>
  <c r="N275" i="1"/>
  <c r="N235" i="1"/>
  <c r="N208" i="1"/>
  <c r="N91" i="1"/>
  <c r="AA92" i="1" s="1"/>
  <c r="N166" i="1"/>
  <c r="N231" i="1"/>
  <c r="N130" i="1"/>
  <c r="N177" i="1"/>
  <c r="N272" i="1"/>
  <c r="N211" i="1"/>
  <c r="N359" i="1"/>
  <c r="N134" i="1"/>
  <c r="N85" i="1"/>
  <c r="AA86" i="1" s="1"/>
  <c r="N309" i="1"/>
  <c r="N267" i="1"/>
  <c r="N351" i="1"/>
  <c r="N115" i="1"/>
  <c r="N163" i="1"/>
  <c r="N227" i="1"/>
  <c r="N182" i="1"/>
  <c r="N96" i="1"/>
  <c r="N234" i="1"/>
  <c r="N291" i="1"/>
  <c r="N254" i="1"/>
  <c r="N268" i="1"/>
  <c r="N87" i="1"/>
  <c r="AA88" i="1" s="1"/>
  <c r="N179" i="1"/>
  <c r="N139" i="1"/>
  <c r="N296" i="1"/>
  <c r="N257" i="1"/>
  <c r="N110" i="1"/>
  <c r="N358" i="1"/>
  <c r="N295" i="1"/>
  <c r="N160" i="1"/>
  <c r="N200" i="1"/>
  <c r="N249" i="1"/>
  <c r="N247" i="1"/>
  <c r="N298" i="1"/>
  <c r="N245" i="1"/>
  <c r="N328" i="1"/>
  <c r="N88" i="1"/>
  <c r="AA89" i="1" s="1"/>
  <c r="N243" i="1"/>
  <c r="N262" i="1"/>
  <c r="N94" i="1"/>
  <c r="N330" i="1"/>
  <c r="N287" i="1"/>
  <c r="N261" i="1"/>
  <c r="N104" i="1"/>
  <c r="N215" i="1"/>
  <c r="N143" i="1"/>
  <c r="N228" i="1"/>
  <c r="N205" i="1"/>
  <c r="N132" i="1"/>
  <c r="N352" i="1"/>
  <c r="N237" i="1"/>
  <c r="N348" i="1"/>
  <c r="N164" i="1"/>
  <c r="N335" i="1"/>
  <c r="N260" i="1"/>
  <c r="N344" i="1"/>
  <c r="N181" i="1"/>
  <c r="N264" i="1"/>
  <c r="N343" i="1"/>
  <c r="N290" i="1"/>
  <c r="N239" i="1"/>
  <c r="N284" i="1"/>
  <c r="N185" i="1"/>
  <c r="N246" i="1"/>
  <c r="N193" i="1"/>
  <c r="N167" i="1"/>
  <c r="N151" i="1"/>
  <c r="N175" i="1"/>
  <c r="N111" i="1"/>
  <c r="N331" i="1"/>
  <c r="N340" i="1"/>
  <c r="N219" i="1"/>
  <c r="N107" i="1"/>
  <c r="N117" i="1"/>
  <c r="N89" i="1"/>
  <c r="AA90" i="1" s="1"/>
  <c r="N186" i="1"/>
  <c r="N269" i="1"/>
  <c r="N356" i="1"/>
  <c r="N79" i="1"/>
  <c r="AA80" i="1" s="1"/>
  <c r="N276" i="1"/>
  <c r="N266" i="1"/>
  <c r="N320" i="1"/>
  <c r="N354" i="1"/>
  <c r="N95" i="1"/>
  <c r="N188" i="1"/>
  <c r="N155" i="1"/>
  <c r="N303" i="1"/>
  <c r="N299" i="1"/>
  <c r="N138" i="1"/>
  <c r="N84" i="1"/>
  <c r="AA85" i="1" s="1"/>
  <c r="N306" i="1"/>
  <c r="N153" i="1"/>
  <c r="N124" i="1"/>
  <c r="N99" i="1"/>
  <c r="N271" i="1"/>
  <c r="N204" i="1"/>
  <c r="N252" i="1"/>
  <c r="N173" i="1"/>
  <c r="N118" i="1"/>
  <c r="N126" i="1"/>
  <c r="N190" i="1"/>
  <c r="N196" i="1"/>
  <c r="N355" i="1"/>
  <c r="N345" i="1"/>
  <c r="N140" i="1"/>
  <c r="N174" i="1"/>
  <c r="N339" i="1"/>
  <c r="N159" i="1"/>
  <c r="N316" i="1"/>
  <c r="N238" i="1"/>
  <c r="N278" i="1"/>
  <c r="N285" i="1"/>
  <c r="N310" i="1"/>
  <c r="N225" i="1"/>
  <c r="N286" i="1"/>
  <c r="N147" i="1"/>
  <c r="N131" i="1"/>
  <c r="N189" i="1"/>
  <c r="N170" i="1"/>
  <c r="N187" i="1"/>
  <c r="N129" i="1"/>
  <c r="N338" i="1"/>
  <c r="N148" i="1"/>
  <c r="N317" i="1"/>
  <c r="N128" i="1"/>
  <c r="N180" i="1"/>
  <c r="N213" i="1"/>
  <c r="N212" i="1"/>
  <c r="N113" i="1"/>
  <c r="N341" i="1"/>
  <c r="N336" i="1"/>
  <c r="N161" i="1"/>
  <c r="N244" i="1"/>
  <c r="N224" i="1"/>
  <c r="N248" i="1"/>
  <c r="N135" i="1"/>
  <c r="N259" i="1"/>
  <c r="N322" i="1"/>
  <c r="N209" i="1"/>
  <c r="N220" i="1"/>
  <c r="N226" i="1"/>
  <c r="N289" i="1"/>
  <c r="N152" i="1"/>
  <c r="N202" i="1"/>
  <c r="N362" i="1"/>
  <c r="N197" i="1"/>
  <c r="N319" i="1"/>
  <c r="N353" i="1"/>
  <c r="N314" i="1"/>
  <c r="N141" i="1"/>
  <c r="N350" i="1"/>
  <c r="N313" i="1"/>
  <c r="N121" i="1"/>
  <c r="N253" i="1"/>
  <c r="N233" i="1"/>
  <c r="N280" i="1"/>
  <c r="N304" i="1"/>
  <c r="N327" i="1"/>
  <c r="N305" i="1"/>
  <c r="N281" i="1"/>
  <c r="N172" i="1"/>
  <c r="N100" i="1"/>
  <c r="N145" i="1"/>
  <c r="N283" i="1"/>
  <c r="N300" i="1"/>
  <c r="N258" i="1"/>
  <c r="N178" i="1"/>
  <c r="N192" i="1"/>
  <c r="N230" i="1"/>
  <c r="N133" i="1"/>
  <c r="N109" i="1"/>
  <c r="N326" i="1"/>
  <c r="N206" i="1"/>
  <c r="N347" i="1"/>
  <c r="N321" i="1"/>
  <c r="N103" i="1"/>
  <c r="N279" i="1"/>
  <c r="N119" i="1"/>
  <c r="N240" i="1"/>
  <c r="N294" i="1"/>
  <c r="N149" i="1"/>
  <c r="N199" i="1"/>
  <c r="N136" i="1"/>
  <c r="N297" i="1"/>
  <c r="N241" i="1"/>
  <c r="N194" i="1"/>
  <c r="N307" i="1"/>
  <c r="N169" i="1"/>
  <c r="N165" i="1"/>
  <c r="N255" i="1"/>
  <c r="N137" i="1"/>
  <c r="N288" i="1"/>
  <c r="N274" i="1"/>
  <c r="N292" i="1"/>
  <c r="N90" i="1"/>
  <c r="N97" i="1"/>
  <c r="N92" i="1"/>
  <c r="N360" i="1"/>
  <c r="N329" i="1"/>
  <c r="N250" i="1"/>
  <c r="N142" i="1"/>
  <c r="N277" i="1"/>
  <c r="N156" i="1"/>
  <c r="N183" i="1"/>
  <c r="N122" i="1"/>
  <c r="N203" i="1"/>
  <c r="N223" i="1"/>
  <c r="N334" i="1"/>
  <c r="N222" i="1"/>
  <c r="N162" i="1"/>
  <c r="N242" i="1"/>
  <c r="N154" i="1"/>
  <c r="N324" i="1"/>
  <c r="N120" i="1"/>
  <c r="N114" i="1"/>
  <c r="N301" i="1"/>
  <c r="N102" i="1"/>
  <c r="N105" i="1"/>
  <c r="N198" i="1"/>
  <c r="N342" i="1"/>
  <c r="N171" i="1"/>
  <c r="N302" i="1"/>
  <c r="N216" i="1"/>
  <c r="N273" i="1"/>
  <c r="N346" i="1"/>
  <c r="N168" i="1"/>
  <c r="N207" i="1"/>
  <c r="N191" i="1"/>
  <c r="N265" i="1"/>
  <c r="N270" i="1"/>
  <c r="N337" i="1"/>
  <c r="N333" i="1"/>
  <c r="N158" i="1"/>
  <c r="N144" i="1"/>
  <c r="N315" i="1"/>
  <c r="N251" i="1"/>
  <c r="N349" i="1"/>
  <c r="N308" i="1"/>
  <c r="N318" i="1"/>
  <c r="N112" i="1"/>
  <c r="N218" i="1"/>
  <c r="N214" i="1"/>
  <c r="N232" i="1"/>
  <c r="N184" i="1"/>
  <c r="N210" i="1"/>
  <c r="N332" i="1"/>
  <c r="N125" i="1"/>
  <c r="N106" i="1"/>
  <c r="N127" i="1"/>
  <c r="N357" i="1"/>
  <c r="N101" i="1"/>
  <c r="N176" i="1"/>
  <c r="N108" i="1"/>
  <c r="N195" i="1"/>
  <c r="N157" i="1"/>
  <c r="N282" i="1"/>
  <c r="N123" i="1"/>
  <c r="N236" i="1"/>
  <c r="N229" i="1"/>
  <c r="N323" i="1"/>
  <c r="N150" i="1"/>
  <c r="N221" i="1"/>
  <c r="N146" i="1"/>
  <c r="N116" i="1"/>
  <c r="N293" i="1"/>
  <c r="N263" i="1"/>
  <c r="N361" i="1"/>
  <c r="N312" i="1"/>
  <c r="N68" i="1"/>
  <c r="AA69" i="1" s="1"/>
  <c r="N65" i="1"/>
  <c r="AA66" i="1" s="1"/>
  <c r="N70" i="1"/>
  <c r="AA71" i="1" s="1"/>
  <c r="N74" i="1"/>
  <c r="AA75" i="1" s="1"/>
  <c r="N73" i="1"/>
  <c r="AA74" i="1" s="1"/>
  <c r="N72" i="1"/>
  <c r="AA73" i="1" s="1"/>
  <c r="N86" i="1"/>
  <c r="AA87" i="1" s="1"/>
  <c r="N77" i="1"/>
  <c r="AA78" i="1" s="1"/>
  <c r="N83" i="1"/>
  <c r="AA84" i="1" s="1"/>
  <c r="N76" i="1"/>
  <c r="AA77" i="1" s="1"/>
  <c r="N82" i="1"/>
  <c r="AA83" i="1" s="1"/>
  <c r="S71" i="1"/>
  <c r="Q71" i="1"/>
  <c r="S80" i="1"/>
  <c r="Q80" i="1"/>
  <c r="I92" i="1"/>
  <c r="Q75" i="1" l="1"/>
  <c r="Q78" i="1"/>
  <c r="AD81" i="1"/>
  <c r="AB82" i="1" s="1"/>
  <c r="Y82" i="1" s="1"/>
  <c r="AD63" i="1"/>
  <c r="AB64" i="1" s="1"/>
  <c r="Y64" i="1" s="1"/>
  <c r="AE64" i="1" s="1"/>
  <c r="AF64" i="1" s="1"/>
  <c r="AG64" i="1" s="1"/>
  <c r="AD80" i="1"/>
  <c r="AB81" i="1" s="1"/>
  <c r="Y81" i="1" s="1"/>
  <c r="AE81" i="1" s="1"/>
  <c r="AF81" i="1" s="1"/>
  <c r="AG81" i="1" s="1"/>
  <c r="AD71" i="1"/>
  <c r="AB72" i="1" s="1"/>
  <c r="Y72" i="1" s="1"/>
  <c r="L92" i="1"/>
  <c r="M92" i="1" s="1"/>
  <c r="O92" i="1" s="1"/>
  <c r="AD75" i="1"/>
  <c r="AB76" i="1" s="1"/>
  <c r="Y76" i="1" s="1"/>
  <c r="AD78" i="1"/>
  <c r="AB79" i="1" s="1"/>
  <c r="Y79" i="1" s="1"/>
  <c r="AD66" i="1"/>
  <c r="AB67" i="1" s="1"/>
  <c r="Y67" i="1" s="1"/>
  <c r="AE67" i="1" s="1"/>
  <c r="AF67" i="1" s="1"/>
  <c r="AG67" i="1" s="1"/>
  <c r="AP11" i="1"/>
  <c r="AK12" i="1"/>
  <c r="AN12" i="1" s="1"/>
  <c r="Q81" i="1"/>
  <c r="AE63" i="1"/>
  <c r="AF56" i="1"/>
  <c r="AG56" i="1" s="1"/>
  <c r="O91" i="1"/>
  <c r="AA91" i="1"/>
  <c r="AF54" i="1"/>
  <c r="AG54" i="1" s="1"/>
  <c r="AF52" i="1"/>
  <c r="AG52" i="1" s="1"/>
  <c r="AF59" i="1"/>
  <c r="AG59" i="1" s="1"/>
  <c r="P93" i="1"/>
  <c r="R93" i="1"/>
  <c r="P65" i="1"/>
  <c r="R65" i="1"/>
  <c r="O65" i="1"/>
  <c r="O66" i="1"/>
  <c r="P221" i="1"/>
  <c r="R221" i="1"/>
  <c r="P195" i="1"/>
  <c r="R195" i="1"/>
  <c r="P332" i="1"/>
  <c r="R332" i="1"/>
  <c r="P308" i="1"/>
  <c r="R308" i="1"/>
  <c r="P270" i="1"/>
  <c r="R270" i="1"/>
  <c r="P302" i="1"/>
  <c r="R302" i="1"/>
  <c r="P120" i="1"/>
  <c r="R120" i="1"/>
  <c r="P203" i="1"/>
  <c r="R203" i="1"/>
  <c r="P360" i="1"/>
  <c r="R360" i="1"/>
  <c r="P255" i="1"/>
  <c r="R255" i="1"/>
  <c r="P199" i="1"/>
  <c r="R199" i="1"/>
  <c r="P347" i="1"/>
  <c r="R347" i="1"/>
  <c r="P258" i="1"/>
  <c r="R258" i="1"/>
  <c r="P327" i="1"/>
  <c r="R327" i="1"/>
  <c r="P141" i="1"/>
  <c r="R141" i="1"/>
  <c r="P289" i="1"/>
  <c r="R289" i="1"/>
  <c r="P224" i="1"/>
  <c r="R224" i="1"/>
  <c r="P180" i="1"/>
  <c r="R180" i="1"/>
  <c r="P189" i="1"/>
  <c r="R189" i="1"/>
  <c r="P238" i="1"/>
  <c r="R238" i="1"/>
  <c r="P196" i="1"/>
  <c r="R196" i="1"/>
  <c r="P99" i="1"/>
  <c r="R99" i="1"/>
  <c r="P155" i="1"/>
  <c r="R155" i="1"/>
  <c r="P356" i="1"/>
  <c r="R356" i="1"/>
  <c r="P331" i="1"/>
  <c r="R331" i="1"/>
  <c r="P284" i="1"/>
  <c r="R284" i="1"/>
  <c r="P335" i="1"/>
  <c r="R335" i="1"/>
  <c r="P143" i="1"/>
  <c r="R143" i="1"/>
  <c r="P243" i="1"/>
  <c r="R243" i="1"/>
  <c r="P160" i="1"/>
  <c r="R160" i="1"/>
  <c r="P87" i="1"/>
  <c r="R87" i="1"/>
  <c r="O87" i="1"/>
  <c r="P163" i="1"/>
  <c r="R163" i="1"/>
  <c r="P211" i="1"/>
  <c r="R211" i="1"/>
  <c r="P235" i="1"/>
  <c r="R235" i="1"/>
  <c r="P18" i="1"/>
  <c r="R18" i="1"/>
  <c r="O18" i="1"/>
  <c r="O19" i="1"/>
  <c r="P150" i="1"/>
  <c r="R150" i="1"/>
  <c r="P324" i="1"/>
  <c r="R324" i="1"/>
  <c r="P122" i="1"/>
  <c r="R122" i="1"/>
  <c r="P92" i="1"/>
  <c r="R92" i="1"/>
  <c r="P165" i="1"/>
  <c r="R165" i="1"/>
  <c r="P149" i="1"/>
  <c r="R149" i="1"/>
  <c r="P206" i="1"/>
  <c r="R206" i="1"/>
  <c r="P300" i="1"/>
  <c r="R300" i="1"/>
  <c r="P304" i="1"/>
  <c r="R304" i="1"/>
  <c r="P314" i="1"/>
  <c r="R314" i="1"/>
  <c r="P226" i="1"/>
  <c r="R226" i="1"/>
  <c r="P244" i="1"/>
  <c r="R244" i="1"/>
  <c r="P128" i="1"/>
  <c r="R128" i="1"/>
  <c r="P131" i="1"/>
  <c r="R131" i="1"/>
  <c r="P316" i="1"/>
  <c r="R316" i="1"/>
  <c r="P190" i="1"/>
  <c r="R190" i="1"/>
  <c r="P124" i="1"/>
  <c r="R124" i="1"/>
  <c r="P188" i="1"/>
  <c r="R188" i="1"/>
  <c r="P269" i="1"/>
  <c r="R269" i="1"/>
  <c r="P111" i="1"/>
  <c r="R111" i="1"/>
  <c r="P239" i="1"/>
  <c r="R239" i="1"/>
  <c r="P164" i="1"/>
  <c r="R164" i="1"/>
  <c r="P215" i="1"/>
  <c r="R215" i="1"/>
  <c r="P88" i="1"/>
  <c r="R88" i="1"/>
  <c r="O88" i="1"/>
  <c r="P295" i="1"/>
  <c r="R295" i="1"/>
  <c r="P268" i="1"/>
  <c r="R268" i="1"/>
  <c r="P115" i="1"/>
  <c r="R115" i="1"/>
  <c r="P272" i="1"/>
  <c r="R272" i="1"/>
  <c r="P275" i="1"/>
  <c r="R275" i="1"/>
  <c r="P210" i="1"/>
  <c r="R210" i="1"/>
  <c r="P312" i="1"/>
  <c r="R312" i="1"/>
  <c r="P323" i="1"/>
  <c r="R323" i="1"/>
  <c r="P176" i="1"/>
  <c r="R176" i="1"/>
  <c r="P184" i="1"/>
  <c r="R184" i="1"/>
  <c r="P251" i="1"/>
  <c r="R251" i="1"/>
  <c r="P191" i="1"/>
  <c r="R191" i="1"/>
  <c r="P342" i="1"/>
  <c r="R342" i="1"/>
  <c r="P154" i="1"/>
  <c r="R154" i="1"/>
  <c r="P183" i="1"/>
  <c r="R183" i="1"/>
  <c r="P97" i="1"/>
  <c r="R97" i="1"/>
  <c r="P169" i="1"/>
  <c r="R169" i="1"/>
  <c r="P294" i="1"/>
  <c r="R294" i="1"/>
  <c r="P326" i="1"/>
  <c r="R326" i="1"/>
  <c r="P283" i="1"/>
  <c r="R283" i="1"/>
  <c r="P280" i="1"/>
  <c r="R280" i="1"/>
  <c r="P353" i="1"/>
  <c r="R353" i="1"/>
  <c r="P220" i="1"/>
  <c r="R220" i="1"/>
  <c r="P161" i="1"/>
  <c r="R161" i="1"/>
  <c r="P317" i="1"/>
  <c r="R317" i="1"/>
  <c r="P147" i="1"/>
  <c r="R147" i="1"/>
  <c r="P159" i="1"/>
  <c r="R159" i="1"/>
  <c r="P126" i="1"/>
  <c r="R126" i="1"/>
  <c r="P153" i="1"/>
  <c r="R153" i="1"/>
  <c r="P95" i="1"/>
  <c r="R95" i="1"/>
  <c r="P186" i="1"/>
  <c r="R186" i="1"/>
  <c r="P175" i="1"/>
  <c r="R175" i="1"/>
  <c r="P290" i="1"/>
  <c r="R290" i="1"/>
  <c r="P348" i="1"/>
  <c r="R348" i="1"/>
  <c r="P104" i="1"/>
  <c r="R104" i="1"/>
  <c r="P328" i="1"/>
  <c r="R328" i="1"/>
  <c r="P358" i="1"/>
  <c r="R358" i="1"/>
  <c r="P254" i="1"/>
  <c r="R254" i="1"/>
  <c r="P351" i="1"/>
  <c r="R351" i="1"/>
  <c r="P177" i="1"/>
  <c r="R177" i="1"/>
  <c r="P311" i="1"/>
  <c r="R311" i="1"/>
  <c r="P76" i="1"/>
  <c r="R76" i="1"/>
  <c r="O76" i="1"/>
  <c r="P108" i="1"/>
  <c r="R108" i="1"/>
  <c r="P361" i="1"/>
  <c r="R361" i="1"/>
  <c r="P229" i="1"/>
  <c r="R229" i="1"/>
  <c r="P101" i="1"/>
  <c r="R101" i="1"/>
  <c r="P232" i="1"/>
  <c r="R232" i="1"/>
  <c r="P315" i="1"/>
  <c r="R315" i="1"/>
  <c r="P207" i="1"/>
  <c r="R207" i="1"/>
  <c r="P198" i="1"/>
  <c r="R198" i="1"/>
  <c r="P242" i="1"/>
  <c r="R242" i="1"/>
  <c r="P156" i="1"/>
  <c r="R156" i="1"/>
  <c r="P90" i="1"/>
  <c r="R90" i="1"/>
  <c r="O90" i="1"/>
  <c r="P307" i="1"/>
  <c r="R307" i="1"/>
  <c r="P240" i="1"/>
  <c r="R240" i="1"/>
  <c r="P109" i="1"/>
  <c r="R109" i="1"/>
  <c r="P145" i="1"/>
  <c r="R145" i="1"/>
  <c r="P233" i="1"/>
  <c r="R233" i="1"/>
  <c r="P319" i="1"/>
  <c r="R319" i="1"/>
  <c r="P209" i="1"/>
  <c r="R209" i="1"/>
  <c r="P336" i="1"/>
  <c r="R336" i="1"/>
  <c r="P148" i="1"/>
  <c r="R148" i="1"/>
  <c r="P286" i="1"/>
  <c r="R286" i="1"/>
  <c r="P339" i="1"/>
  <c r="R339" i="1"/>
  <c r="P118" i="1"/>
  <c r="R118" i="1"/>
  <c r="P306" i="1"/>
  <c r="R306" i="1"/>
  <c r="P354" i="1"/>
  <c r="R354" i="1"/>
  <c r="P89" i="1"/>
  <c r="R89" i="1"/>
  <c r="O89" i="1"/>
  <c r="P151" i="1"/>
  <c r="R151" i="1"/>
  <c r="P343" i="1"/>
  <c r="R343" i="1"/>
  <c r="P237" i="1"/>
  <c r="R237" i="1"/>
  <c r="P261" i="1"/>
  <c r="R261" i="1"/>
  <c r="P245" i="1"/>
  <c r="R245" i="1"/>
  <c r="P110" i="1"/>
  <c r="R110" i="1"/>
  <c r="P291" i="1"/>
  <c r="R291" i="1"/>
  <c r="P267" i="1"/>
  <c r="R267" i="1"/>
  <c r="P130" i="1"/>
  <c r="R130" i="1"/>
  <c r="P325" i="1"/>
  <c r="R325" i="1"/>
  <c r="P68" i="1"/>
  <c r="R68" i="1"/>
  <c r="O68" i="1"/>
  <c r="O69" i="1"/>
  <c r="P171" i="1"/>
  <c r="R171" i="1"/>
  <c r="P236" i="1"/>
  <c r="R236" i="1"/>
  <c r="P357" i="1"/>
  <c r="R357" i="1"/>
  <c r="P214" i="1"/>
  <c r="R214" i="1"/>
  <c r="P144" i="1"/>
  <c r="R144" i="1"/>
  <c r="P168" i="1"/>
  <c r="R168" i="1"/>
  <c r="P105" i="1"/>
  <c r="R105" i="1"/>
  <c r="P162" i="1"/>
  <c r="R162" i="1"/>
  <c r="P277" i="1"/>
  <c r="R277" i="1"/>
  <c r="P292" i="1"/>
  <c r="R292" i="1"/>
  <c r="P194" i="1"/>
  <c r="R194" i="1"/>
  <c r="P119" i="1"/>
  <c r="R119" i="1"/>
  <c r="P133" i="1"/>
  <c r="R133" i="1"/>
  <c r="P100" i="1"/>
  <c r="R100" i="1"/>
  <c r="P253" i="1"/>
  <c r="R253" i="1"/>
  <c r="P197" i="1"/>
  <c r="R197" i="1"/>
  <c r="P322" i="1"/>
  <c r="R322" i="1"/>
  <c r="P341" i="1"/>
  <c r="R341" i="1"/>
  <c r="P338" i="1"/>
  <c r="R338" i="1"/>
  <c r="P225" i="1"/>
  <c r="R225" i="1"/>
  <c r="P174" i="1"/>
  <c r="R174" i="1"/>
  <c r="P173" i="1"/>
  <c r="R173" i="1"/>
  <c r="P84" i="1"/>
  <c r="R84" i="1"/>
  <c r="O84" i="1"/>
  <c r="P320" i="1"/>
  <c r="R320" i="1"/>
  <c r="P117" i="1"/>
  <c r="R117" i="1"/>
  <c r="P167" i="1"/>
  <c r="R167" i="1"/>
  <c r="P264" i="1"/>
  <c r="R264" i="1"/>
  <c r="P352" i="1"/>
  <c r="R352" i="1"/>
  <c r="P287" i="1"/>
  <c r="R287" i="1"/>
  <c r="P298" i="1"/>
  <c r="R298" i="1"/>
  <c r="P257" i="1"/>
  <c r="R257" i="1"/>
  <c r="P234" i="1"/>
  <c r="R234" i="1"/>
  <c r="P309" i="1"/>
  <c r="R309" i="1"/>
  <c r="P231" i="1"/>
  <c r="R231" i="1"/>
  <c r="P98" i="1"/>
  <c r="R98" i="1"/>
  <c r="P265" i="1"/>
  <c r="R265" i="1"/>
  <c r="P86" i="1"/>
  <c r="R86" i="1"/>
  <c r="O86" i="1"/>
  <c r="P72" i="1"/>
  <c r="R72" i="1"/>
  <c r="O72" i="1"/>
  <c r="P73" i="1"/>
  <c r="R73" i="1"/>
  <c r="O73" i="1"/>
  <c r="P293" i="1"/>
  <c r="R293" i="1"/>
  <c r="P123" i="1"/>
  <c r="R123" i="1"/>
  <c r="P127" i="1"/>
  <c r="R127" i="1"/>
  <c r="P218" i="1"/>
  <c r="R218" i="1"/>
  <c r="P158" i="1"/>
  <c r="R158" i="1"/>
  <c r="P346" i="1"/>
  <c r="R346" i="1"/>
  <c r="P102" i="1"/>
  <c r="R102" i="1"/>
  <c r="P222" i="1"/>
  <c r="R222" i="1"/>
  <c r="P142" i="1"/>
  <c r="R142" i="1"/>
  <c r="P274" i="1"/>
  <c r="R274" i="1"/>
  <c r="P241" i="1"/>
  <c r="R241" i="1"/>
  <c r="P279" i="1"/>
  <c r="R279" i="1"/>
  <c r="P230" i="1"/>
  <c r="R230" i="1"/>
  <c r="P172" i="1"/>
  <c r="R172" i="1"/>
  <c r="P121" i="1"/>
  <c r="R121" i="1"/>
  <c r="P362" i="1"/>
  <c r="R362" i="1"/>
  <c r="P259" i="1"/>
  <c r="R259" i="1"/>
  <c r="P113" i="1"/>
  <c r="R113" i="1"/>
  <c r="P129" i="1"/>
  <c r="R129" i="1"/>
  <c r="P310" i="1"/>
  <c r="R310" i="1"/>
  <c r="P140" i="1"/>
  <c r="R140" i="1"/>
  <c r="P252" i="1"/>
  <c r="R252" i="1"/>
  <c r="P138" i="1"/>
  <c r="R138" i="1"/>
  <c r="P266" i="1"/>
  <c r="R266" i="1"/>
  <c r="P107" i="1"/>
  <c r="R107" i="1"/>
  <c r="P193" i="1"/>
  <c r="R193" i="1"/>
  <c r="P181" i="1"/>
  <c r="R181" i="1"/>
  <c r="P132" i="1"/>
  <c r="R132" i="1"/>
  <c r="P330" i="1"/>
  <c r="R330" i="1"/>
  <c r="P247" i="1"/>
  <c r="R247" i="1"/>
  <c r="P296" i="1"/>
  <c r="R296" i="1"/>
  <c r="P96" i="1"/>
  <c r="R96" i="1"/>
  <c r="P85" i="1"/>
  <c r="R85" i="1"/>
  <c r="O85" i="1"/>
  <c r="P166" i="1"/>
  <c r="R166" i="1"/>
  <c r="P201" i="1"/>
  <c r="R201" i="1"/>
  <c r="P349" i="1"/>
  <c r="R349" i="1"/>
  <c r="P77" i="1"/>
  <c r="R77" i="1"/>
  <c r="O77" i="1"/>
  <c r="O78" i="1"/>
  <c r="P263" i="1"/>
  <c r="R263" i="1"/>
  <c r="P74" i="1"/>
  <c r="R74" i="1"/>
  <c r="O74" i="1"/>
  <c r="O75" i="1"/>
  <c r="P116" i="1"/>
  <c r="R116" i="1"/>
  <c r="P282" i="1"/>
  <c r="R282" i="1"/>
  <c r="P106" i="1"/>
  <c r="R106" i="1"/>
  <c r="P112" i="1"/>
  <c r="R112" i="1"/>
  <c r="P333" i="1"/>
  <c r="R333" i="1"/>
  <c r="P273" i="1"/>
  <c r="R273" i="1"/>
  <c r="P301" i="1"/>
  <c r="R301" i="1"/>
  <c r="P334" i="1"/>
  <c r="R334" i="1"/>
  <c r="P250" i="1"/>
  <c r="R250" i="1"/>
  <c r="P288" i="1"/>
  <c r="R288" i="1"/>
  <c r="P297" i="1"/>
  <c r="R297" i="1"/>
  <c r="P103" i="1"/>
  <c r="R103" i="1"/>
  <c r="P192" i="1"/>
  <c r="R192" i="1"/>
  <c r="P281" i="1"/>
  <c r="R281" i="1"/>
  <c r="P313" i="1"/>
  <c r="R313" i="1"/>
  <c r="P202" i="1"/>
  <c r="R202" i="1"/>
  <c r="P135" i="1"/>
  <c r="R135" i="1"/>
  <c r="P212" i="1"/>
  <c r="R212" i="1"/>
  <c r="P187" i="1"/>
  <c r="R187" i="1"/>
  <c r="P285" i="1"/>
  <c r="R285" i="1"/>
  <c r="P345" i="1"/>
  <c r="R345" i="1"/>
  <c r="P204" i="1"/>
  <c r="R204" i="1"/>
  <c r="P299" i="1"/>
  <c r="R299" i="1"/>
  <c r="P276" i="1"/>
  <c r="R276" i="1"/>
  <c r="P219" i="1"/>
  <c r="R219" i="1"/>
  <c r="P246" i="1"/>
  <c r="R246" i="1"/>
  <c r="P344" i="1"/>
  <c r="R344" i="1"/>
  <c r="P205" i="1"/>
  <c r="R205" i="1"/>
  <c r="P94" i="1"/>
  <c r="R94" i="1"/>
  <c r="P249" i="1"/>
  <c r="R249" i="1"/>
  <c r="P139" i="1"/>
  <c r="R139" i="1"/>
  <c r="P182" i="1"/>
  <c r="R182" i="1"/>
  <c r="P134" i="1"/>
  <c r="R134" i="1"/>
  <c r="P91" i="1"/>
  <c r="R91" i="1"/>
  <c r="P217" i="1"/>
  <c r="R217" i="1"/>
  <c r="P83" i="1"/>
  <c r="R83" i="1"/>
  <c r="O83" i="1"/>
  <c r="P82" i="1"/>
  <c r="R82" i="1"/>
  <c r="O82" i="1"/>
  <c r="P70" i="1"/>
  <c r="R70" i="1"/>
  <c r="O70" i="1"/>
  <c r="O71" i="1"/>
  <c r="P146" i="1"/>
  <c r="R146" i="1"/>
  <c r="P157" i="1"/>
  <c r="R157" i="1"/>
  <c r="P125" i="1"/>
  <c r="R125" i="1"/>
  <c r="P318" i="1"/>
  <c r="R318" i="1"/>
  <c r="P337" i="1"/>
  <c r="R337" i="1"/>
  <c r="P216" i="1"/>
  <c r="R216" i="1"/>
  <c r="P114" i="1"/>
  <c r="R114" i="1"/>
  <c r="P223" i="1"/>
  <c r="R223" i="1"/>
  <c r="P329" i="1"/>
  <c r="R329" i="1"/>
  <c r="P137" i="1"/>
  <c r="R137" i="1"/>
  <c r="P136" i="1"/>
  <c r="R136" i="1"/>
  <c r="P321" i="1"/>
  <c r="R321" i="1"/>
  <c r="P178" i="1"/>
  <c r="R178" i="1"/>
  <c r="P305" i="1"/>
  <c r="R305" i="1"/>
  <c r="P350" i="1"/>
  <c r="R350" i="1"/>
  <c r="P152" i="1"/>
  <c r="R152" i="1"/>
  <c r="P248" i="1"/>
  <c r="R248" i="1"/>
  <c r="P213" i="1"/>
  <c r="R213" i="1"/>
  <c r="P170" i="1"/>
  <c r="R170" i="1"/>
  <c r="P278" i="1"/>
  <c r="R278" i="1"/>
  <c r="P355" i="1"/>
  <c r="R355" i="1"/>
  <c r="P271" i="1"/>
  <c r="R271" i="1"/>
  <c r="P303" i="1"/>
  <c r="R303" i="1"/>
  <c r="P79" i="1"/>
  <c r="R79" i="1"/>
  <c r="O79" i="1"/>
  <c r="O80" i="1"/>
  <c r="P340" i="1"/>
  <c r="R340" i="1"/>
  <c r="P185" i="1"/>
  <c r="R185" i="1"/>
  <c r="P260" i="1"/>
  <c r="R260" i="1"/>
  <c r="P228" i="1"/>
  <c r="R228" i="1"/>
  <c r="P262" i="1"/>
  <c r="R262" i="1"/>
  <c r="P200" i="1"/>
  <c r="R200" i="1"/>
  <c r="P179" i="1"/>
  <c r="R179" i="1"/>
  <c r="P227" i="1"/>
  <c r="R227" i="1"/>
  <c r="P359" i="1"/>
  <c r="R359" i="1"/>
  <c r="P208" i="1"/>
  <c r="R208" i="1"/>
  <c r="P256" i="1"/>
  <c r="R256" i="1"/>
  <c r="Q92" i="1" l="1"/>
  <c r="I93" i="1"/>
  <c r="V93" i="1"/>
  <c r="AC93" i="1" s="1"/>
  <c r="AP12" i="1"/>
  <c r="AA93" i="1"/>
  <c r="L93" i="1"/>
  <c r="M93" i="1" s="1"/>
  <c r="AK13" i="1"/>
  <c r="AN13" i="1" s="1"/>
  <c r="S92" i="1"/>
  <c r="AD92" i="1" s="1"/>
  <c r="AF63" i="1"/>
  <c r="AG63" i="1" s="1"/>
  <c r="S90" i="1"/>
  <c r="Q90" i="1"/>
  <c r="S83" i="1"/>
  <c r="Q83" i="1"/>
  <c r="S77" i="1"/>
  <c r="Q77" i="1"/>
  <c r="S89" i="1"/>
  <c r="Q89" i="1"/>
  <c r="S85" i="1"/>
  <c r="Q85" i="1"/>
  <c r="S72" i="1"/>
  <c r="AD72" i="1" s="1"/>
  <c r="Q72" i="1"/>
  <c r="S84" i="1"/>
  <c r="Q84" i="1"/>
  <c r="S68" i="1"/>
  <c r="AD68" i="1" s="1"/>
  <c r="Q68" i="1"/>
  <c r="S74" i="1"/>
  <c r="Q74" i="1"/>
  <c r="S70" i="1"/>
  <c r="AD70" i="1" s="1"/>
  <c r="Q70" i="1"/>
  <c r="S88" i="1"/>
  <c r="Q88" i="1"/>
  <c r="Q79" i="1"/>
  <c r="S79" i="1"/>
  <c r="S73" i="1"/>
  <c r="Q73" i="1"/>
  <c r="S86" i="1"/>
  <c r="Q86" i="1"/>
  <c r="Q91" i="1"/>
  <c r="S91" i="1"/>
  <c r="S82" i="1"/>
  <c r="AD82" i="1" s="1"/>
  <c r="Q82" i="1"/>
  <c r="S18" i="1"/>
  <c r="AD18" i="1" s="1"/>
  <c r="Q18" i="1"/>
  <c r="S76" i="1"/>
  <c r="Q76" i="1"/>
  <c r="S87" i="1"/>
  <c r="Q87" i="1"/>
  <c r="S65" i="1"/>
  <c r="AD65" i="1" s="1"/>
  <c r="Q65" i="1"/>
  <c r="AD79" i="1" l="1"/>
  <c r="AB80" i="1" s="1"/>
  <c r="Y80" i="1" s="1"/>
  <c r="AE80" i="1" s="1"/>
  <c r="AF80" i="1" s="1"/>
  <c r="AG80" i="1" s="1"/>
  <c r="AD87" i="1"/>
  <c r="AB88" i="1" s="1"/>
  <c r="Y88" i="1" s="1"/>
  <c r="AE88" i="1" s="1"/>
  <c r="AF88" i="1" s="1"/>
  <c r="AD84" i="1"/>
  <c r="AB85" i="1" s="1"/>
  <c r="Y85" i="1" s="1"/>
  <c r="AE85" i="1" s="1"/>
  <c r="AD86" i="1"/>
  <c r="AB87" i="1" s="1"/>
  <c r="Y87" i="1" s="1"/>
  <c r="AE87" i="1" s="1"/>
  <c r="AD89" i="1"/>
  <c r="AB90" i="1" s="1"/>
  <c r="Y90" i="1" s="1"/>
  <c r="AE90" i="1" s="1"/>
  <c r="AD91" i="1"/>
  <c r="AB92" i="1" s="1"/>
  <c r="Y92" i="1" s="1"/>
  <c r="AE92" i="1" s="1"/>
  <c r="AF92" i="1" s="1"/>
  <c r="AG92" i="1" s="1"/>
  <c r="AD88" i="1"/>
  <c r="AB89" i="1" s="1"/>
  <c r="Y89" i="1" s="1"/>
  <c r="AE89" i="1" s="1"/>
  <c r="AD77" i="1"/>
  <c r="AB78" i="1" s="1"/>
  <c r="Y78" i="1" s="1"/>
  <c r="AE78" i="1" s="1"/>
  <c r="AF78" i="1" s="1"/>
  <c r="AG78" i="1" s="1"/>
  <c r="AD76" i="1"/>
  <c r="AB77" i="1" s="1"/>
  <c r="Y77" i="1" s="1"/>
  <c r="AE77" i="1" s="1"/>
  <c r="AF77" i="1" s="1"/>
  <c r="AG77" i="1" s="1"/>
  <c r="AD83" i="1"/>
  <c r="AB84" i="1" s="1"/>
  <c r="Y84" i="1" s="1"/>
  <c r="AE84" i="1" s="1"/>
  <c r="AD73" i="1"/>
  <c r="AB74" i="1" s="1"/>
  <c r="Y74" i="1" s="1"/>
  <c r="AE74" i="1" s="1"/>
  <c r="AF74" i="1" s="1"/>
  <c r="AG74" i="1" s="1"/>
  <c r="AD74" i="1"/>
  <c r="AB75" i="1" s="1"/>
  <c r="Y75" i="1" s="1"/>
  <c r="AE75" i="1" s="1"/>
  <c r="AF75" i="1" s="1"/>
  <c r="AG75" i="1" s="1"/>
  <c r="AD85" i="1"/>
  <c r="AB86" i="1" s="1"/>
  <c r="Y86" i="1" s="1"/>
  <c r="AE86" i="1" s="1"/>
  <c r="AF86" i="1" s="1"/>
  <c r="AG86" i="1" s="1"/>
  <c r="AD90" i="1"/>
  <c r="AB91" i="1" s="1"/>
  <c r="Y91" i="1" s="1"/>
  <c r="AE91" i="1" s="1"/>
  <c r="AF91" i="1" s="1"/>
  <c r="AG91" i="1" s="1"/>
  <c r="AD93" i="1"/>
  <c r="AB93" i="1"/>
  <c r="Y93" i="1" s="1"/>
  <c r="AA94" i="1"/>
  <c r="V94" i="1"/>
  <c r="AC94" i="1" s="1"/>
  <c r="Q93" i="1"/>
  <c r="S93" i="1"/>
  <c r="AP13" i="1"/>
  <c r="AE76" i="1"/>
  <c r="AF76" i="1" s="1"/>
  <c r="AG76" i="1" s="1"/>
  <c r="AB66" i="1"/>
  <c r="Y66" i="1" s="1"/>
  <c r="AE66" i="1" s="1"/>
  <c r="AE65" i="1"/>
  <c r="AB83" i="1"/>
  <c r="Y83" i="1" s="1"/>
  <c r="AE83" i="1" s="1"/>
  <c r="AE82" i="1"/>
  <c r="AB69" i="1"/>
  <c r="Y69" i="1" s="1"/>
  <c r="AE69" i="1" s="1"/>
  <c r="AE68" i="1"/>
  <c r="AB71" i="1"/>
  <c r="Y71" i="1" s="1"/>
  <c r="AE71" i="1" s="1"/>
  <c r="AE70" i="1"/>
  <c r="AB73" i="1"/>
  <c r="Y73" i="1" s="1"/>
  <c r="AE73" i="1" s="1"/>
  <c r="AE72" i="1"/>
  <c r="AE79" i="1"/>
  <c r="AB19" i="1"/>
  <c r="Y19" i="1" s="1"/>
  <c r="AE19" i="1" s="1"/>
  <c r="AE18" i="1"/>
  <c r="O93" i="1"/>
  <c r="I94" i="1"/>
  <c r="L94" i="1" l="1"/>
  <c r="AB94" i="1"/>
  <c r="Y94" i="1" s="1"/>
  <c r="AE93" i="1"/>
  <c r="AF93" i="1" s="1"/>
  <c r="AG93" i="1" s="1"/>
  <c r="AG88" i="1"/>
  <c r="AF68" i="1"/>
  <c r="AG68" i="1" s="1"/>
  <c r="AF19" i="1"/>
  <c r="AG19" i="1" s="1"/>
  <c r="AF84" i="1"/>
  <c r="AG84" i="1" s="1"/>
  <c r="AF83" i="1"/>
  <c r="AG83" i="1" s="1"/>
  <c r="AF79" i="1"/>
  <c r="AG79" i="1" s="1"/>
  <c r="AF72" i="1"/>
  <c r="AG72" i="1" s="1"/>
  <c r="AF90" i="1"/>
  <c r="AG90" i="1" s="1"/>
  <c r="AF70" i="1"/>
  <c r="AG70" i="1" s="1"/>
  <c r="AF65" i="1"/>
  <c r="AG65" i="1" s="1"/>
  <c r="AF69" i="1"/>
  <c r="AG69" i="1" s="1"/>
  <c r="AF82" i="1"/>
  <c r="AG82" i="1" s="1"/>
  <c r="AF85" i="1"/>
  <c r="AG85" i="1" s="1"/>
  <c r="AF87" i="1"/>
  <c r="AG87" i="1" s="1"/>
  <c r="AF18" i="1"/>
  <c r="AG18" i="1" s="1"/>
  <c r="AF73" i="1"/>
  <c r="AG73" i="1" s="1"/>
  <c r="AF71" i="1"/>
  <c r="AG71" i="1" s="1"/>
  <c r="AF66" i="1"/>
  <c r="AG66" i="1" s="1"/>
  <c r="AF89" i="1"/>
  <c r="AG89" i="1" s="1"/>
  <c r="S94" i="1"/>
  <c r="AD94" i="1" s="1"/>
  <c r="Q94" i="1"/>
  <c r="M94" i="1"/>
  <c r="AA95" i="1" l="1"/>
  <c r="V95" i="1"/>
  <c r="AC95" i="1" s="1"/>
  <c r="AK15" i="1"/>
  <c r="AN15" i="1" s="1"/>
  <c r="AK14" i="1"/>
  <c r="AN14" i="1" s="1"/>
  <c r="AK10" i="1"/>
  <c r="O94" i="1"/>
  <c r="AE94" i="1" s="1"/>
  <c r="I95" i="1"/>
  <c r="AP10" i="1" l="1"/>
  <c r="AN10" i="1"/>
  <c r="AQ11" i="1" s="1"/>
  <c r="AR11" i="1" s="1"/>
  <c r="AB95" i="1"/>
  <c r="Y95" i="1" s="1"/>
  <c r="AP14" i="1"/>
  <c r="AP15" i="1"/>
  <c r="AF94" i="1"/>
  <c r="AG94" i="1" s="1"/>
  <c r="L95" i="1"/>
  <c r="AQ14" i="1" l="1"/>
  <c r="AR14" i="1" s="1"/>
  <c r="AQ15" i="1"/>
  <c r="AR15" i="1" s="1"/>
  <c r="AQ10" i="1"/>
  <c r="AR10" i="1" s="1"/>
  <c r="AQ13" i="1"/>
  <c r="AR13" i="1" s="1"/>
  <c r="AQ12" i="1"/>
  <c r="AR12" i="1" s="1"/>
  <c r="S95" i="1"/>
  <c r="AD95" i="1" s="1"/>
  <c r="Q95" i="1"/>
  <c r="M95" i="1"/>
  <c r="AA96" i="1" l="1"/>
  <c r="V96" i="1"/>
  <c r="AC96" i="1" s="1"/>
  <c r="O95" i="1"/>
  <c r="AE95" i="1" s="1"/>
  <c r="I96" i="1"/>
  <c r="L96" i="1" l="1"/>
  <c r="AB96" i="1"/>
  <c r="Y96" i="1" s="1"/>
  <c r="AF95" i="1"/>
  <c r="AG95" i="1" s="1"/>
  <c r="S96" i="1"/>
  <c r="AD96" i="1" s="1"/>
  <c r="Q96" i="1"/>
  <c r="M96" i="1"/>
  <c r="AA97" i="1" l="1"/>
  <c r="V97" i="1"/>
  <c r="AC97" i="1" s="1"/>
  <c r="AB97" i="1" s="1"/>
  <c r="Y97" i="1" s="1"/>
  <c r="O96" i="1"/>
  <c r="AE96" i="1" s="1"/>
  <c r="I97" i="1"/>
  <c r="AF96" i="1" l="1"/>
  <c r="AG96" i="1" s="1"/>
  <c r="L97" i="1"/>
  <c r="S97" i="1" l="1"/>
  <c r="AD97" i="1" s="1"/>
  <c r="Q97" i="1"/>
  <c r="M97" i="1"/>
  <c r="AA98" i="1" l="1"/>
  <c r="V98" i="1"/>
  <c r="AC98" i="1" s="1"/>
  <c r="O97" i="1"/>
  <c r="AE97" i="1" s="1"/>
  <c r="I98" i="1"/>
  <c r="L98" i="1" l="1"/>
  <c r="AB98" i="1"/>
  <c r="Y98" i="1" s="1"/>
  <c r="AF97" i="1"/>
  <c r="AG97" i="1" s="1"/>
  <c r="S98" i="1"/>
  <c r="AD98" i="1" s="1"/>
  <c r="Q98" i="1"/>
  <c r="M98" i="1"/>
  <c r="G99" i="1" l="1"/>
  <c r="AA99" i="1"/>
  <c r="O98" i="1"/>
  <c r="AE98" i="1" s="1"/>
  <c r="I99" i="1"/>
  <c r="L99" i="1" l="1"/>
  <c r="AL17" i="1"/>
  <c r="AO17" i="1" s="1"/>
  <c r="V99" i="1"/>
  <c r="T99" i="1"/>
  <c r="AF98" i="1"/>
  <c r="AG98" i="1" s="1"/>
  <c r="AK16" i="1" s="1"/>
  <c r="S99" i="1"/>
  <c r="AD99" i="1" s="1"/>
  <c r="Q99" i="1"/>
  <c r="M99" i="1"/>
  <c r="AP16" i="1" l="1"/>
  <c r="AN16" i="1"/>
  <c r="AA100" i="1"/>
  <c r="V100" i="1"/>
  <c r="AC100" i="1" s="1"/>
  <c r="AC99" i="1"/>
  <c r="AB99" i="1" s="1"/>
  <c r="Y99" i="1" s="1"/>
  <c r="AQ16" i="1"/>
  <c r="AR16" i="1" s="1"/>
  <c r="O99" i="1"/>
  <c r="I100" i="1"/>
  <c r="L100" i="1" l="1"/>
  <c r="AE99" i="1"/>
  <c r="AF99" i="1" s="1"/>
  <c r="AG99" i="1" s="1"/>
  <c r="AB100" i="1"/>
  <c r="Y100" i="1" s="1"/>
  <c r="S100" i="1"/>
  <c r="AD100" i="1" s="1"/>
  <c r="Q100" i="1"/>
  <c r="M100" i="1"/>
  <c r="AA101" i="1" l="1"/>
  <c r="V101" i="1"/>
  <c r="AC101" i="1" s="1"/>
  <c r="AB101" i="1" s="1"/>
  <c r="Y101" i="1" s="1"/>
  <c r="O100" i="1"/>
  <c r="AE100" i="1" s="1"/>
  <c r="I101" i="1"/>
  <c r="L101" i="1" l="1"/>
  <c r="S101" i="1" s="1"/>
  <c r="AD101" i="1" s="1"/>
  <c r="AF100" i="1"/>
  <c r="AG100" i="1" s="1"/>
  <c r="M101" i="1"/>
  <c r="Q101" i="1" l="1"/>
  <c r="AA102" i="1"/>
  <c r="V102" i="1"/>
  <c r="AC102" i="1" s="1"/>
  <c r="O101" i="1"/>
  <c r="AE101" i="1" s="1"/>
  <c r="I102" i="1"/>
  <c r="L102" i="1" l="1"/>
  <c r="AB102" i="1"/>
  <c r="Y102" i="1" s="1"/>
  <c r="AF101" i="1"/>
  <c r="AG101" i="1" s="1"/>
  <c r="S102" i="1"/>
  <c r="AD102" i="1" s="1"/>
  <c r="Q102" i="1"/>
  <c r="M102" i="1"/>
  <c r="AA103" i="1" l="1"/>
  <c r="V103" i="1"/>
  <c r="AC103" i="1" s="1"/>
  <c r="AB103" i="1" s="1"/>
  <c r="Y103" i="1" s="1"/>
  <c r="O102" i="1"/>
  <c r="AE102" i="1" s="1"/>
  <c r="I103" i="1"/>
  <c r="L103" i="1" l="1"/>
  <c r="AF102" i="1"/>
  <c r="AG102" i="1" s="1"/>
  <c r="S103" i="1"/>
  <c r="AD103" i="1" s="1"/>
  <c r="Q103" i="1"/>
  <c r="M103" i="1"/>
  <c r="AA104" i="1" l="1"/>
  <c r="V104" i="1"/>
  <c r="AC104" i="1" s="1"/>
  <c r="O103" i="1"/>
  <c r="AE103" i="1" s="1"/>
  <c r="I104" i="1"/>
  <c r="L104" i="1" l="1"/>
  <c r="AB104" i="1"/>
  <c r="Y104" i="1" s="1"/>
  <c r="AF103" i="1"/>
  <c r="AG103" i="1" s="1"/>
  <c r="S104" i="1"/>
  <c r="AD104" i="1" s="1"/>
  <c r="Q104" i="1"/>
  <c r="M104" i="1"/>
  <c r="AA105" i="1" l="1"/>
  <c r="V105" i="1"/>
  <c r="AC105" i="1" s="1"/>
  <c r="AB105" i="1" s="1"/>
  <c r="Y105" i="1" s="1"/>
  <c r="O104" i="1"/>
  <c r="AE104" i="1" s="1"/>
  <c r="I105" i="1"/>
  <c r="L105" i="1" l="1"/>
  <c r="AF104" i="1"/>
  <c r="AG104" i="1" s="1"/>
  <c r="S105" i="1"/>
  <c r="AD105" i="1" s="1"/>
  <c r="Q105" i="1"/>
  <c r="M105" i="1"/>
  <c r="AA106" i="1" l="1"/>
  <c r="V106" i="1"/>
  <c r="AC106" i="1" s="1"/>
  <c r="O105" i="1"/>
  <c r="AE105" i="1" s="1"/>
  <c r="I106" i="1"/>
  <c r="L106" i="1" l="1"/>
  <c r="AB106" i="1"/>
  <c r="Y106" i="1" s="1"/>
  <c r="AF105" i="1"/>
  <c r="AG105" i="1" s="1"/>
  <c r="S106" i="1"/>
  <c r="AD106" i="1" s="1"/>
  <c r="Q106" i="1"/>
  <c r="M106" i="1"/>
  <c r="AA107" i="1" l="1"/>
  <c r="V107" i="1"/>
  <c r="AC107" i="1" s="1"/>
  <c r="AB107" i="1" s="1"/>
  <c r="Y107" i="1" s="1"/>
  <c r="O106" i="1"/>
  <c r="AE106" i="1" s="1"/>
  <c r="I107" i="1"/>
  <c r="L107" i="1" l="1"/>
  <c r="AF106" i="1"/>
  <c r="AG106" i="1" s="1"/>
  <c r="S107" i="1"/>
  <c r="AD107" i="1" s="1"/>
  <c r="Q107" i="1"/>
  <c r="M107" i="1"/>
  <c r="AA108" i="1" l="1"/>
  <c r="V108" i="1"/>
  <c r="AC108" i="1" s="1"/>
  <c r="O107" i="1"/>
  <c r="AE107" i="1" s="1"/>
  <c r="I108" i="1"/>
  <c r="AB108" i="1" l="1"/>
  <c r="Y108" i="1" s="1"/>
  <c r="AF107" i="1"/>
  <c r="AG107" i="1" s="1"/>
  <c r="L108" i="1"/>
  <c r="S108" i="1" l="1"/>
  <c r="AD108" i="1" s="1"/>
  <c r="Q108" i="1"/>
  <c r="M108" i="1"/>
  <c r="AA109" i="1" l="1"/>
  <c r="V109" i="1"/>
  <c r="AC109" i="1" s="1"/>
  <c r="O108" i="1"/>
  <c r="AE108" i="1" s="1"/>
  <c r="I109" i="1"/>
  <c r="L109" i="1" l="1"/>
  <c r="AB109" i="1"/>
  <c r="Y109" i="1" s="1"/>
  <c r="AF108" i="1"/>
  <c r="AG108" i="1" s="1"/>
  <c r="S109" i="1"/>
  <c r="AD109" i="1" s="1"/>
  <c r="Q109" i="1"/>
  <c r="M109" i="1"/>
  <c r="AA110" i="1" l="1"/>
  <c r="V110" i="1"/>
  <c r="AC110" i="1" s="1"/>
  <c r="AB110" i="1" s="1"/>
  <c r="Y110" i="1" s="1"/>
  <c r="O109" i="1"/>
  <c r="AE109" i="1" s="1"/>
  <c r="I110" i="1"/>
  <c r="AF109" i="1" l="1"/>
  <c r="AG109" i="1" s="1"/>
  <c r="L110" i="1"/>
  <c r="S110" i="1" l="1"/>
  <c r="AD110" i="1" s="1"/>
  <c r="Q110" i="1"/>
  <c r="M110" i="1"/>
  <c r="G111" i="1" l="1"/>
  <c r="AA111" i="1"/>
  <c r="O110" i="1"/>
  <c r="AE110" i="1" s="1"/>
  <c r="I111" i="1"/>
  <c r="L111" i="1" l="1"/>
  <c r="AL18" i="1"/>
  <c r="AO18" i="1" s="1"/>
  <c r="V111" i="1"/>
  <c r="T111" i="1"/>
  <c r="AF110" i="1"/>
  <c r="AG110" i="1" s="1"/>
  <c r="AK17" i="1" s="1"/>
  <c r="S111" i="1"/>
  <c r="AD111" i="1" s="1"/>
  <c r="Q111" i="1"/>
  <c r="M111" i="1"/>
  <c r="AP17" i="1" l="1"/>
  <c r="AN17" i="1"/>
  <c r="AA112" i="1"/>
  <c r="V112" i="1"/>
  <c r="AC112" i="1" s="1"/>
  <c r="AB112" i="1" s="1"/>
  <c r="Y112" i="1" s="1"/>
  <c r="AC111" i="1"/>
  <c r="AB111" i="1" s="1"/>
  <c r="Y111" i="1" s="1"/>
  <c r="AQ17" i="1"/>
  <c r="AR17" i="1" s="1"/>
  <c r="O111" i="1"/>
  <c r="I112" i="1"/>
  <c r="L112" i="1" l="1"/>
  <c r="S112" i="1" s="1"/>
  <c r="AD112" i="1" s="1"/>
  <c r="AE111" i="1"/>
  <c r="AF111" i="1" s="1"/>
  <c r="AG111" i="1" s="1"/>
  <c r="M112" i="1"/>
  <c r="Q112" i="1" l="1"/>
  <c r="AA113" i="1"/>
  <c r="V113" i="1"/>
  <c r="AC113" i="1" s="1"/>
  <c r="O112" i="1"/>
  <c r="AE112" i="1" s="1"/>
  <c r="I113" i="1"/>
  <c r="L113" i="1" l="1"/>
  <c r="AB113" i="1"/>
  <c r="Y113" i="1" s="1"/>
  <c r="AF112" i="1"/>
  <c r="AG112" i="1" s="1"/>
  <c r="S113" i="1"/>
  <c r="AD113" i="1" s="1"/>
  <c r="Q113" i="1"/>
  <c r="M113" i="1"/>
  <c r="AA114" i="1" l="1"/>
  <c r="V114" i="1"/>
  <c r="AC114" i="1" s="1"/>
  <c r="AB114" i="1" s="1"/>
  <c r="Y114" i="1" s="1"/>
  <c r="O113" i="1"/>
  <c r="AE113" i="1" s="1"/>
  <c r="I114" i="1"/>
  <c r="AF113" i="1" l="1"/>
  <c r="AG113" i="1" s="1"/>
  <c r="L114" i="1"/>
  <c r="S114" i="1" l="1"/>
  <c r="AD114" i="1" s="1"/>
  <c r="Q114" i="1"/>
  <c r="M114" i="1"/>
  <c r="AA115" i="1" l="1"/>
  <c r="V115" i="1"/>
  <c r="AC115" i="1" s="1"/>
  <c r="O114" i="1"/>
  <c r="AE114" i="1" s="1"/>
  <c r="I115" i="1"/>
  <c r="L115" i="1" l="1"/>
  <c r="M115" i="1" s="1"/>
  <c r="AA116" i="1"/>
  <c r="V116" i="1"/>
  <c r="AC116" i="1" s="1"/>
  <c r="AB115" i="1"/>
  <c r="Y115" i="1" s="1"/>
  <c r="AF114" i="1"/>
  <c r="AG114" i="1" s="1"/>
  <c r="S115" i="1"/>
  <c r="AD115" i="1" s="1"/>
  <c r="Q115" i="1"/>
  <c r="O115" i="1"/>
  <c r="I116" i="1"/>
  <c r="L116" i="1" l="1"/>
  <c r="AB116" i="1"/>
  <c r="Y116" i="1" s="1"/>
  <c r="AE115" i="1"/>
  <c r="M116" i="1"/>
  <c r="S116" i="1"/>
  <c r="AD116" i="1" s="1"/>
  <c r="Q116" i="1"/>
  <c r="AA117" i="1" l="1"/>
  <c r="V117" i="1"/>
  <c r="AC117" i="1" s="1"/>
  <c r="AB117" i="1" s="1"/>
  <c r="Y117" i="1" s="1"/>
  <c r="I117" i="1"/>
  <c r="O116" i="1"/>
  <c r="AE116" i="1" s="1"/>
  <c r="AF115" i="1"/>
  <c r="AG115" i="1" s="1"/>
  <c r="L117" i="1" l="1"/>
  <c r="Q117" i="1" s="1"/>
  <c r="S117" i="1"/>
  <c r="AD117" i="1" s="1"/>
  <c r="M117" i="1"/>
  <c r="O117" i="1" s="1"/>
  <c r="AF116" i="1"/>
  <c r="AG116" i="1" s="1"/>
  <c r="AE117" i="1" l="1"/>
  <c r="I118" i="1"/>
  <c r="AA118" i="1"/>
  <c r="V118" i="1"/>
  <c r="AC118" i="1" s="1"/>
  <c r="AB118" i="1" s="1"/>
  <c r="AF117" i="1"/>
  <c r="AG117" i="1" s="1"/>
  <c r="L118" i="1" l="1"/>
  <c r="Y118" i="1"/>
  <c r="S118" i="1" l="1"/>
  <c r="AD118" i="1" s="1"/>
  <c r="Q118" i="1"/>
  <c r="M118" i="1"/>
  <c r="AA119" i="1" l="1"/>
  <c r="O118" i="1"/>
  <c r="AE118" i="1" s="1"/>
  <c r="AF118" i="1" s="1"/>
  <c r="AG118" i="1" s="1"/>
  <c r="I119" i="1"/>
  <c r="V119" i="1"/>
  <c r="AC119" i="1" s="1"/>
  <c r="AB119" i="1" s="1"/>
  <c r="Y119" i="1" s="1"/>
  <c r="L119" i="1" l="1"/>
  <c r="S119" i="1" l="1"/>
  <c r="AD119" i="1" s="1"/>
  <c r="Q119" i="1"/>
  <c r="M119" i="1"/>
  <c r="I120" i="1" l="1"/>
  <c r="V120" i="1"/>
  <c r="AC120" i="1" s="1"/>
  <c r="AB120" i="1" s="1"/>
  <c r="AA120" i="1"/>
  <c r="O119" i="1"/>
  <c r="AE119" i="1" s="1"/>
  <c r="AF119" i="1" s="1"/>
  <c r="AG119" i="1" s="1"/>
  <c r="Y120" i="1" l="1"/>
  <c r="L120" i="1"/>
  <c r="S120" i="1" l="1"/>
  <c r="AD120" i="1" s="1"/>
  <c r="Q120" i="1"/>
  <c r="M120" i="1"/>
  <c r="AA121" i="1" l="1"/>
  <c r="V121" i="1"/>
  <c r="AC121" i="1" s="1"/>
  <c r="AB121" i="1" s="1"/>
  <c r="Y121" i="1" s="1"/>
  <c r="O120" i="1"/>
  <c r="AE120" i="1" s="1"/>
  <c r="AF120" i="1" s="1"/>
  <c r="AG120" i="1" s="1"/>
  <c r="I121" i="1"/>
  <c r="L121" i="1" l="1"/>
  <c r="Q121" i="1" l="1"/>
  <c r="S121" i="1"/>
  <c r="AD121" i="1" s="1"/>
  <c r="M121" i="1"/>
  <c r="AA122" i="1" l="1"/>
  <c r="O121" i="1"/>
  <c r="AE121" i="1" s="1"/>
  <c r="AF121" i="1" s="1"/>
  <c r="AG121" i="1" s="1"/>
  <c r="I122" i="1"/>
  <c r="V122" i="1"/>
  <c r="AC122" i="1" s="1"/>
  <c r="AB122" i="1" s="1"/>
  <c r="Y122" i="1" s="1"/>
  <c r="L122" i="1" l="1"/>
  <c r="S122" i="1" l="1"/>
  <c r="AD122" i="1" s="1"/>
  <c r="Q122" i="1"/>
  <c r="M122" i="1"/>
  <c r="O122" i="1" l="1"/>
  <c r="AE122" i="1" s="1"/>
  <c r="AF122" i="1" s="1"/>
  <c r="AG122" i="1" s="1"/>
  <c r="AK18" i="1" s="1"/>
  <c r="I123" i="1"/>
  <c r="AA123" i="1"/>
  <c r="V123" i="1"/>
  <c r="AC123" i="1" s="1"/>
  <c r="AB123" i="1" s="1"/>
  <c r="Y123" i="1" l="1"/>
  <c r="L123" i="1"/>
  <c r="AN18" i="1"/>
  <c r="AQ18" i="1" s="1"/>
  <c r="AR18" i="1" s="1"/>
  <c r="AP18" i="1"/>
  <c r="Q123" i="1" l="1"/>
  <c r="S123" i="1"/>
  <c r="AD123" i="1" s="1"/>
  <c r="M123" i="1"/>
  <c r="O123" i="1" l="1"/>
  <c r="AE123" i="1" s="1"/>
  <c r="AF123" i="1" s="1"/>
  <c r="AG123" i="1" s="1"/>
  <c r="I124" i="1"/>
  <c r="AA124" i="1"/>
  <c r="V124" i="1"/>
  <c r="AC124" i="1" s="1"/>
  <c r="AB124" i="1" s="1"/>
  <c r="Y124" i="1" s="1"/>
  <c r="L124" i="1" l="1"/>
  <c r="S124" i="1" l="1"/>
  <c r="AD124" i="1" s="1"/>
  <c r="Q124" i="1"/>
  <c r="M124" i="1"/>
  <c r="AA125" i="1" l="1"/>
  <c r="I125" i="1"/>
  <c r="O124" i="1"/>
  <c r="AE124" i="1" s="1"/>
  <c r="AF124" i="1" s="1"/>
  <c r="AG124" i="1" s="1"/>
  <c r="V125" i="1"/>
  <c r="AC125" i="1" s="1"/>
  <c r="AB125" i="1" s="1"/>
  <c r="Y125" i="1" s="1"/>
  <c r="L125" i="1" l="1"/>
  <c r="S125" i="1" l="1"/>
  <c r="AD125" i="1" s="1"/>
  <c r="Q125" i="1"/>
  <c r="M125" i="1"/>
  <c r="O125" i="1" l="1"/>
  <c r="AE125" i="1" s="1"/>
  <c r="AF125" i="1" s="1"/>
  <c r="AG125" i="1" s="1"/>
  <c r="I126" i="1"/>
  <c r="V126" i="1"/>
  <c r="AC126" i="1" s="1"/>
  <c r="AB126" i="1" s="1"/>
  <c r="AA126" i="1"/>
  <c r="Y126" i="1" l="1"/>
  <c r="L126" i="1"/>
  <c r="S126" i="1" l="1"/>
  <c r="AD126" i="1" s="1"/>
  <c r="Q126" i="1"/>
  <c r="M126" i="1"/>
  <c r="O126" i="1" l="1"/>
  <c r="AE126" i="1" s="1"/>
  <c r="AF126" i="1" s="1"/>
  <c r="AG126" i="1" s="1"/>
  <c r="I127" i="1"/>
  <c r="V127" i="1"/>
  <c r="AC127" i="1" s="1"/>
  <c r="AB127" i="1" s="1"/>
  <c r="AA127" i="1"/>
  <c r="Y127" i="1" l="1"/>
  <c r="L127" i="1"/>
  <c r="Q127" i="1" l="1"/>
  <c r="S127" i="1"/>
  <c r="AD127" i="1" s="1"/>
  <c r="M127" i="1"/>
  <c r="I128" i="1" l="1"/>
  <c r="V128" i="1"/>
  <c r="AC128" i="1" s="1"/>
  <c r="AB128" i="1" s="1"/>
  <c r="AA128" i="1"/>
  <c r="O127" i="1"/>
  <c r="AE127" i="1" s="1"/>
  <c r="AF127" i="1" s="1"/>
  <c r="AG127" i="1" s="1"/>
  <c r="Y128" i="1" l="1"/>
  <c r="L128" i="1"/>
  <c r="S128" i="1" l="1"/>
  <c r="AD128" i="1" s="1"/>
  <c r="Q128" i="1"/>
  <c r="M128" i="1"/>
  <c r="AA129" i="1" l="1"/>
  <c r="V129" i="1"/>
  <c r="AC129" i="1" s="1"/>
  <c r="AB129" i="1" s="1"/>
  <c r="Y129" i="1" s="1"/>
  <c r="O128" i="1"/>
  <c r="AE128" i="1" s="1"/>
  <c r="AF128" i="1" s="1"/>
  <c r="AG128" i="1" s="1"/>
  <c r="I129" i="1"/>
  <c r="L129" i="1" l="1"/>
  <c r="S129" i="1" l="1"/>
  <c r="AD129" i="1" s="1"/>
  <c r="Q129" i="1"/>
  <c r="M129" i="1"/>
  <c r="AA130" i="1" l="1"/>
  <c r="O129" i="1"/>
  <c r="AE129" i="1" s="1"/>
  <c r="AF129" i="1" s="1"/>
  <c r="AG129" i="1" s="1"/>
  <c r="I130" i="1"/>
  <c r="V130" i="1"/>
  <c r="AC130" i="1" s="1"/>
  <c r="AB130" i="1" s="1"/>
  <c r="Y130" i="1" s="1"/>
  <c r="L130" i="1" l="1"/>
  <c r="S130" i="1" l="1"/>
  <c r="AD130" i="1" s="1"/>
  <c r="Q130" i="1"/>
  <c r="M130" i="1"/>
  <c r="I131" i="1" l="1"/>
  <c r="AA131" i="1"/>
  <c r="V131" i="1"/>
  <c r="AC131" i="1" s="1"/>
  <c r="AB131" i="1" s="1"/>
  <c r="Y131" i="1" s="1"/>
  <c r="O130" i="1"/>
  <c r="AE130" i="1" s="1"/>
  <c r="AF130" i="1" s="1"/>
  <c r="AG130" i="1" s="1"/>
  <c r="L131" i="1" l="1"/>
  <c r="S131" i="1" l="1"/>
  <c r="AD131" i="1" s="1"/>
  <c r="Q131" i="1"/>
  <c r="M131" i="1"/>
  <c r="AA132" i="1" l="1"/>
  <c r="V132" i="1"/>
  <c r="AC132" i="1" s="1"/>
  <c r="AB132" i="1" s="1"/>
  <c r="Y132" i="1" s="1"/>
  <c r="O131" i="1"/>
  <c r="AE131" i="1" s="1"/>
  <c r="AF131" i="1" s="1"/>
  <c r="AG131" i="1" s="1"/>
  <c r="I132" i="1"/>
  <c r="L132" i="1" l="1"/>
  <c r="M132" i="1" s="1"/>
  <c r="S132" i="1"/>
  <c r="AD132" i="1" s="1"/>
  <c r="Q132" i="1"/>
  <c r="V133" i="1" l="1"/>
  <c r="AC133" i="1" s="1"/>
  <c r="AB133" i="1" s="1"/>
  <c r="O132" i="1"/>
  <c r="AE132" i="1" s="1"/>
  <c r="AF132" i="1" s="1"/>
  <c r="AG132" i="1" s="1"/>
  <c r="I133" i="1"/>
  <c r="L133" i="1" s="1"/>
  <c r="AA133" i="1"/>
  <c r="Y133" i="1" l="1"/>
  <c r="Q133" i="1"/>
  <c r="S133" i="1"/>
  <c r="AD133" i="1" s="1"/>
  <c r="M133" i="1"/>
  <c r="AA134" i="1" l="1"/>
  <c r="V134" i="1"/>
  <c r="AC134" i="1" s="1"/>
  <c r="AB134" i="1" s="1"/>
  <c r="O133" i="1"/>
  <c r="AE133" i="1" s="1"/>
  <c r="AF133" i="1" s="1"/>
  <c r="AG133" i="1" s="1"/>
  <c r="I134" i="1"/>
  <c r="L134" i="1" l="1"/>
  <c r="Y134" i="1"/>
  <c r="Q134" i="1" l="1"/>
  <c r="S134" i="1"/>
  <c r="AD134" i="1" s="1"/>
  <c r="M134" i="1"/>
  <c r="O134" i="1" l="1"/>
  <c r="AE134" i="1" s="1"/>
  <c r="AF134" i="1" s="1"/>
  <c r="AG134" i="1" s="1"/>
  <c r="AK19" i="1" s="1"/>
  <c r="I135" i="1"/>
  <c r="V135" i="1"/>
  <c r="AC135" i="1" s="1"/>
  <c r="AB135" i="1" s="1"/>
  <c r="AA135" i="1"/>
  <c r="Y135" i="1" l="1"/>
  <c r="L135" i="1"/>
  <c r="AN19" i="1"/>
  <c r="AQ19" i="1" s="1"/>
  <c r="AR19" i="1" s="1"/>
  <c r="AP19" i="1"/>
  <c r="S135" i="1" l="1"/>
  <c r="AD135" i="1" s="1"/>
  <c r="Q135" i="1"/>
  <c r="M135" i="1"/>
  <c r="I136" i="1" l="1"/>
  <c r="AA136" i="1"/>
  <c r="V136" i="1"/>
  <c r="AC136" i="1" s="1"/>
  <c r="AB136" i="1" s="1"/>
  <c r="Y136" i="1" s="1"/>
  <c r="O135" i="1"/>
  <c r="AE135" i="1" s="1"/>
  <c r="AF135" i="1" s="1"/>
  <c r="AG135" i="1" s="1"/>
  <c r="L136" i="1" l="1"/>
  <c r="S136" i="1" l="1"/>
  <c r="AD136" i="1" s="1"/>
  <c r="Q136" i="1"/>
  <c r="M136" i="1"/>
  <c r="AA137" i="1" l="1"/>
  <c r="V137" i="1"/>
  <c r="AC137" i="1" s="1"/>
  <c r="AB137" i="1" s="1"/>
  <c r="Y137" i="1" s="1"/>
  <c r="O136" i="1"/>
  <c r="AE136" i="1" s="1"/>
  <c r="AF136" i="1" s="1"/>
  <c r="AG136" i="1" s="1"/>
  <c r="I137" i="1"/>
  <c r="L137" i="1" l="1"/>
  <c r="S137" i="1" l="1"/>
  <c r="AD137" i="1" s="1"/>
  <c r="Q137" i="1"/>
  <c r="M137" i="1"/>
  <c r="O137" i="1" l="1"/>
  <c r="AE137" i="1" s="1"/>
  <c r="AF137" i="1" s="1"/>
  <c r="AG137" i="1" s="1"/>
  <c r="I138" i="1"/>
  <c r="V138" i="1"/>
  <c r="AC138" i="1" s="1"/>
  <c r="AB138" i="1" s="1"/>
  <c r="AA138" i="1"/>
  <c r="Y138" i="1" l="1"/>
  <c r="L138" i="1"/>
  <c r="Q138" i="1" l="1"/>
  <c r="S138" i="1"/>
  <c r="AD138" i="1" s="1"/>
  <c r="M138" i="1"/>
  <c r="V139" i="1" l="1"/>
  <c r="AC139" i="1" s="1"/>
  <c r="AB139" i="1" s="1"/>
  <c r="AA139" i="1"/>
  <c r="O138" i="1"/>
  <c r="AE138" i="1" s="1"/>
  <c r="AF138" i="1" s="1"/>
  <c r="AG138" i="1" s="1"/>
  <c r="I139" i="1"/>
  <c r="Y139" i="1" l="1"/>
  <c r="L139" i="1"/>
  <c r="M139" i="1" s="1"/>
  <c r="AA140" i="1" l="1"/>
  <c r="O139" i="1"/>
  <c r="I140" i="1"/>
  <c r="V140" i="1"/>
  <c r="AC140" i="1" s="1"/>
  <c r="Q139" i="1"/>
  <c r="S139" i="1"/>
  <c r="AD139" i="1" s="1"/>
  <c r="AB140" i="1" l="1"/>
  <c r="Y140" i="1" s="1"/>
  <c r="L140" i="1"/>
  <c r="AE139" i="1"/>
  <c r="AF139" i="1" s="1"/>
  <c r="AG139" i="1" s="1"/>
  <c r="S140" i="1" l="1"/>
  <c r="AD140" i="1" s="1"/>
  <c r="Q140" i="1"/>
  <c r="M140" i="1"/>
  <c r="V141" i="1" l="1"/>
  <c r="AC141" i="1" s="1"/>
  <c r="AB141" i="1" s="1"/>
  <c r="AA141" i="1"/>
  <c r="O140" i="1"/>
  <c r="AE140" i="1" s="1"/>
  <c r="AF140" i="1" s="1"/>
  <c r="AG140" i="1" s="1"/>
  <c r="I141" i="1"/>
  <c r="Y141" i="1" l="1"/>
  <c r="L141" i="1"/>
  <c r="Q141" i="1" l="1"/>
  <c r="S141" i="1"/>
  <c r="AD141" i="1" s="1"/>
  <c r="M141" i="1"/>
  <c r="AA142" i="1" l="1"/>
  <c r="V142" i="1"/>
  <c r="AC142" i="1" s="1"/>
  <c r="AB142" i="1" s="1"/>
  <c r="Y142" i="1" s="1"/>
  <c r="O141" i="1"/>
  <c r="AE141" i="1" s="1"/>
  <c r="AF141" i="1" s="1"/>
  <c r="AG141" i="1" s="1"/>
  <c r="I142" i="1"/>
  <c r="L142" i="1" l="1"/>
  <c r="M142" i="1" s="1"/>
  <c r="S142" i="1"/>
  <c r="AD142" i="1" s="1"/>
  <c r="Q142" i="1"/>
  <c r="O142" i="1" l="1"/>
  <c r="V143" i="1"/>
  <c r="AC143" i="1" s="1"/>
  <c r="AB143" i="1" s="1"/>
  <c r="I143" i="1"/>
  <c r="AA143" i="1"/>
  <c r="L143" i="1"/>
  <c r="AE142" i="1"/>
  <c r="AF142" i="1" s="1"/>
  <c r="AG142" i="1" s="1"/>
  <c r="Y143" i="1" l="1"/>
  <c r="Q143" i="1"/>
  <c r="S143" i="1"/>
  <c r="AD143" i="1" s="1"/>
  <c r="M143" i="1"/>
  <c r="I144" i="1" l="1"/>
  <c r="AA144" i="1"/>
  <c r="V144" i="1"/>
  <c r="AC144" i="1" s="1"/>
  <c r="AB144" i="1" s="1"/>
  <c r="Y144" i="1" s="1"/>
  <c r="O143" i="1"/>
  <c r="AE143" i="1" s="1"/>
  <c r="AF143" i="1" s="1"/>
  <c r="AG143" i="1" s="1"/>
  <c r="L144" i="1" l="1"/>
  <c r="S144" i="1" l="1"/>
  <c r="AD144" i="1" s="1"/>
  <c r="Q144" i="1"/>
  <c r="M144" i="1"/>
  <c r="AA145" i="1" l="1"/>
  <c r="V145" i="1"/>
  <c r="AC145" i="1" s="1"/>
  <c r="AB145" i="1" s="1"/>
  <c r="Y145" i="1" s="1"/>
  <c r="O144" i="1"/>
  <c r="AE144" i="1" s="1"/>
  <c r="AF144" i="1" s="1"/>
  <c r="AG144" i="1" s="1"/>
  <c r="I145" i="1"/>
  <c r="L145" i="1" l="1"/>
  <c r="S145" i="1" l="1"/>
  <c r="AD145" i="1" s="1"/>
  <c r="Q145" i="1"/>
  <c r="M145" i="1"/>
  <c r="AA146" i="1" l="1"/>
  <c r="O145" i="1"/>
  <c r="AE145" i="1" s="1"/>
  <c r="AF145" i="1" s="1"/>
  <c r="AG145" i="1" s="1"/>
  <c r="I146" i="1"/>
  <c r="V146" i="1"/>
  <c r="AC146" i="1" s="1"/>
  <c r="AB146" i="1" s="1"/>
  <c r="L146" i="1" l="1"/>
  <c r="Y146" i="1"/>
  <c r="S146" i="1" l="1"/>
  <c r="AD146" i="1" s="1"/>
  <c r="Q146" i="1"/>
  <c r="M146" i="1"/>
  <c r="I147" i="1" l="1"/>
  <c r="AA147" i="1"/>
  <c r="O146" i="1"/>
  <c r="AE146" i="1" s="1"/>
  <c r="AF146" i="1" s="1"/>
  <c r="AG146" i="1" s="1"/>
  <c r="AK20" i="1" s="1"/>
  <c r="V147" i="1"/>
  <c r="AC147" i="1" s="1"/>
  <c r="AB147" i="1" s="1"/>
  <c r="Y147" i="1" s="1"/>
  <c r="AN20" i="1" l="1"/>
  <c r="AP20" i="1"/>
  <c r="L147" i="1"/>
  <c r="S147" i="1" l="1"/>
  <c r="AD147" i="1" s="1"/>
  <c r="Q147" i="1"/>
  <c r="M147" i="1"/>
  <c r="AQ20" i="1"/>
  <c r="AR20" i="1" s="1"/>
  <c r="I148" i="1" l="1"/>
  <c r="AA148" i="1"/>
  <c r="V148" i="1"/>
  <c r="AC148" i="1" s="1"/>
  <c r="AB148" i="1" s="1"/>
  <c r="Y148" i="1" s="1"/>
  <c r="O147" i="1"/>
  <c r="AE147" i="1" s="1"/>
  <c r="AF147" i="1" s="1"/>
  <c r="AG147" i="1" s="1"/>
  <c r="L148" i="1" l="1"/>
  <c r="S148" i="1" l="1"/>
  <c r="Q148" i="1"/>
  <c r="M148" i="1"/>
  <c r="V149" i="1" l="1"/>
  <c r="AC149" i="1" s="1"/>
  <c r="AA149" i="1"/>
  <c r="I149" i="1"/>
  <c r="O148" i="1"/>
  <c r="AE148" i="1" s="1"/>
  <c r="AF148" i="1" s="1"/>
  <c r="AG148" i="1" s="1"/>
  <c r="AD148" i="1"/>
  <c r="AB149" i="1" l="1"/>
  <c r="L149" i="1"/>
  <c r="M149" i="1" s="1"/>
  <c r="Y149" i="1"/>
  <c r="I150" i="1" l="1"/>
  <c r="V150" i="1"/>
  <c r="AC150" i="1" s="1"/>
  <c r="O149" i="1"/>
  <c r="AA150" i="1"/>
  <c r="S149" i="1"/>
  <c r="AD149" i="1" s="1"/>
  <c r="Q149" i="1"/>
  <c r="AE149" i="1" l="1"/>
  <c r="AF149" i="1" s="1"/>
  <c r="AG149" i="1" s="1"/>
  <c r="AB150" i="1"/>
  <c r="Y150" i="1" s="1"/>
  <c r="L150" i="1"/>
  <c r="Q150" i="1" l="1"/>
  <c r="S150" i="1"/>
  <c r="AD150" i="1" s="1"/>
  <c r="M150" i="1"/>
  <c r="AA151" i="1" l="1"/>
  <c r="V151" i="1"/>
  <c r="AC151" i="1" s="1"/>
  <c r="AB151" i="1" s="1"/>
  <c r="Y151" i="1" s="1"/>
  <c r="O150" i="1"/>
  <c r="AE150" i="1" s="1"/>
  <c r="AF150" i="1" s="1"/>
  <c r="AG150" i="1" s="1"/>
  <c r="I151" i="1"/>
  <c r="L151" i="1" l="1"/>
  <c r="M151" i="1"/>
  <c r="AA152" i="1" l="1"/>
  <c r="O151" i="1"/>
  <c r="I152" i="1"/>
  <c r="V152" i="1"/>
  <c r="AC152" i="1" s="1"/>
  <c r="S151" i="1"/>
  <c r="AD151" i="1" s="1"/>
  <c r="Q151" i="1"/>
  <c r="AB152" i="1" l="1"/>
  <c r="L152" i="1"/>
  <c r="AE151" i="1"/>
  <c r="AF151" i="1" s="1"/>
  <c r="AG151" i="1" s="1"/>
  <c r="Y152" i="1"/>
  <c r="S152" i="1" l="1"/>
  <c r="AD152" i="1" s="1"/>
  <c r="Q152" i="1"/>
  <c r="M152" i="1"/>
  <c r="O152" i="1" l="1"/>
  <c r="AE152" i="1" s="1"/>
  <c r="AF152" i="1" s="1"/>
  <c r="AG152" i="1" s="1"/>
  <c r="I153" i="1"/>
  <c r="AA153" i="1"/>
  <c r="V153" i="1"/>
  <c r="AC153" i="1" s="1"/>
  <c r="AB153" i="1" s="1"/>
  <c r="Y153" i="1" l="1"/>
  <c r="L153" i="1"/>
  <c r="S153" i="1" l="1"/>
  <c r="AD153" i="1" s="1"/>
  <c r="Q153" i="1"/>
  <c r="M153" i="1"/>
  <c r="V154" i="1" l="1"/>
  <c r="AC154" i="1" s="1"/>
  <c r="AB154" i="1" s="1"/>
  <c r="AA154" i="1"/>
  <c r="O153" i="1"/>
  <c r="AE153" i="1" s="1"/>
  <c r="AF153" i="1" s="1"/>
  <c r="AG153" i="1" s="1"/>
  <c r="I154" i="1"/>
  <c r="Y154" i="1" l="1"/>
  <c r="L154" i="1"/>
  <c r="M154" i="1" s="1"/>
  <c r="I155" i="1" l="1"/>
  <c r="AA155" i="1"/>
  <c r="O154" i="1"/>
  <c r="V155" i="1"/>
  <c r="AC155" i="1" s="1"/>
  <c r="Q154" i="1"/>
  <c r="S154" i="1"/>
  <c r="AD154" i="1" s="1"/>
  <c r="AB155" i="1" l="1"/>
  <c r="Y155" i="1" s="1"/>
  <c r="AE154" i="1"/>
  <c r="AF154" i="1" s="1"/>
  <c r="AG154" i="1" s="1"/>
  <c r="L155" i="1"/>
  <c r="S155" i="1" l="1"/>
  <c r="AD155" i="1" s="1"/>
  <c r="Q155" i="1"/>
  <c r="M155" i="1"/>
  <c r="O155" i="1" l="1"/>
  <c r="AE155" i="1" s="1"/>
  <c r="AF155" i="1" s="1"/>
  <c r="AG155" i="1" s="1"/>
  <c r="I156" i="1"/>
  <c r="AA156" i="1"/>
  <c r="V156" i="1"/>
  <c r="AC156" i="1" s="1"/>
  <c r="AB156" i="1" s="1"/>
  <c r="Y156" i="1" l="1"/>
  <c r="L156" i="1"/>
  <c r="Q156" i="1" l="1"/>
  <c r="S156" i="1"/>
  <c r="AD156" i="1" s="1"/>
  <c r="M156" i="1"/>
  <c r="I157" i="1" l="1"/>
  <c r="AA157" i="1"/>
  <c r="O156" i="1"/>
  <c r="AE156" i="1" s="1"/>
  <c r="AF156" i="1" s="1"/>
  <c r="AG156" i="1" s="1"/>
  <c r="V157" i="1"/>
  <c r="AC157" i="1" s="1"/>
  <c r="AB157" i="1" s="1"/>
  <c r="Y157" i="1" s="1"/>
  <c r="L157" i="1" l="1"/>
  <c r="Q157" i="1" l="1"/>
  <c r="S157" i="1"/>
  <c r="AD157" i="1" s="1"/>
  <c r="M157" i="1"/>
  <c r="I158" i="1" l="1"/>
  <c r="O157" i="1"/>
  <c r="AE157" i="1" s="1"/>
  <c r="AF157" i="1" s="1"/>
  <c r="AG157" i="1" s="1"/>
  <c r="AA158" i="1"/>
  <c r="V158" i="1"/>
  <c r="AC158" i="1" s="1"/>
  <c r="AB158" i="1" s="1"/>
  <c r="Y158" i="1" l="1"/>
  <c r="L158" i="1"/>
  <c r="Q158" i="1" l="1"/>
  <c r="S158" i="1"/>
  <c r="AD158" i="1" s="1"/>
  <c r="M158" i="1"/>
  <c r="O158" i="1" l="1"/>
  <c r="AE158" i="1" s="1"/>
  <c r="AF158" i="1" s="1"/>
  <c r="AG158" i="1" s="1"/>
  <c r="AK21" i="1" s="1"/>
  <c r="I159" i="1"/>
  <c r="AA159" i="1"/>
  <c r="V159" i="1"/>
  <c r="AC159" i="1" s="1"/>
  <c r="AB159" i="1" s="1"/>
  <c r="Y159" i="1" l="1"/>
  <c r="L159" i="1"/>
  <c r="AN21" i="1"/>
  <c r="AP21" i="1"/>
  <c r="AQ21" i="1" l="1"/>
  <c r="AR21" i="1" s="1"/>
  <c r="Q159" i="1"/>
  <c r="S159" i="1"/>
  <c r="AD159" i="1" s="1"/>
  <c r="M159" i="1"/>
  <c r="I160" i="1" l="1"/>
  <c r="AA160" i="1"/>
  <c r="V160" i="1"/>
  <c r="AC160" i="1" s="1"/>
  <c r="AB160" i="1" s="1"/>
  <c r="Y160" i="1" s="1"/>
  <c r="O159" i="1"/>
  <c r="AE159" i="1" s="1"/>
  <c r="AF159" i="1" s="1"/>
  <c r="AG159" i="1" s="1"/>
  <c r="L160" i="1" l="1"/>
  <c r="Q160" i="1" l="1"/>
  <c r="S160" i="1"/>
  <c r="AD160" i="1" s="1"/>
  <c r="M160" i="1"/>
  <c r="AA161" i="1" l="1"/>
  <c r="V161" i="1"/>
  <c r="AC161" i="1" s="1"/>
  <c r="AB161" i="1" s="1"/>
  <c r="Y161" i="1" s="1"/>
  <c r="O160" i="1"/>
  <c r="AE160" i="1" s="1"/>
  <c r="AF160" i="1" s="1"/>
  <c r="AG160" i="1" s="1"/>
  <c r="I161" i="1"/>
  <c r="L161" i="1" l="1"/>
  <c r="Q161" i="1" l="1"/>
  <c r="S161" i="1"/>
  <c r="AD161" i="1" s="1"/>
  <c r="M161" i="1"/>
  <c r="I162" i="1" l="1"/>
  <c r="AA162" i="1"/>
  <c r="V162" i="1"/>
  <c r="AC162" i="1" s="1"/>
  <c r="AB162" i="1" s="1"/>
  <c r="Y162" i="1" s="1"/>
  <c r="O161" i="1"/>
  <c r="AE161" i="1" s="1"/>
  <c r="AF161" i="1" s="1"/>
  <c r="AG161" i="1" s="1"/>
  <c r="L162" i="1" l="1"/>
  <c r="S162" i="1" l="1"/>
  <c r="AD162" i="1" s="1"/>
  <c r="Q162" i="1"/>
  <c r="M162" i="1"/>
  <c r="AA163" i="1" l="1"/>
  <c r="V163" i="1"/>
  <c r="AC163" i="1" s="1"/>
  <c r="AB163" i="1" s="1"/>
  <c r="Y163" i="1" s="1"/>
  <c r="O162" i="1"/>
  <c r="AE162" i="1" s="1"/>
  <c r="AF162" i="1" s="1"/>
  <c r="AG162" i="1" s="1"/>
  <c r="I163" i="1"/>
  <c r="L163" i="1" l="1"/>
  <c r="S163" i="1" l="1"/>
  <c r="AD163" i="1" s="1"/>
  <c r="Q163" i="1"/>
  <c r="M163" i="1"/>
  <c r="AA164" i="1" l="1"/>
  <c r="O163" i="1"/>
  <c r="AE163" i="1" s="1"/>
  <c r="AF163" i="1" s="1"/>
  <c r="AG163" i="1" s="1"/>
  <c r="I164" i="1"/>
  <c r="V164" i="1"/>
  <c r="AC164" i="1" s="1"/>
  <c r="AB164" i="1" s="1"/>
  <c r="Y164" i="1" s="1"/>
  <c r="L164" i="1" l="1"/>
  <c r="S164" i="1" l="1"/>
  <c r="AD164" i="1" s="1"/>
  <c r="Q164" i="1"/>
  <c r="M164" i="1"/>
  <c r="AA165" i="1" l="1"/>
  <c r="O164" i="1"/>
  <c r="AE164" i="1" s="1"/>
  <c r="AF164" i="1" s="1"/>
  <c r="AG164" i="1" s="1"/>
  <c r="I165" i="1"/>
  <c r="V165" i="1"/>
  <c r="AC165" i="1" s="1"/>
  <c r="AB165" i="1" s="1"/>
  <c r="Y165" i="1" s="1"/>
  <c r="L165" i="1" l="1"/>
  <c r="S165" i="1" l="1"/>
  <c r="AD165" i="1" s="1"/>
  <c r="Q165" i="1"/>
  <c r="M165" i="1"/>
  <c r="O165" i="1" l="1"/>
  <c r="AE165" i="1" s="1"/>
  <c r="AF165" i="1" s="1"/>
  <c r="AG165" i="1" s="1"/>
  <c r="I166" i="1"/>
  <c r="AA166" i="1"/>
  <c r="V166" i="1"/>
  <c r="AC166" i="1" s="1"/>
  <c r="AB166" i="1" s="1"/>
  <c r="L166" i="1" l="1"/>
  <c r="Y166" i="1"/>
  <c r="S166" i="1" l="1"/>
  <c r="AD166" i="1" s="1"/>
  <c r="Q166" i="1"/>
  <c r="M166" i="1"/>
  <c r="V167" i="1" l="1"/>
  <c r="AC167" i="1" s="1"/>
  <c r="AB167" i="1" s="1"/>
  <c r="O166" i="1"/>
  <c r="AE166" i="1" s="1"/>
  <c r="AF166" i="1" s="1"/>
  <c r="AG166" i="1" s="1"/>
  <c r="I167" i="1"/>
  <c r="AA167" i="1"/>
  <c r="Y167" i="1" l="1"/>
  <c r="L167" i="1"/>
  <c r="Q167" i="1" l="1"/>
  <c r="S167" i="1"/>
  <c r="AD167" i="1" s="1"/>
  <c r="M167" i="1"/>
  <c r="V168" i="1" l="1"/>
  <c r="AC168" i="1" s="1"/>
  <c r="AB168" i="1" s="1"/>
  <c r="AA168" i="1"/>
  <c r="I168" i="1"/>
  <c r="O167" i="1"/>
  <c r="AE167" i="1" s="1"/>
  <c r="AF167" i="1" s="1"/>
  <c r="AG167" i="1" s="1"/>
  <c r="Y168" i="1" l="1"/>
  <c r="L168" i="1"/>
  <c r="M168" i="1"/>
  <c r="AA169" i="1" l="1"/>
  <c r="V169" i="1"/>
  <c r="AC169" i="1" s="1"/>
  <c r="O168" i="1"/>
  <c r="I169" i="1"/>
  <c r="L169" i="1" s="1"/>
  <c r="M169" i="1" s="1"/>
  <c r="Q168" i="1"/>
  <c r="S168" i="1"/>
  <c r="AD168" i="1" s="1"/>
  <c r="AB169" i="1" l="1"/>
  <c r="Y169" i="1" s="1"/>
  <c r="AE168" i="1"/>
  <c r="AF168" i="1" s="1"/>
  <c r="AG168" i="1" s="1"/>
  <c r="V170" i="1"/>
  <c r="AC170" i="1" s="1"/>
  <c r="AA170" i="1"/>
  <c r="I170" i="1"/>
  <c r="O169" i="1"/>
  <c r="S169" i="1"/>
  <c r="AD169" i="1" s="1"/>
  <c r="Q169" i="1"/>
  <c r="AB170" i="1" l="1"/>
  <c r="Y170" i="1" s="1"/>
  <c r="AE169" i="1"/>
  <c r="AF169" i="1" s="1"/>
  <c r="AG169" i="1" s="1"/>
  <c r="L170" i="1"/>
  <c r="Q170" i="1" l="1"/>
  <c r="S170" i="1"/>
  <c r="AD170" i="1" s="1"/>
  <c r="M170" i="1"/>
  <c r="AA171" i="1" l="1"/>
  <c r="V171" i="1"/>
  <c r="AC171" i="1" s="1"/>
  <c r="AB171" i="1" s="1"/>
  <c r="Y171" i="1" s="1"/>
  <c r="I171" i="1"/>
  <c r="O170" i="1"/>
  <c r="AE170" i="1" s="1"/>
  <c r="AF170" i="1" s="1"/>
  <c r="AG170" i="1" s="1"/>
  <c r="AK22" i="1" s="1"/>
  <c r="AN22" i="1" l="1"/>
  <c r="AP22" i="1"/>
  <c r="L171" i="1"/>
  <c r="Q171" i="1" l="1"/>
  <c r="S171" i="1"/>
  <c r="AD171" i="1" s="1"/>
  <c r="M171" i="1"/>
  <c r="AQ22" i="1"/>
  <c r="AR22" i="1" s="1"/>
  <c r="O171" i="1" l="1"/>
  <c r="AE171" i="1" s="1"/>
  <c r="AF171" i="1" s="1"/>
  <c r="AG171" i="1" s="1"/>
  <c r="V172" i="1"/>
  <c r="AC172" i="1" s="1"/>
  <c r="AB172" i="1" s="1"/>
  <c r="I172" i="1"/>
  <c r="AA172" i="1"/>
  <c r="Y172" i="1" l="1"/>
  <c r="L172" i="1"/>
  <c r="Q172" i="1" l="1"/>
  <c r="S172" i="1"/>
  <c r="AD172" i="1" s="1"/>
  <c r="M172" i="1"/>
  <c r="V173" i="1" l="1"/>
  <c r="AC173" i="1" s="1"/>
  <c r="AB173" i="1" s="1"/>
  <c r="AA173" i="1"/>
  <c r="I173" i="1"/>
  <c r="O172" i="1"/>
  <c r="AE172" i="1" s="1"/>
  <c r="AF172" i="1" s="1"/>
  <c r="AG172" i="1" s="1"/>
  <c r="Y173" i="1" l="1"/>
  <c r="L173" i="1"/>
  <c r="M173" i="1"/>
  <c r="V174" i="1" l="1"/>
  <c r="AC174" i="1" s="1"/>
  <c r="AA174" i="1"/>
  <c r="O173" i="1"/>
  <c r="I174" i="1"/>
  <c r="S173" i="1"/>
  <c r="AD173" i="1" s="1"/>
  <c r="Q173" i="1"/>
  <c r="AB174" i="1" l="1"/>
  <c r="Y174" i="1" s="1"/>
  <c r="AE173" i="1"/>
  <c r="AF173" i="1" s="1"/>
  <c r="AG173" i="1" s="1"/>
  <c r="L174" i="1"/>
  <c r="S174" i="1" l="1"/>
  <c r="AD174" i="1" s="1"/>
  <c r="Q174" i="1"/>
  <c r="M174" i="1"/>
  <c r="I175" i="1" l="1"/>
  <c r="AA175" i="1"/>
  <c r="V175" i="1"/>
  <c r="AC175" i="1" s="1"/>
  <c r="AB175" i="1" s="1"/>
  <c r="Y175" i="1" s="1"/>
  <c r="O174" i="1"/>
  <c r="AE174" i="1" s="1"/>
  <c r="AF174" i="1" s="1"/>
  <c r="AG174" i="1" s="1"/>
  <c r="L175" i="1"/>
  <c r="Q175" i="1" l="1"/>
  <c r="S175" i="1"/>
  <c r="AD175" i="1" s="1"/>
  <c r="M175" i="1"/>
  <c r="O175" i="1" l="1"/>
  <c r="AE175" i="1" s="1"/>
  <c r="AF175" i="1" s="1"/>
  <c r="AG175" i="1" s="1"/>
  <c r="I176" i="1"/>
  <c r="AA176" i="1"/>
  <c r="V176" i="1"/>
  <c r="AC176" i="1" s="1"/>
  <c r="AB176" i="1" s="1"/>
  <c r="Y176" i="1" l="1"/>
  <c r="L176" i="1"/>
  <c r="Q176" i="1" l="1"/>
  <c r="S176" i="1"/>
  <c r="AD176" i="1" s="1"/>
  <c r="M176" i="1"/>
  <c r="I177" i="1" l="1"/>
  <c r="AA177" i="1"/>
  <c r="O176" i="1"/>
  <c r="AE176" i="1" s="1"/>
  <c r="AF176" i="1" s="1"/>
  <c r="AG176" i="1" s="1"/>
  <c r="V177" i="1"/>
  <c r="AC177" i="1" s="1"/>
  <c r="AB177" i="1" s="1"/>
  <c r="Y177" i="1" s="1"/>
  <c r="L177" i="1" l="1"/>
  <c r="S177" i="1" l="1"/>
  <c r="AD177" i="1" s="1"/>
  <c r="Q177" i="1"/>
  <c r="M177" i="1"/>
  <c r="AA178" i="1" l="1"/>
  <c r="O177" i="1"/>
  <c r="AE177" i="1" s="1"/>
  <c r="AF177" i="1" s="1"/>
  <c r="AG177" i="1" s="1"/>
  <c r="I178" i="1"/>
  <c r="V178" i="1"/>
  <c r="AC178" i="1" s="1"/>
  <c r="AB178" i="1" s="1"/>
  <c r="Y178" i="1" s="1"/>
  <c r="L178" i="1" l="1"/>
  <c r="S178" i="1" l="1"/>
  <c r="AD178" i="1" s="1"/>
  <c r="Q178" i="1"/>
  <c r="M178" i="1"/>
  <c r="O178" i="1" l="1"/>
  <c r="AE178" i="1" s="1"/>
  <c r="AF178" i="1" s="1"/>
  <c r="AG178" i="1" s="1"/>
  <c r="I179" i="1"/>
  <c r="AA179" i="1"/>
  <c r="V179" i="1"/>
  <c r="AC179" i="1" s="1"/>
  <c r="AB179" i="1" s="1"/>
  <c r="Y179" i="1" l="1"/>
  <c r="L179" i="1"/>
  <c r="S179" i="1" l="1"/>
  <c r="Q179" i="1"/>
  <c r="M179" i="1"/>
  <c r="V180" i="1" l="1"/>
  <c r="AC180" i="1" s="1"/>
  <c r="AA180" i="1"/>
  <c r="O179" i="1"/>
  <c r="AE179" i="1" s="1"/>
  <c r="AF179" i="1" s="1"/>
  <c r="AG179" i="1" s="1"/>
  <c r="I180" i="1"/>
  <c r="AD179" i="1"/>
  <c r="AB180" i="1" l="1"/>
  <c r="L180" i="1"/>
  <c r="Y180" i="1"/>
  <c r="M180" i="1" l="1"/>
  <c r="S180" i="1"/>
  <c r="AD180" i="1" s="1"/>
  <c r="Q180" i="1"/>
  <c r="O180" i="1" l="1"/>
  <c r="V181" i="1"/>
  <c r="AC181" i="1" s="1"/>
  <c r="AB181" i="1" s="1"/>
  <c r="I181" i="1"/>
  <c r="AA181" i="1"/>
  <c r="AE180" i="1"/>
  <c r="AF180" i="1" s="1"/>
  <c r="AG180" i="1" s="1"/>
  <c r="Y181" i="1" l="1"/>
  <c r="L181" i="1"/>
  <c r="Q181" i="1" l="1"/>
  <c r="S181" i="1"/>
  <c r="AD181" i="1" s="1"/>
  <c r="M181" i="1"/>
  <c r="AA182" i="1" l="1"/>
  <c r="V182" i="1"/>
  <c r="AC182" i="1" s="1"/>
  <c r="AB182" i="1" s="1"/>
  <c r="Y182" i="1" s="1"/>
  <c r="I182" i="1"/>
  <c r="O181" i="1"/>
  <c r="AE181" i="1" s="1"/>
  <c r="AF181" i="1" s="1"/>
  <c r="AG181" i="1" s="1"/>
  <c r="L182" i="1" l="1"/>
  <c r="Q182" i="1" l="1"/>
  <c r="S182" i="1"/>
  <c r="AD182" i="1" s="1"/>
  <c r="M182" i="1"/>
  <c r="I183" i="1" l="1"/>
  <c r="O182" i="1"/>
  <c r="AE182" i="1" s="1"/>
  <c r="AF182" i="1" s="1"/>
  <c r="AG182" i="1" s="1"/>
  <c r="AK23" i="1" s="1"/>
  <c r="AA183" i="1"/>
  <c r="V183" i="1"/>
  <c r="AC183" i="1" s="1"/>
  <c r="AB183" i="1" s="1"/>
  <c r="Y183" i="1" l="1"/>
  <c r="AN23" i="1"/>
  <c r="AP23" i="1"/>
  <c r="L183" i="1"/>
  <c r="Q183" i="1" l="1"/>
  <c r="S183" i="1"/>
  <c r="AD183" i="1" s="1"/>
  <c r="M183" i="1"/>
  <c r="AQ23" i="1"/>
  <c r="AR23" i="1" s="1"/>
  <c r="I184" i="1" l="1"/>
  <c r="AA184" i="1"/>
  <c r="V184" i="1"/>
  <c r="AC184" i="1" s="1"/>
  <c r="AB184" i="1" s="1"/>
  <c r="Y184" i="1" s="1"/>
  <c r="O183" i="1"/>
  <c r="AE183" i="1" s="1"/>
  <c r="AF183" i="1" s="1"/>
  <c r="AG183" i="1" s="1"/>
  <c r="L184" i="1" l="1"/>
  <c r="S184" i="1" l="1"/>
  <c r="AD184" i="1" s="1"/>
  <c r="Q184" i="1"/>
  <c r="M184" i="1"/>
  <c r="AA185" i="1" l="1"/>
  <c r="O184" i="1"/>
  <c r="AE184" i="1" s="1"/>
  <c r="AF184" i="1" s="1"/>
  <c r="AG184" i="1" s="1"/>
  <c r="I185" i="1"/>
  <c r="V185" i="1"/>
  <c r="AC185" i="1" s="1"/>
  <c r="AB185" i="1" s="1"/>
  <c r="Y185" i="1" s="1"/>
  <c r="L185" i="1"/>
  <c r="Q185" i="1" l="1"/>
  <c r="S185" i="1"/>
  <c r="AD185" i="1" s="1"/>
  <c r="M185" i="1"/>
  <c r="AA186" i="1" l="1"/>
  <c r="V186" i="1"/>
  <c r="AC186" i="1" s="1"/>
  <c r="AB186" i="1" s="1"/>
  <c r="Y186" i="1" s="1"/>
  <c r="O185" i="1"/>
  <c r="AE185" i="1" s="1"/>
  <c r="AF185" i="1" s="1"/>
  <c r="AG185" i="1" s="1"/>
  <c r="I186" i="1"/>
  <c r="L186" i="1" l="1"/>
  <c r="M186" i="1"/>
  <c r="I187" i="1" l="1"/>
  <c r="V187" i="1"/>
  <c r="AC187" i="1" s="1"/>
  <c r="AA187" i="1"/>
  <c r="O186" i="1"/>
  <c r="Q186" i="1"/>
  <c r="S186" i="1"/>
  <c r="AD186" i="1" s="1"/>
  <c r="AE186" i="1" l="1"/>
  <c r="AF186" i="1" s="1"/>
  <c r="AG186" i="1" s="1"/>
  <c r="AB187" i="1"/>
  <c r="Y187" i="1" s="1"/>
  <c r="L187" i="1"/>
  <c r="S187" i="1" l="1"/>
  <c r="AD187" i="1" s="1"/>
  <c r="Q187" i="1"/>
  <c r="M187" i="1"/>
  <c r="I188" i="1" l="1"/>
  <c r="V188" i="1"/>
  <c r="AC188" i="1" s="1"/>
  <c r="AB188" i="1" s="1"/>
  <c r="O187" i="1"/>
  <c r="AE187" i="1" s="1"/>
  <c r="AF187" i="1" s="1"/>
  <c r="AG187" i="1" s="1"/>
  <c r="AA188" i="1"/>
  <c r="Y188" i="1" l="1"/>
  <c r="L188" i="1"/>
  <c r="M188" i="1" l="1"/>
  <c r="Q188" i="1"/>
  <c r="S188" i="1"/>
  <c r="AD188" i="1" s="1"/>
  <c r="O188" i="1" l="1"/>
  <c r="AE188" i="1" s="1"/>
  <c r="AF188" i="1" s="1"/>
  <c r="AG188" i="1" s="1"/>
  <c r="I189" i="1"/>
  <c r="V189" i="1"/>
  <c r="AC189" i="1" s="1"/>
  <c r="AB189" i="1" s="1"/>
  <c r="AA189" i="1"/>
  <c r="Y189" i="1" l="1"/>
  <c r="L189" i="1"/>
  <c r="S189" i="1" l="1"/>
  <c r="AD189" i="1" s="1"/>
  <c r="Q189" i="1"/>
  <c r="M189" i="1"/>
  <c r="AA190" i="1" l="1"/>
  <c r="O189" i="1"/>
  <c r="AE189" i="1" s="1"/>
  <c r="AF189" i="1" s="1"/>
  <c r="AG189" i="1" s="1"/>
  <c r="I190" i="1"/>
  <c r="V190" i="1"/>
  <c r="AC190" i="1" s="1"/>
  <c r="AB190" i="1" s="1"/>
  <c r="Y190" i="1" s="1"/>
  <c r="L190" i="1" l="1"/>
  <c r="S190" i="1" l="1"/>
  <c r="AD190" i="1" s="1"/>
  <c r="Q190" i="1"/>
  <c r="M190" i="1"/>
  <c r="I191" i="1" l="1"/>
  <c r="V191" i="1"/>
  <c r="AC191" i="1" s="1"/>
  <c r="AB191" i="1" s="1"/>
  <c r="AA191" i="1"/>
  <c r="O190" i="1"/>
  <c r="AE190" i="1" s="1"/>
  <c r="AF190" i="1" s="1"/>
  <c r="AG190" i="1" s="1"/>
  <c r="Y191" i="1" l="1"/>
  <c r="L191" i="1"/>
  <c r="Q191" i="1" l="1"/>
  <c r="S191" i="1"/>
  <c r="AD191" i="1" s="1"/>
  <c r="M191" i="1"/>
  <c r="AA192" i="1" l="1"/>
  <c r="V192" i="1"/>
  <c r="AC192" i="1" s="1"/>
  <c r="AB192" i="1" s="1"/>
  <c r="Y192" i="1" s="1"/>
  <c r="I192" i="1"/>
  <c r="O191" i="1"/>
  <c r="AE191" i="1" s="1"/>
  <c r="AF191" i="1" s="1"/>
  <c r="AG191" i="1" s="1"/>
  <c r="L192" i="1" l="1"/>
  <c r="Q192" i="1" l="1"/>
  <c r="S192" i="1"/>
  <c r="AD192" i="1" s="1"/>
  <c r="M192" i="1"/>
  <c r="V193" i="1" l="1"/>
  <c r="AC193" i="1" s="1"/>
  <c r="AB193" i="1" s="1"/>
  <c r="Y193" i="1" s="1"/>
  <c r="AA193" i="1"/>
  <c r="I193" i="1"/>
  <c r="L193" i="1" s="1"/>
  <c r="O192" i="1"/>
  <c r="AE192" i="1" s="1"/>
  <c r="AF192" i="1" s="1"/>
  <c r="AG192" i="1" s="1"/>
  <c r="S193" i="1" l="1"/>
  <c r="Q193" i="1"/>
  <c r="M193" i="1"/>
  <c r="AD193" i="1"/>
  <c r="AA194" i="1" l="1"/>
  <c r="V194" i="1"/>
  <c r="AC194" i="1" s="1"/>
  <c r="AB194" i="1" s="1"/>
  <c r="Y194" i="1" s="1"/>
  <c r="O193" i="1"/>
  <c r="AE193" i="1" s="1"/>
  <c r="AF193" i="1" s="1"/>
  <c r="AG193" i="1" s="1"/>
  <c r="I194" i="1"/>
  <c r="L194" i="1" s="1"/>
  <c r="M194" i="1" l="1"/>
  <c r="AA195" i="1"/>
  <c r="V195" i="1"/>
  <c r="AC195" i="1" s="1"/>
  <c r="O194" i="1"/>
  <c r="I195" i="1"/>
  <c r="S194" i="1"/>
  <c r="AD194" i="1" s="1"/>
  <c r="Q194" i="1"/>
  <c r="AB195" i="1" l="1"/>
  <c r="Y195" i="1" s="1"/>
  <c r="AE194" i="1"/>
  <c r="AF194" i="1" s="1"/>
  <c r="AG194" i="1" s="1"/>
  <c r="AK24" i="1" s="1"/>
  <c r="L195" i="1"/>
  <c r="M195" i="1" l="1"/>
  <c r="Q195" i="1"/>
  <c r="S195" i="1"/>
  <c r="AN24" i="1"/>
  <c r="AP24" i="1"/>
  <c r="AQ24" i="1" l="1"/>
  <c r="AR24" i="1" s="1"/>
  <c r="AD195" i="1"/>
  <c r="I196" i="1"/>
  <c r="AA196" i="1"/>
  <c r="V196" i="1"/>
  <c r="AC196" i="1" s="1"/>
  <c r="O195" i="1"/>
  <c r="AE195" i="1" s="1"/>
  <c r="AF195" i="1" s="1"/>
  <c r="AG195" i="1" s="1"/>
  <c r="L196" i="1" l="1"/>
  <c r="M196" i="1"/>
  <c r="AB196" i="1"/>
  <c r="Y196" i="1" s="1"/>
  <c r="AA197" i="1" l="1"/>
  <c r="O196" i="1"/>
  <c r="I197" i="1"/>
  <c r="V197" i="1"/>
  <c r="AC197" i="1" s="1"/>
  <c r="S196" i="1"/>
  <c r="AD196" i="1" s="1"/>
  <c r="Q196" i="1"/>
  <c r="AB197" i="1" l="1"/>
  <c r="Y197" i="1" s="1"/>
  <c r="L197" i="1"/>
  <c r="AE196" i="1"/>
  <c r="AF196" i="1" s="1"/>
  <c r="AG196" i="1" s="1"/>
  <c r="S197" i="1" l="1"/>
  <c r="AD197" i="1" s="1"/>
  <c r="Q197" i="1"/>
  <c r="M197" i="1"/>
  <c r="AA198" i="1" l="1"/>
  <c r="V198" i="1"/>
  <c r="AC198" i="1" s="1"/>
  <c r="AB198" i="1" s="1"/>
  <c r="Y198" i="1" s="1"/>
  <c r="O197" i="1"/>
  <c r="AE197" i="1" s="1"/>
  <c r="AF197" i="1" s="1"/>
  <c r="AG197" i="1" s="1"/>
  <c r="I198" i="1"/>
  <c r="L198" i="1" l="1"/>
  <c r="S198" i="1" l="1"/>
  <c r="AD198" i="1" s="1"/>
  <c r="Q198" i="1"/>
  <c r="M198" i="1"/>
  <c r="O198" i="1" l="1"/>
  <c r="AE198" i="1" s="1"/>
  <c r="AF198" i="1" s="1"/>
  <c r="AG198" i="1" s="1"/>
  <c r="I199" i="1"/>
  <c r="AA199" i="1"/>
  <c r="V199" i="1"/>
  <c r="AC199" i="1" s="1"/>
  <c r="AB199" i="1" s="1"/>
  <c r="L199" i="1" l="1"/>
  <c r="Y199" i="1"/>
  <c r="S199" i="1" l="1"/>
  <c r="AD199" i="1" s="1"/>
  <c r="Q199" i="1"/>
  <c r="M199" i="1"/>
  <c r="O199" i="1" l="1"/>
  <c r="AE199" i="1" s="1"/>
  <c r="AF199" i="1" s="1"/>
  <c r="AG199" i="1" s="1"/>
  <c r="I200" i="1"/>
  <c r="V200" i="1"/>
  <c r="AC200" i="1" s="1"/>
  <c r="AB200" i="1" s="1"/>
  <c r="Y200" i="1" s="1"/>
  <c r="AA200" i="1"/>
  <c r="L200" i="1" l="1"/>
  <c r="Q200" i="1" l="1"/>
  <c r="S200" i="1"/>
  <c r="AD200" i="1" s="1"/>
  <c r="M200" i="1"/>
  <c r="V201" i="1" l="1"/>
  <c r="AC201" i="1" s="1"/>
  <c r="AB201" i="1" s="1"/>
  <c r="AA201" i="1"/>
  <c r="O200" i="1"/>
  <c r="AE200" i="1" s="1"/>
  <c r="AF200" i="1" s="1"/>
  <c r="AG200" i="1" s="1"/>
  <c r="I201" i="1"/>
  <c r="Y201" i="1" l="1"/>
  <c r="L201" i="1"/>
  <c r="M201" i="1"/>
  <c r="AA202" i="1" l="1"/>
  <c r="O201" i="1"/>
  <c r="I202" i="1"/>
  <c r="V202" i="1"/>
  <c r="AC202" i="1" s="1"/>
  <c r="S201" i="1"/>
  <c r="AD201" i="1" s="1"/>
  <c r="Q201" i="1"/>
  <c r="AB202" i="1" l="1"/>
  <c r="Y202" i="1" s="1"/>
  <c r="AE201" i="1"/>
  <c r="AF201" i="1" s="1"/>
  <c r="AG201" i="1" s="1"/>
  <c r="L202" i="1"/>
  <c r="S202" i="1" l="1"/>
  <c r="AD202" i="1" s="1"/>
  <c r="Q202" i="1"/>
  <c r="M202" i="1"/>
  <c r="O202" i="1" l="1"/>
  <c r="AE202" i="1" s="1"/>
  <c r="AF202" i="1" s="1"/>
  <c r="AG202" i="1" s="1"/>
  <c r="I203" i="1"/>
  <c r="AA203" i="1"/>
  <c r="V203" i="1"/>
  <c r="AC203" i="1" s="1"/>
  <c r="AB203" i="1" s="1"/>
  <c r="Y203" i="1" l="1"/>
  <c r="L203" i="1"/>
  <c r="Q203" i="1" l="1"/>
  <c r="S203" i="1"/>
  <c r="AD203" i="1" s="1"/>
  <c r="M203" i="1"/>
  <c r="AA204" i="1" l="1"/>
  <c r="O203" i="1"/>
  <c r="AE203" i="1" s="1"/>
  <c r="AF203" i="1" s="1"/>
  <c r="AG203" i="1" s="1"/>
  <c r="I204" i="1"/>
  <c r="V204" i="1"/>
  <c r="AC204" i="1" s="1"/>
  <c r="AB204" i="1" s="1"/>
  <c r="Y204" i="1" s="1"/>
  <c r="L204" i="1" l="1"/>
  <c r="Q204" i="1" l="1"/>
  <c r="S204" i="1"/>
  <c r="AD204" i="1" s="1"/>
  <c r="M204" i="1"/>
  <c r="AA205" i="1" l="1"/>
  <c r="O204" i="1"/>
  <c r="AE204" i="1" s="1"/>
  <c r="AF204" i="1" s="1"/>
  <c r="AG204" i="1" s="1"/>
  <c r="I205" i="1"/>
  <c r="V205" i="1"/>
  <c r="AC205" i="1" s="1"/>
  <c r="AB205" i="1" s="1"/>
  <c r="Y205" i="1" s="1"/>
  <c r="L205" i="1" l="1"/>
  <c r="S205" i="1" l="1"/>
  <c r="AD205" i="1" s="1"/>
  <c r="Q205" i="1"/>
  <c r="M205" i="1"/>
  <c r="O205" i="1" l="1"/>
  <c r="AE205" i="1" s="1"/>
  <c r="AF205" i="1" s="1"/>
  <c r="AG205" i="1" s="1"/>
  <c r="I206" i="1"/>
  <c r="AA206" i="1"/>
  <c r="V206" i="1"/>
  <c r="AC206" i="1" s="1"/>
  <c r="AB206" i="1" s="1"/>
  <c r="Y206" i="1" l="1"/>
  <c r="L206" i="1"/>
  <c r="S206" i="1" l="1"/>
  <c r="AD206" i="1" s="1"/>
  <c r="Q206" i="1"/>
  <c r="M206" i="1"/>
  <c r="AA207" i="1" l="1"/>
  <c r="V207" i="1"/>
  <c r="AC207" i="1" s="1"/>
  <c r="AB207" i="1" s="1"/>
  <c r="Y207" i="1" s="1"/>
  <c r="O206" i="1"/>
  <c r="AE206" i="1" s="1"/>
  <c r="AF206" i="1" s="1"/>
  <c r="AG206" i="1" s="1"/>
  <c r="AK25" i="1" s="1"/>
  <c r="I207" i="1"/>
  <c r="L207" i="1" l="1"/>
  <c r="M207" i="1"/>
  <c r="AN25" i="1"/>
  <c r="AP25" i="1"/>
  <c r="AQ25" i="1" l="1"/>
  <c r="AR25" i="1" s="1"/>
  <c r="AA208" i="1"/>
  <c r="V208" i="1"/>
  <c r="AC208" i="1" s="1"/>
  <c r="O207" i="1"/>
  <c r="I208" i="1"/>
  <c r="S207" i="1"/>
  <c r="AD207" i="1" s="1"/>
  <c r="Q207" i="1"/>
  <c r="AE207" i="1" l="1"/>
  <c r="AF207" i="1" s="1"/>
  <c r="AG207" i="1" s="1"/>
  <c r="L208" i="1"/>
  <c r="AB208" i="1"/>
  <c r="Y208" i="1" s="1"/>
  <c r="S208" i="1" l="1"/>
  <c r="AD208" i="1" s="1"/>
  <c r="Q208" i="1"/>
  <c r="M208" i="1"/>
  <c r="I209" i="1" l="1"/>
  <c r="AA209" i="1"/>
  <c r="O208" i="1"/>
  <c r="AE208" i="1" s="1"/>
  <c r="AF208" i="1" s="1"/>
  <c r="AG208" i="1" s="1"/>
  <c r="V209" i="1"/>
  <c r="AC209" i="1" s="1"/>
  <c r="AB209" i="1" s="1"/>
  <c r="Y209" i="1" s="1"/>
  <c r="L209" i="1" l="1"/>
  <c r="Q209" i="1" l="1"/>
  <c r="S209" i="1"/>
  <c r="AD209" i="1" s="1"/>
  <c r="M209" i="1"/>
  <c r="V210" i="1" l="1"/>
  <c r="AC210" i="1" s="1"/>
  <c r="AB210" i="1" s="1"/>
  <c r="AA210" i="1"/>
  <c r="I210" i="1"/>
  <c r="O209" i="1"/>
  <c r="AE209" i="1" s="1"/>
  <c r="AF209" i="1" s="1"/>
  <c r="AG209" i="1" s="1"/>
  <c r="Y210" i="1" l="1"/>
  <c r="L210" i="1"/>
  <c r="Q210" i="1" l="1"/>
  <c r="S210" i="1"/>
  <c r="AD210" i="1" s="1"/>
  <c r="M210" i="1"/>
  <c r="V211" i="1" l="1"/>
  <c r="AC211" i="1" s="1"/>
  <c r="AB211" i="1" s="1"/>
  <c r="AA211" i="1"/>
  <c r="O210" i="1"/>
  <c r="AE210" i="1" s="1"/>
  <c r="AF210" i="1" s="1"/>
  <c r="AG210" i="1" s="1"/>
  <c r="I211" i="1"/>
  <c r="Y211" i="1" l="1"/>
  <c r="L211" i="1"/>
  <c r="M211" i="1"/>
  <c r="I212" i="1" l="1"/>
  <c r="AA212" i="1"/>
  <c r="V212" i="1"/>
  <c r="AC212" i="1" s="1"/>
  <c r="O211" i="1"/>
  <c r="Q211" i="1"/>
  <c r="S211" i="1"/>
  <c r="AD211" i="1" s="1"/>
  <c r="AB212" i="1" l="1"/>
  <c r="Y212" i="1" s="1"/>
  <c r="AE211" i="1"/>
  <c r="AF211" i="1" s="1"/>
  <c r="AG211" i="1" s="1"/>
  <c r="L212" i="1"/>
  <c r="Q212" i="1" l="1"/>
  <c r="S212" i="1"/>
  <c r="AD212" i="1" s="1"/>
  <c r="M212" i="1"/>
  <c r="AA213" i="1" l="1"/>
  <c r="V213" i="1"/>
  <c r="AC213" i="1" s="1"/>
  <c r="AB213" i="1" s="1"/>
  <c r="O212" i="1"/>
  <c r="AE212" i="1" s="1"/>
  <c r="AF212" i="1" s="1"/>
  <c r="AG212" i="1" s="1"/>
  <c r="I213" i="1"/>
  <c r="L213" i="1" l="1"/>
  <c r="Y213" i="1"/>
  <c r="S213" i="1" l="1"/>
  <c r="AD213" i="1" s="1"/>
  <c r="Q213" i="1"/>
  <c r="M213" i="1"/>
  <c r="AA214" i="1" l="1"/>
  <c r="O213" i="1"/>
  <c r="AE213" i="1" s="1"/>
  <c r="AF213" i="1" s="1"/>
  <c r="AG213" i="1" s="1"/>
  <c r="I214" i="1"/>
  <c r="V214" i="1"/>
  <c r="AC214" i="1" s="1"/>
  <c r="AB214" i="1" s="1"/>
  <c r="Y214" i="1" s="1"/>
  <c r="L214" i="1" l="1"/>
  <c r="S214" i="1" l="1"/>
  <c r="AD214" i="1" s="1"/>
  <c r="Q214" i="1"/>
  <c r="M214" i="1"/>
  <c r="AA215" i="1" l="1"/>
  <c r="O214" i="1"/>
  <c r="AE214" i="1" s="1"/>
  <c r="AF214" i="1" s="1"/>
  <c r="AG214" i="1" s="1"/>
  <c r="I215" i="1"/>
  <c r="V215" i="1"/>
  <c r="AC215" i="1" s="1"/>
  <c r="AB215" i="1" s="1"/>
  <c r="Y215" i="1" s="1"/>
  <c r="L215" i="1" l="1"/>
  <c r="S215" i="1" l="1"/>
  <c r="AD215" i="1" s="1"/>
  <c r="Q215" i="1"/>
  <c r="M215" i="1"/>
  <c r="AA216" i="1" l="1"/>
  <c r="O215" i="1"/>
  <c r="AE215" i="1" s="1"/>
  <c r="AF215" i="1" s="1"/>
  <c r="AG215" i="1" s="1"/>
  <c r="I216" i="1"/>
  <c r="V216" i="1"/>
  <c r="AC216" i="1" s="1"/>
  <c r="AB216" i="1" s="1"/>
  <c r="Y216" i="1" s="1"/>
  <c r="L216" i="1" l="1"/>
  <c r="S216" i="1" l="1"/>
  <c r="AD216" i="1" s="1"/>
  <c r="Q216" i="1"/>
  <c r="M216" i="1"/>
  <c r="I217" i="1" l="1"/>
  <c r="V217" i="1"/>
  <c r="AC217" i="1" s="1"/>
  <c r="AB217" i="1" s="1"/>
  <c r="AA217" i="1"/>
  <c r="O216" i="1"/>
  <c r="AE216" i="1" s="1"/>
  <c r="AF216" i="1" s="1"/>
  <c r="AG216" i="1" s="1"/>
  <c r="Y217" i="1" l="1"/>
  <c r="L217" i="1"/>
  <c r="Q217" i="1" l="1"/>
  <c r="S217" i="1"/>
  <c r="AD217" i="1" s="1"/>
  <c r="M217" i="1"/>
  <c r="V218" i="1" l="1"/>
  <c r="AC218" i="1" s="1"/>
  <c r="AB218" i="1" s="1"/>
  <c r="AA218" i="1"/>
  <c r="O217" i="1"/>
  <c r="AE217" i="1" s="1"/>
  <c r="AF217" i="1" s="1"/>
  <c r="AG217" i="1" s="1"/>
  <c r="I218" i="1"/>
  <c r="L218" i="1" s="1"/>
  <c r="Y218" i="1" l="1"/>
  <c r="M218" i="1"/>
  <c r="V219" i="1"/>
  <c r="AC219" i="1" s="1"/>
  <c r="AA219" i="1"/>
  <c r="O218" i="1"/>
  <c r="I219" i="1"/>
  <c r="S218" i="1"/>
  <c r="AD218" i="1" s="1"/>
  <c r="Q218" i="1"/>
  <c r="AB219" i="1" l="1"/>
  <c r="Y219" i="1" s="1"/>
  <c r="AE218" i="1"/>
  <c r="AF218" i="1" s="1"/>
  <c r="AG218" i="1" s="1"/>
  <c r="AK26" i="1" s="1"/>
  <c r="L219" i="1"/>
  <c r="M219" i="1" s="1"/>
  <c r="S219" i="1" l="1"/>
  <c r="AD219" i="1" s="1"/>
  <c r="Q219" i="1"/>
  <c r="AA220" i="1"/>
  <c r="O219" i="1"/>
  <c r="AE219" i="1" s="1"/>
  <c r="AF219" i="1" s="1"/>
  <c r="AG219" i="1" s="1"/>
  <c r="V220" i="1"/>
  <c r="AC220" i="1" s="1"/>
  <c r="AB220" i="1" s="1"/>
  <c r="Y220" i="1" s="1"/>
  <c r="I220" i="1"/>
  <c r="AN26" i="1"/>
  <c r="AP26" i="1"/>
  <c r="L220" i="1" l="1"/>
  <c r="AQ26" i="1"/>
  <c r="AR26" i="1" s="1"/>
  <c r="M220" i="1" l="1"/>
  <c r="Q220" i="1"/>
  <c r="S220" i="1"/>
  <c r="AD220" i="1" l="1"/>
  <c r="O220" i="1"/>
  <c r="AE220" i="1" s="1"/>
  <c r="AF220" i="1" s="1"/>
  <c r="AG220" i="1" s="1"/>
  <c r="I221" i="1"/>
  <c r="V221" i="1"/>
  <c r="AC221" i="1" s="1"/>
  <c r="AA221" i="1"/>
  <c r="L221" i="1" l="1"/>
  <c r="AB221" i="1"/>
  <c r="Y221" i="1" s="1"/>
  <c r="S221" i="1" l="1"/>
  <c r="AD221" i="1" s="1"/>
  <c r="Q221" i="1"/>
  <c r="M221" i="1"/>
  <c r="AA222" i="1" l="1"/>
  <c r="O221" i="1"/>
  <c r="AE221" i="1" s="1"/>
  <c r="AF221" i="1" s="1"/>
  <c r="AG221" i="1" s="1"/>
  <c r="I222" i="1"/>
  <c r="V222" i="1"/>
  <c r="AC222" i="1" s="1"/>
  <c r="AB222" i="1" s="1"/>
  <c r="Y222" i="1" s="1"/>
  <c r="L222" i="1" l="1"/>
  <c r="S222" i="1" l="1"/>
  <c r="AD222" i="1" s="1"/>
  <c r="Q222" i="1"/>
  <c r="M222" i="1"/>
  <c r="I223" i="1" l="1"/>
  <c r="O222" i="1"/>
  <c r="AE222" i="1" s="1"/>
  <c r="AF222" i="1" s="1"/>
  <c r="AG222" i="1" s="1"/>
  <c r="AA223" i="1"/>
  <c r="V223" i="1"/>
  <c r="AC223" i="1" s="1"/>
  <c r="AB223" i="1" s="1"/>
  <c r="Y223" i="1" l="1"/>
  <c r="L223" i="1"/>
  <c r="S223" i="1" l="1"/>
  <c r="AD223" i="1" s="1"/>
  <c r="Q223" i="1"/>
  <c r="M223" i="1"/>
  <c r="V224" i="1" l="1"/>
  <c r="AC224" i="1" s="1"/>
  <c r="AB224" i="1" s="1"/>
  <c r="AA224" i="1"/>
  <c r="O223" i="1"/>
  <c r="AE223" i="1" s="1"/>
  <c r="AF223" i="1" s="1"/>
  <c r="AG223" i="1" s="1"/>
  <c r="I224" i="1"/>
  <c r="Y224" i="1" l="1"/>
  <c r="L224" i="1"/>
  <c r="S224" i="1" l="1"/>
  <c r="AD224" i="1" s="1"/>
  <c r="Q224" i="1"/>
  <c r="M224" i="1"/>
  <c r="AA225" i="1" l="1"/>
  <c r="V225" i="1"/>
  <c r="AC225" i="1" s="1"/>
  <c r="AB225" i="1" s="1"/>
  <c r="Y225" i="1" s="1"/>
  <c r="O224" i="1"/>
  <c r="AE224" i="1" s="1"/>
  <c r="AF224" i="1" s="1"/>
  <c r="AG224" i="1" s="1"/>
  <c r="I225" i="1"/>
  <c r="L225" i="1" l="1"/>
  <c r="S225" i="1" l="1"/>
  <c r="AD225" i="1" s="1"/>
  <c r="Q225" i="1"/>
  <c r="M225" i="1"/>
  <c r="V226" i="1" l="1"/>
  <c r="AC226" i="1" s="1"/>
  <c r="AB226" i="1" s="1"/>
  <c r="O225" i="1"/>
  <c r="AE225" i="1" s="1"/>
  <c r="AF225" i="1" s="1"/>
  <c r="AG225" i="1" s="1"/>
  <c r="I226" i="1"/>
  <c r="AA226" i="1"/>
  <c r="Y226" i="1" l="1"/>
  <c r="L226" i="1"/>
  <c r="M226" i="1" s="1"/>
  <c r="I227" i="1" l="1"/>
  <c r="AA227" i="1"/>
  <c r="V227" i="1"/>
  <c r="AC227" i="1" s="1"/>
  <c r="O226" i="1"/>
  <c r="Q226" i="1"/>
  <c r="S226" i="1"/>
  <c r="AD226" i="1" s="1"/>
  <c r="AB227" i="1" l="1"/>
  <c r="Y227" i="1" s="1"/>
  <c r="AE226" i="1"/>
  <c r="AF226" i="1" s="1"/>
  <c r="AG226" i="1" s="1"/>
  <c r="L227" i="1"/>
  <c r="S227" i="1" l="1"/>
  <c r="AD227" i="1" s="1"/>
  <c r="Q227" i="1"/>
  <c r="M227" i="1"/>
  <c r="AA228" i="1" l="1"/>
  <c r="V228" i="1"/>
  <c r="AC228" i="1" s="1"/>
  <c r="AB228" i="1" s="1"/>
  <c r="Y228" i="1" s="1"/>
  <c r="O227" i="1"/>
  <c r="AE227" i="1" s="1"/>
  <c r="AF227" i="1" s="1"/>
  <c r="AG227" i="1" s="1"/>
  <c r="I228" i="1"/>
  <c r="L228" i="1" l="1"/>
  <c r="M228" i="1"/>
  <c r="AA229" i="1" l="1"/>
  <c r="V229" i="1"/>
  <c r="AC229" i="1" s="1"/>
  <c r="I229" i="1"/>
  <c r="O228" i="1"/>
  <c r="S228" i="1"/>
  <c r="AD228" i="1" s="1"/>
  <c r="Q228" i="1"/>
  <c r="AB229" i="1" l="1"/>
  <c r="Y229" i="1" s="1"/>
  <c r="AE228" i="1"/>
  <c r="AF228" i="1" s="1"/>
  <c r="AG228" i="1" s="1"/>
  <c r="L229" i="1"/>
  <c r="S229" i="1" l="1"/>
  <c r="AD229" i="1" s="1"/>
  <c r="Q229" i="1"/>
  <c r="M229" i="1"/>
  <c r="O229" i="1" l="1"/>
  <c r="AE229" i="1" s="1"/>
  <c r="AF229" i="1" s="1"/>
  <c r="AG229" i="1" s="1"/>
  <c r="I230" i="1"/>
  <c r="AA230" i="1"/>
  <c r="V230" i="1"/>
  <c r="AC230" i="1" s="1"/>
  <c r="AB230" i="1" s="1"/>
  <c r="Y230" i="1" l="1"/>
  <c r="L230" i="1"/>
  <c r="Q230" i="1" l="1"/>
  <c r="S230" i="1"/>
  <c r="AD230" i="1" s="1"/>
  <c r="M230" i="1"/>
  <c r="AA231" i="1" l="1"/>
  <c r="O230" i="1"/>
  <c r="AE230" i="1" s="1"/>
  <c r="AF230" i="1" s="1"/>
  <c r="AG230" i="1" s="1"/>
  <c r="AK27" i="1" s="1"/>
  <c r="I231" i="1"/>
  <c r="V231" i="1"/>
  <c r="AC231" i="1" s="1"/>
  <c r="AB231" i="1" s="1"/>
  <c r="Y231" i="1" s="1"/>
  <c r="L231" i="1" l="1"/>
  <c r="AN27" i="1"/>
  <c r="AP27" i="1"/>
  <c r="AQ27" i="1" l="1"/>
  <c r="AR27" i="1" s="1"/>
  <c r="Q231" i="1"/>
  <c r="S231" i="1"/>
  <c r="AD231" i="1" s="1"/>
  <c r="M231" i="1"/>
  <c r="I232" i="1" l="1"/>
  <c r="AA232" i="1"/>
  <c r="V232" i="1"/>
  <c r="AC232" i="1" s="1"/>
  <c r="AB232" i="1" s="1"/>
  <c r="Y232" i="1" s="1"/>
  <c r="O231" i="1"/>
  <c r="AE231" i="1" s="1"/>
  <c r="AF231" i="1" s="1"/>
  <c r="AG231" i="1" s="1"/>
  <c r="L232" i="1" l="1"/>
  <c r="S232" i="1" l="1"/>
  <c r="AD232" i="1" s="1"/>
  <c r="Q232" i="1"/>
  <c r="M232" i="1"/>
  <c r="O232" i="1" l="1"/>
  <c r="AE232" i="1" s="1"/>
  <c r="AF232" i="1" s="1"/>
  <c r="AG232" i="1" s="1"/>
  <c r="I233" i="1"/>
  <c r="AA233" i="1"/>
  <c r="V233" i="1"/>
  <c r="AC233" i="1" s="1"/>
  <c r="AB233" i="1" s="1"/>
  <c r="Y233" i="1" l="1"/>
  <c r="L233" i="1"/>
  <c r="S233" i="1" l="1"/>
  <c r="AD233" i="1" s="1"/>
  <c r="Q233" i="1"/>
  <c r="M233" i="1"/>
  <c r="AA234" i="1" l="1"/>
  <c r="V234" i="1"/>
  <c r="AC234" i="1" s="1"/>
  <c r="AB234" i="1" s="1"/>
  <c r="Y234" i="1" s="1"/>
  <c r="O233" i="1"/>
  <c r="AE233" i="1" s="1"/>
  <c r="AF233" i="1" s="1"/>
  <c r="AG233" i="1" s="1"/>
  <c r="I234" i="1"/>
  <c r="L234" i="1" l="1"/>
  <c r="S234" i="1" l="1"/>
  <c r="AD234" i="1" s="1"/>
  <c r="Q234" i="1"/>
  <c r="M234" i="1"/>
  <c r="AA235" i="1" l="1"/>
  <c r="V235" i="1"/>
  <c r="AC235" i="1" s="1"/>
  <c r="AB235" i="1" s="1"/>
  <c r="Y235" i="1" s="1"/>
  <c r="O234" i="1"/>
  <c r="AE234" i="1" s="1"/>
  <c r="AF234" i="1" s="1"/>
  <c r="AG234" i="1" s="1"/>
  <c r="I235" i="1"/>
  <c r="L235" i="1" l="1"/>
  <c r="S235" i="1" l="1"/>
  <c r="AD235" i="1" s="1"/>
  <c r="Q235" i="1"/>
  <c r="M235" i="1"/>
  <c r="AA236" i="1" l="1"/>
  <c r="V236" i="1"/>
  <c r="AC236" i="1" s="1"/>
  <c r="AB236" i="1" s="1"/>
  <c r="O235" i="1"/>
  <c r="AE235" i="1" s="1"/>
  <c r="AF235" i="1" s="1"/>
  <c r="AG235" i="1" s="1"/>
  <c r="I236" i="1"/>
  <c r="Y236" i="1" l="1"/>
  <c r="L236" i="1"/>
  <c r="Q236" i="1" l="1"/>
  <c r="S236" i="1"/>
  <c r="AD236" i="1" s="1"/>
  <c r="M236" i="1"/>
  <c r="I237" i="1" l="1"/>
  <c r="V237" i="1"/>
  <c r="AC237" i="1" s="1"/>
  <c r="AB237" i="1" s="1"/>
  <c r="AA237" i="1"/>
  <c r="O236" i="1"/>
  <c r="AE236" i="1" s="1"/>
  <c r="AF236" i="1" s="1"/>
  <c r="AG236" i="1" s="1"/>
  <c r="Y237" i="1" l="1"/>
  <c r="L237" i="1"/>
  <c r="Q237" i="1" l="1"/>
  <c r="S237" i="1"/>
  <c r="AD237" i="1" s="1"/>
  <c r="M237" i="1"/>
  <c r="V238" i="1" l="1"/>
  <c r="AC238" i="1" s="1"/>
  <c r="AB238" i="1" s="1"/>
  <c r="AA238" i="1"/>
  <c r="O237" i="1"/>
  <c r="AE237" i="1" s="1"/>
  <c r="AF237" i="1" s="1"/>
  <c r="AG237" i="1" s="1"/>
  <c r="I238" i="1"/>
  <c r="Y238" i="1" l="1"/>
  <c r="L238" i="1"/>
  <c r="Q238" i="1" l="1"/>
  <c r="S238" i="1"/>
  <c r="AD238" i="1" s="1"/>
  <c r="M238" i="1"/>
  <c r="AA239" i="1" l="1"/>
  <c r="V239" i="1"/>
  <c r="AC239" i="1" s="1"/>
  <c r="AB239" i="1" s="1"/>
  <c r="Y239" i="1" s="1"/>
  <c r="O238" i="1"/>
  <c r="AE238" i="1" s="1"/>
  <c r="AF238" i="1" s="1"/>
  <c r="AG238" i="1" s="1"/>
  <c r="I239" i="1"/>
  <c r="L239" i="1" l="1"/>
  <c r="S239" i="1" l="1"/>
  <c r="AD239" i="1" s="1"/>
  <c r="Q239" i="1"/>
  <c r="M239" i="1"/>
  <c r="I240" i="1" l="1"/>
  <c r="V240" i="1"/>
  <c r="AC240" i="1" s="1"/>
  <c r="AB240" i="1" s="1"/>
  <c r="AA240" i="1"/>
  <c r="O239" i="1"/>
  <c r="AE239" i="1" s="1"/>
  <c r="AF239" i="1" s="1"/>
  <c r="AG239" i="1" s="1"/>
  <c r="Y240" i="1" l="1"/>
  <c r="L240" i="1"/>
  <c r="Q240" i="1" l="1"/>
  <c r="S240" i="1"/>
  <c r="AD240" i="1" s="1"/>
  <c r="M240" i="1"/>
  <c r="AA241" i="1" l="1"/>
  <c r="V241" i="1"/>
  <c r="AC241" i="1" s="1"/>
  <c r="AB241" i="1" s="1"/>
  <c r="Y241" i="1" s="1"/>
  <c r="O240" i="1"/>
  <c r="AE240" i="1" s="1"/>
  <c r="AF240" i="1" s="1"/>
  <c r="AG240" i="1" s="1"/>
  <c r="I241" i="1"/>
  <c r="L241" i="1" l="1"/>
  <c r="S241" i="1" l="1"/>
  <c r="AD241" i="1" s="1"/>
  <c r="Q241" i="1"/>
  <c r="M241" i="1"/>
  <c r="AA242" i="1" l="1"/>
  <c r="V242" i="1"/>
  <c r="AC242" i="1" s="1"/>
  <c r="AB242" i="1" s="1"/>
  <c r="Y242" i="1" s="1"/>
  <c r="O241" i="1"/>
  <c r="AE241" i="1" s="1"/>
  <c r="AF241" i="1" s="1"/>
  <c r="AG241" i="1" s="1"/>
  <c r="I242" i="1"/>
  <c r="L242" i="1" l="1"/>
  <c r="M242" i="1"/>
  <c r="I243" i="1" l="1"/>
  <c r="AA243" i="1"/>
  <c r="V243" i="1"/>
  <c r="AC243" i="1" s="1"/>
  <c r="O242" i="1"/>
  <c r="S242" i="1"/>
  <c r="AD242" i="1" s="1"/>
  <c r="Q242" i="1"/>
  <c r="AB243" i="1" l="1"/>
  <c r="Y243" i="1" s="1"/>
  <c r="AE242" i="1"/>
  <c r="AF242" i="1" s="1"/>
  <c r="AG242" i="1" s="1"/>
  <c r="AK28" i="1" s="1"/>
  <c r="L243" i="1"/>
  <c r="AN28" i="1" l="1"/>
  <c r="AP28" i="1"/>
  <c r="S243" i="1"/>
  <c r="AD243" i="1" s="1"/>
  <c r="Q243" i="1"/>
  <c r="M243" i="1"/>
  <c r="O243" i="1" l="1"/>
  <c r="AE243" i="1" s="1"/>
  <c r="AF243" i="1" s="1"/>
  <c r="AG243" i="1" s="1"/>
  <c r="I244" i="1"/>
  <c r="AA244" i="1"/>
  <c r="V244" i="1"/>
  <c r="AC244" i="1" s="1"/>
  <c r="AB244" i="1" s="1"/>
  <c r="AQ28" i="1"/>
  <c r="AR28" i="1" s="1"/>
  <c r="Y244" i="1" l="1"/>
  <c r="L244" i="1"/>
  <c r="Q244" i="1" l="1"/>
  <c r="S244" i="1"/>
  <c r="M244" i="1"/>
  <c r="V245" i="1" l="1"/>
  <c r="AC245" i="1" s="1"/>
  <c r="O244" i="1"/>
  <c r="AA245" i="1"/>
  <c r="I245" i="1"/>
  <c r="AE244" i="1"/>
  <c r="AF244" i="1" s="1"/>
  <c r="AG244" i="1" s="1"/>
  <c r="AD244" i="1"/>
  <c r="AB245" i="1" l="1"/>
  <c r="Y245" i="1"/>
  <c r="L245" i="1"/>
  <c r="S245" i="1" l="1"/>
  <c r="AD245" i="1" s="1"/>
  <c r="Q245" i="1"/>
  <c r="M245" i="1"/>
  <c r="I246" i="1" l="1"/>
  <c r="O245" i="1"/>
  <c r="AE245" i="1" s="1"/>
  <c r="AF245" i="1" s="1"/>
  <c r="AG245" i="1" s="1"/>
  <c r="AA246" i="1"/>
  <c r="V246" i="1"/>
  <c r="AC246" i="1" s="1"/>
  <c r="AB246" i="1" s="1"/>
  <c r="Y246" i="1" l="1"/>
  <c r="L246" i="1"/>
  <c r="S246" i="1" l="1"/>
  <c r="AD246" i="1" s="1"/>
  <c r="Q246" i="1"/>
  <c r="M246" i="1"/>
  <c r="AA247" i="1" l="1"/>
  <c r="O246" i="1"/>
  <c r="AE246" i="1" s="1"/>
  <c r="AF246" i="1" s="1"/>
  <c r="AG246" i="1" s="1"/>
  <c r="I247" i="1"/>
  <c r="V247" i="1"/>
  <c r="AC247" i="1" s="1"/>
  <c r="AB247" i="1" s="1"/>
  <c r="Y247" i="1" s="1"/>
  <c r="L247" i="1" l="1"/>
  <c r="S247" i="1" l="1"/>
  <c r="AD247" i="1" s="1"/>
  <c r="Q247" i="1"/>
  <c r="M247" i="1"/>
  <c r="O247" i="1" l="1"/>
  <c r="AE247" i="1" s="1"/>
  <c r="AF247" i="1" s="1"/>
  <c r="AG247" i="1" s="1"/>
  <c r="AA248" i="1"/>
  <c r="I248" i="1"/>
  <c r="V248" i="1"/>
  <c r="AC248" i="1" s="1"/>
  <c r="AB248" i="1" s="1"/>
  <c r="Y248" i="1" l="1"/>
  <c r="L248" i="1"/>
  <c r="Q248" i="1" l="1"/>
  <c r="S248" i="1"/>
  <c r="AD248" i="1" s="1"/>
  <c r="M248" i="1"/>
  <c r="V249" i="1" l="1"/>
  <c r="AC249" i="1" s="1"/>
  <c r="AB249" i="1" s="1"/>
  <c r="AA249" i="1"/>
  <c r="O248" i="1"/>
  <c r="AE248" i="1" s="1"/>
  <c r="AF248" i="1" s="1"/>
  <c r="AG248" i="1" s="1"/>
  <c r="I249" i="1"/>
  <c r="Y249" i="1" l="1"/>
  <c r="L249" i="1"/>
  <c r="Q249" i="1" l="1"/>
  <c r="S249" i="1"/>
  <c r="AD249" i="1" s="1"/>
  <c r="M249" i="1"/>
  <c r="AA250" i="1" l="1"/>
  <c r="O249" i="1"/>
  <c r="AE249" i="1" s="1"/>
  <c r="AF249" i="1" s="1"/>
  <c r="AG249" i="1" s="1"/>
  <c r="I250" i="1"/>
  <c r="V250" i="1"/>
  <c r="AC250" i="1" s="1"/>
  <c r="AB250" i="1" s="1"/>
  <c r="Y250" i="1" s="1"/>
  <c r="L250" i="1" l="1"/>
  <c r="S250" i="1" l="1"/>
  <c r="AD250" i="1" s="1"/>
  <c r="Q250" i="1"/>
  <c r="M250" i="1"/>
  <c r="AA251" i="1" l="1"/>
  <c r="V251" i="1"/>
  <c r="AC251" i="1" s="1"/>
  <c r="AB251" i="1" s="1"/>
  <c r="Y251" i="1" s="1"/>
  <c r="O250" i="1"/>
  <c r="AE250" i="1" s="1"/>
  <c r="AF250" i="1" s="1"/>
  <c r="AG250" i="1" s="1"/>
  <c r="I251" i="1"/>
  <c r="L251" i="1" l="1"/>
  <c r="S251" i="1" l="1"/>
  <c r="AD251" i="1" s="1"/>
  <c r="Q251" i="1"/>
  <c r="M251" i="1"/>
  <c r="O251" i="1" l="1"/>
  <c r="AE251" i="1" s="1"/>
  <c r="AF251" i="1" s="1"/>
  <c r="AG251" i="1" s="1"/>
  <c r="AA252" i="1"/>
  <c r="V252" i="1"/>
  <c r="AC252" i="1" s="1"/>
  <c r="AB252" i="1" s="1"/>
  <c r="I252" i="1"/>
  <c r="Y252" i="1" l="1"/>
  <c r="L252" i="1"/>
  <c r="Q252" i="1" l="1"/>
  <c r="S252" i="1"/>
  <c r="M252" i="1"/>
  <c r="O252" i="1" l="1"/>
  <c r="AA253" i="1"/>
  <c r="V253" i="1"/>
  <c r="AC253" i="1" s="1"/>
  <c r="I253" i="1"/>
  <c r="AD252" i="1"/>
  <c r="AE252" i="1"/>
  <c r="AF252" i="1" s="1"/>
  <c r="AG252" i="1" s="1"/>
  <c r="L253" i="1" l="1"/>
  <c r="AB253" i="1"/>
  <c r="Y253" i="1" s="1"/>
  <c r="Q253" i="1" l="1"/>
  <c r="S253" i="1"/>
  <c r="AD253" i="1" s="1"/>
  <c r="M253" i="1"/>
  <c r="I254" i="1" l="1"/>
  <c r="AA254" i="1"/>
  <c r="V254" i="1"/>
  <c r="AC254" i="1" s="1"/>
  <c r="AB254" i="1" s="1"/>
  <c r="O253" i="1"/>
  <c r="AE253" i="1" s="1"/>
  <c r="AF253" i="1" s="1"/>
  <c r="AG253" i="1" s="1"/>
  <c r="Y254" i="1" l="1"/>
  <c r="L254" i="1"/>
  <c r="S254" i="1" l="1"/>
  <c r="AD254" i="1" s="1"/>
  <c r="Q254" i="1"/>
  <c r="M254" i="1"/>
  <c r="AA255" i="1" l="1"/>
  <c r="O254" i="1"/>
  <c r="AE254" i="1" s="1"/>
  <c r="AF254" i="1" s="1"/>
  <c r="AG254" i="1" s="1"/>
  <c r="AK29" i="1" s="1"/>
  <c r="I255" i="1"/>
  <c r="V255" i="1"/>
  <c r="AC255" i="1" s="1"/>
  <c r="AB255" i="1" s="1"/>
  <c r="Y255" i="1" s="1"/>
  <c r="L255" i="1" l="1"/>
  <c r="M255" i="1"/>
  <c r="AN29" i="1"/>
  <c r="AP29" i="1"/>
  <c r="AQ29" i="1" l="1"/>
  <c r="AR29" i="1" s="1"/>
  <c r="O255" i="1"/>
  <c r="I256" i="1"/>
  <c r="AA256" i="1"/>
  <c r="V256" i="1"/>
  <c r="AC256" i="1" s="1"/>
  <c r="Q255" i="1"/>
  <c r="S255" i="1"/>
  <c r="AD255" i="1" s="1"/>
  <c r="AE255" i="1" l="1"/>
  <c r="AF255" i="1" s="1"/>
  <c r="AG255" i="1" s="1"/>
  <c r="L256" i="1"/>
  <c r="M256" i="1" s="1"/>
  <c r="AB256" i="1"/>
  <c r="Y256" i="1" s="1"/>
  <c r="AA257" i="1" l="1"/>
  <c r="V257" i="1"/>
  <c r="AC257" i="1" s="1"/>
  <c r="O256" i="1"/>
  <c r="I257" i="1"/>
  <c r="Q256" i="1"/>
  <c r="S256" i="1"/>
  <c r="AD256" i="1" s="1"/>
  <c r="AB257" i="1" l="1"/>
  <c r="Y257" i="1" s="1"/>
  <c r="AE256" i="1"/>
  <c r="AF256" i="1" s="1"/>
  <c r="AG256" i="1" s="1"/>
  <c r="L257" i="1"/>
  <c r="S257" i="1" l="1"/>
  <c r="AD257" i="1" s="1"/>
  <c r="Q257" i="1"/>
  <c r="M257" i="1"/>
  <c r="AA258" i="1" l="1"/>
  <c r="V258" i="1"/>
  <c r="AC258" i="1" s="1"/>
  <c r="AB258" i="1" s="1"/>
  <c r="Y258" i="1" s="1"/>
  <c r="O257" i="1"/>
  <c r="AE257" i="1" s="1"/>
  <c r="AF257" i="1" s="1"/>
  <c r="AG257" i="1" s="1"/>
  <c r="I258" i="1"/>
  <c r="L258" i="1" l="1"/>
  <c r="S258" i="1" l="1"/>
  <c r="AD258" i="1" s="1"/>
  <c r="Q258" i="1"/>
  <c r="M258" i="1"/>
  <c r="I259" i="1" l="1"/>
  <c r="AA259" i="1"/>
  <c r="O258" i="1"/>
  <c r="AE258" i="1" s="1"/>
  <c r="AF258" i="1" s="1"/>
  <c r="AG258" i="1" s="1"/>
  <c r="V259" i="1"/>
  <c r="AC259" i="1" s="1"/>
  <c r="AB259" i="1" s="1"/>
  <c r="Y259" i="1" s="1"/>
  <c r="L259" i="1" l="1"/>
  <c r="S259" i="1" l="1"/>
  <c r="AD259" i="1" s="1"/>
  <c r="Q259" i="1"/>
  <c r="M259" i="1"/>
  <c r="AA260" i="1" l="1"/>
  <c r="V260" i="1"/>
  <c r="AC260" i="1" s="1"/>
  <c r="AB260" i="1" s="1"/>
  <c r="Y260" i="1" s="1"/>
  <c r="O259" i="1"/>
  <c r="AE259" i="1" s="1"/>
  <c r="AF259" i="1" s="1"/>
  <c r="AG259" i="1" s="1"/>
  <c r="I260" i="1"/>
  <c r="L260" i="1" l="1"/>
  <c r="S260" i="1" l="1"/>
  <c r="AD260" i="1" s="1"/>
  <c r="Q260" i="1"/>
  <c r="M260" i="1"/>
  <c r="AA261" i="1" l="1"/>
  <c r="V261" i="1"/>
  <c r="AC261" i="1" s="1"/>
  <c r="AB261" i="1" s="1"/>
  <c r="Y261" i="1" s="1"/>
  <c r="O260" i="1"/>
  <c r="AE260" i="1" s="1"/>
  <c r="AF260" i="1" s="1"/>
  <c r="AG260" i="1" s="1"/>
  <c r="I261" i="1"/>
  <c r="L261" i="1" l="1"/>
  <c r="S261" i="1" l="1"/>
  <c r="AD261" i="1" s="1"/>
  <c r="Q261" i="1"/>
  <c r="M261" i="1"/>
  <c r="AA262" i="1" l="1"/>
  <c r="V262" i="1"/>
  <c r="AC262" i="1" s="1"/>
  <c r="AB262" i="1" s="1"/>
  <c r="Y262" i="1" s="1"/>
  <c r="I262" i="1"/>
  <c r="O261" i="1"/>
  <c r="AE261" i="1" s="1"/>
  <c r="AF261" i="1" s="1"/>
  <c r="AG261" i="1" s="1"/>
  <c r="L262" i="1" l="1"/>
  <c r="S262" i="1" l="1"/>
  <c r="AD262" i="1" s="1"/>
  <c r="Q262" i="1"/>
  <c r="M262" i="1"/>
  <c r="AA263" i="1" l="1"/>
  <c r="O262" i="1"/>
  <c r="AE262" i="1" s="1"/>
  <c r="AF262" i="1" s="1"/>
  <c r="AG262" i="1" s="1"/>
  <c r="I263" i="1"/>
  <c r="V263" i="1"/>
  <c r="AC263" i="1" s="1"/>
  <c r="AB263" i="1" s="1"/>
  <c r="Y263" i="1" s="1"/>
  <c r="L263" i="1" l="1"/>
  <c r="S263" i="1" l="1"/>
  <c r="AD263" i="1" s="1"/>
  <c r="Q263" i="1"/>
  <c r="M263" i="1"/>
  <c r="V264" i="1" l="1"/>
  <c r="AC264" i="1" s="1"/>
  <c r="AB264" i="1" s="1"/>
  <c r="AA264" i="1"/>
  <c r="O263" i="1"/>
  <c r="AE263" i="1" s="1"/>
  <c r="AF263" i="1" s="1"/>
  <c r="AG263" i="1" s="1"/>
  <c r="I264" i="1"/>
  <c r="Y264" i="1" l="1"/>
  <c r="L264" i="1"/>
  <c r="M264" i="1"/>
  <c r="I265" i="1" l="1"/>
  <c r="AA265" i="1"/>
  <c r="V265" i="1"/>
  <c r="AC265" i="1" s="1"/>
  <c r="O264" i="1"/>
  <c r="Q264" i="1"/>
  <c r="S264" i="1"/>
  <c r="AD264" i="1" s="1"/>
  <c r="AB265" i="1" l="1"/>
  <c r="Y265" i="1" s="1"/>
  <c r="AE264" i="1"/>
  <c r="AF264" i="1" s="1"/>
  <c r="AG264" i="1" s="1"/>
  <c r="L265" i="1"/>
  <c r="S265" i="1" l="1"/>
  <c r="AD265" i="1" s="1"/>
  <c r="Q265" i="1"/>
  <c r="M265" i="1"/>
  <c r="AA266" i="1" l="1"/>
  <c r="V266" i="1"/>
  <c r="AC266" i="1" s="1"/>
  <c r="AB266" i="1" s="1"/>
  <c r="Y266" i="1" s="1"/>
  <c r="O265" i="1"/>
  <c r="AE265" i="1" s="1"/>
  <c r="AF265" i="1" s="1"/>
  <c r="AG265" i="1" s="1"/>
  <c r="I266" i="1"/>
  <c r="L266" i="1" l="1"/>
  <c r="M266" i="1"/>
  <c r="AA267" i="1" l="1"/>
  <c r="V267" i="1"/>
  <c r="AC267" i="1" s="1"/>
  <c r="O266" i="1"/>
  <c r="I267" i="1"/>
  <c r="Q266" i="1"/>
  <c r="S266" i="1"/>
  <c r="AD266" i="1" s="1"/>
  <c r="AB267" i="1" l="1"/>
  <c r="Y267" i="1" s="1"/>
  <c r="L267" i="1"/>
  <c r="AE266" i="1"/>
  <c r="AF266" i="1" s="1"/>
  <c r="AG266" i="1" s="1"/>
  <c r="AK30" i="1" s="1"/>
  <c r="AN30" i="1" l="1"/>
  <c r="AP30" i="1"/>
  <c r="Q267" i="1"/>
  <c r="S267" i="1"/>
  <c r="AD267" i="1" s="1"/>
  <c r="M267" i="1"/>
  <c r="O267" i="1" l="1"/>
  <c r="AE267" i="1" s="1"/>
  <c r="AF267" i="1" s="1"/>
  <c r="AG267" i="1" s="1"/>
  <c r="I268" i="1"/>
  <c r="AA268" i="1"/>
  <c r="V268" i="1"/>
  <c r="AC268" i="1" s="1"/>
  <c r="AB268" i="1" s="1"/>
  <c r="AQ30" i="1"/>
  <c r="AR30" i="1" s="1"/>
  <c r="Y268" i="1" l="1"/>
  <c r="L268" i="1"/>
  <c r="Q268" i="1" l="1"/>
  <c r="S268" i="1"/>
  <c r="AD268" i="1" s="1"/>
  <c r="M268" i="1"/>
  <c r="AA269" i="1" l="1"/>
  <c r="O268" i="1"/>
  <c r="AE268" i="1" s="1"/>
  <c r="AF268" i="1" s="1"/>
  <c r="AG268" i="1" s="1"/>
  <c r="I269" i="1"/>
  <c r="V269" i="1"/>
  <c r="AC269" i="1" s="1"/>
  <c r="AB269" i="1" s="1"/>
  <c r="Y269" i="1" s="1"/>
  <c r="L269" i="1" l="1"/>
  <c r="S269" i="1" l="1"/>
  <c r="AD269" i="1" s="1"/>
  <c r="Q269" i="1"/>
  <c r="M269" i="1"/>
  <c r="AA270" i="1" l="1"/>
  <c r="V270" i="1"/>
  <c r="AC270" i="1" s="1"/>
  <c r="AB270" i="1" s="1"/>
  <c r="Y270" i="1" s="1"/>
  <c r="O269" i="1"/>
  <c r="AE269" i="1" s="1"/>
  <c r="AF269" i="1" s="1"/>
  <c r="AG269" i="1" s="1"/>
  <c r="I270" i="1"/>
  <c r="L270" i="1" l="1"/>
  <c r="M270" i="1"/>
  <c r="I271" i="1" l="1"/>
  <c r="AA271" i="1"/>
  <c r="V271" i="1"/>
  <c r="AC271" i="1" s="1"/>
  <c r="O270" i="1"/>
  <c r="S270" i="1"/>
  <c r="AD270" i="1" s="1"/>
  <c r="Q270" i="1"/>
  <c r="AB271" i="1" l="1"/>
  <c r="Y271" i="1" s="1"/>
  <c r="AE270" i="1"/>
  <c r="AF270" i="1" s="1"/>
  <c r="AG270" i="1" s="1"/>
  <c r="L271" i="1"/>
  <c r="S271" i="1" l="1"/>
  <c r="AD271" i="1" s="1"/>
  <c r="Q271" i="1"/>
  <c r="M271" i="1"/>
  <c r="V272" i="1" l="1"/>
  <c r="AC272" i="1" s="1"/>
  <c r="AB272" i="1" s="1"/>
  <c r="O271" i="1"/>
  <c r="AE271" i="1" s="1"/>
  <c r="AF271" i="1" s="1"/>
  <c r="AG271" i="1" s="1"/>
  <c r="I272" i="1"/>
  <c r="AA272" i="1"/>
  <c r="L272" i="1" l="1"/>
  <c r="Y272" i="1"/>
  <c r="S272" i="1" l="1"/>
  <c r="AD272" i="1" s="1"/>
  <c r="Q272" i="1"/>
  <c r="M272" i="1"/>
  <c r="AA273" i="1" l="1"/>
  <c r="O272" i="1"/>
  <c r="AE272" i="1" s="1"/>
  <c r="AF272" i="1" s="1"/>
  <c r="AG272" i="1" s="1"/>
  <c r="I273" i="1"/>
  <c r="V273" i="1"/>
  <c r="AC273" i="1" s="1"/>
  <c r="AB273" i="1" s="1"/>
  <c r="Y273" i="1" s="1"/>
  <c r="L273" i="1" l="1"/>
  <c r="Q273" i="1" l="1"/>
  <c r="S273" i="1"/>
  <c r="AD273" i="1" s="1"/>
  <c r="M273" i="1"/>
  <c r="V274" i="1" l="1"/>
  <c r="AC274" i="1" s="1"/>
  <c r="AB274" i="1" s="1"/>
  <c r="AA274" i="1"/>
  <c r="O273" i="1"/>
  <c r="AE273" i="1" s="1"/>
  <c r="AF273" i="1" s="1"/>
  <c r="AG273" i="1" s="1"/>
  <c r="I274" i="1"/>
  <c r="Y274" i="1" l="1"/>
  <c r="L274" i="1"/>
  <c r="M274" i="1"/>
  <c r="AA275" i="1" l="1"/>
  <c r="O274" i="1"/>
  <c r="I275" i="1"/>
  <c r="V275" i="1"/>
  <c r="AC275" i="1" s="1"/>
  <c r="L275" i="1"/>
  <c r="M275" i="1" s="1"/>
  <c r="S274" i="1"/>
  <c r="AD274" i="1" s="1"/>
  <c r="Q274" i="1"/>
  <c r="AB275" i="1" l="1"/>
  <c r="Y275" i="1" s="1"/>
  <c r="AA276" i="1"/>
  <c r="O275" i="1"/>
  <c r="I276" i="1"/>
  <c r="V276" i="1"/>
  <c r="AC276" i="1" s="1"/>
  <c r="Q275" i="1"/>
  <c r="S275" i="1"/>
  <c r="AD275" i="1" s="1"/>
  <c r="AE274" i="1"/>
  <c r="AF274" i="1" s="1"/>
  <c r="AG274" i="1" s="1"/>
  <c r="AB276" i="1" l="1"/>
  <c r="Y276" i="1" s="1"/>
  <c r="L276" i="1"/>
  <c r="AE275" i="1"/>
  <c r="AF275" i="1" s="1"/>
  <c r="AG275" i="1" s="1"/>
  <c r="S276" i="1" l="1"/>
  <c r="AD276" i="1" s="1"/>
  <c r="Q276" i="1"/>
  <c r="M276" i="1"/>
  <c r="I277" i="1" l="1"/>
  <c r="O276" i="1"/>
  <c r="AE276" i="1" s="1"/>
  <c r="AF276" i="1" s="1"/>
  <c r="AG276" i="1" s="1"/>
  <c r="L277" i="1"/>
  <c r="AA277" i="1"/>
  <c r="V277" i="1"/>
  <c r="AC277" i="1" s="1"/>
  <c r="AB277" i="1" s="1"/>
  <c r="M277" i="1"/>
  <c r="Y277" i="1" l="1"/>
  <c r="V278" i="1"/>
  <c r="AC278" i="1" s="1"/>
  <c r="O277" i="1"/>
  <c r="I278" i="1"/>
  <c r="AA278" i="1"/>
  <c r="Q277" i="1"/>
  <c r="S277" i="1"/>
  <c r="AD277" i="1" s="1"/>
  <c r="AB278" i="1" l="1"/>
  <c r="Y278" i="1" s="1"/>
  <c r="L278" i="1"/>
  <c r="AE277" i="1"/>
  <c r="AF277" i="1" s="1"/>
  <c r="AG277" i="1" s="1"/>
  <c r="Q278" i="1" l="1"/>
  <c r="S278" i="1"/>
  <c r="AD278" i="1" s="1"/>
  <c r="M278" i="1"/>
  <c r="V279" i="1" l="1"/>
  <c r="AC279" i="1" s="1"/>
  <c r="AB279" i="1" s="1"/>
  <c r="AA279" i="1"/>
  <c r="O278" i="1"/>
  <c r="AE278" i="1" s="1"/>
  <c r="AF278" i="1" s="1"/>
  <c r="AG278" i="1" s="1"/>
  <c r="AK31" i="1" s="1"/>
  <c r="I279" i="1"/>
  <c r="Y279" i="1" l="1"/>
  <c r="AN31" i="1"/>
  <c r="AP31" i="1"/>
  <c r="L279" i="1"/>
  <c r="Q279" i="1" l="1"/>
  <c r="S279" i="1"/>
  <c r="AD279" i="1" s="1"/>
  <c r="M279" i="1"/>
  <c r="AQ31" i="1"/>
  <c r="AR31" i="1" s="1"/>
  <c r="I280" i="1" l="1"/>
  <c r="O279" i="1"/>
  <c r="AE279" i="1" s="1"/>
  <c r="AF279" i="1" s="1"/>
  <c r="AG279" i="1" s="1"/>
  <c r="AA280" i="1"/>
  <c r="V280" i="1"/>
  <c r="AC280" i="1" s="1"/>
  <c r="AB280" i="1" s="1"/>
  <c r="Y280" i="1" l="1"/>
  <c r="L280" i="1"/>
  <c r="S280" i="1" l="1"/>
  <c r="AD280" i="1" s="1"/>
  <c r="Q280" i="1"/>
  <c r="M280" i="1"/>
  <c r="V281" i="1" l="1"/>
  <c r="AC281" i="1" s="1"/>
  <c r="AB281" i="1" s="1"/>
  <c r="AA281" i="1"/>
  <c r="O280" i="1"/>
  <c r="AE280" i="1" s="1"/>
  <c r="AF280" i="1" s="1"/>
  <c r="AG280" i="1" s="1"/>
  <c r="I281" i="1"/>
  <c r="Y281" i="1" l="1"/>
  <c r="L281" i="1"/>
  <c r="S281" i="1" l="1"/>
  <c r="AD281" i="1" s="1"/>
  <c r="Q281" i="1"/>
  <c r="M281" i="1"/>
  <c r="AA282" i="1" l="1"/>
  <c r="O281" i="1"/>
  <c r="AE281" i="1" s="1"/>
  <c r="AF281" i="1" s="1"/>
  <c r="AG281" i="1" s="1"/>
  <c r="I282" i="1"/>
  <c r="V282" i="1"/>
  <c r="AC282" i="1" s="1"/>
  <c r="AB282" i="1" s="1"/>
  <c r="Y282" i="1" s="1"/>
  <c r="L282" i="1"/>
  <c r="M282" i="1" s="1"/>
  <c r="AA283" i="1" l="1"/>
  <c r="V283" i="1"/>
  <c r="AC283" i="1" s="1"/>
  <c r="O282" i="1"/>
  <c r="I283" i="1"/>
  <c r="S282" i="1"/>
  <c r="AD282" i="1" s="1"/>
  <c r="Q282" i="1"/>
  <c r="AB283" i="1" l="1"/>
  <c r="Y283" i="1" s="1"/>
  <c r="L283" i="1"/>
  <c r="AE282" i="1"/>
  <c r="AF282" i="1" s="1"/>
  <c r="AG282" i="1" s="1"/>
  <c r="S283" i="1" l="1"/>
  <c r="AD283" i="1" s="1"/>
  <c r="Q283" i="1"/>
  <c r="M283" i="1"/>
  <c r="I284" i="1" l="1"/>
  <c r="AA284" i="1"/>
  <c r="V284" i="1"/>
  <c r="AC284" i="1" s="1"/>
  <c r="AB284" i="1" s="1"/>
  <c r="Y284" i="1" s="1"/>
  <c r="O283" i="1"/>
  <c r="AE283" i="1" s="1"/>
  <c r="AF283" i="1" s="1"/>
  <c r="AG283" i="1" s="1"/>
  <c r="L284" i="1" l="1"/>
  <c r="M284" i="1" l="1"/>
  <c r="S284" i="1"/>
  <c r="Q284" i="1"/>
  <c r="AD284" i="1" l="1"/>
  <c r="I285" i="1"/>
  <c r="AA285" i="1"/>
  <c r="O284" i="1"/>
  <c r="AE284" i="1" s="1"/>
  <c r="AF284" i="1" s="1"/>
  <c r="AG284" i="1" s="1"/>
  <c r="V285" i="1"/>
  <c r="AC285" i="1" s="1"/>
  <c r="L285" i="1" l="1"/>
  <c r="AB285" i="1"/>
  <c r="Y285" i="1" s="1"/>
  <c r="S285" i="1" l="1"/>
  <c r="AD285" i="1" s="1"/>
  <c r="Q285" i="1"/>
  <c r="M285" i="1"/>
  <c r="AA286" i="1" l="1"/>
  <c r="O285" i="1"/>
  <c r="AE285" i="1" s="1"/>
  <c r="AF285" i="1" s="1"/>
  <c r="AG285" i="1" s="1"/>
  <c r="I286" i="1"/>
  <c r="V286" i="1"/>
  <c r="AC286" i="1" s="1"/>
  <c r="AB286" i="1" s="1"/>
  <c r="L286" i="1" l="1"/>
  <c r="Y286" i="1"/>
  <c r="S286" i="1" l="1"/>
  <c r="AD286" i="1" s="1"/>
  <c r="Q286" i="1"/>
  <c r="M286" i="1"/>
  <c r="V287" i="1" l="1"/>
  <c r="AC287" i="1" s="1"/>
  <c r="AB287" i="1" s="1"/>
  <c r="AA287" i="1"/>
  <c r="O286" i="1"/>
  <c r="AE286" i="1" s="1"/>
  <c r="AF286" i="1" s="1"/>
  <c r="AG286" i="1" s="1"/>
  <c r="I287" i="1"/>
  <c r="Y287" i="1" l="1"/>
  <c r="L287" i="1"/>
  <c r="S287" i="1" l="1"/>
  <c r="AD287" i="1" s="1"/>
  <c r="Q287" i="1"/>
  <c r="M287" i="1"/>
  <c r="V288" i="1" l="1"/>
  <c r="AC288" i="1" s="1"/>
  <c r="AB288" i="1" s="1"/>
  <c r="AA288" i="1"/>
  <c r="O287" i="1"/>
  <c r="AE287" i="1" s="1"/>
  <c r="AF287" i="1" s="1"/>
  <c r="AG287" i="1" s="1"/>
  <c r="I288" i="1"/>
  <c r="Y288" i="1" l="1"/>
  <c r="L288" i="1"/>
  <c r="M288" i="1" s="1"/>
  <c r="O288" i="1" l="1"/>
  <c r="I289" i="1"/>
  <c r="AA289" i="1"/>
  <c r="V289" i="1"/>
  <c r="AC289" i="1" s="1"/>
  <c r="L289" i="1"/>
  <c r="M289" i="1" s="1"/>
  <c r="S288" i="1"/>
  <c r="AD288" i="1" s="1"/>
  <c r="Q288" i="1"/>
  <c r="I290" i="1" l="1"/>
  <c r="AA290" i="1"/>
  <c r="V290" i="1"/>
  <c r="AC290" i="1" s="1"/>
  <c r="O289" i="1"/>
  <c r="L290" i="1"/>
  <c r="M290" i="1" s="1"/>
  <c r="AB289" i="1"/>
  <c r="Y289" i="1" s="1"/>
  <c r="S289" i="1"/>
  <c r="AD289" i="1" s="1"/>
  <c r="Q289" i="1"/>
  <c r="AE288" i="1"/>
  <c r="AF288" i="1" s="1"/>
  <c r="AG288" i="1" s="1"/>
  <c r="AB290" i="1" l="1"/>
  <c r="Y290" i="1" s="1"/>
  <c r="O290" i="1"/>
  <c r="I291" i="1"/>
  <c r="AA291" i="1"/>
  <c r="V291" i="1"/>
  <c r="AC291" i="1" s="1"/>
  <c r="S290" i="1"/>
  <c r="AD290" i="1" s="1"/>
  <c r="Q290" i="1"/>
  <c r="AE289" i="1"/>
  <c r="AF289" i="1" s="1"/>
  <c r="AG289" i="1" s="1"/>
  <c r="AB291" i="1" l="1"/>
  <c r="Y291" i="1" s="1"/>
  <c r="L291" i="1"/>
  <c r="AE290" i="1"/>
  <c r="AF290" i="1" s="1"/>
  <c r="AG290" i="1" s="1"/>
  <c r="AK32" i="1" s="1"/>
  <c r="AN32" i="1" l="1"/>
  <c r="AP32" i="1"/>
  <c r="S291" i="1"/>
  <c r="AD291" i="1" s="1"/>
  <c r="Q291" i="1"/>
  <c r="M291" i="1"/>
  <c r="I292" i="1" l="1"/>
  <c r="AA292" i="1"/>
  <c r="V292" i="1"/>
  <c r="AC292" i="1" s="1"/>
  <c r="AB292" i="1" s="1"/>
  <c r="Y292" i="1" s="1"/>
  <c r="O291" i="1"/>
  <c r="AE291" i="1" s="1"/>
  <c r="AF291" i="1" s="1"/>
  <c r="AG291" i="1" s="1"/>
  <c r="AQ32" i="1"/>
  <c r="AR32" i="1" s="1"/>
  <c r="L292" i="1" l="1"/>
  <c r="Q292" i="1" l="1"/>
  <c r="S292" i="1"/>
  <c r="AD292" i="1" s="1"/>
  <c r="M292" i="1"/>
  <c r="V293" i="1" l="1"/>
  <c r="AC293" i="1" s="1"/>
  <c r="AB293" i="1" s="1"/>
  <c r="AA293" i="1"/>
  <c r="O292" i="1"/>
  <c r="AE292" i="1" s="1"/>
  <c r="AF292" i="1" s="1"/>
  <c r="AG292" i="1" s="1"/>
  <c r="I293" i="1"/>
  <c r="Y293" i="1" l="1"/>
  <c r="L293" i="1"/>
  <c r="S293" i="1" l="1"/>
  <c r="AD293" i="1" s="1"/>
  <c r="Q293" i="1"/>
  <c r="M293" i="1"/>
  <c r="AA294" i="1" l="1"/>
  <c r="V294" i="1"/>
  <c r="AC294" i="1" s="1"/>
  <c r="AB294" i="1" s="1"/>
  <c r="Y294" i="1" s="1"/>
  <c r="I294" i="1"/>
  <c r="O293" i="1"/>
  <c r="AE293" i="1" s="1"/>
  <c r="AF293" i="1" s="1"/>
  <c r="AG293" i="1" s="1"/>
  <c r="L294" i="1" l="1"/>
  <c r="Q294" i="1" l="1"/>
  <c r="S294" i="1"/>
  <c r="AD294" i="1" s="1"/>
  <c r="M294" i="1"/>
  <c r="AA295" i="1" l="1"/>
  <c r="V295" i="1"/>
  <c r="AC295" i="1" s="1"/>
  <c r="AB295" i="1" s="1"/>
  <c r="Y295" i="1" s="1"/>
  <c r="O294" i="1"/>
  <c r="AE294" i="1" s="1"/>
  <c r="AF294" i="1" s="1"/>
  <c r="AG294" i="1" s="1"/>
  <c r="I295" i="1"/>
  <c r="L295" i="1" l="1"/>
  <c r="S295" i="1" l="1"/>
  <c r="AD295" i="1" s="1"/>
  <c r="Q295" i="1"/>
  <c r="M295" i="1"/>
  <c r="V296" i="1" l="1"/>
  <c r="AC296" i="1" s="1"/>
  <c r="AB296" i="1" s="1"/>
  <c r="AA296" i="1"/>
  <c r="O295" i="1"/>
  <c r="AE295" i="1" s="1"/>
  <c r="AF295" i="1" s="1"/>
  <c r="AG295" i="1" s="1"/>
  <c r="I296" i="1"/>
  <c r="Y296" i="1" l="1"/>
  <c r="L296" i="1"/>
  <c r="S296" i="1" l="1"/>
  <c r="AD296" i="1" s="1"/>
  <c r="Q296" i="1"/>
  <c r="M296" i="1"/>
  <c r="V297" i="1" l="1"/>
  <c r="AC297" i="1" s="1"/>
  <c r="AB297" i="1" s="1"/>
  <c r="AA297" i="1"/>
  <c r="I297" i="1"/>
  <c r="O296" i="1"/>
  <c r="AE296" i="1" s="1"/>
  <c r="AF296" i="1" s="1"/>
  <c r="AG296" i="1" s="1"/>
  <c r="Y297" i="1" l="1"/>
  <c r="L297" i="1"/>
  <c r="M297" i="1"/>
  <c r="I298" i="1" l="1"/>
  <c r="O297" i="1"/>
  <c r="AA298" i="1"/>
  <c r="V298" i="1"/>
  <c r="AC298" i="1" s="1"/>
  <c r="S297" i="1"/>
  <c r="AD297" i="1" s="1"/>
  <c r="Q297" i="1"/>
  <c r="AB298" i="1" l="1"/>
  <c r="Y298" i="1" s="1"/>
  <c r="AE297" i="1"/>
  <c r="AF297" i="1" s="1"/>
  <c r="AG297" i="1" s="1"/>
  <c r="L298" i="1"/>
  <c r="S298" i="1" l="1"/>
  <c r="AD298" i="1" s="1"/>
  <c r="Q298" i="1"/>
  <c r="M298" i="1"/>
  <c r="AA299" i="1" l="1"/>
  <c r="O298" i="1"/>
  <c r="AE298" i="1" s="1"/>
  <c r="AF298" i="1" s="1"/>
  <c r="AG298" i="1" s="1"/>
  <c r="I299" i="1"/>
  <c r="V299" i="1"/>
  <c r="AC299" i="1" s="1"/>
  <c r="AB299" i="1" s="1"/>
  <c r="Y299" i="1" s="1"/>
  <c r="L299" i="1" l="1"/>
  <c r="S299" i="1" l="1"/>
  <c r="AD299" i="1" s="1"/>
  <c r="Q299" i="1"/>
  <c r="M299" i="1"/>
  <c r="AA300" i="1" l="1"/>
  <c r="V300" i="1"/>
  <c r="AC300" i="1" s="1"/>
  <c r="AB300" i="1" s="1"/>
  <c r="Y300" i="1" s="1"/>
  <c r="O299" i="1"/>
  <c r="AE299" i="1" s="1"/>
  <c r="AF299" i="1" s="1"/>
  <c r="AG299" i="1" s="1"/>
  <c r="I300" i="1"/>
  <c r="L300" i="1" l="1"/>
  <c r="M300" i="1"/>
  <c r="I301" i="1" l="1"/>
  <c r="AA301" i="1"/>
  <c r="O300" i="1"/>
  <c r="V301" i="1"/>
  <c r="AC301" i="1" s="1"/>
  <c r="L301" i="1"/>
  <c r="M301" i="1" s="1"/>
  <c r="S300" i="1"/>
  <c r="AD300" i="1" s="1"/>
  <c r="Q300" i="1"/>
  <c r="AB301" i="1" l="1"/>
  <c r="Y301" i="1" s="1"/>
  <c r="O301" i="1"/>
  <c r="I302" i="1"/>
  <c r="L302" i="1" s="1"/>
  <c r="AA302" i="1"/>
  <c r="V302" i="1"/>
  <c r="AC302" i="1" s="1"/>
  <c r="S301" i="1"/>
  <c r="AD301" i="1" s="1"/>
  <c r="Q301" i="1"/>
  <c r="AE300" i="1"/>
  <c r="AF300" i="1" s="1"/>
  <c r="AG300" i="1" s="1"/>
  <c r="AB302" i="1" l="1"/>
  <c r="Y302" i="1" s="1"/>
  <c r="S302" i="1"/>
  <c r="AD302" i="1" s="1"/>
  <c r="Q302" i="1"/>
  <c r="M302" i="1"/>
  <c r="AE301" i="1"/>
  <c r="AF301" i="1" s="1"/>
  <c r="AG301" i="1" s="1"/>
  <c r="I303" i="1" l="1"/>
  <c r="AA303" i="1"/>
  <c r="V303" i="1"/>
  <c r="AC303" i="1" s="1"/>
  <c r="AB303" i="1" s="1"/>
  <c r="Y303" i="1" s="1"/>
  <c r="O302" i="1"/>
  <c r="AE302" i="1" s="1"/>
  <c r="AF302" i="1" s="1"/>
  <c r="AG302" i="1" s="1"/>
  <c r="AK33" i="1" s="1"/>
  <c r="L303" i="1"/>
  <c r="M303" i="1" s="1"/>
  <c r="O303" i="1" l="1"/>
  <c r="I304" i="1"/>
  <c r="AA304" i="1"/>
  <c r="V304" i="1"/>
  <c r="AC304" i="1" s="1"/>
  <c r="Q303" i="1"/>
  <c r="S303" i="1"/>
  <c r="AD303" i="1" s="1"/>
  <c r="AN33" i="1"/>
  <c r="AP33" i="1"/>
  <c r="AB304" i="1" l="1"/>
  <c r="Y304" i="1" s="1"/>
  <c r="L304" i="1"/>
  <c r="AQ33" i="1"/>
  <c r="AR33" i="1" s="1"/>
  <c r="AE303" i="1"/>
  <c r="AF303" i="1" s="1"/>
  <c r="AG303" i="1" s="1"/>
  <c r="S304" i="1" l="1"/>
  <c r="AD304" i="1" s="1"/>
  <c r="Q304" i="1"/>
  <c r="M304" i="1"/>
  <c r="V305" i="1" l="1"/>
  <c r="AC305" i="1" s="1"/>
  <c r="AB305" i="1" s="1"/>
  <c r="AA305" i="1"/>
  <c r="O304" i="1"/>
  <c r="AE304" i="1" s="1"/>
  <c r="AF304" i="1" s="1"/>
  <c r="AG304" i="1" s="1"/>
  <c r="I305" i="1"/>
  <c r="Y305" i="1" l="1"/>
  <c r="L305" i="1"/>
  <c r="M305" i="1"/>
  <c r="AA306" i="1" l="1"/>
  <c r="O305" i="1"/>
  <c r="I306" i="1"/>
  <c r="V306" i="1"/>
  <c r="AC306" i="1" s="1"/>
  <c r="S305" i="1"/>
  <c r="AD305" i="1" s="1"/>
  <c r="Q305" i="1"/>
  <c r="AB306" i="1" l="1"/>
  <c r="Y306" i="1" s="1"/>
  <c r="L306" i="1"/>
  <c r="AE305" i="1"/>
  <c r="AF305" i="1" s="1"/>
  <c r="AG305" i="1" s="1"/>
  <c r="S306" i="1" l="1"/>
  <c r="AD306" i="1" s="1"/>
  <c r="Q306" i="1"/>
  <c r="M306" i="1"/>
  <c r="V307" i="1" l="1"/>
  <c r="AC307" i="1" s="1"/>
  <c r="AB307" i="1" s="1"/>
  <c r="AA307" i="1"/>
  <c r="O306" i="1"/>
  <c r="AE306" i="1" s="1"/>
  <c r="AF306" i="1" s="1"/>
  <c r="AG306" i="1" s="1"/>
  <c r="I307" i="1"/>
  <c r="Y307" i="1" l="1"/>
  <c r="L307" i="1"/>
  <c r="M307" i="1"/>
  <c r="AA308" i="1" l="1"/>
  <c r="O307" i="1"/>
  <c r="I308" i="1"/>
  <c r="V308" i="1"/>
  <c r="AC308" i="1" s="1"/>
  <c r="S307" i="1"/>
  <c r="AD307" i="1" s="1"/>
  <c r="Q307" i="1"/>
  <c r="AB308" i="1" l="1"/>
  <c r="Y308" i="1" s="1"/>
  <c r="L308" i="1"/>
  <c r="AE307" i="1"/>
  <c r="AF307" i="1" s="1"/>
  <c r="AG307" i="1" s="1"/>
  <c r="Q308" i="1" l="1"/>
  <c r="S308" i="1"/>
  <c r="AD308" i="1" s="1"/>
  <c r="M308" i="1"/>
  <c r="AA309" i="1" l="1"/>
  <c r="V309" i="1"/>
  <c r="AC309" i="1" s="1"/>
  <c r="AB309" i="1" s="1"/>
  <c r="Y309" i="1" s="1"/>
  <c r="O308" i="1"/>
  <c r="AE308" i="1" s="1"/>
  <c r="AF308" i="1" s="1"/>
  <c r="AG308" i="1" s="1"/>
  <c r="I309" i="1"/>
  <c r="L309" i="1" l="1"/>
  <c r="M309" i="1"/>
  <c r="O309" i="1" l="1"/>
  <c r="AA310" i="1"/>
  <c r="V310" i="1"/>
  <c r="AC310" i="1" s="1"/>
  <c r="I310" i="1"/>
  <c r="S309" i="1"/>
  <c r="AD309" i="1" s="1"/>
  <c r="Q309" i="1"/>
  <c r="AB310" i="1" l="1"/>
  <c r="Y310" i="1" s="1"/>
  <c r="L310" i="1"/>
  <c r="AE309" i="1"/>
  <c r="AF309" i="1" s="1"/>
  <c r="AG309" i="1" s="1"/>
  <c r="Q310" i="1" l="1"/>
  <c r="S310" i="1"/>
  <c r="AD310" i="1" s="1"/>
  <c r="M310" i="1"/>
  <c r="AA311" i="1" l="1"/>
  <c r="O310" i="1"/>
  <c r="AE310" i="1" s="1"/>
  <c r="AF310" i="1" s="1"/>
  <c r="AG310" i="1" s="1"/>
  <c r="I311" i="1"/>
  <c r="V311" i="1"/>
  <c r="AC311" i="1" s="1"/>
  <c r="AB311" i="1" s="1"/>
  <c r="Y311" i="1" s="1"/>
  <c r="L311" i="1" l="1"/>
  <c r="S311" i="1" l="1"/>
  <c r="AD311" i="1" s="1"/>
  <c r="Q311" i="1"/>
  <c r="M311" i="1"/>
  <c r="V312" i="1" l="1"/>
  <c r="AC312" i="1" s="1"/>
  <c r="AB312" i="1" s="1"/>
  <c r="O311" i="1"/>
  <c r="AE311" i="1" s="1"/>
  <c r="AF311" i="1" s="1"/>
  <c r="AG311" i="1" s="1"/>
  <c r="I312" i="1"/>
  <c r="AA312" i="1"/>
  <c r="Y312" i="1" l="1"/>
  <c r="L312" i="1"/>
  <c r="M312" i="1" s="1"/>
  <c r="V313" i="1" l="1"/>
  <c r="AC313" i="1" s="1"/>
  <c r="AA313" i="1"/>
  <c r="O312" i="1"/>
  <c r="I313" i="1"/>
  <c r="S312" i="1"/>
  <c r="AD312" i="1" s="1"/>
  <c r="Q312" i="1"/>
  <c r="L313" i="1" l="1"/>
  <c r="M313" i="1"/>
  <c r="AE312" i="1"/>
  <c r="AF312" i="1" s="1"/>
  <c r="AG312" i="1" s="1"/>
  <c r="AB313" i="1"/>
  <c r="Y313" i="1" s="1"/>
  <c r="AA314" i="1" l="1"/>
  <c r="O313" i="1"/>
  <c r="I314" i="1"/>
  <c r="V314" i="1"/>
  <c r="AC314" i="1" s="1"/>
  <c r="S313" i="1"/>
  <c r="AD313" i="1" s="1"/>
  <c r="Q313" i="1"/>
  <c r="AB314" i="1" l="1"/>
  <c r="Y314" i="1" s="1"/>
  <c r="L314" i="1"/>
  <c r="AE313" i="1"/>
  <c r="AF313" i="1" s="1"/>
  <c r="AG313" i="1" s="1"/>
  <c r="S314" i="1" l="1"/>
  <c r="AD314" i="1" s="1"/>
  <c r="Q314" i="1"/>
  <c r="M314" i="1"/>
  <c r="O314" i="1" l="1"/>
  <c r="AE314" i="1" s="1"/>
  <c r="AF314" i="1" s="1"/>
  <c r="AG314" i="1" s="1"/>
  <c r="AK34" i="1" s="1"/>
  <c r="I315" i="1"/>
  <c r="AA315" i="1"/>
  <c r="V315" i="1"/>
  <c r="AC315" i="1" s="1"/>
  <c r="AB315" i="1" s="1"/>
  <c r="Y315" i="1" l="1"/>
  <c r="L315" i="1"/>
  <c r="AN34" i="1"/>
  <c r="AP34" i="1"/>
  <c r="AQ34" i="1" l="1"/>
  <c r="AR34" i="1" s="1"/>
  <c r="S315" i="1"/>
  <c r="AD315" i="1" s="1"/>
  <c r="Q315" i="1"/>
  <c r="M315" i="1"/>
  <c r="O315" i="1" l="1"/>
  <c r="AE315" i="1" s="1"/>
  <c r="AF315" i="1" s="1"/>
  <c r="AG315" i="1" s="1"/>
  <c r="AA316" i="1"/>
  <c r="V316" i="1"/>
  <c r="AC316" i="1" s="1"/>
  <c r="AB316" i="1" s="1"/>
  <c r="I316" i="1"/>
  <c r="Y316" i="1" l="1"/>
  <c r="L316" i="1"/>
  <c r="M316" i="1" l="1"/>
  <c r="S316" i="1"/>
  <c r="Q316" i="1"/>
  <c r="AD316" i="1" l="1"/>
  <c r="V317" i="1"/>
  <c r="AC317" i="1" s="1"/>
  <c r="O316" i="1"/>
  <c r="AE316" i="1" s="1"/>
  <c r="AF316" i="1" s="1"/>
  <c r="AG316" i="1" s="1"/>
  <c r="I317" i="1"/>
  <c r="AA317" i="1"/>
  <c r="L317" i="1" l="1"/>
  <c r="AB317" i="1"/>
  <c r="Y317" i="1" s="1"/>
  <c r="Q317" i="1" l="1"/>
  <c r="S317" i="1"/>
  <c r="AD317" i="1" s="1"/>
  <c r="M317" i="1"/>
  <c r="O317" i="1" l="1"/>
  <c r="I318" i="1"/>
  <c r="AA318" i="1"/>
  <c r="V318" i="1"/>
  <c r="AC318" i="1" s="1"/>
  <c r="AB318" i="1" s="1"/>
  <c r="AE317" i="1"/>
  <c r="AF317" i="1" s="1"/>
  <c r="AG317" i="1" s="1"/>
  <c r="Y318" i="1" l="1"/>
  <c r="L318" i="1"/>
  <c r="M318" i="1" s="1"/>
  <c r="V319" i="1" l="1"/>
  <c r="AC319" i="1" s="1"/>
  <c r="O318" i="1"/>
  <c r="I319" i="1"/>
  <c r="AA319" i="1"/>
  <c r="Q318" i="1"/>
  <c r="S318" i="1"/>
  <c r="AD318" i="1" s="1"/>
  <c r="AE318" i="1" l="1"/>
  <c r="AF318" i="1" s="1"/>
  <c r="AG318" i="1" s="1"/>
  <c r="AB319" i="1"/>
  <c r="Y319" i="1" s="1"/>
  <c r="L319" i="1"/>
  <c r="Q319" i="1" l="1"/>
  <c r="S319" i="1"/>
  <c r="AD319" i="1" s="1"/>
  <c r="M319" i="1"/>
  <c r="AA320" i="1" l="1"/>
  <c r="V320" i="1"/>
  <c r="AC320" i="1" s="1"/>
  <c r="AB320" i="1" s="1"/>
  <c r="Y320" i="1" s="1"/>
  <c r="O319" i="1"/>
  <c r="AE319" i="1" s="1"/>
  <c r="AF319" i="1" s="1"/>
  <c r="AG319" i="1" s="1"/>
  <c r="I320" i="1"/>
  <c r="L320" i="1" l="1"/>
  <c r="S320" i="1" l="1"/>
  <c r="AD320" i="1" s="1"/>
  <c r="Q320" i="1"/>
  <c r="M320" i="1"/>
  <c r="V321" i="1" l="1"/>
  <c r="AC321" i="1" s="1"/>
  <c r="AB321" i="1" s="1"/>
  <c r="AA321" i="1"/>
  <c r="O320" i="1"/>
  <c r="AE320" i="1" s="1"/>
  <c r="AF320" i="1" s="1"/>
  <c r="AG320" i="1" s="1"/>
  <c r="I321" i="1"/>
  <c r="Y321" i="1" l="1"/>
  <c r="L321" i="1"/>
  <c r="M321" i="1"/>
  <c r="V322" i="1" l="1"/>
  <c r="AC322" i="1" s="1"/>
  <c r="AA322" i="1"/>
  <c r="O321" i="1"/>
  <c r="I322" i="1"/>
  <c r="S321" i="1"/>
  <c r="AD321" i="1" s="1"/>
  <c r="Q321" i="1"/>
  <c r="L322" i="1" l="1"/>
  <c r="M322" i="1" s="1"/>
  <c r="AE321" i="1"/>
  <c r="AF321" i="1" s="1"/>
  <c r="AG321" i="1" s="1"/>
  <c r="AB322" i="1"/>
  <c r="Y322" i="1" s="1"/>
  <c r="I323" i="1" l="1"/>
  <c r="V323" i="1"/>
  <c r="AC323" i="1" s="1"/>
  <c r="AA323" i="1"/>
  <c r="O322" i="1"/>
  <c r="Q322" i="1"/>
  <c r="S322" i="1"/>
  <c r="AD322" i="1" s="1"/>
  <c r="AB323" i="1" l="1"/>
  <c r="Y323" i="1" s="1"/>
  <c r="AE322" i="1"/>
  <c r="AF322" i="1" s="1"/>
  <c r="AG322" i="1" s="1"/>
  <c r="L323" i="1"/>
  <c r="M323" i="1" l="1"/>
  <c r="Q323" i="1"/>
  <c r="S323" i="1"/>
  <c r="AD323" i="1" l="1"/>
  <c r="I324" i="1"/>
  <c r="AA324" i="1"/>
  <c r="V324" i="1"/>
  <c r="AC324" i="1" s="1"/>
  <c r="O323" i="1"/>
  <c r="AE323" i="1" s="1"/>
  <c r="AF323" i="1" s="1"/>
  <c r="AG323" i="1" s="1"/>
  <c r="AB324" i="1" l="1"/>
  <c r="Y324" i="1" s="1"/>
  <c r="L324" i="1"/>
  <c r="S324" i="1" l="1"/>
  <c r="AD324" i="1" s="1"/>
  <c r="Q324" i="1"/>
  <c r="M324" i="1"/>
  <c r="I325" i="1" l="1"/>
  <c r="AA325" i="1"/>
  <c r="V325" i="1"/>
  <c r="AC325" i="1" s="1"/>
  <c r="AB325" i="1" s="1"/>
  <c r="Y325" i="1" s="1"/>
  <c r="O324" i="1"/>
  <c r="AE324" i="1" s="1"/>
  <c r="AF324" i="1" s="1"/>
  <c r="AG324" i="1" s="1"/>
  <c r="L325" i="1" l="1"/>
  <c r="Q325" i="1" l="1"/>
  <c r="S325" i="1"/>
  <c r="AD325" i="1" s="1"/>
  <c r="M325" i="1"/>
  <c r="I326" i="1" l="1"/>
  <c r="AA326" i="1"/>
  <c r="V326" i="1"/>
  <c r="AC326" i="1" s="1"/>
  <c r="AB326" i="1" s="1"/>
  <c r="Y326" i="1" s="1"/>
  <c r="O325" i="1"/>
  <c r="AE325" i="1" s="1"/>
  <c r="AF325" i="1" s="1"/>
  <c r="AG325" i="1" s="1"/>
  <c r="L326" i="1"/>
  <c r="M326" i="1" s="1"/>
  <c r="I327" i="1" l="1"/>
  <c r="AA327" i="1"/>
  <c r="V327" i="1"/>
  <c r="AC327" i="1" s="1"/>
  <c r="O326" i="1"/>
  <c r="Q326" i="1"/>
  <c r="S326" i="1"/>
  <c r="AD326" i="1" s="1"/>
  <c r="AB327" i="1" l="1"/>
  <c r="Y327" i="1" s="1"/>
  <c r="AE326" i="1"/>
  <c r="AF326" i="1" s="1"/>
  <c r="AG326" i="1" s="1"/>
  <c r="AK35" i="1" s="1"/>
  <c r="L327" i="1"/>
  <c r="Q327" i="1" l="1"/>
  <c r="S327" i="1"/>
  <c r="AD327" i="1" s="1"/>
  <c r="M327" i="1"/>
  <c r="AN35" i="1"/>
  <c r="AP35" i="1"/>
  <c r="I328" i="1" l="1"/>
  <c r="AA328" i="1"/>
  <c r="V328" i="1"/>
  <c r="AC328" i="1" s="1"/>
  <c r="AB328" i="1" s="1"/>
  <c r="Y328" i="1" s="1"/>
  <c r="O327" i="1"/>
  <c r="AE327" i="1" s="1"/>
  <c r="AF327" i="1" s="1"/>
  <c r="AG327" i="1" s="1"/>
  <c r="AQ35" i="1"/>
  <c r="AR35" i="1" s="1"/>
  <c r="L328" i="1" l="1"/>
  <c r="Q328" i="1" l="1"/>
  <c r="S328" i="1"/>
  <c r="AD328" i="1" s="1"/>
  <c r="M328" i="1"/>
  <c r="AA329" i="1" l="1"/>
  <c r="V329" i="1"/>
  <c r="AC329" i="1" s="1"/>
  <c r="AB329" i="1" s="1"/>
  <c r="Y329" i="1" s="1"/>
  <c r="O328" i="1"/>
  <c r="AE328" i="1" s="1"/>
  <c r="AF328" i="1" s="1"/>
  <c r="AG328" i="1" s="1"/>
  <c r="I329" i="1"/>
  <c r="L329" i="1" l="1"/>
  <c r="M329" i="1"/>
  <c r="AA330" i="1" l="1"/>
  <c r="O329" i="1"/>
  <c r="I330" i="1"/>
  <c r="V330" i="1"/>
  <c r="AC330" i="1" s="1"/>
  <c r="S329" i="1"/>
  <c r="AD329" i="1" s="1"/>
  <c r="Q329" i="1"/>
  <c r="AB330" i="1" l="1"/>
  <c r="Y330" i="1" s="1"/>
  <c r="L330" i="1"/>
  <c r="AE329" i="1"/>
  <c r="AF329" i="1" s="1"/>
  <c r="AG329" i="1" s="1"/>
  <c r="Q330" i="1" l="1"/>
  <c r="S330" i="1"/>
  <c r="AD330" i="1" s="1"/>
  <c r="M330" i="1"/>
  <c r="I331" i="1" l="1"/>
  <c r="AA331" i="1"/>
  <c r="V331" i="1"/>
  <c r="AC331" i="1" s="1"/>
  <c r="AB331" i="1" s="1"/>
  <c r="Y331" i="1" s="1"/>
  <c r="O330" i="1"/>
  <c r="AE330" i="1" s="1"/>
  <c r="AF330" i="1" s="1"/>
  <c r="AG330" i="1" s="1"/>
  <c r="L331" i="1" l="1"/>
  <c r="M331" i="1" l="1"/>
  <c r="Q331" i="1"/>
  <c r="S331" i="1"/>
  <c r="AD331" i="1" l="1"/>
  <c r="O331" i="1"/>
  <c r="AE331" i="1" s="1"/>
  <c r="AF331" i="1" s="1"/>
  <c r="AG331" i="1" s="1"/>
  <c r="I332" i="1"/>
  <c r="AA332" i="1"/>
  <c r="V332" i="1"/>
  <c r="AC332" i="1" s="1"/>
  <c r="L332" i="1" l="1"/>
  <c r="AB332" i="1"/>
  <c r="Y332" i="1" s="1"/>
  <c r="Q332" i="1" l="1"/>
  <c r="S332" i="1"/>
  <c r="AD332" i="1" s="1"/>
  <c r="M332" i="1"/>
  <c r="V333" i="1" l="1"/>
  <c r="AC333" i="1" s="1"/>
  <c r="AB333" i="1" s="1"/>
  <c r="AA333" i="1"/>
  <c r="I333" i="1"/>
  <c r="O332" i="1"/>
  <c r="AE332" i="1" s="1"/>
  <c r="AF332" i="1" s="1"/>
  <c r="AG332" i="1" s="1"/>
  <c r="Y333" i="1" l="1"/>
  <c r="L333" i="1"/>
  <c r="S333" i="1" l="1"/>
  <c r="AD333" i="1" s="1"/>
  <c r="Q333" i="1"/>
  <c r="M333" i="1"/>
  <c r="O333" i="1" l="1"/>
  <c r="AE333" i="1" s="1"/>
  <c r="AF333" i="1" s="1"/>
  <c r="AG333" i="1" s="1"/>
  <c r="AA334" i="1"/>
  <c r="I334" i="1"/>
  <c r="V334" i="1"/>
  <c r="AC334" i="1" s="1"/>
  <c r="AB334" i="1" s="1"/>
  <c r="L334" i="1" l="1"/>
  <c r="Y334" i="1"/>
  <c r="S334" i="1" l="1"/>
  <c r="AD334" i="1" s="1"/>
  <c r="Q334" i="1"/>
  <c r="M334" i="1"/>
  <c r="AA335" i="1" l="1"/>
  <c r="O334" i="1"/>
  <c r="I335" i="1"/>
  <c r="V335" i="1"/>
  <c r="AC335" i="1" s="1"/>
  <c r="AB335" i="1" s="1"/>
  <c r="Y335" i="1" s="1"/>
  <c r="L335" i="1"/>
  <c r="M335" i="1"/>
  <c r="AE334" i="1"/>
  <c r="AF334" i="1" s="1"/>
  <c r="AG334" i="1" s="1"/>
  <c r="AA336" i="1" l="1"/>
  <c r="V336" i="1"/>
  <c r="AC336" i="1" s="1"/>
  <c r="O335" i="1"/>
  <c r="I336" i="1"/>
  <c r="S335" i="1"/>
  <c r="AD335" i="1" s="1"/>
  <c r="Q335" i="1"/>
  <c r="AB336" i="1" l="1"/>
  <c r="Y336" i="1" s="1"/>
  <c r="L336" i="1"/>
  <c r="AE335" i="1"/>
  <c r="AF335" i="1" s="1"/>
  <c r="AG335" i="1" s="1"/>
  <c r="Q336" i="1" l="1"/>
  <c r="S336" i="1"/>
  <c r="AD336" i="1" s="1"/>
  <c r="M336" i="1"/>
  <c r="AA337" i="1" l="1"/>
  <c r="V337" i="1"/>
  <c r="AC337" i="1" s="1"/>
  <c r="AB337" i="1" s="1"/>
  <c r="Y337" i="1" s="1"/>
  <c r="O336" i="1"/>
  <c r="AE336" i="1" s="1"/>
  <c r="AF336" i="1" s="1"/>
  <c r="AG336" i="1" s="1"/>
  <c r="I337" i="1"/>
  <c r="L337" i="1" l="1"/>
  <c r="M337" i="1"/>
  <c r="V338" i="1" l="1"/>
  <c r="AC338" i="1" s="1"/>
  <c r="AA338" i="1"/>
  <c r="O337" i="1"/>
  <c r="I338" i="1"/>
  <c r="S337" i="1"/>
  <c r="AD337" i="1" s="1"/>
  <c r="Q337" i="1"/>
  <c r="AB338" i="1" l="1"/>
  <c r="Y338" i="1" s="1"/>
  <c r="L338" i="1"/>
  <c r="M338" i="1" s="1"/>
  <c r="AE337" i="1"/>
  <c r="AF337" i="1" s="1"/>
  <c r="AG337" i="1" s="1"/>
  <c r="AA339" i="1" l="1"/>
  <c r="O338" i="1"/>
  <c r="I339" i="1"/>
  <c r="V339" i="1"/>
  <c r="AC339" i="1" s="1"/>
  <c r="S338" i="1"/>
  <c r="AD338" i="1" s="1"/>
  <c r="Q338" i="1"/>
  <c r="AB339" i="1" l="1"/>
  <c r="Y339" i="1" s="1"/>
  <c r="L339" i="1"/>
  <c r="AE338" i="1"/>
  <c r="AF338" i="1" s="1"/>
  <c r="AG338" i="1" s="1"/>
  <c r="AK36" i="1" s="1"/>
  <c r="AN36" i="1" l="1"/>
  <c r="AP36" i="1"/>
  <c r="S339" i="1"/>
  <c r="AD339" i="1" s="1"/>
  <c r="Q339" i="1"/>
  <c r="M339" i="1"/>
  <c r="AA340" i="1" l="1"/>
  <c r="I340" i="1"/>
  <c r="V340" i="1"/>
  <c r="AC340" i="1" s="1"/>
  <c r="AB340" i="1" s="1"/>
  <c r="Y340" i="1" s="1"/>
  <c r="O339" i="1"/>
  <c r="AE339" i="1" s="1"/>
  <c r="AF339" i="1" s="1"/>
  <c r="AG339" i="1" s="1"/>
  <c r="AQ36" i="1"/>
  <c r="AR36" i="1" s="1"/>
  <c r="L340" i="1" l="1"/>
  <c r="S340" i="1" l="1"/>
  <c r="AD340" i="1" s="1"/>
  <c r="Q340" i="1"/>
  <c r="M340" i="1"/>
  <c r="AA341" i="1" l="1"/>
  <c r="I341" i="1"/>
  <c r="O340" i="1"/>
  <c r="AE340" i="1" s="1"/>
  <c r="AF340" i="1" s="1"/>
  <c r="AG340" i="1" s="1"/>
  <c r="L341" i="1"/>
  <c r="M341" i="1" s="1"/>
  <c r="V341" i="1"/>
  <c r="AC341" i="1" s="1"/>
  <c r="AB341" i="1" s="1"/>
  <c r="Y341" i="1" s="1"/>
  <c r="AA342" i="1" l="1"/>
  <c r="V342" i="1"/>
  <c r="AC342" i="1" s="1"/>
  <c r="O341" i="1"/>
  <c r="I342" i="1"/>
  <c r="Q341" i="1"/>
  <c r="S341" i="1"/>
  <c r="AD341" i="1" s="1"/>
  <c r="AB342" i="1" l="1"/>
  <c r="Y342" i="1" s="1"/>
  <c r="L342" i="1"/>
  <c r="AE341" i="1"/>
  <c r="AF341" i="1" s="1"/>
  <c r="AG341" i="1" s="1"/>
  <c r="S342" i="1" l="1"/>
  <c r="AD342" i="1" s="1"/>
  <c r="Q342" i="1"/>
  <c r="M342" i="1"/>
  <c r="O342" i="1" l="1"/>
  <c r="AE342" i="1" s="1"/>
  <c r="AF342" i="1" s="1"/>
  <c r="AG342" i="1" s="1"/>
  <c r="I343" i="1"/>
  <c r="AA343" i="1"/>
  <c r="V343" i="1"/>
  <c r="AC343" i="1" s="1"/>
  <c r="AB343" i="1" s="1"/>
  <c r="Y343" i="1" l="1"/>
  <c r="L343" i="1"/>
  <c r="Q343" i="1" l="1"/>
  <c r="S343" i="1"/>
  <c r="AD343" i="1" s="1"/>
  <c r="M343" i="1"/>
  <c r="V344" i="1" l="1"/>
  <c r="AC344" i="1" s="1"/>
  <c r="AB344" i="1" s="1"/>
  <c r="AA344" i="1"/>
  <c r="I344" i="1"/>
  <c r="L344" i="1" s="1"/>
  <c r="M344" i="1" s="1"/>
  <c r="O343" i="1"/>
  <c r="AE343" i="1" s="1"/>
  <c r="AF343" i="1" s="1"/>
  <c r="AG343" i="1" s="1"/>
  <c r="Y344" i="1" l="1"/>
  <c r="AA345" i="1"/>
  <c r="V345" i="1"/>
  <c r="AC345" i="1" s="1"/>
  <c r="O344" i="1"/>
  <c r="I345" i="1"/>
  <c r="S344" i="1"/>
  <c r="AD344" i="1" s="1"/>
  <c r="Q344" i="1"/>
  <c r="AB345" i="1" l="1"/>
  <c r="Y345" i="1" s="1"/>
  <c r="L345" i="1"/>
  <c r="M345" i="1" s="1"/>
  <c r="AE344" i="1"/>
  <c r="AF344" i="1" s="1"/>
  <c r="AG344" i="1" s="1"/>
  <c r="AA346" i="1" l="1"/>
  <c r="O345" i="1"/>
  <c r="I346" i="1"/>
  <c r="V346" i="1"/>
  <c r="AC346" i="1" s="1"/>
  <c r="S345" i="1"/>
  <c r="AD345" i="1" s="1"/>
  <c r="Q345" i="1"/>
  <c r="AB346" i="1" l="1"/>
  <c r="AE345" i="1"/>
  <c r="AF345" i="1" s="1"/>
  <c r="AG345" i="1" s="1"/>
  <c r="L346" i="1"/>
  <c r="Y346" i="1"/>
  <c r="S346" i="1" l="1"/>
  <c r="AD346" i="1" s="1"/>
  <c r="Q346" i="1"/>
  <c r="M346" i="1"/>
  <c r="V347" i="1" l="1"/>
  <c r="AC347" i="1" s="1"/>
  <c r="AB347" i="1" s="1"/>
  <c r="AA347" i="1"/>
  <c r="O346" i="1"/>
  <c r="AE346" i="1" s="1"/>
  <c r="AF346" i="1" s="1"/>
  <c r="AG346" i="1" s="1"/>
  <c r="I347" i="1"/>
  <c r="Y347" i="1" l="1"/>
  <c r="L347" i="1"/>
  <c r="M347" i="1"/>
  <c r="AA348" i="1" l="1"/>
  <c r="O347" i="1"/>
  <c r="I348" i="1"/>
  <c r="V348" i="1"/>
  <c r="AC348" i="1" s="1"/>
  <c r="S347" i="1"/>
  <c r="AD347" i="1" s="1"/>
  <c r="Q347" i="1"/>
  <c r="AB348" i="1" l="1"/>
  <c r="AE347" i="1"/>
  <c r="AF347" i="1" s="1"/>
  <c r="AG347" i="1" s="1"/>
  <c r="L348" i="1"/>
  <c r="Y348" i="1"/>
  <c r="S348" i="1" l="1"/>
  <c r="AD348" i="1" s="1"/>
  <c r="Q348" i="1"/>
  <c r="M348" i="1"/>
  <c r="V349" i="1" l="1"/>
  <c r="AC349" i="1" s="1"/>
  <c r="AB349" i="1" s="1"/>
  <c r="I349" i="1"/>
  <c r="O348" i="1"/>
  <c r="AE348" i="1" s="1"/>
  <c r="AF348" i="1" s="1"/>
  <c r="AG348" i="1" s="1"/>
  <c r="AA349" i="1"/>
  <c r="Y349" i="1" l="1"/>
  <c r="L349" i="1"/>
  <c r="S349" i="1" l="1"/>
  <c r="Q349" i="1"/>
  <c r="M349" i="1"/>
  <c r="I350" i="1" l="1"/>
  <c r="AA350" i="1"/>
  <c r="V350" i="1"/>
  <c r="AC350" i="1" s="1"/>
  <c r="O349" i="1"/>
  <c r="L350" i="1"/>
  <c r="M350" i="1" s="1"/>
  <c r="AD349" i="1"/>
  <c r="AE349" i="1"/>
  <c r="AF349" i="1" s="1"/>
  <c r="AG349" i="1" s="1"/>
  <c r="AB350" i="1" l="1"/>
  <c r="AA351" i="1"/>
  <c r="O350" i="1"/>
  <c r="I351" i="1"/>
  <c r="V351" i="1"/>
  <c r="AC351" i="1" s="1"/>
  <c r="S350" i="1"/>
  <c r="AD350" i="1" s="1"/>
  <c r="Q350" i="1"/>
  <c r="Y350" i="1"/>
  <c r="AB351" i="1" l="1"/>
  <c r="Y351" i="1" s="1"/>
  <c r="AE350" i="1"/>
  <c r="AF350" i="1" s="1"/>
  <c r="AG350" i="1" s="1"/>
  <c r="AK37" i="1" s="1"/>
  <c r="L351" i="1"/>
  <c r="S351" i="1" l="1"/>
  <c r="AD351" i="1" s="1"/>
  <c r="Q351" i="1"/>
  <c r="M351" i="1"/>
  <c r="AN37" i="1"/>
  <c r="AP37" i="1"/>
  <c r="AQ37" i="1" l="1"/>
  <c r="AR37" i="1" s="1"/>
  <c r="O351" i="1"/>
  <c r="AE351" i="1" s="1"/>
  <c r="AF351" i="1" s="1"/>
  <c r="AG351" i="1" s="1"/>
  <c r="I352" i="1"/>
  <c r="L352" i="1" s="1"/>
  <c r="V352" i="1"/>
  <c r="AC352" i="1" s="1"/>
  <c r="AB352" i="1" s="1"/>
  <c r="Y352" i="1" s="1"/>
  <c r="AA352" i="1"/>
  <c r="M352" i="1" l="1"/>
  <c r="I353" i="1"/>
  <c r="AA353" i="1"/>
  <c r="O352" i="1"/>
  <c r="V353" i="1"/>
  <c r="AC353" i="1" s="1"/>
  <c r="S352" i="1"/>
  <c r="AD352" i="1" s="1"/>
  <c r="Q352" i="1"/>
  <c r="AB353" i="1" l="1"/>
  <c r="Y353" i="1" s="1"/>
  <c r="AE352" i="1"/>
  <c r="AF352" i="1" s="1"/>
  <c r="AG352" i="1" s="1"/>
  <c r="L353" i="1"/>
  <c r="S353" i="1" l="1"/>
  <c r="AD353" i="1" s="1"/>
  <c r="Q353" i="1"/>
  <c r="M353" i="1"/>
  <c r="AA354" i="1" l="1"/>
  <c r="V354" i="1"/>
  <c r="AC354" i="1" s="1"/>
  <c r="AB354" i="1" s="1"/>
  <c r="Y354" i="1" s="1"/>
  <c r="O353" i="1"/>
  <c r="AE353" i="1" s="1"/>
  <c r="AF353" i="1" s="1"/>
  <c r="AG353" i="1" s="1"/>
  <c r="I354" i="1"/>
  <c r="L354" i="1" l="1"/>
  <c r="M354" i="1"/>
  <c r="AA355" i="1" l="1"/>
  <c r="V355" i="1"/>
  <c r="AC355" i="1" s="1"/>
  <c r="O354" i="1"/>
  <c r="I355" i="1"/>
  <c r="Q354" i="1"/>
  <c r="S354" i="1"/>
  <c r="AD354" i="1" s="1"/>
  <c r="AB355" i="1" l="1"/>
  <c r="Y355" i="1" s="1"/>
  <c r="L355" i="1"/>
  <c r="AE354" i="1"/>
  <c r="AF354" i="1" s="1"/>
  <c r="AG354" i="1" s="1"/>
  <c r="S355" i="1" l="1"/>
  <c r="AD355" i="1" s="1"/>
  <c r="Q355" i="1"/>
  <c r="M355" i="1"/>
  <c r="I356" i="1" l="1"/>
  <c r="AA356" i="1"/>
  <c r="V356" i="1"/>
  <c r="AC356" i="1" s="1"/>
  <c r="AB356" i="1" s="1"/>
  <c r="O355" i="1"/>
  <c r="AE355" i="1" s="1"/>
  <c r="AF355" i="1" s="1"/>
  <c r="AG355" i="1" s="1"/>
  <c r="Y356" i="1" l="1"/>
  <c r="L356" i="1"/>
  <c r="Q356" i="1" l="1"/>
  <c r="S356" i="1"/>
  <c r="AD356" i="1" s="1"/>
  <c r="M356" i="1"/>
  <c r="AA357" i="1" l="1"/>
  <c r="V357" i="1"/>
  <c r="AC357" i="1" s="1"/>
  <c r="AB357" i="1" s="1"/>
  <c r="Y357" i="1" s="1"/>
  <c r="O356" i="1"/>
  <c r="AE356" i="1" s="1"/>
  <c r="AF356" i="1" s="1"/>
  <c r="AG356" i="1" s="1"/>
  <c r="I357" i="1"/>
  <c r="L357" i="1" l="1"/>
  <c r="M357" i="1" s="1"/>
  <c r="O357" i="1" l="1"/>
  <c r="I358" i="1"/>
  <c r="V358" i="1"/>
  <c r="AC358" i="1" s="1"/>
  <c r="AA358" i="1"/>
  <c r="L358" i="1"/>
  <c r="M358" i="1" s="1"/>
  <c r="Q357" i="1"/>
  <c r="S357" i="1"/>
  <c r="AD357" i="1" s="1"/>
  <c r="AB358" i="1" l="1"/>
  <c r="Y358" i="1" s="1"/>
  <c r="I359" i="1"/>
  <c r="V359" i="1"/>
  <c r="AC359" i="1" s="1"/>
  <c r="AA359" i="1"/>
  <c r="O358" i="1"/>
  <c r="Q358" i="1"/>
  <c r="S358" i="1"/>
  <c r="AD358" i="1" s="1"/>
  <c r="AE357" i="1"/>
  <c r="AF357" i="1" s="1"/>
  <c r="AG357" i="1" s="1"/>
  <c r="AB359" i="1" l="1"/>
  <c r="Y359" i="1" s="1"/>
  <c r="AE358" i="1"/>
  <c r="AF358" i="1" s="1"/>
  <c r="AG358" i="1" s="1"/>
  <c r="L359" i="1"/>
  <c r="Q359" i="1" l="1"/>
  <c r="S359" i="1"/>
  <c r="AD359" i="1" s="1"/>
  <c r="M359" i="1"/>
  <c r="AA360" i="1" l="1"/>
  <c r="V360" i="1"/>
  <c r="AC360" i="1" s="1"/>
  <c r="AB360" i="1" s="1"/>
  <c r="Y360" i="1" s="1"/>
  <c r="I360" i="1"/>
  <c r="O359" i="1"/>
  <c r="AE359" i="1" s="1"/>
  <c r="AF359" i="1" s="1"/>
  <c r="AG359" i="1" s="1"/>
  <c r="L360" i="1" l="1"/>
  <c r="Q360" i="1" l="1"/>
  <c r="S360" i="1"/>
  <c r="AD360" i="1" s="1"/>
  <c r="M360" i="1"/>
  <c r="AA361" i="1" l="1"/>
  <c r="V361" i="1"/>
  <c r="AC361" i="1" s="1"/>
  <c r="AB361" i="1" s="1"/>
  <c r="Y361" i="1" s="1"/>
  <c r="O360" i="1"/>
  <c r="AE360" i="1" s="1"/>
  <c r="AF360" i="1" s="1"/>
  <c r="AG360" i="1" s="1"/>
  <c r="I361" i="1"/>
  <c r="L361" i="1" l="1"/>
  <c r="M361" i="1"/>
  <c r="I362" i="1" l="1"/>
  <c r="O361" i="1"/>
  <c r="AA362" i="1"/>
  <c r="V362" i="1"/>
  <c r="AC362" i="1" s="1"/>
  <c r="S361" i="1"/>
  <c r="AD361" i="1" s="1"/>
  <c r="Q361" i="1"/>
  <c r="AB362" i="1" l="1"/>
  <c r="Y362" i="1"/>
  <c r="AE361" i="1"/>
  <c r="AF361" i="1" s="1"/>
  <c r="AG361" i="1" s="1"/>
  <c r="L362" i="1"/>
  <c r="S362" i="1" l="1"/>
  <c r="AD362" i="1" s="1"/>
  <c r="Q362" i="1"/>
  <c r="M362" i="1"/>
  <c r="O362" i="1" s="1"/>
  <c r="AE362" i="1" s="1"/>
  <c r="AF362" i="1" s="1"/>
  <c r="AG362" i="1" s="1"/>
  <c r="AK38" i="1" s="1"/>
  <c r="AN38" i="1" l="1"/>
  <c r="AP38" i="1"/>
  <c r="AU8" i="1" s="1"/>
  <c r="AU10" i="1" s="1"/>
  <c r="AU6" i="1"/>
  <c r="AQ38" i="1" l="1"/>
  <c r="AR38" i="1" s="1"/>
  <c r="AU12" i="1" s="1"/>
  <c r="AU4" i="1"/>
</calcChain>
</file>

<file path=xl/sharedStrings.xml><?xml version="1.0" encoding="utf-8"?>
<sst xmlns="http://schemas.openxmlformats.org/spreadsheetml/2006/main" count="131" uniqueCount="114">
  <si>
    <t>TABLA DE MORTALIDAD</t>
  </si>
  <si>
    <t>Edad</t>
  </si>
  <si>
    <t>CNSF2000-I</t>
  </si>
  <si>
    <t>EDAD</t>
  </si>
  <si>
    <t>lx</t>
  </si>
  <si>
    <t>dx</t>
  </si>
  <si>
    <t>Vt</t>
  </si>
  <si>
    <t>Dx</t>
  </si>
  <si>
    <t>Nx</t>
  </si>
  <si>
    <t>Cx</t>
  </si>
  <si>
    <t>Mx</t>
  </si>
  <si>
    <t>Año Poliza</t>
  </si>
  <si>
    <t>Tasa</t>
  </si>
  <si>
    <t>Plazo n = 100-x</t>
  </si>
  <si>
    <t>omega</t>
  </si>
  <si>
    <t>Plazo de pago m</t>
  </si>
  <si>
    <t>Edad (x)</t>
  </si>
  <si>
    <t>Tasas</t>
  </si>
  <si>
    <t>TABLA DE CONMUTADOS FIJA</t>
  </si>
  <si>
    <t>Factores de Reserva</t>
  </si>
  <si>
    <t>PN</t>
  </si>
  <si>
    <t>tVx</t>
  </si>
  <si>
    <t>qx</t>
  </si>
  <si>
    <t>px</t>
  </si>
  <si>
    <t>Papelería</t>
  </si>
  <si>
    <t>Inc. De Pol Sist</t>
  </si>
  <si>
    <t>OG Suscripción</t>
  </si>
  <si>
    <t>Publicidad</t>
  </si>
  <si>
    <t>Tasa Tecnica</t>
  </si>
  <si>
    <t>Edades de Aceptación</t>
  </si>
  <si>
    <t>ATPC</t>
  </si>
  <si>
    <t>Año (t)</t>
  </si>
  <si>
    <t>Folletería (fijo)</t>
  </si>
  <si>
    <t>Año Póliza (t)</t>
  </si>
  <si>
    <t>Tarifa</t>
  </si>
  <si>
    <t>RF</t>
  </si>
  <si>
    <t>SA</t>
  </si>
  <si>
    <t>Plazo n</t>
  </si>
  <si>
    <t>Plazo Pago m</t>
  </si>
  <si>
    <t>t-1/2Vx</t>
  </si>
  <si>
    <t>Edad Alcanzada</t>
  </si>
  <si>
    <t>Tabla Mort CNSF 2000-1 (qx)</t>
  </si>
  <si>
    <t>Factor de Producto</t>
  </si>
  <si>
    <t>Factor de Suscripción</t>
  </si>
  <si>
    <t>Tasa de Caducidad (Ct)</t>
  </si>
  <si>
    <t>Comisión Agente (ComAgDirt)</t>
  </si>
  <si>
    <t>Comisión Promotor (ComPDirt)</t>
  </si>
  <si>
    <t>Comisiones Accesorias  (ComAcct)</t>
  </si>
  <si>
    <t>Inflacion (iinf)</t>
  </si>
  <si>
    <t>TIR Esperada (TIR)</t>
  </si>
  <si>
    <t>Factor de Compañía</t>
  </si>
  <si>
    <t>Tasa Técnica</t>
  </si>
  <si>
    <t>Mes (k)</t>
  </si>
  <si>
    <t>Edad Alcanzada (x+t-1)</t>
  </si>
  <si>
    <t>Vigor (EMIS)</t>
  </si>
  <si>
    <t>Numero de Vencimientos (Venc)</t>
  </si>
  <si>
    <t>Ct Mensual</t>
  </si>
  <si>
    <t>Caidas</t>
  </si>
  <si>
    <t>Incremento a la Reserva (RVA)</t>
  </si>
  <si>
    <t>Sobrev Seguros en Vigor</t>
  </si>
  <si>
    <t>q mensual select</t>
  </si>
  <si>
    <t>Incremento a la Reserva IncRva</t>
  </si>
  <si>
    <t>Rescates y vencimientos  VG</t>
  </si>
  <si>
    <t>Flujo de Vencimientos FljVenc</t>
  </si>
  <si>
    <t>Flujo de rescates Flj Resc</t>
  </si>
  <si>
    <t>Rescates y Vencimientos RescVenc</t>
  </si>
  <si>
    <t>Flujo de Prima Total Pma</t>
  </si>
  <si>
    <t>Flujo de Siniestros Siniest</t>
  </si>
  <si>
    <t>Flujo de Gasto de Adqusicion (Comis)</t>
  </si>
  <si>
    <t xml:space="preserve"> Flujo OGA (OGAdq)</t>
  </si>
  <si>
    <t>Flujo Gasto Admin (Gadmon)</t>
  </si>
  <si>
    <t>inflacion iinf mens</t>
  </si>
  <si>
    <t>Inflacion Acumulda (infAcum)</t>
  </si>
  <si>
    <t>Ganancias Por Inversion (GanInv)</t>
  </si>
  <si>
    <t>Inversion de la Reserva (InvRva)</t>
  </si>
  <si>
    <t>Ganancias Resto de Flujos (InvFluj)</t>
  </si>
  <si>
    <t>Tasa ganada ig mens</t>
  </si>
  <si>
    <t>Efectivo al Inicio (FEIni)</t>
  </si>
  <si>
    <t>Efectivo al Final (FEFin)</t>
  </si>
  <si>
    <t>Flujo de Resultado (Result)</t>
  </si>
  <si>
    <t>Flujo de Impuestos (Imp)</t>
  </si>
  <si>
    <t>Resultado Neto (Result Neto)</t>
  </si>
  <si>
    <t>Flujos  Anuales</t>
  </si>
  <si>
    <t>Año</t>
  </si>
  <si>
    <t>Resultado Neto</t>
  </si>
  <si>
    <t>Primas</t>
  </si>
  <si>
    <t>Factor VP (ig)</t>
  </si>
  <si>
    <t>VP RN @ig</t>
  </si>
  <si>
    <t>VP Prim @ig</t>
  </si>
  <si>
    <t>VP RN @ Tasa Wacc</t>
  </si>
  <si>
    <t>Suma VP</t>
  </si>
  <si>
    <t>Medidas de rentabilidad</t>
  </si>
  <si>
    <t>Profit Margin (PM)</t>
  </si>
  <si>
    <t>TIR</t>
  </si>
  <si>
    <t>New Business Value NBV</t>
  </si>
  <si>
    <t>New Business Margin NBM</t>
  </si>
  <si>
    <t>Break Even Year</t>
  </si>
  <si>
    <t>Suma VP &gt; 0?</t>
  </si>
  <si>
    <t>Prima de Tarifa</t>
  </si>
  <si>
    <t>"+"2.5%</t>
  </si>
  <si>
    <t>Tasa WACC</t>
  </si>
  <si>
    <t>qx siniestros</t>
  </si>
  <si>
    <t>Tasa Ganada MXN</t>
  </si>
  <si>
    <t>Tasa Ganada (ig) udis</t>
  </si>
  <si>
    <t>% Rva como Valor Garantizado ßt</t>
  </si>
  <si>
    <t>Examen Medico (millar)</t>
  </si>
  <si>
    <t>Serv. Agen Inv (millar)</t>
  </si>
  <si>
    <t>OGAdq(t) t = 1</t>
  </si>
  <si>
    <t>Gastos Admon t M</t>
  </si>
  <si>
    <t>Gastos Admon (t) %</t>
  </si>
  <si>
    <t>Multiplicador Caducidad</t>
  </si>
  <si>
    <t>Factor Tasa</t>
  </si>
  <si>
    <t>Multiplicador Mortalidad</t>
  </si>
  <si>
    <t>Multiplicador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</si>
</sst>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"/>
    <numFmt numFmtId="165" formatCode="0.000000"/>
    <numFmt numFmtId="166" formatCode="0.00000"/>
    <numFmt numFmtId="167" formatCode="0.0%"/>
    <numFmt numFmtId="168" formatCode="_(* #,##0.000000000_);_(* \(#,##0.000000000\);_(* &quot;-&quot;??_);_(@_)"/>
    <numFmt numFmtId="169" formatCode="0.00000000"/>
    <numFmt numFmtId="170" formatCode="0.000000000"/>
  </numFmts>
  <fonts count="8" x14ac:knownFonts="1">
    <font>
      <sz val="12"/>
      <color theme="1"/>
      <name val="Calibri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2" fontId="1" fillId="3" borderId="4" xfId="1" quotePrefix="1" applyNumberFormat="1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3" borderId="6" xfId="1" applyNumberFormat="1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3" borderId="8" xfId="1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0" fontId="0" fillId="0" borderId="0" xfId="0" applyBorder="1"/>
    <xf numFmtId="0" fontId="5" fillId="4" borderId="9" xfId="0" applyFont="1" applyFill="1" applyBorder="1"/>
    <xf numFmtId="0" fontId="5" fillId="4" borderId="0" xfId="0" applyFont="1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2" fontId="1" fillId="3" borderId="13" xfId="1" quotePrefix="1" applyNumberFormat="1" applyFont="1" applyFill="1" applyBorder="1" applyAlignment="1" applyProtection="1">
      <alignment horizontal="center" vertical="center"/>
    </xf>
    <xf numFmtId="2" fontId="1" fillId="3" borderId="12" xfId="1" quotePrefix="1" applyNumberFormat="1" applyFont="1" applyFill="1" applyBorder="1" applyAlignment="1" applyProtection="1">
      <alignment horizontal="center" vertical="center"/>
    </xf>
    <xf numFmtId="0" fontId="5" fillId="4" borderId="14" xfId="0" applyFont="1" applyFill="1" applyBorder="1"/>
    <xf numFmtId="2" fontId="1" fillId="3" borderId="13" xfId="1" applyNumberFormat="1" applyFont="1" applyFill="1" applyBorder="1" applyAlignment="1" applyProtection="1">
      <alignment horizontal="center" vertical="center"/>
    </xf>
    <xf numFmtId="2" fontId="1" fillId="5" borderId="12" xfId="1" applyNumberFormat="1" applyFont="1" applyFill="1" applyBorder="1" applyAlignment="1" applyProtection="1">
      <alignment horizontal="center" vertical="center"/>
    </xf>
    <xf numFmtId="0" fontId="5" fillId="0" borderId="11" xfId="0" applyFont="1" applyBorder="1"/>
    <xf numFmtId="0" fontId="5" fillId="0" borderId="10" xfId="0" applyFont="1" applyBorder="1"/>
    <xf numFmtId="0" fontId="5" fillId="4" borderId="12" xfId="0" applyFont="1" applyFill="1" applyBorder="1"/>
    <xf numFmtId="0" fontId="5" fillId="4" borderId="1" xfId="0" applyFont="1" applyFill="1" applyBorder="1"/>
    <xf numFmtId="0" fontId="5" fillId="4" borderId="16" xfId="0" applyFont="1" applyFill="1" applyBorder="1"/>
    <xf numFmtId="0" fontId="0" fillId="0" borderId="17" xfId="0" applyBorder="1"/>
    <xf numFmtId="0" fontId="5" fillId="4" borderId="18" xfId="0" applyFont="1" applyFill="1" applyBorder="1"/>
    <xf numFmtId="0" fontId="0" fillId="0" borderId="19" xfId="0" applyBorder="1"/>
    <xf numFmtId="10" fontId="0" fillId="0" borderId="0" xfId="0" applyNumberFormat="1"/>
    <xf numFmtId="0" fontId="0" fillId="6" borderId="15" xfId="0" applyFill="1" applyBorder="1"/>
    <xf numFmtId="0" fontId="6" fillId="7" borderId="1" xfId="0" applyFont="1" applyFill="1" applyBorder="1"/>
    <xf numFmtId="0" fontId="6" fillId="7" borderId="16" xfId="0" applyFont="1" applyFill="1" applyBorder="1"/>
    <xf numFmtId="0" fontId="6" fillId="7" borderId="18" xfId="0" applyFont="1" applyFill="1" applyBorder="1"/>
    <xf numFmtId="2" fontId="0" fillId="0" borderId="10" xfId="0" applyNumberFormat="1" applyBorder="1"/>
    <xf numFmtId="43" fontId="0" fillId="0" borderId="10" xfId="2" applyFont="1" applyBorder="1"/>
    <xf numFmtId="2" fontId="0" fillId="0" borderId="11" xfId="0" applyNumberFormat="1" applyBorder="1"/>
    <xf numFmtId="0" fontId="5" fillId="4" borderId="0" xfId="0" applyFont="1" applyFill="1" applyBorder="1" applyAlignment="1">
      <alignment horizont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9" fontId="0" fillId="0" borderId="0" xfId="0" applyNumberFormat="1"/>
    <xf numFmtId="167" fontId="0" fillId="0" borderId="0" xfId="0" applyNumberFormat="1"/>
    <xf numFmtId="43" fontId="0" fillId="0" borderId="0" xfId="2" applyFont="1"/>
    <xf numFmtId="0" fontId="0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Alignment="1"/>
    <xf numFmtId="43" fontId="0" fillId="0" borderId="0" xfId="2" applyFont="1" applyFill="1"/>
    <xf numFmtId="168" fontId="0" fillId="0" borderId="0" xfId="2" applyNumberFormat="1" applyFont="1" applyFill="1"/>
    <xf numFmtId="0" fontId="0" fillId="0" borderId="0" xfId="0" applyAlignment="1">
      <alignment vertical="center"/>
    </xf>
    <xf numFmtId="0" fontId="0" fillId="6" borderId="0" xfId="0" applyFill="1"/>
    <xf numFmtId="1" fontId="5" fillId="4" borderId="10" xfId="0" applyNumberFormat="1" applyFont="1" applyFill="1" applyBorder="1"/>
    <xf numFmtId="0" fontId="5" fillId="0" borderId="0" xfId="0" applyFont="1" applyFill="1"/>
    <xf numFmtId="9" fontId="0" fillId="0" borderId="0" xfId="0" applyNumberFormat="1" applyFill="1"/>
    <xf numFmtId="9" fontId="0" fillId="0" borderId="0" xfId="0" applyNumberFormat="1" applyFont="1" applyFill="1"/>
    <xf numFmtId="10" fontId="0" fillId="0" borderId="0" xfId="0" applyNumberFormat="1" applyFont="1" applyFill="1"/>
    <xf numFmtId="43" fontId="4" fillId="0" borderId="0" xfId="2" applyFont="1" applyFill="1"/>
    <xf numFmtId="0" fontId="0" fillId="0" borderId="0" xfId="0" applyFont="1" applyFill="1" applyAlignment="1"/>
    <xf numFmtId="165" fontId="0" fillId="0" borderId="0" xfId="0" applyNumberFormat="1"/>
    <xf numFmtId="0" fontId="5" fillId="0" borderId="0" xfId="0" applyFont="1" applyFill="1" applyBorder="1"/>
    <xf numFmtId="165" fontId="0" fillId="0" borderId="0" xfId="0" applyNumberFormat="1" applyFill="1" applyBorder="1"/>
    <xf numFmtId="0" fontId="5" fillId="8" borderId="0" xfId="0" applyFont="1" applyFill="1"/>
    <xf numFmtId="169" fontId="0" fillId="0" borderId="0" xfId="0" applyNumberFormat="1"/>
    <xf numFmtId="170" fontId="0" fillId="0" borderId="0" xfId="0" applyNumberFormat="1"/>
    <xf numFmtId="3" fontId="0" fillId="6" borderId="0" xfId="0" applyNumberFormat="1" applyFill="1"/>
    <xf numFmtId="2" fontId="0" fillId="0" borderId="0" xfId="0" applyNumberFormat="1"/>
    <xf numFmtId="43" fontId="0" fillId="0" borderId="0" xfId="0" applyNumberFormat="1"/>
    <xf numFmtId="2" fontId="0" fillId="0" borderId="0" xfId="2" applyNumberFormat="1" applyFont="1"/>
    <xf numFmtId="167" fontId="0" fillId="0" borderId="0" xfId="0" applyNumberFormat="1" applyFill="1"/>
    <xf numFmtId="10" fontId="0" fillId="0" borderId="0" xfId="0" applyNumberFormat="1" applyFill="1"/>
    <xf numFmtId="10" fontId="0" fillId="6" borderId="17" xfId="3" applyNumberFormat="1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NumberFormat="1" applyFill="1"/>
    <xf numFmtId="2" fontId="0" fillId="0" borderId="0" xfId="0" applyNumberFormat="1" applyFill="1"/>
    <xf numFmtId="43" fontId="0" fillId="0" borderId="0" xfId="0" applyNumberFormat="1" applyFill="1"/>
    <xf numFmtId="0" fontId="5" fillId="4" borderId="11" xfId="0" applyFont="1" applyFill="1" applyBorder="1"/>
    <xf numFmtId="0" fontId="0" fillId="0" borderId="0" xfId="3" applyNumberFormat="1" applyFont="1"/>
    <xf numFmtId="10" fontId="0" fillId="0" borderId="0" xfId="3" applyNumberFormat="1" applyFont="1"/>
    <xf numFmtId="0" fontId="5" fillId="10" borderId="0" xfId="0" applyFont="1" applyFill="1" applyBorder="1"/>
    <xf numFmtId="9" fontId="0" fillId="6" borderId="0" xfId="3" applyFont="1" applyFill="1"/>
    <xf numFmtId="9" fontId="7" fillId="0" borderId="0" xfId="0" applyNumberFormat="1" applyFont="1"/>
    <xf numFmtId="0" fontId="5" fillId="9" borderId="0" xfId="0" applyFont="1" applyFill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/>
    </xf>
    <xf numFmtId="43" fontId="0" fillId="0" borderId="0" xfId="2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</cellXfs>
  <cellStyles count="4">
    <cellStyle name="Comma" xfId="2" builtinId="3"/>
    <cellStyle name="Normal" xfId="0" builtinId="0"/>
    <cellStyle name="Percent" xfId="3" builtinId="5"/>
    <cellStyle name="Punto" xfId="1" xr:uid="{08E77310-8D4C-AD45-B65E-FD3C58C5CC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'Primas Netas Y Reservas'!$I$3</c:f>
              <c:strCache>
                <c:ptCount val="1"/>
                <c:pt idx="0">
                  <c:v>tVx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'Primas Netas Y Reservas'!$I$4:$I$63</c:f>
              <c:numCache>
                <c:formatCode>0.00</c:formatCode>
                <c:ptCount val="60"/>
                <c:pt idx="0" formatCode="General">
                  <c:v>0</c:v>
                </c:pt>
                <c:pt idx="1">
                  <c:v>40.335872155674387</c:v>
                </c:pt>
                <c:pt idx="2">
                  <c:v>82.283667002048588</c:v>
                </c:pt>
                <c:pt idx="3">
                  <c:v>125.94014061080152</c:v>
                </c:pt>
                <c:pt idx="4">
                  <c:v>171.4132685767716</c:v>
                </c:pt>
                <c:pt idx="5">
                  <c:v>218.82257829575278</c:v>
                </c:pt>
                <c:pt idx="6">
                  <c:v>268.30384539107354</c:v>
                </c:pt>
                <c:pt idx="7">
                  <c:v>320.00937502368225</c:v>
                </c:pt>
                <c:pt idx="8">
                  <c:v>374.11247321584403</c:v>
                </c:pt>
                <c:pt idx="9">
                  <c:v>430.80960374632798</c:v>
                </c:pt>
                <c:pt idx="10">
                  <c:v>442.46865142364442</c:v>
                </c:pt>
                <c:pt idx="11">
                  <c:v>454.24028027777115</c:v>
                </c:pt>
                <c:pt idx="12">
                  <c:v>466.11327878826484</c:v>
                </c:pt>
                <c:pt idx="13">
                  <c:v>478.077382339834</c:v>
                </c:pt>
                <c:pt idx="14">
                  <c:v>490.1203601138817</c:v>
                </c:pt>
                <c:pt idx="15">
                  <c:v>502.23033848187413</c:v>
                </c:pt>
                <c:pt idx="16">
                  <c:v>514.39505341136874</c:v>
                </c:pt>
                <c:pt idx="17">
                  <c:v>526.60213270379779</c:v>
                </c:pt>
                <c:pt idx="18">
                  <c:v>538.83891454072011</c:v>
                </c:pt>
                <c:pt idx="19">
                  <c:v>551.0918396505142</c:v>
                </c:pt>
                <c:pt idx="20">
                  <c:v>563.34859755083767</c:v>
                </c:pt>
                <c:pt idx="21">
                  <c:v>575.59624284213339</c:v>
                </c:pt>
                <c:pt idx="22">
                  <c:v>587.82200799531392</c:v>
                </c:pt>
                <c:pt idx="23">
                  <c:v>600.01410107243646</c:v>
                </c:pt>
                <c:pt idx="24">
                  <c:v>612.16048208453378</c:v>
                </c:pt>
                <c:pt idx="25">
                  <c:v>624.25088832028086</c:v>
                </c:pt>
                <c:pt idx="26">
                  <c:v>636.27498968922521</c:v>
                </c:pt>
                <c:pt idx="27">
                  <c:v>648.2247760023771</c:v>
                </c:pt>
                <c:pt idx="28">
                  <c:v>660.09294184845396</c:v>
                </c:pt>
                <c:pt idx="29">
                  <c:v>671.8752801586179</c:v>
                </c:pt>
                <c:pt idx="30">
                  <c:v>683.56936393758656</c:v>
                </c:pt>
                <c:pt idx="31">
                  <c:v>695.17671929495725</c:v>
                </c:pt>
                <c:pt idx="32">
                  <c:v>706.70257019682913</c:v>
                </c:pt>
                <c:pt idx="33">
                  <c:v>718.15801279969662</c:v>
                </c:pt>
                <c:pt idx="34">
                  <c:v>729.56011390473327</c:v>
                </c:pt>
                <c:pt idx="35">
                  <c:v>740.93536298693527</c:v>
                </c:pt>
                <c:pt idx="36">
                  <c:v>752.32095462818097</c:v>
                </c:pt>
                <c:pt idx="37">
                  <c:v>763.76887542003976</c:v>
                </c:pt>
                <c:pt idx="38">
                  <c:v>775.35097646237955</c:v>
                </c:pt>
                <c:pt idx="39">
                  <c:v>787.16539072741614</c:v>
                </c:pt>
                <c:pt idx="40">
                  <c:v>799.34563715283718</c:v>
                </c:pt>
                <c:pt idx="41">
                  <c:v>812.07407636763469</c:v>
                </c:pt>
                <c:pt idx="42">
                  <c:v>825.60151908198497</c:v>
                </c:pt>
                <c:pt idx="43">
                  <c:v>840.27426694815699</c:v>
                </c:pt>
                <c:pt idx="44">
                  <c:v>856.57534962338877</c:v>
                </c:pt>
                <c:pt idx="45">
                  <c:v>875.18549282729532</c:v>
                </c:pt>
                <c:pt idx="46">
                  <c:v>897.07461176647053</c:v>
                </c:pt>
                <c:pt idx="47">
                  <c:v>923.64268217316408</c:v>
                </c:pt>
                <c:pt idx="48">
                  <c:v>956.93779904323924</c:v>
                </c:pt>
                <c:pt idx="49">
                  <c:v>1000.0000000002323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B141-AA59-80EB1A7A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5328"/>
        <c:axId val="149826976"/>
      </c:lineChart>
      <c:catAx>
        <c:axId val="14982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826976"/>
        <c:crosses val="autoZero"/>
        <c:auto val="1"/>
        <c:lblAlgn val="ctr"/>
        <c:lblOffset val="100"/>
        <c:noMultiLvlLbl val="0"/>
      </c:catAx>
      <c:valAx>
        <c:axId val="1498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8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Mortalidad</a:t>
            </a:r>
            <a:r>
              <a:rPr lang="en-US" baseline="0"/>
              <a:t> para Siniestros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de Mortalidad Conmutados'!$Q$2</c:f>
              <c:strCache>
                <c:ptCount val="1"/>
                <c:pt idx="0">
                  <c:v>qx siniestros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'Tabla de Mortalidad Conmutados'!$H$9:$H$46</c:f>
              <c:numCache>
                <c:formatCode>0</c:formatCode>
                <c:ptCount val="3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numCache>
            </c:numRef>
          </c:xVal>
          <c:yVal>
            <c:numRef>
              <c:f>'Tabla de Mortalidad Conmutados'!$Q$9:$Q$46</c:f>
              <c:numCache>
                <c:formatCode>General</c:formatCode>
                <c:ptCount val="38"/>
                <c:pt idx="0">
                  <c:v>4.1782499999999998E-4</c:v>
                </c:pt>
                <c:pt idx="1">
                  <c:v>4.5022500000000006E-4</c:v>
                </c:pt>
                <c:pt idx="2">
                  <c:v>4.8465000000000004E-4</c:v>
                </c:pt>
                <c:pt idx="3">
                  <c:v>5.2177500000000004E-4</c:v>
                </c:pt>
                <c:pt idx="4">
                  <c:v>5.6227499999999999E-4</c:v>
                </c:pt>
                <c:pt idx="5">
                  <c:v>6.0547499999999996E-4</c:v>
                </c:pt>
                <c:pt idx="6">
                  <c:v>6.7229999999999992E-4</c:v>
                </c:pt>
                <c:pt idx="7">
                  <c:v>7.0267499999999994E-4</c:v>
                </c:pt>
                <c:pt idx="8">
                  <c:v>7.5667500000000006E-4</c:v>
                </c:pt>
                <c:pt idx="9">
                  <c:v>8.1472500000000008E-4</c:v>
                </c:pt>
                <c:pt idx="10">
                  <c:v>8.7750000000000002E-4</c:v>
                </c:pt>
                <c:pt idx="11">
                  <c:v>9.4499999999999998E-4</c:v>
                </c:pt>
                <c:pt idx="12">
                  <c:v>1.0179000000000002E-3</c:v>
                </c:pt>
                <c:pt idx="13">
                  <c:v>1.0961999999999999E-3</c:v>
                </c:pt>
                <c:pt idx="14">
                  <c:v>1.1805750000000001E-3</c:v>
                </c:pt>
                <c:pt idx="15">
                  <c:v>1.2716999999999997E-3</c:v>
                </c:pt>
                <c:pt idx="16">
                  <c:v>1.369575E-3</c:v>
                </c:pt>
                <c:pt idx="17">
                  <c:v>1.47555E-3</c:v>
                </c:pt>
                <c:pt idx="18">
                  <c:v>1.5889500000000002E-3</c:v>
                </c:pt>
                <c:pt idx="19">
                  <c:v>1.711125E-3</c:v>
                </c:pt>
                <c:pt idx="20">
                  <c:v>1.84275E-3</c:v>
                </c:pt>
                <c:pt idx="21">
                  <c:v>1.9845000000000002E-3</c:v>
                </c:pt>
                <c:pt idx="22">
                  <c:v>2.1370500000000001E-3</c:v>
                </c:pt>
                <c:pt idx="23">
                  <c:v>2.3017500000000004E-3</c:v>
                </c:pt>
                <c:pt idx="24">
                  <c:v>2.4786000000000005E-3</c:v>
                </c:pt>
                <c:pt idx="25">
                  <c:v>2.6689500000000002E-3</c:v>
                </c:pt>
                <c:pt idx="26">
                  <c:v>2.8741499999999998E-3</c:v>
                </c:pt>
                <c:pt idx="27">
                  <c:v>3.094875E-3</c:v>
                </c:pt>
                <c:pt idx="28">
                  <c:v>3.33315E-3</c:v>
                </c:pt>
                <c:pt idx="29">
                  <c:v>3.5889749999999999E-3</c:v>
                </c:pt>
                <c:pt idx="30">
                  <c:v>3.8643749999999998E-3</c:v>
                </c:pt>
                <c:pt idx="31">
                  <c:v>4.1606999999999998E-3</c:v>
                </c:pt>
                <c:pt idx="32">
                  <c:v>4.4799749999999998E-3</c:v>
                </c:pt>
                <c:pt idx="33">
                  <c:v>4.8228749999999999E-3</c:v>
                </c:pt>
                <c:pt idx="34">
                  <c:v>5.1927750000000002E-3</c:v>
                </c:pt>
                <c:pt idx="35">
                  <c:v>5.59035E-3</c:v>
                </c:pt>
                <c:pt idx="36">
                  <c:v>6.0176249999999995E-3</c:v>
                </c:pt>
                <c:pt idx="37">
                  <c:v>6.4779749999999995E-3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D-1A44-87BA-F33A90EA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27904"/>
        <c:axId val="1084838240"/>
      </c:scatterChart>
      <c:valAx>
        <c:axId val="1111327904"/>
        <c:scaling>
          <c:orientation val="minMax"/>
          <c:max val="5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</a:t>
                </a:r>
                <a:r>
                  <a:rPr lang="en-US" baseline="0"/>
                  <a:t> 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84838240"/>
        <c:crosses val="autoZero"/>
        <c:crossBetween val="midCat"/>
      </c:valAx>
      <c:valAx>
        <c:axId val="10848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13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7</xdr:row>
      <xdr:rowOff>190500</xdr:rowOff>
    </xdr:from>
    <xdr:to>
      <xdr:col>16</xdr:col>
      <xdr:colOff>698500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11200-F446-F841-8C13-911F2943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254001</xdr:colOff>
      <xdr:row>13</xdr:row>
      <xdr:rowOff>3079</xdr:rowOff>
    </xdr:from>
    <xdr:to>
      <xdr:col>22</xdr:col>
      <xdr:colOff>711200</xdr:colOff>
      <xdr:row>25</xdr:row>
      <xdr:rowOff>197812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197F47-3DC5-1A41-A154-569021B1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AD16-FE6F-654C-AEF6-335DE2EA1575}">
  <dimension ref="A1:AU362"/>
  <sheetViews>
    <sheetView zoomScale="115" workbookViewId="0">
      <pane xSplit="5" topLeftCell="F1" activePane="topRight" state="frozen"/>
      <selection pane="topRight" activeCell="AT19" sqref="AT19"/>
    </sheetView>
  </sheetViews>
  <sheetFormatPr baseColWidth="10" defaultRowHeight="16" x14ac:dyDescent="0.2"/>
  <cols>
    <col min="1" max="1" width="12.1640625" bestFit="1" customWidth="1"/>
    <col min="6" max="6" width="20.1640625" bestFit="1" customWidth="1"/>
    <col min="7" max="7" width="22.1640625" bestFit="1" customWidth="1"/>
    <col min="8" max="8" width="22.83203125" bestFit="1" customWidth="1"/>
    <col min="9" max="9" width="22.5" bestFit="1" customWidth="1"/>
    <col min="10" max="10" width="28.33203125" bestFit="1" customWidth="1"/>
    <col min="11" max="11" width="16.33203125" bestFit="1" customWidth="1"/>
    <col min="13" max="13" width="21.1640625" bestFit="1" customWidth="1"/>
    <col min="14" max="14" width="26.83203125" bestFit="1" customWidth="1"/>
    <col min="15" max="15" width="28.33203125" bestFit="1" customWidth="1"/>
    <col min="16" max="16" width="25.33203125" bestFit="1" customWidth="1"/>
    <col min="17" max="18" width="26.1640625" bestFit="1" customWidth="1"/>
    <col min="19" max="19" width="31" bestFit="1" customWidth="1"/>
    <col min="20" max="20" width="32.33203125" bestFit="1" customWidth="1"/>
    <col min="21" max="21" width="17.83203125" bestFit="1" customWidth="1"/>
    <col min="22" max="22" width="25.5" bestFit="1" customWidth="1"/>
    <col min="23" max="23" width="16.5" bestFit="1" customWidth="1"/>
    <col min="24" max="24" width="25.83203125" bestFit="1" customWidth="1"/>
    <col min="25" max="25" width="29" bestFit="1" customWidth="1"/>
    <col min="26" max="26" width="29" customWidth="1"/>
    <col min="27" max="27" width="27.6640625" bestFit="1" customWidth="1"/>
    <col min="28" max="28" width="30.5" bestFit="1" customWidth="1"/>
    <col min="29" max="29" width="20.6640625" bestFit="1" customWidth="1"/>
    <col min="30" max="30" width="20.83203125" bestFit="1" customWidth="1"/>
    <col min="31" max="31" width="23.6640625" bestFit="1" customWidth="1"/>
    <col min="32" max="32" width="22" bestFit="1" customWidth="1"/>
    <col min="33" max="33" width="25.6640625" bestFit="1" customWidth="1"/>
    <col min="36" max="36" width="10.83203125" customWidth="1"/>
    <col min="37" max="37" width="13.83203125" bestFit="1" customWidth="1"/>
    <col min="39" max="39" width="13.1640625" bestFit="1" customWidth="1"/>
    <col min="41" max="41" width="13.1640625" bestFit="1" customWidth="1"/>
    <col min="42" max="42" width="18.1640625" bestFit="1" customWidth="1"/>
    <col min="44" max="44" width="12.5" bestFit="1" customWidth="1"/>
    <col min="46" max="46" width="24.1640625" bestFit="1" customWidth="1"/>
    <col min="47" max="47" width="15.6640625" bestFit="1" customWidth="1"/>
  </cols>
  <sheetData>
    <row r="1" spans="1:47" x14ac:dyDescent="0.2">
      <c r="A1" s="62" t="s">
        <v>34</v>
      </c>
      <c r="B1" s="51">
        <v>47.238864425683204</v>
      </c>
      <c r="D1" s="89" t="s">
        <v>31</v>
      </c>
      <c r="E1" s="89" t="s">
        <v>52</v>
      </c>
      <c r="F1" s="89" t="s">
        <v>53</v>
      </c>
      <c r="G1" s="89" t="s">
        <v>66</v>
      </c>
      <c r="H1" s="89" t="s">
        <v>60</v>
      </c>
      <c r="I1" s="89" t="s">
        <v>67</v>
      </c>
      <c r="J1" s="89" t="s">
        <v>55</v>
      </c>
      <c r="K1" s="89" t="s">
        <v>56</v>
      </c>
      <c r="L1" s="89" t="s">
        <v>57</v>
      </c>
      <c r="M1" s="89" t="s">
        <v>59</v>
      </c>
      <c r="N1" s="89" t="s">
        <v>58</v>
      </c>
      <c r="O1" s="89" t="s">
        <v>61</v>
      </c>
      <c r="P1" s="89" t="s">
        <v>62</v>
      </c>
      <c r="Q1" s="89" t="s">
        <v>64</v>
      </c>
      <c r="R1" s="89" t="s">
        <v>63</v>
      </c>
      <c r="S1" s="89" t="s">
        <v>65</v>
      </c>
      <c r="T1" s="89" t="s">
        <v>68</v>
      </c>
      <c r="U1" s="89" t="s">
        <v>69</v>
      </c>
      <c r="V1" s="89" t="s">
        <v>70</v>
      </c>
      <c r="W1" s="89" t="s">
        <v>71</v>
      </c>
      <c r="X1" s="89" t="s">
        <v>72</v>
      </c>
      <c r="Y1" s="89" t="s">
        <v>73</v>
      </c>
      <c r="Z1" s="89" t="s">
        <v>76</v>
      </c>
      <c r="AA1" s="89" t="s">
        <v>74</v>
      </c>
      <c r="AB1" s="89" t="s">
        <v>75</v>
      </c>
      <c r="AC1" s="89" t="s">
        <v>77</v>
      </c>
      <c r="AD1" s="89" t="s">
        <v>78</v>
      </c>
      <c r="AE1" s="89" t="s">
        <v>79</v>
      </c>
      <c r="AF1" s="89" t="s">
        <v>80</v>
      </c>
      <c r="AG1" s="89" t="s">
        <v>81</v>
      </c>
      <c r="AQ1" t="s">
        <v>100</v>
      </c>
      <c r="AR1" s="29">
        <f>(1+11.61%)/(1+3.6%)-1</f>
        <v>7.7316602316602312E-2</v>
      </c>
      <c r="AT1" s="87" t="s">
        <v>91</v>
      </c>
      <c r="AU1" s="87"/>
    </row>
    <row r="2" spans="1:47" x14ac:dyDescent="0.2">
      <c r="A2" s="62" t="s">
        <v>54</v>
      </c>
      <c r="B2" s="51">
        <v>1000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Q2" s="29" t="s">
        <v>99</v>
      </c>
      <c r="AR2" s="29">
        <f>AR1+2.5%</f>
        <v>0.10231660231660231</v>
      </c>
      <c r="AT2" s="83" t="s">
        <v>98</v>
      </c>
      <c r="AU2" s="88">
        <f>(B1*B4)/1000+B3</f>
        <v>4898.8864425683205</v>
      </c>
    </row>
    <row r="3" spans="1:47" x14ac:dyDescent="0.2">
      <c r="A3" s="62" t="s">
        <v>35</v>
      </c>
      <c r="B3" s="51">
        <v>175</v>
      </c>
      <c r="D3" s="50">
        <v>1</v>
      </c>
      <c r="E3">
        <v>1</v>
      </c>
      <c r="F3">
        <f>$B$5+D3-1</f>
        <v>50</v>
      </c>
      <c r="G3">
        <f>B1+((B3/B4)*1000)</f>
        <v>48.988864425683204</v>
      </c>
      <c r="H3" s="64">
        <f>IF(E3="Anual",VLOOKUP(F3,Hipotesis!$E$9:$J$38,6,FALSE),1-(1-VLOOKUP(F3,Hipotesis!$E$9:$J$38,6,FALSE))^(1/12))</f>
        <v>2.4298979182768576E-4</v>
      </c>
      <c r="I3">
        <f>H3*1000</f>
        <v>0.24298979182768576</v>
      </c>
      <c r="J3">
        <v>0</v>
      </c>
      <c r="K3">
        <f>1-(1-VLOOKUP(D3,Hipotesis!$D$9:$K$38,8,FALSE))^(1/12)</f>
        <v>1.5407535303274322E-2</v>
      </c>
      <c r="L3">
        <f>(B2-I3-J3)*K3</f>
        <v>15.403791429478403</v>
      </c>
      <c r="M3">
        <f>B2-I3-L3-J3</f>
        <v>984.35321877869399</v>
      </c>
      <c r="N3">
        <f>IF(D3=1,(VLOOKUP(D3,'Primas Netas Y Reservas'!$D$4:$I$33,5,FALSE)+(VLOOKUP(D3,'Primas Netas Y Reservas'!$D$4:$I$33,6,FALSE)-VLOOKUP(D3,'Primas Netas Y Reservas'!$D$4:$I$33,5,FALSE))*(E3/12))/1000,((VLOOKUP(D3-1,'Primas Netas Y Reservas'!$D$4:$I$33,6,FALSE)+VLOOKUP(D3,'Primas Netas Y Reservas'!$D$4:$I$33,5,FALSE))+(VLOOKUP(D3,'Primas Netas Y Reservas'!$D$4:$I$33,6,FALSE)-VLOOKUP(D3-1,'Primas Netas Y Reservas'!$D$4:$I$33,6,FALSE)-VLOOKUP(D3,'Primas Netas Y Reservas'!$D$4:$I$33,5,FALSE))*(E3/12))/1000)</f>
        <v>5.8219298245614027E-3</v>
      </c>
      <c r="O3">
        <f>M3*N3</f>
        <v>5.7308353623106942</v>
      </c>
      <c r="P3">
        <f>VLOOKUP(D3,Hipotesis!$D$9:$S$38,15,FALSE)*N3</f>
        <v>0</v>
      </c>
      <c r="Q3">
        <f>L3*P3</f>
        <v>0</v>
      </c>
      <c r="R3">
        <f>J3*N3</f>
        <v>0</v>
      </c>
      <c r="S3">
        <f>L3*P3+J3*N3</f>
        <v>0</v>
      </c>
      <c r="T3">
        <f>G3*(VLOOKUP(D3,Hipotesis!$D$9:$N$38,9,FALSE)+VLOOKUP(D3,Hipotesis!$D$9:$N$38,10,FALSE)+VLOOKUP(D3,Hipotesis!$D$9:$N$38,11,FALSE))</f>
        <v>25.474209501355269</v>
      </c>
      <c r="U3" s="43">
        <f>(Hipotesis!X8+Hipotesis!X9+Hipotesis!X12+Hipotesis!X13)*G3+(Hipotesis!X14/B4)*1000+Hipotesis!X10+Hipotesis!X11</f>
        <v>19.914053476183071</v>
      </c>
      <c r="V3">
        <f>G3*VLOOKUP(D3,Hipotesis!$D$9:$S$38,16,FALSE)+((VLOOKUP(D3,Hipotesis!$D$9:$T$38,17,FALSE)/$B$4)*B2)/12</f>
        <v>2.2294988991557441</v>
      </c>
      <c r="W3">
        <f>(1+VLOOKUP(D3,Hipotesis!$D$9:$P$38,13,FALSE))^(1/12)-1</f>
        <v>0</v>
      </c>
      <c r="X3">
        <f>W3</f>
        <v>0</v>
      </c>
      <c r="Y3">
        <f>AA3+AB3</f>
        <v>4.9516504282396357E-3</v>
      </c>
      <c r="Z3">
        <f>(1+VLOOKUP(D3,Hipotesis!$D$9:$O$38,12,))^(1/12)-1</f>
        <v>3.6114369650106504E-3</v>
      </c>
      <c r="AA3">
        <v>0</v>
      </c>
      <c r="AB3">
        <f>AC3*Z3</f>
        <v>4.9516504282396357E-3</v>
      </c>
      <c r="AC3" s="68">
        <f>G3-T3-U3-V3</f>
        <v>1.3711025489891204</v>
      </c>
      <c r="AD3">
        <f>-(I3+S3)</f>
        <v>-0.24298979182768576</v>
      </c>
      <c r="AE3" s="67">
        <f>G3+Y3-I3-S3-O3-T3-U3-V3</f>
        <v>-4.5977709547210148</v>
      </c>
      <c r="AF3" s="67">
        <f>(30%)*AE3</f>
        <v>-1.3793312864163043</v>
      </c>
      <c r="AG3" s="67">
        <f>AE3-AF3</f>
        <v>-3.2184396683047103</v>
      </c>
      <c r="AT3" s="83"/>
      <c r="AU3" s="88"/>
    </row>
    <row r="4" spans="1:47" x14ac:dyDescent="0.2">
      <c r="A4" s="62" t="s">
        <v>36</v>
      </c>
      <c r="B4" s="65">
        <v>100000</v>
      </c>
      <c r="D4" s="50">
        <v>1</v>
      </c>
      <c r="E4">
        <v>2</v>
      </c>
      <c r="F4">
        <f t="shared" ref="F4:F62" si="0">$B$5+D4-1</f>
        <v>50</v>
      </c>
      <c r="G4">
        <f>IF(E4=1,IF(D4&lt;=$B$7,($B$1+($B$3/$B$4*1000))*M3/$B$2,0),0)</f>
        <v>0</v>
      </c>
      <c r="H4" s="64">
        <f>IF(E4="Anual",VLOOKUP(F4,Hipotesis!$E$9:$J$38,6,FALSE),1-(1-VLOOKUP(F4,Hipotesis!$E$9:$J$38,6,FALSE))^(1/12))</f>
        <v>2.4298979182768576E-4</v>
      </c>
      <c r="I4">
        <f>H4*1000*(M3/$B$2)</f>
        <v>0.23918778371594726</v>
      </c>
      <c r="J4">
        <v>0</v>
      </c>
      <c r="K4">
        <f>1-(1-VLOOKUP(D4,Hipotesis!$D$9:$K$38,8,FALSE))^(1/12)</f>
        <v>1.5407535303274322E-2</v>
      </c>
      <c r="L4">
        <f>(M3-I4-J4)*K4</f>
        <v>15.162771675002725</v>
      </c>
      <c r="M4">
        <f>M3-I4-L4-J4</f>
        <v>968.95125931997529</v>
      </c>
      <c r="N4">
        <f>IF(D4=1,(VLOOKUP(D4,'Primas Netas Y Reservas'!$D$4:$I$33,5,FALSE)+(VLOOKUP(D4,'Primas Netas Y Reservas'!$D$4:$I$33,6,FALSE)-VLOOKUP(D4,'Primas Netas Y Reservas'!$D$4:$I$33,5,FALSE))*(E4/12))/1000,((VLOOKUP(D4-1,'Primas Netas Y Reservas'!$D$4:$I$33,6,FALSE)+VLOOKUP(D4,'Primas Netas Y Reservas'!$D$4:$I$33,5,FALSE))+(VLOOKUP(D4,'Primas Netas Y Reservas'!$D$4:$I$33,6,FALSE)-VLOOKUP(D4-1,'Primas Netas Y Reservas'!$D$4:$I$33,6,FALSE)-VLOOKUP(D4,'Primas Netas Y Reservas'!$D$4:$I$33,5,FALSE))*(E4/12))/1000)</f>
        <v>5.2926634768740025E-3</v>
      </c>
      <c r="O4">
        <f>(M4*N4-M3*N3)</f>
        <v>-0.60250242123679065</v>
      </c>
      <c r="P4">
        <f>VLOOKUP(D4,Hipotesis!$D$9:$S$38,15,FALSE)*N4</f>
        <v>0</v>
      </c>
      <c r="Q4">
        <f t="shared" ref="Q4:Q67" si="1">L4*P4</f>
        <v>0</v>
      </c>
      <c r="R4">
        <f t="shared" ref="R4:R67" si="2">J4*N4</f>
        <v>0</v>
      </c>
      <c r="S4">
        <f t="shared" ref="S4:S67" si="3">L4*P4+J4*N4</f>
        <v>0</v>
      </c>
      <c r="T4">
        <f>G4*(VLOOKUP(D4,Hipotesis!$D$9:$N$38,9,FALSE)+VLOOKUP(D4,Hipotesis!$D$9:$N$38,10,FALSE)+VLOOKUP(D4,Hipotesis!$D$9:$N$38,11,FALSE))</f>
        <v>0</v>
      </c>
      <c r="U4">
        <v>0</v>
      </c>
      <c r="V4">
        <f>G4*VLOOKUP(D4,Hipotesis!$D$9:$S$38,16,FALSE)+((VLOOKUP(D4,Hipotesis!$D$9:$T$38,17,FALSE)/$B$4)*M3)/12</f>
        <v>2.4608830469467349E-2</v>
      </c>
      <c r="W4">
        <f>(1+VLOOKUP(D4,Hipotesis!$D$9:$P$38,13,FALSE))^(1/12)-1</f>
        <v>0</v>
      </c>
      <c r="X4">
        <f>(1+X3)*(1+W4)-1</f>
        <v>0</v>
      </c>
      <c r="Y4">
        <f t="shared" ref="Y4:Y67" si="4">AA4+AB4</f>
        <v>1.9730135111489185E-2</v>
      </c>
      <c r="Z4">
        <f>(1+VLOOKUP(D4,Hipotesis!$D$9:$O$38,12,))^(1/12)-1</f>
        <v>3.6114369650106504E-3</v>
      </c>
      <c r="AA4">
        <f>N3*M3*Z4</f>
        <v>2.0696550667839046E-2</v>
      </c>
      <c r="AB4">
        <f>(AD3+AC4)*Z4</f>
        <v>-9.6641555634986189E-4</v>
      </c>
      <c r="AC4" s="68">
        <f t="shared" ref="AC4:AC67" si="5">G4-T4-U4-V4</f>
        <v>-2.4608830469467349E-2</v>
      </c>
      <c r="AD4">
        <f t="shared" ref="AD4:AD67" si="6">-(I4+S4)</f>
        <v>-0.23918778371594726</v>
      </c>
      <c r="AE4" s="67">
        <f t="shared" ref="AE4:AE67" si="7">G4+Y4-I4-S4-O4-T4-U4-V4</f>
        <v>0.35843594216286528</v>
      </c>
      <c r="AF4" s="67">
        <f t="shared" ref="AF4:AF67" si="8">(30%)*AE4</f>
        <v>0.10753078264885958</v>
      </c>
      <c r="AG4" s="67">
        <f t="shared" ref="AG4:AG67" si="9">AE4-AF4</f>
        <v>0.25090515951400572</v>
      </c>
      <c r="AT4" s="83" t="s">
        <v>92</v>
      </c>
      <c r="AU4" s="85">
        <f>SUM(AN9:AN38)/SUM(AO9:AO38)</f>
        <v>1.1577324870138491E-2</v>
      </c>
    </row>
    <row r="5" spans="1:47" x14ac:dyDescent="0.2">
      <c r="A5" s="62" t="s">
        <v>1</v>
      </c>
      <c r="B5">
        <f>Hipotesis!B1</f>
        <v>50</v>
      </c>
      <c r="D5" s="50">
        <v>1</v>
      </c>
      <c r="E5">
        <v>3</v>
      </c>
      <c r="F5">
        <f t="shared" si="0"/>
        <v>50</v>
      </c>
      <c r="G5">
        <f t="shared" ref="G5:G68" si="10">IF(E5=1,IF(D5&lt;=$B$7,($B$1+($B$3/$B$4*1000))*M4/$B$2,0),0)</f>
        <v>0</v>
      </c>
      <c r="H5" s="64">
        <f>IF(E5="Anual",VLOOKUP(F5,Hipotesis!$E$9:$J$38,6,FALSE),1-(1-VLOOKUP(F5,Hipotesis!$E$9:$J$38,6,FALSE))^(1/12))</f>
        <v>2.4298979182768576E-4</v>
      </c>
      <c r="I5">
        <f t="shared" ref="I5:I68" si="11">H5*1000*(M4/$B$2)</f>
        <v>0.23544526479333475</v>
      </c>
      <c r="J5">
        <v>0</v>
      </c>
      <c r="K5">
        <f>1-(1-VLOOKUP(D5,Hipotesis!$D$9:$K$38,8,FALSE))^(1/12)</f>
        <v>1.5407535303274322E-2</v>
      </c>
      <c r="L5">
        <f t="shared" ref="L5:L68" si="12">(M4-I5-J5)*K5</f>
        <v>14.925523103895339</v>
      </c>
      <c r="M5">
        <f t="shared" ref="M5:M68" si="13">M4-I5-L5-J5</f>
        <v>953.79029095128658</v>
      </c>
      <c r="N5">
        <f>IF(D5=1,(VLOOKUP(D5,'Primas Netas Y Reservas'!$D$4:$I$33,5,FALSE)+(VLOOKUP(D5,'Primas Netas Y Reservas'!$D$4:$I$33,6,FALSE)-VLOOKUP(D5,'Primas Netas Y Reservas'!$D$4:$I$33,5,FALSE))*(E5/12))/1000,((VLOOKUP(D5-1,'Primas Netas Y Reservas'!$D$4:$I$33,6,FALSE)+VLOOKUP(D5,'Primas Netas Y Reservas'!$D$4:$I$33,5,FALSE))+(VLOOKUP(D5,'Primas Netas Y Reservas'!$D$4:$I$33,6,FALSE)-VLOOKUP(D5-1,'Primas Netas Y Reservas'!$D$4:$I$33,6,FALSE)-VLOOKUP(D5,'Primas Netas Y Reservas'!$D$4:$I$33,5,FALSE))*(E5/12))/1000)</f>
        <v>4.7633971291866023E-3</v>
      </c>
      <c r="O5">
        <f t="shared" ref="O5:O68" si="14">(M5*N5-M4*N4)</f>
        <v>-0.58505100731049087</v>
      </c>
      <c r="P5">
        <f>VLOOKUP(D5,Hipotesis!$D$9:$S$38,15,FALSE)*N5</f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>G5*(VLOOKUP(D5,Hipotesis!$D$9:$N$38,9,FALSE)+VLOOKUP(D5,Hipotesis!$D$9:$N$38,10,FALSE)+VLOOKUP(D5,Hipotesis!$D$9:$N$38,11,FALSE))</f>
        <v>0</v>
      </c>
      <c r="U5">
        <v>0</v>
      </c>
      <c r="V5">
        <f>G5*VLOOKUP(D5,Hipotesis!$D$9:$S$38,16,FALSE)+((VLOOKUP(D5,Hipotesis!$D$9:$T$38,17,FALSE)/$B$4)*M4)/12</f>
        <v>2.422378148299938E-2</v>
      </c>
      <c r="W5">
        <f>(1+VLOOKUP(D5,Hipotesis!$D$9:$P$38,13,FALSE))^(1/12)-1</f>
        <v>0</v>
      </c>
      <c r="X5">
        <f t="shared" ref="X5:X68" si="15">(1+X4)*(1+W5)-1</f>
        <v>0</v>
      </c>
      <c r="Y5">
        <f t="shared" si="4"/>
        <v>1.7569356888705291E-2</v>
      </c>
      <c r="Z5">
        <f>(1+VLOOKUP(D5,Hipotesis!$D$9:$O$38,12,))^(1/12)-1</f>
        <v>3.6114369650106504E-3</v>
      </c>
      <c r="AA5">
        <f t="shared" ref="AA5:AA68" si="16">N4*M4*Z5</f>
        <v>1.852065115227608E-2</v>
      </c>
      <c r="AB5">
        <f t="shared" ref="AB5:AB68" si="17">(AD4+AC5)*Z5</f>
        <v>-9.5129426357078899E-4</v>
      </c>
      <c r="AC5" s="68">
        <f t="shared" si="5"/>
        <v>-2.422378148299938E-2</v>
      </c>
      <c r="AD5">
        <f t="shared" si="6"/>
        <v>-0.23544526479333475</v>
      </c>
      <c r="AE5" s="67">
        <f t="shared" si="7"/>
        <v>0.34295131792286204</v>
      </c>
      <c r="AF5" s="67">
        <f t="shared" si="8"/>
        <v>0.1028853953768586</v>
      </c>
      <c r="AG5" s="67">
        <f t="shared" si="9"/>
        <v>0.24006592254600345</v>
      </c>
      <c r="AT5" s="83"/>
      <c r="AU5" s="85"/>
    </row>
    <row r="6" spans="1:47" x14ac:dyDescent="0.2">
      <c r="A6" s="62" t="s">
        <v>37</v>
      </c>
      <c r="B6">
        <f>Hipotesis!B3</f>
        <v>50</v>
      </c>
      <c r="D6" s="50">
        <v>1</v>
      </c>
      <c r="E6">
        <v>4</v>
      </c>
      <c r="F6">
        <f t="shared" si="0"/>
        <v>50</v>
      </c>
      <c r="G6">
        <f t="shared" si="10"/>
        <v>0</v>
      </c>
      <c r="H6" s="64">
        <f>IF(E6="Anual",VLOOKUP(F6,Hipotesis!$E$9:$J$38,6,FALSE),1-(1-VLOOKUP(F6,Hipotesis!$E$9:$J$38,6,FALSE))^(1/12))</f>
        <v>2.4298979182768576E-4</v>
      </c>
      <c r="I6">
        <f t="shared" si="11"/>
        <v>0.23176130424552094</v>
      </c>
      <c r="J6">
        <v>0</v>
      </c>
      <c r="K6">
        <f>1-(1-VLOOKUP(D6,Hipotesis!$D$9:$K$38,8,FALSE))^(1/12)</f>
        <v>1.5407535303274322E-2</v>
      </c>
      <c r="L6">
        <f t="shared" si="12"/>
        <v>14.69198670927514</v>
      </c>
      <c r="M6">
        <f t="shared" si="13"/>
        <v>938.86654293776587</v>
      </c>
      <c r="N6">
        <f>IF(D6=1,(VLOOKUP(D6,'Primas Netas Y Reservas'!$D$4:$I$33,5,FALSE)+(VLOOKUP(D6,'Primas Netas Y Reservas'!$D$4:$I$33,6,FALSE)-VLOOKUP(D6,'Primas Netas Y Reservas'!$D$4:$I$33,5,FALSE))*(E6/12))/1000,((VLOOKUP(D6-1,'Primas Netas Y Reservas'!$D$4:$I$33,6,FALSE)+VLOOKUP(D6,'Primas Netas Y Reservas'!$D$4:$I$33,5,FALSE))+(VLOOKUP(D6,'Primas Netas Y Reservas'!$D$4:$I$33,6,FALSE)-VLOOKUP(D6-1,'Primas Netas Y Reservas'!$D$4:$I$33,6,FALSE)-VLOOKUP(D6,'Primas Netas Y Reservas'!$D$4:$I$33,5,FALSE))*(E6/12))/1000)</f>
        <v>4.234130781499203E-3</v>
      </c>
      <c r="O6">
        <f t="shared" si="14"/>
        <v>-0.56799820459087513</v>
      </c>
      <c r="P6">
        <f>VLOOKUP(D6,Hipotesis!$D$9:$S$38,15,FALSE)*N6</f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>G6*(VLOOKUP(D6,Hipotesis!$D$9:$N$38,9,FALSE)+VLOOKUP(D6,Hipotesis!$D$9:$N$38,10,FALSE)+VLOOKUP(D6,Hipotesis!$D$9:$N$38,11,FALSE))</f>
        <v>0</v>
      </c>
      <c r="U6">
        <v>0</v>
      </c>
      <c r="V6">
        <f>G6*VLOOKUP(D6,Hipotesis!$D$9:$S$38,16,FALSE)+((VLOOKUP(D6,Hipotesis!$D$9:$T$38,17,FALSE)/$B$4)*M5)/12</f>
        <v>2.3844757273782161E-2</v>
      </c>
      <c r="W6">
        <f>(1+VLOOKUP(D6,Hipotesis!$D$9:$P$38,13,FALSE))^(1/12)-1</f>
        <v>0</v>
      </c>
      <c r="X6">
        <f t="shared" si="15"/>
        <v>0</v>
      </c>
      <c r="Y6">
        <f t="shared" si="4"/>
        <v>1.5471366747706645E-2</v>
      </c>
      <c r="Z6">
        <f>(1+VLOOKUP(D6,Hipotesis!$D$9:$O$38,12,))^(1/12)-1</f>
        <v>3.6114369650106504E-3</v>
      </c>
      <c r="AA6">
        <f t="shared" si="16"/>
        <v>1.6407776318058259E-2</v>
      </c>
      <c r="AB6">
        <f t="shared" si="17"/>
        <v>-9.364095703516133E-4</v>
      </c>
      <c r="AC6" s="68">
        <f t="shared" si="5"/>
        <v>-2.3844757273782161E-2</v>
      </c>
      <c r="AD6">
        <f t="shared" si="6"/>
        <v>-0.23176130424552094</v>
      </c>
      <c r="AE6" s="67">
        <f t="shared" si="7"/>
        <v>0.32786350981927864</v>
      </c>
      <c r="AF6" s="67">
        <f t="shared" si="8"/>
        <v>9.8359052945783593E-2</v>
      </c>
      <c r="AG6" s="67">
        <f t="shared" si="9"/>
        <v>0.22950445687349505</v>
      </c>
      <c r="AT6" s="83" t="s">
        <v>93</v>
      </c>
      <c r="AU6" s="85">
        <f>IRR(AK9:AK38)</f>
        <v>0.25610617737462782</v>
      </c>
    </row>
    <row r="7" spans="1:47" x14ac:dyDescent="0.2">
      <c r="A7" s="62" t="s">
        <v>38</v>
      </c>
      <c r="B7">
        <f>Hipotesis!B5</f>
        <v>10</v>
      </c>
      <c r="D7" s="50">
        <v>1</v>
      </c>
      <c r="E7">
        <v>5</v>
      </c>
      <c r="F7">
        <f t="shared" si="0"/>
        <v>50</v>
      </c>
      <c r="G7">
        <f t="shared" si="10"/>
        <v>0</v>
      </c>
      <c r="H7" s="64">
        <f>IF(E7="Anual",VLOOKUP(F7,Hipotesis!$E$9:$J$38,6,FALSE),1-(1-VLOOKUP(F7,Hipotesis!$E$9:$J$38,6,FALSE))^(1/12))</f>
        <v>2.4298979182768576E-4</v>
      </c>
      <c r="I7">
        <f t="shared" si="11"/>
        <v>0.22813498582242672</v>
      </c>
      <c r="J7">
        <v>0</v>
      </c>
      <c r="K7">
        <f>1-(1-VLOOKUP(D7,Hipotesis!$D$9:$K$38,8,FALSE))^(1/12)</f>
        <v>1.5407535303274322E-2</v>
      </c>
      <c r="L7">
        <f t="shared" si="12"/>
        <v>14.462104407528773</v>
      </c>
      <c r="M7">
        <f t="shared" si="13"/>
        <v>924.17630354441474</v>
      </c>
      <c r="N7">
        <f>IF(D7=1,(VLOOKUP(D7,'Primas Netas Y Reservas'!$D$4:$I$33,5,FALSE)+(VLOOKUP(D7,'Primas Netas Y Reservas'!$D$4:$I$33,6,FALSE)-VLOOKUP(D7,'Primas Netas Y Reservas'!$D$4:$I$33,5,FALSE))*(E7/12))/1000,((VLOOKUP(D7-1,'Primas Netas Y Reservas'!$D$4:$I$33,6,FALSE)+VLOOKUP(D7,'Primas Netas Y Reservas'!$D$4:$I$33,5,FALSE))+(VLOOKUP(D7,'Primas Netas Y Reservas'!$D$4:$I$33,6,FALSE)-VLOOKUP(D7-1,'Primas Netas Y Reservas'!$D$4:$I$33,6,FALSE)-VLOOKUP(D7,'Primas Netas Y Reservas'!$D$4:$I$33,5,FALSE))*(E7/12))/1000)</f>
        <v>3.7048644338118016E-3</v>
      </c>
      <c r="O7">
        <f t="shared" si="14"/>
        <v>-0.55133581159917577</v>
      </c>
      <c r="P7">
        <f>VLOOKUP(D7,Hipotesis!$D$9:$S$38,15,FALSE)*N7</f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G7*(VLOOKUP(D7,Hipotesis!$D$9:$N$38,9,FALSE)+VLOOKUP(D7,Hipotesis!$D$9:$N$38,10,FALSE)+VLOOKUP(D7,Hipotesis!$D$9:$N$38,11,FALSE))</f>
        <v>0</v>
      </c>
      <c r="U7">
        <v>0</v>
      </c>
      <c r="V7">
        <f>G7*VLOOKUP(D7,Hipotesis!$D$9:$S$38,16,FALSE)+((VLOOKUP(D7,Hipotesis!$D$9:$T$38,17,FALSE)/$B$4)*M6)/12</f>
        <v>2.3471663573444143E-2</v>
      </c>
      <c r="W7">
        <f>(1+VLOOKUP(D7,Hipotesis!$D$9:$P$38,13,FALSE))^(1/12)-1</f>
        <v>0</v>
      </c>
      <c r="X7">
        <f t="shared" si="15"/>
        <v>0</v>
      </c>
      <c r="Y7">
        <f t="shared" si="4"/>
        <v>1.3434728831268304E-2</v>
      </c>
      <c r="Z7">
        <f>(1+VLOOKUP(D7,Hipotesis!$D$9:$O$38,12,))^(1/12)-1</f>
        <v>3.6114369650106504E-3</v>
      </c>
      <c r="AA7">
        <f t="shared" si="16"/>
        <v>1.4356486605939089E-2</v>
      </c>
      <c r="AB7">
        <f t="shared" si="17"/>
        <v>-9.2175777467078427E-4</v>
      </c>
      <c r="AC7" s="68">
        <f t="shared" si="5"/>
        <v>-2.3471663573444143E-2</v>
      </c>
      <c r="AD7">
        <f t="shared" si="6"/>
        <v>-0.22813498582242672</v>
      </c>
      <c r="AE7" s="67">
        <f t="shared" si="7"/>
        <v>0.31316389103457321</v>
      </c>
      <c r="AF7" s="67">
        <f t="shared" si="8"/>
        <v>9.3949167310371964E-2</v>
      </c>
      <c r="AG7" s="67">
        <f t="shared" si="9"/>
        <v>0.21921472372420125</v>
      </c>
      <c r="AJ7" t="s">
        <v>82</v>
      </c>
      <c r="AT7" s="83"/>
      <c r="AU7" s="85"/>
    </row>
    <row r="8" spans="1:47" x14ac:dyDescent="0.2">
      <c r="A8" s="62" t="s">
        <v>51</v>
      </c>
      <c r="B8" s="29">
        <f>Hipotesis!B2</f>
        <v>4.4999999999999998E-2</v>
      </c>
      <c r="D8" s="50">
        <v>1</v>
      </c>
      <c r="E8">
        <v>6</v>
      </c>
      <c r="F8">
        <f t="shared" si="0"/>
        <v>50</v>
      </c>
      <c r="G8">
        <f t="shared" si="10"/>
        <v>0</v>
      </c>
      <c r="H8" s="64">
        <f>IF(E8="Anual",VLOOKUP(F8,Hipotesis!$E$9:$J$38,6,FALSE),1-(1-VLOOKUP(F8,Hipotesis!$E$9:$J$38,6,FALSE))^(1/12))</f>
        <v>2.4298979182768576E-4</v>
      </c>
      <c r="I8">
        <f t="shared" si="11"/>
        <v>0.22456540761033747</v>
      </c>
      <c r="J8">
        <v>0</v>
      </c>
      <c r="K8">
        <f>1-(1-VLOOKUP(D8,Hipotesis!$D$9:$K$38,8,FALSE))^(1/12)</f>
        <v>1.5407535303274322E-2</v>
      </c>
      <c r="L8">
        <f t="shared" si="12"/>
        <v>14.235819023864485</v>
      </c>
      <c r="M8">
        <f t="shared" si="13"/>
        <v>909.7159191129399</v>
      </c>
      <c r="N8">
        <f>IF(D8=1,(VLOOKUP(D8,'Primas Netas Y Reservas'!$D$4:$I$33,5,FALSE)+(VLOOKUP(D8,'Primas Netas Y Reservas'!$D$4:$I$33,6,FALSE)-VLOOKUP(D8,'Primas Netas Y Reservas'!$D$4:$I$33,5,FALSE))*(E8/12))/1000,((VLOOKUP(D8-1,'Primas Netas Y Reservas'!$D$4:$I$33,6,FALSE)+VLOOKUP(D8,'Primas Netas Y Reservas'!$D$4:$I$33,5,FALSE))+(VLOOKUP(D8,'Primas Netas Y Reservas'!$D$4:$I$33,6,FALSE)-VLOOKUP(D8-1,'Primas Netas Y Reservas'!$D$4:$I$33,6,FALSE)-VLOOKUP(D8,'Primas Netas Y Reservas'!$D$4:$I$33,5,FALSE))*(E8/12))/1000)</f>
        <v>3.1755980861244018E-3</v>
      </c>
      <c r="O8">
        <f t="shared" si="14"/>
        <v>-0.53505578592140868</v>
      </c>
      <c r="P8">
        <f>VLOOKUP(D8,Hipotesis!$D$9:$S$38,15,FALSE)*N8</f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>G8*(VLOOKUP(D8,Hipotesis!$D$9:$N$38,9,FALSE)+VLOOKUP(D8,Hipotesis!$D$9:$N$38,10,FALSE)+VLOOKUP(D8,Hipotesis!$D$9:$N$38,11,FALSE))</f>
        <v>0</v>
      </c>
      <c r="U8">
        <v>0</v>
      </c>
      <c r="V8">
        <f>G8*VLOOKUP(D8,Hipotesis!$D$9:$S$38,16,FALSE)+((VLOOKUP(D8,Hipotesis!$D$9:$T$38,17,FALSE)/$B$4)*M7)/12</f>
        <v>2.3104407588610366E-2</v>
      </c>
      <c r="W8">
        <f>(1+VLOOKUP(D8,Hipotesis!$D$9:$P$38,13,FALSE))^(1/12)-1</f>
        <v>0</v>
      </c>
      <c r="X8">
        <f t="shared" si="15"/>
        <v>0</v>
      </c>
      <c r="Y8">
        <f t="shared" si="4"/>
        <v>1.1458036843364206E-2</v>
      </c>
      <c r="Z8">
        <f>(1+VLOOKUP(D8,Hipotesis!$D$9:$O$38,12,))^(1/12)-1</f>
        <v>3.6114369650106504E-3</v>
      </c>
      <c r="AA8">
        <f t="shared" si="16"/>
        <v>1.2365372075795678E-2</v>
      </c>
      <c r="AB8">
        <f t="shared" si="17"/>
        <v>-9.0733523243147251E-4</v>
      </c>
      <c r="AC8" s="68">
        <f t="shared" si="5"/>
        <v>-2.3104407588610366E-2</v>
      </c>
      <c r="AD8">
        <f t="shared" si="6"/>
        <v>-0.22456540761033747</v>
      </c>
      <c r="AE8" s="67">
        <f t="shared" si="7"/>
        <v>0.29884400756582502</v>
      </c>
      <c r="AF8" s="67">
        <f t="shared" si="8"/>
        <v>8.9653202269747503E-2</v>
      </c>
      <c r="AG8" s="67">
        <f t="shared" si="9"/>
        <v>0.20919080529607753</v>
      </c>
      <c r="AJ8" s="7" t="s">
        <v>83</v>
      </c>
      <c r="AK8" s="7" t="s">
        <v>84</v>
      </c>
      <c r="AL8" s="7" t="s">
        <v>85</v>
      </c>
      <c r="AM8" s="7" t="s">
        <v>86</v>
      </c>
      <c r="AN8" s="7" t="s">
        <v>87</v>
      </c>
      <c r="AO8" s="7" t="s">
        <v>88</v>
      </c>
      <c r="AP8" s="7" t="s">
        <v>89</v>
      </c>
      <c r="AQ8" s="7" t="s">
        <v>90</v>
      </c>
      <c r="AR8" s="7" t="s">
        <v>97</v>
      </c>
      <c r="AT8" s="83" t="s">
        <v>94</v>
      </c>
      <c r="AU8" s="84">
        <f>SUM(AP9:AP38)</f>
        <v>2.4698874519456164</v>
      </c>
    </row>
    <row r="9" spans="1:47" x14ac:dyDescent="0.2">
      <c r="D9" s="50">
        <v>1</v>
      </c>
      <c r="E9">
        <v>7</v>
      </c>
      <c r="F9">
        <f t="shared" si="0"/>
        <v>50</v>
      </c>
      <c r="G9">
        <f t="shared" si="10"/>
        <v>0</v>
      </c>
      <c r="H9" s="64">
        <f>IF(E9="Anual",VLOOKUP(F9,Hipotesis!$E$9:$J$38,6,FALSE),1-(1-VLOOKUP(F9,Hipotesis!$E$9:$J$38,6,FALSE))^(1/12))</f>
        <v>2.4298979182768576E-4</v>
      </c>
      <c r="I9">
        <f t="shared" si="11"/>
        <v>0.22105168180758508</v>
      </c>
      <c r="J9">
        <v>0</v>
      </c>
      <c r="K9">
        <f>1-(1-VLOOKUP(D9,Hipotesis!$D$9:$K$38,8,FALSE))^(1/12)</f>
        <v>1.5407535303274322E-2</v>
      </c>
      <c r="L9">
        <f t="shared" si="12"/>
        <v>14.01307427809197</v>
      </c>
      <c r="M9">
        <f t="shared" si="13"/>
        <v>895.48179315304037</v>
      </c>
      <c r="N9">
        <f>IF(D9=1,(VLOOKUP(D9,'Primas Netas Y Reservas'!$D$4:$I$33,5,FALSE)+(VLOOKUP(D9,'Primas Netas Y Reservas'!$D$4:$I$33,6,FALSE)-VLOOKUP(D9,'Primas Netas Y Reservas'!$D$4:$I$33,5,FALSE))*(E9/12))/1000,((VLOOKUP(D9-1,'Primas Netas Y Reservas'!$D$4:$I$33,6,FALSE)+VLOOKUP(D9,'Primas Netas Y Reservas'!$D$4:$I$33,5,FALSE))+(VLOOKUP(D9,'Primas Netas Y Reservas'!$D$4:$I$33,6,FALSE)-VLOOKUP(D9-1,'Primas Netas Y Reservas'!$D$4:$I$33,6,FALSE)-VLOOKUP(D9,'Primas Netas Y Reservas'!$D$4:$I$33,5,FALSE))*(E9/12))/1000)</f>
        <v>2.6463317384370012E-3</v>
      </c>
      <c r="O9">
        <f t="shared" si="14"/>
        <v>-0.51915024123858444</v>
      </c>
      <c r="P9">
        <f>VLOOKUP(D9,Hipotesis!$D$9:$S$38,15,FALSE)*N9</f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>G9*(VLOOKUP(D9,Hipotesis!$D$9:$N$38,9,FALSE)+VLOOKUP(D9,Hipotesis!$D$9:$N$38,10,FALSE)+VLOOKUP(D9,Hipotesis!$D$9:$N$38,11,FALSE))</f>
        <v>0</v>
      </c>
      <c r="U9">
        <v>0</v>
      </c>
      <c r="V9">
        <f>G9*VLOOKUP(D9,Hipotesis!$D$9:$S$38,16,FALSE)+((VLOOKUP(D9,Hipotesis!$D$9:$T$38,17,FALSE)/$B$4)*M8)/12</f>
        <v>2.2742897977823497E-2</v>
      </c>
      <c r="W9">
        <f>(1+VLOOKUP(D9,Hipotesis!$D$9:$P$38,13,FALSE))^(1/12)-1</f>
        <v>0</v>
      </c>
      <c r="X9">
        <f t="shared" si="15"/>
        <v>0</v>
      </c>
      <c r="Y9">
        <f t="shared" si="4"/>
        <v>9.5399134756210431E-3</v>
      </c>
      <c r="Z9">
        <f>(1+VLOOKUP(D9,Hipotesis!$D$9:$O$38,12,))^(1/12)-1</f>
        <v>3.6114369650106504E-3</v>
      </c>
      <c r="AA9">
        <f t="shared" si="16"/>
        <v>1.0433051832176278E-2</v>
      </c>
      <c r="AB9">
        <f t="shared" si="17"/>
        <v>-8.9313835655523447E-4</v>
      </c>
      <c r="AC9" s="68">
        <f t="shared" si="5"/>
        <v>-2.2742897977823497E-2</v>
      </c>
      <c r="AD9">
        <f t="shared" si="6"/>
        <v>-0.22105168180758508</v>
      </c>
      <c r="AE9" s="67">
        <f t="shared" si="7"/>
        <v>0.28489557492879691</v>
      </c>
      <c r="AF9" s="67">
        <f t="shared" si="8"/>
        <v>8.5468672478639068E-2</v>
      </c>
      <c r="AG9" s="67">
        <f t="shared" si="9"/>
        <v>0.19942690245015784</v>
      </c>
      <c r="AJ9">
        <v>1</v>
      </c>
      <c r="AK9" s="67">
        <f>SUM(AG3:AG14)</f>
        <v>-1.0107466417208619</v>
      </c>
      <c r="AL9">
        <f>G3</f>
        <v>48.988864425683204</v>
      </c>
      <c r="AM9">
        <v>1</v>
      </c>
      <c r="AN9" s="67">
        <f>AK9*AM10</f>
        <v>-0.96795481680792461</v>
      </c>
      <c r="AO9">
        <f>AL9*AM9</f>
        <v>48.988864425683204</v>
      </c>
      <c r="AP9" s="67">
        <f>AK9*(1/(1+$AR$1)^(AJ9))</f>
        <v>-0.93820761654225693</v>
      </c>
      <c r="AQ9" s="67">
        <f>AN9</f>
        <v>-0.96795481680792461</v>
      </c>
      <c r="AR9" s="67" t="str">
        <f>IF(AQ9&gt;0,"GANANCIA","PERDIDA")</f>
        <v>PERDIDA</v>
      </c>
      <c r="AT9" s="83"/>
      <c r="AU9" s="84"/>
    </row>
    <row r="10" spans="1:47" x14ac:dyDescent="0.2">
      <c r="D10" s="50">
        <v>1</v>
      </c>
      <c r="E10">
        <v>8</v>
      </c>
      <c r="F10">
        <f t="shared" si="0"/>
        <v>50</v>
      </c>
      <c r="G10">
        <f t="shared" si="10"/>
        <v>0</v>
      </c>
      <c r="H10" s="64">
        <f>IF(E10="Anual",VLOOKUP(F10,Hipotesis!$E$9:$J$38,6,FALSE),1-(1-VLOOKUP(F10,Hipotesis!$E$9:$J$38,6,FALSE))^(1/12))</f>
        <v>2.4298979182768576E-4</v>
      </c>
      <c r="I10">
        <f t="shared" si="11"/>
        <v>0.21759293450374004</v>
      </c>
      <c r="J10">
        <v>0</v>
      </c>
      <c r="K10">
        <f>1-(1-VLOOKUP(D10,Hipotesis!$D$9:$K$38,8,FALSE))^(1/12)</f>
        <v>1.5407535303274322E-2</v>
      </c>
      <c r="L10">
        <f t="shared" si="12"/>
        <v>13.793814770624754</v>
      </c>
      <c r="M10">
        <f t="shared" si="13"/>
        <v>881.47038544791189</v>
      </c>
      <c r="N10">
        <f>IF(D10=1,(VLOOKUP(D10,'Primas Netas Y Reservas'!$D$4:$I$33,5,FALSE)+(VLOOKUP(D10,'Primas Netas Y Reservas'!$D$4:$I$33,6,FALSE)-VLOOKUP(D10,'Primas Netas Y Reservas'!$D$4:$I$33,5,FALSE))*(E10/12))/1000,((VLOOKUP(D10-1,'Primas Netas Y Reservas'!$D$4:$I$33,6,FALSE)+VLOOKUP(D10,'Primas Netas Y Reservas'!$D$4:$I$33,5,FALSE))+(VLOOKUP(D10,'Primas Netas Y Reservas'!$D$4:$I$33,6,FALSE)-VLOOKUP(D10-1,'Primas Netas Y Reservas'!$D$4:$I$33,6,FALSE)-VLOOKUP(D10,'Primas Netas Y Reservas'!$D$4:$I$33,5,FALSE))*(E10/12))/1000)</f>
        <v>2.117065390749602E-3</v>
      </c>
      <c r="O10">
        <f t="shared" si="14"/>
        <v>-0.50361144441088279</v>
      </c>
      <c r="P10">
        <f>VLOOKUP(D10,Hipotesis!$D$9:$S$38,15,FALSE)*N10</f>
        <v>0</v>
      </c>
      <c r="Q10">
        <f t="shared" si="1"/>
        <v>0</v>
      </c>
      <c r="R10">
        <f t="shared" si="2"/>
        <v>0</v>
      </c>
      <c r="S10">
        <f t="shared" si="3"/>
        <v>0</v>
      </c>
      <c r="T10">
        <f>G10*(VLOOKUP(D10,Hipotesis!$D$9:$N$38,9,FALSE)+VLOOKUP(D10,Hipotesis!$D$9:$N$38,10,FALSE)+VLOOKUP(D10,Hipotesis!$D$9:$N$38,11,FALSE))</f>
        <v>0</v>
      </c>
      <c r="U10">
        <v>0</v>
      </c>
      <c r="V10">
        <f>G10*VLOOKUP(D10,Hipotesis!$D$9:$S$38,16,FALSE)+((VLOOKUP(D10,Hipotesis!$D$9:$T$38,17,FALSE)/$B$4)*M9)/12</f>
        <v>2.2387044828826006E-2</v>
      </c>
      <c r="W10">
        <f>(1+VLOOKUP(D10,Hipotesis!$D$9:$P$38,13,FALSE))^(1/12)-1</f>
        <v>0</v>
      </c>
      <c r="X10">
        <f t="shared" si="15"/>
        <v>0</v>
      </c>
      <c r="Y10">
        <f t="shared" si="4"/>
        <v>7.6790098444832E-3</v>
      </c>
      <c r="Z10">
        <f>(1+VLOOKUP(D10,Hipotesis!$D$9:$O$38,12,))^(1/12)-1</f>
        <v>3.6114369650106504E-3</v>
      </c>
      <c r="AA10">
        <f t="shared" si="16"/>
        <v>8.5581734605730576E-3</v>
      </c>
      <c r="AB10">
        <f t="shared" si="17"/>
        <v>-8.7916361608985781E-4</v>
      </c>
      <c r="AC10" s="68">
        <f t="shared" si="5"/>
        <v>-2.2387044828826006E-2</v>
      </c>
      <c r="AD10">
        <f t="shared" si="6"/>
        <v>-0.21759293450374004</v>
      </c>
      <c r="AE10" s="67">
        <f t="shared" si="7"/>
        <v>0.27131047492279992</v>
      </c>
      <c r="AF10" s="67">
        <f t="shared" si="8"/>
        <v>8.1393142476839972E-2</v>
      </c>
      <c r="AG10" s="67">
        <f t="shared" si="9"/>
        <v>0.18991733244595993</v>
      </c>
      <c r="AJ10">
        <v>2</v>
      </c>
      <c r="AK10" s="67">
        <f>SUM(AG15:AG26)</f>
        <v>-4.4780586272371279</v>
      </c>
      <c r="AL10">
        <f>G15</f>
        <v>40.542354008292115</v>
      </c>
      <c r="AM10">
        <f>1/(1+Hipotesis!O9)</f>
        <v>0.95766315400258817</v>
      </c>
      <c r="AN10" s="67">
        <f t="shared" ref="AN10:AN38" si="18">AK10*AM11</f>
        <v>-4.0831327375462463</v>
      </c>
      <c r="AO10">
        <f t="shared" ref="AO10:AO38" si="19">AL10*AM10</f>
        <v>38.825918610270499</v>
      </c>
      <c r="AP10" s="67">
        <f t="shared" ref="AP10:AP38" si="20">AK10*(1/(1+$AR$1)^(AJ10))</f>
        <v>-3.8583628704689552</v>
      </c>
      <c r="AQ10" s="67">
        <f>SUM($AN$9:AN10)</f>
        <v>-5.0510875543541705</v>
      </c>
      <c r="AR10" s="67" t="str">
        <f t="shared" ref="AR10:AR38" si="21">IF(AQ10&gt;0,"GANANCIA","PERDIDA")</f>
        <v>PERDIDA</v>
      </c>
      <c r="AT10" s="83" t="s">
        <v>95</v>
      </c>
      <c r="AU10" s="85">
        <f>AU8/(AO9*(1+AR1)^(-1))</f>
        <v>5.4315420229244342E-2</v>
      </c>
    </row>
    <row r="11" spans="1:47" x14ac:dyDescent="0.2">
      <c r="D11" s="50">
        <v>1</v>
      </c>
      <c r="E11">
        <v>9</v>
      </c>
      <c r="F11">
        <f t="shared" si="0"/>
        <v>50</v>
      </c>
      <c r="G11">
        <f t="shared" si="10"/>
        <v>0</v>
      </c>
      <c r="H11" s="64">
        <f>IF(E11="Anual",VLOOKUP(F11,Hipotesis!$E$9:$J$38,6,FALSE),1-(1-VLOOKUP(F11,Hipotesis!$E$9:$J$38,6,FALSE))^(1/12))</f>
        <v>2.4298979182768576E-4</v>
      </c>
      <c r="I11">
        <f t="shared" si="11"/>
        <v>0.21418830546225803</v>
      </c>
      <c r="J11">
        <v>0</v>
      </c>
      <c r="K11">
        <f>1-(1-VLOOKUP(D11,Hipotesis!$D$9:$K$38,8,FALSE))^(1/12)</f>
        <v>1.5407535303274322E-2</v>
      </c>
      <c r="L11">
        <f t="shared" si="12"/>
        <v>13.577985968701569</v>
      </c>
      <c r="M11">
        <f t="shared" si="13"/>
        <v>867.67821117374808</v>
      </c>
      <c r="N11">
        <f>IF(D11=1,(VLOOKUP(D11,'Primas Netas Y Reservas'!$D$4:$I$33,5,FALSE)+(VLOOKUP(D11,'Primas Netas Y Reservas'!$D$4:$I$33,6,FALSE)-VLOOKUP(D11,'Primas Netas Y Reservas'!$D$4:$I$33,5,FALSE))*(E11/12))/1000,((VLOOKUP(D11-1,'Primas Netas Y Reservas'!$D$4:$I$33,6,FALSE)+VLOOKUP(D11,'Primas Netas Y Reservas'!$D$4:$I$33,5,FALSE))+(VLOOKUP(D11,'Primas Netas Y Reservas'!$D$4:$I$33,6,FALSE)-VLOOKUP(D11-1,'Primas Netas Y Reservas'!$D$4:$I$33,6,FALSE)-VLOOKUP(D11,'Primas Netas Y Reservas'!$D$4:$I$33,5,FALSE))*(E11/12))/1000)</f>
        <v>1.5877990430622014E-3</v>
      </c>
      <c r="O11">
        <f t="shared" si="14"/>
        <v>-0.48843181261488611</v>
      </c>
      <c r="P11">
        <f>VLOOKUP(D11,Hipotesis!$D$9:$S$38,15,FALSE)*N11</f>
        <v>0</v>
      </c>
      <c r="Q11">
        <f t="shared" si="1"/>
        <v>0</v>
      </c>
      <c r="R11">
        <f t="shared" si="2"/>
        <v>0</v>
      </c>
      <c r="S11">
        <f t="shared" si="3"/>
        <v>0</v>
      </c>
      <c r="T11">
        <f>G11*(VLOOKUP(D11,Hipotesis!$D$9:$N$38,9,FALSE)+VLOOKUP(D11,Hipotesis!$D$9:$N$38,10,FALSE)+VLOOKUP(D11,Hipotesis!$D$9:$N$38,11,FALSE))</f>
        <v>0</v>
      </c>
      <c r="U11">
        <v>0</v>
      </c>
      <c r="V11">
        <f>G11*VLOOKUP(D11,Hipotesis!$D$9:$S$38,16,FALSE)+((VLOOKUP(D11,Hipotesis!$D$9:$T$38,17,FALSE)/$B$4)*M10)/12</f>
        <v>2.2036759636197795E-2</v>
      </c>
      <c r="W11">
        <f>(1+VLOOKUP(D11,Hipotesis!$D$9:$P$38,13,FALSE))^(1/12)-1</f>
        <v>0</v>
      </c>
      <c r="X11">
        <f t="shared" si="15"/>
        <v>0</v>
      </c>
      <c r="Y11">
        <f t="shared" si="4"/>
        <v>5.8740049388940211E-3</v>
      </c>
      <c r="Z11">
        <f>(1+VLOOKUP(D11,Hipotesis!$D$9:$O$38,12,))^(1/12)-1</f>
        <v>3.6114369650106504E-3</v>
      </c>
      <c r="AA11">
        <f t="shared" si="16"/>
        <v>6.7394124742251888E-3</v>
      </c>
      <c r="AB11">
        <f t="shared" si="17"/>
        <v>-8.6540753533116753E-4</v>
      </c>
      <c r="AC11" s="68">
        <f t="shared" si="5"/>
        <v>-2.2036759636197795E-2</v>
      </c>
      <c r="AD11">
        <f t="shared" si="6"/>
        <v>-0.21418830546225803</v>
      </c>
      <c r="AE11" s="67">
        <f t="shared" si="7"/>
        <v>0.25808075245532436</v>
      </c>
      <c r="AF11" s="67">
        <f t="shared" si="8"/>
        <v>7.742422573659731E-2</v>
      </c>
      <c r="AG11" s="67">
        <f t="shared" si="9"/>
        <v>0.18065652671872706</v>
      </c>
      <c r="AJ11">
        <v>3</v>
      </c>
      <c r="AK11" s="67">
        <f>SUM(AG27:AG38)</f>
        <v>0.34137017384416274</v>
      </c>
      <c r="AL11">
        <f>G27</f>
        <v>34.757122782707654</v>
      </c>
      <c r="AM11">
        <f>AM10/(1+Hipotesis!O10)</f>
        <v>0.91180868260884229</v>
      </c>
      <c r="AN11" s="67">
        <f t="shared" si="18"/>
        <v>0.29551851437006066</v>
      </c>
      <c r="AO11">
        <f t="shared" si="19"/>
        <v>31.691846335774446</v>
      </c>
      <c r="AP11" s="67">
        <f t="shared" si="20"/>
        <v>0.27302066185307644</v>
      </c>
      <c r="AQ11" s="67">
        <f>SUM($AN$9:AN11)</f>
        <v>-4.7555690399841097</v>
      </c>
      <c r="AR11" s="67" t="str">
        <f t="shared" si="21"/>
        <v>PERDIDA</v>
      </c>
      <c r="AT11" s="83"/>
      <c r="AU11" s="85"/>
    </row>
    <row r="12" spans="1:47" x14ac:dyDescent="0.2">
      <c r="D12" s="50">
        <v>1</v>
      </c>
      <c r="E12">
        <v>10</v>
      </c>
      <c r="F12">
        <f t="shared" si="0"/>
        <v>50</v>
      </c>
      <c r="G12">
        <f t="shared" si="10"/>
        <v>0</v>
      </c>
      <c r="H12" s="64">
        <f>IF(E12="Anual",VLOOKUP(F12,Hipotesis!$E$9:$J$38,6,FALSE),1-(1-VLOOKUP(F12,Hipotesis!$E$9:$J$38,6,FALSE))^(1/12))</f>
        <v>2.4298979182768576E-4</v>
      </c>
      <c r="I12">
        <f t="shared" si="11"/>
        <v>0.21083694790652782</v>
      </c>
      <c r="J12">
        <v>0</v>
      </c>
      <c r="K12">
        <f>1-(1-VLOOKUP(D12,Hipotesis!$D$9:$K$38,8,FALSE))^(1/12)</f>
        <v>1.5407535303274322E-2</v>
      </c>
      <c r="L12">
        <f t="shared" si="12"/>
        <v>13.365534192823333</v>
      </c>
      <c r="M12">
        <f t="shared" si="13"/>
        <v>854.10184003301822</v>
      </c>
      <c r="N12">
        <f>IF(D12=1,(VLOOKUP(D12,'Primas Netas Y Reservas'!$D$4:$I$33,5,FALSE)+(VLOOKUP(D12,'Primas Netas Y Reservas'!$D$4:$I$33,6,FALSE)-VLOOKUP(D12,'Primas Netas Y Reservas'!$D$4:$I$33,5,FALSE))*(E12/12))/1000,((VLOOKUP(D12-1,'Primas Netas Y Reservas'!$D$4:$I$33,6,FALSE)+VLOOKUP(D12,'Primas Netas Y Reservas'!$D$4:$I$33,5,FALSE))+(VLOOKUP(D12,'Primas Netas Y Reservas'!$D$4:$I$33,6,FALSE)-VLOOKUP(D12-1,'Primas Netas Y Reservas'!$D$4:$I$33,6,FALSE)-VLOOKUP(D12,'Primas Netas Y Reservas'!$D$4:$I$33,5,FALSE))*(E12/12))/1000)</f>
        <v>1.0585326953747999E-3</v>
      </c>
      <c r="O12">
        <f t="shared" si="14"/>
        <v>-0.47360391053287287</v>
      </c>
      <c r="P12">
        <f>VLOOKUP(D12,Hipotesis!$D$9:$S$38,15,FALSE)*N12</f>
        <v>0</v>
      </c>
      <c r="Q12">
        <f t="shared" si="1"/>
        <v>0</v>
      </c>
      <c r="R12">
        <f t="shared" si="2"/>
        <v>0</v>
      </c>
      <c r="S12">
        <f t="shared" si="3"/>
        <v>0</v>
      </c>
      <c r="T12">
        <f>G12*(VLOOKUP(D12,Hipotesis!$D$9:$N$38,9,FALSE)+VLOOKUP(D12,Hipotesis!$D$9:$N$38,10,FALSE)+VLOOKUP(D12,Hipotesis!$D$9:$N$38,11,FALSE))</f>
        <v>0</v>
      </c>
      <c r="U12">
        <v>0</v>
      </c>
      <c r="V12">
        <f>G12*VLOOKUP(D12,Hipotesis!$D$9:$S$38,16,FALSE)+((VLOOKUP(D12,Hipotesis!$D$9:$T$38,17,FALSE)/$B$4)*M11)/12</f>
        <v>2.16919552793437E-2</v>
      </c>
      <c r="W12">
        <f>(1+VLOOKUP(D12,Hipotesis!$D$9:$P$38,13,FALSE))^(1/12)-1</f>
        <v>0</v>
      </c>
      <c r="X12">
        <f t="shared" si="15"/>
        <v>0</v>
      </c>
      <c r="Y12">
        <f t="shared" si="4"/>
        <v>4.1236050783020626E-3</v>
      </c>
      <c r="Z12">
        <f>(1+VLOOKUP(D12,Hipotesis!$D$9:$O$38,12,))^(1/12)-1</f>
        <v>3.6114369650106504E-3</v>
      </c>
      <c r="AA12">
        <f t="shared" si="16"/>
        <v>4.9754717712606339E-3</v>
      </c>
      <c r="AB12">
        <f t="shared" si="17"/>
        <v>-8.5186669295857101E-4</v>
      </c>
      <c r="AC12" s="68">
        <f t="shared" si="5"/>
        <v>-2.16919552793437E-2</v>
      </c>
      <c r="AD12">
        <f t="shared" si="6"/>
        <v>-0.21083694790652782</v>
      </c>
      <c r="AE12" s="67">
        <f t="shared" si="7"/>
        <v>0.24519861242530344</v>
      </c>
      <c r="AF12" s="67">
        <f t="shared" si="8"/>
        <v>7.3559583727591027E-2</v>
      </c>
      <c r="AG12" s="67">
        <f t="shared" si="9"/>
        <v>0.17163902869771241</v>
      </c>
      <c r="AJ12">
        <v>4</v>
      </c>
      <c r="AK12" s="67">
        <f>SUM(AG39:AG50)</f>
        <v>2.5961770584180992</v>
      </c>
      <c r="AL12">
        <f>G39</f>
        <v>30.42744044071571</v>
      </c>
      <c r="AM12">
        <f>AM11/(1+Hipotesis!O11)</f>
        <v>0.86568346332730994</v>
      </c>
      <c r="AN12" s="67">
        <f t="shared" si="18"/>
        <v>2.1422176640414117</v>
      </c>
      <c r="AO12">
        <f t="shared" si="19"/>
        <v>26.340532020904227</v>
      </c>
      <c r="AP12" s="67">
        <f t="shared" si="20"/>
        <v>1.9273513704483143</v>
      </c>
      <c r="AQ12" s="67">
        <f>SUM($AN$9:AN12)</f>
        <v>-2.6133513759426981</v>
      </c>
      <c r="AR12" s="67" t="str">
        <f t="shared" si="21"/>
        <v>PERDIDA</v>
      </c>
      <c r="AT12" s="83" t="s">
        <v>96</v>
      </c>
      <c r="AU12" s="86">
        <f>MATCH("GANANCIA",AR9:AR38,0)</f>
        <v>5</v>
      </c>
    </row>
    <row r="13" spans="1:47" x14ac:dyDescent="0.2">
      <c r="D13" s="50">
        <v>1</v>
      </c>
      <c r="E13">
        <v>11</v>
      </c>
      <c r="F13">
        <f t="shared" si="0"/>
        <v>50</v>
      </c>
      <c r="G13">
        <f t="shared" si="10"/>
        <v>0</v>
      </c>
      <c r="H13" s="64">
        <f>IF(E13="Anual",VLOOKUP(F13,Hipotesis!$E$9:$J$38,6,FALSE),1-(1-VLOOKUP(F13,Hipotesis!$E$9:$J$38,6,FALSE))^(1/12))</f>
        <v>2.4298979182768576E-4</v>
      </c>
      <c r="I13">
        <f t="shared" si="11"/>
        <v>0.20753802830926646</v>
      </c>
      <c r="J13">
        <v>0</v>
      </c>
      <c r="K13">
        <f>1-(1-VLOOKUP(D13,Hipotesis!$D$9:$K$38,8,FALSE))^(1/12)</f>
        <v>1.5407535303274322E-2</v>
      </c>
      <c r="L13">
        <f t="shared" si="12"/>
        <v>13.156406603402338</v>
      </c>
      <c r="M13">
        <f t="shared" si="13"/>
        <v>840.73789540130656</v>
      </c>
      <c r="N13">
        <f>IF(D13=1,(VLOOKUP(D13,'Primas Netas Y Reservas'!$D$4:$I$33,5,FALSE)+(VLOOKUP(D13,'Primas Netas Y Reservas'!$D$4:$I$33,6,FALSE)-VLOOKUP(D13,'Primas Netas Y Reservas'!$D$4:$I$33,5,FALSE))*(E13/12))/1000,((VLOOKUP(D13-1,'Primas Netas Y Reservas'!$D$4:$I$33,6,FALSE)+VLOOKUP(D13,'Primas Netas Y Reservas'!$D$4:$I$33,5,FALSE))+(VLOOKUP(D13,'Primas Netas Y Reservas'!$D$4:$I$33,6,FALSE)-VLOOKUP(D13-1,'Primas Netas Y Reservas'!$D$4:$I$33,6,FALSE)-VLOOKUP(D13,'Primas Netas Y Reservas'!$D$4:$I$33,5,FALSE))*(E13/12))/1000)</f>
        <v>5.2926634768740049E-4</v>
      </c>
      <c r="O13">
        <f t="shared" si="14"/>
        <v>-0.45912044759328563</v>
      </c>
      <c r="P13">
        <f>VLOOKUP(D13,Hipotesis!$D$9:$S$38,15,FALSE)*N13</f>
        <v>0</v>
      </c>
      <c r="Q13">
        <f t="shared" si="1"/>
        <v>0</v>
      </c>
      <c r="R13">
        <f t="shared" si="2"/>
        <v>0</v>
      </c>
      <c r="S13">
        <f t="shared" si="3"/>
        <v>0</v>
      </c>
      <c r="T13">
        <f>G13*(VLOOKUP(D13,Hipotesis!$D$9:$N$38,9,FALSE)+VLOOKUP(D13,Hipotesis!$D$9:$N$38,10,FALSE)+VLOOKUP(D13,Hipotesis!$D$9:$N$38,11,FALSE))</f>
        <v>0</v>
      </c>
      <c r="U13">
        <v>0</v>
      </c>
      <c r="V13">
        <f>G13*VLOOKUP(D13,Hipotesis!$D$9:$S$38,16,FALSE)+((VLOOKUP(D13,Hipotesis!$D$9:$T$38,17,FALSE)/$B$4)*M12)/12</f>
        <v>2.1352546000825454E-2</v>
      </c>
      <c r="W13">
        <f>(1+VLOOKUP(D13,Hipotesis!$D$9:$P$38,13,FALSE))^(1/12)-1</f>
        <v>0</v>
      </c>
      <c r="X13">
        <f t="shared" si="15"/>
        <v>0</v>
      </c>
      <c r="Y13">
        <f t="shared" si="4"/>
        <v>2.4265433808044893E-3</v>
      </c>
      <c r="Z13">
        <f>(1+VLOOKUP(D13,Hipotesis!$D$9:$O$38,12,))^(1/12)-1</f>
        <v>3.6114369650106504E-3</v>
      </c>
      <c r="AA13">
        <f t="shared" si="16"/>
        <v>3.2650811019886202E-3</v>
      </c>
      <c r="AB13">
        <f t="shared" si="17"/>
        <v>-8.3853772118413084E-4</v>
      </c>
      <c r="AC13" s="68">
        <f t="shared" si="5"/>
        <v>-2.1352546000825454E-2</v>
      </c>
      <c r="AD13">
        <f t="shared" si="6"/>
        <v>-0.20753802830926646</v>
      </c>
      <c r="AE13" s="67">
        <f t="shared" si="7"/>
        <v>0.23265641666399819</v>
      </c>
      <c r="AF13" s="67">
        <f t="shared" si="8"/>
        <v>6.9796924999199456E-2</v>
      </c>
      <c r="AG13" s="67">
        <f t="shared" si="9"/>
        <v>0.16285949166479874</v>
      </c>
      <c r="AJ13">
        <v>5</v>
      </c>
      <c r="AK13" s="67">
        <f>SUM(AG51:AG62)</f>
        <v>3.6957754161840635</v>
      </c>
      <c r="AL13">
        <f>G51</f>
        <v>27.23160635914315</v>
      </c>
      <c r="AM13">
        <f>AM12/(1+Hipotesis!O12)</f>
        <v>0.82514313000928607</v>
      </c>
      <c r="AN13" s="67">
        <f t="shared" si="18"/>
        <v>2.9126277014210964</v>
      </c>
      <c r="AO13">
        <f t="shared" si="19"/>
        <v>22.469972906364159</v>
      </c>
      <c r="AP13" s="67">
        <f t="shared" si="20"/>
        <v>2.5467646240268254</v>
      </c>
      <c r="AQ13" s="67">
        <f>SUM($AN$9:AN13)</f>
        <v>0.29927632547839833</v>
      </c>
      <c r="AR13" s="67" t="str">
        <f t="shared" si="21"/>
        <v>GANANCIA</v>
      </c>
      <c r="AT13" s="83"/>
      <c r="AU13" s="86"/>
    </row>
    <row r="14" spans="1:47" x14ac:dyDescent="0.2">
      <c r="D14" s="50">
        <v>1</v>
      </c>
      <c r="E14">
        <v>12</v>
      </c>
      <c r="F14">
        <f t="shared" si="0"/>
        <v>50</v>
      </c>
      <c r="G14">
        <f t="shared" si="10"/>
        <v>0</v>
      </c>
      <c r="H14" s="64">
        <f>IF(E14="Anual",VLOOKUP(F14,Hipotesis!$E$9:$J$38,6,FALSE),1-(1-VLOOKUP(F14,Hipotesis!$E$9:$J$38,6,FALSE))^(1/12))</f>
        <v>2.4298979182768576E-4</v>
      </c>
      <c r="I14">
        <f t="shared" si="11"/>
        <v>0.20429072618521013</v>
      </c>
      <c r="J14">
        <v>0</v>
      </c>
      <c r="K14">
        <f>1-(1-VLOOKUP(D14,Hipotesis!$D$9:$K$38,8,FALSE))^(1/12)</f>
        <v>1.5407535303274322E-2</v>
      </c>
      <c r="L14">
        <f t="shared" si="12"/>
        <v>12.950551187620354</v>
      </c>
      <c r="M14">
        <f t="shared" si="13"/>
        <v>827.58305348750093</v>
      </c>
      <c r="N14">
        <f>IF(D14=1,(VLOOKUP(D14,'Primas Netas Y Reservas'!$D$4:$I$33,5,FALSE)+(VLOOKUP(D14,'Primas Netas Y Reservas'!$D$4:$I$33,6,FALSE)-VLOOKUP(D14,'Primas Netas Y Reservas'!$D$4:$I$33,5,FALSE))*(E14/12))/1000,((VLOOKUP(D14-1,'Primas Netas Y Reservas'!$D$4:$I$33,6,FALSE)+VLOOKUP(D14,'Primas Netas Y Reservas'!$D$4:$I$33,5,FALSE))+(VLOOKUP(D14,'Primas Netas Y Reservas'!$D$4:$I$33,6,FALSE)-VLOOKUP(D14-1,'Primas Netas Y Reservas'!$D$4:$I$33,6,FALSE)-VLOOKUP(D14,'Primas Netas Y Reservas'!$D$4:$I$33,5,FALSE))*(E14/12))/1000)</f>
        <v>0</v>
      </c>
      <c r="O14">
        <f t="shared" si="14"/>
        <v>-0.44497427526144129</v>
      </c>
      <c r="P14">
        <f>VLOOKUP(D14,Hipotesis!$D$9:$S$38,15,FALSE)*N14</f>
        <v>0</v>
      </c>
      <c r="Q14">
        <f t="shared" si="1"/>
        <v>0</v>
      </c>
      <c r="R14">
        <f t="shared" si="2"/>
        <v>0</v>
      </c>
      <c r="S14">
        <f t="shared" si="3"/>
        <v>0</v>
      </c>
      <c r="T14">
        <f>G14*(VLOOKUP(D14,Hipotesis!$D$9:$N$38,9,FALSE)+VLOOKUP(D14,Hipotesis!$D$9:$N$38,10,FALSE)+VLOOKUP(D14,Hipotesis!$D$9:$N$38,11,FALSE))</f>
        <v>0</v>
      </c>
      <c r="U14">
        <v>0</v>
      </c>
      <c r="V14">
        <f>G14*VLOOKUP(D14,Hipotesis!$D$9:$S$38,16,FALSE)+((VLOOKUP(D14,Hipotesis!$D$9:$T$38,17,FALSE)/$B$4)*M13)/12</f>
        <v>2.1018447385032665E-2</v>
      </c>
      <c r="W14">
        <f>(1+VLOOKUP(D14,Hipotesis!$D$9:$P$38,13,FALSE))^(1/12)-1</f>
        <v>0</v>
      </c>
      <c r="X14">
        <f t="shared" si="15"/>
        <v>0</v>
      </c>
      <c r="Y14">
        <f t="shared" si="4"/>
        <v>7.8157924124304314E-4</v>
      </c>
      <c r="Z14">
        <f>(1+VLOOKUP(D14,Hipotesis!$D$9:$O$38,12,))^(1/12)-1</f>
        <v>3.6114369650106504E-3</v>
      </c>
      <c r="AA14">
        <f t="shared" si="16"/>
        <v>1.6069965461579933E-3</v>
      </c>
      <c r="AB14">
        <f t="shared" si="17"/>
        <v>-8.2541730491495012E-4</v>
      </c>
      <c r="AC14" s="68">
        <f t="shared" si="5"/>
        <v>-2.1018447385032665E-2</v>
      </c>
      <c r="AD14">
        <f t="shared" si="6"/>
        <v>-0.20429072618521013</v>
      </c>
      <c r="AE14" s="67">
        <f t="shared" si="7"/>
        <v>0.22044668093244152</v>
      </c>
      <c r="AF14" s="67">
        <f t="shared" si="8"/>
        <v>6.6134004279732456E-2</v>
      </c>
      <c r="AG14" s="67">
        <f t="shared" si="9"/>
        <v>0.15431267665270906</v>
      </c>
      <c r="AJ14">
        <v>6</v>
      </c>
      <c r="AK14" s="67">
        <f>SUM(AG63:AG74)</f>
        <v>3.0968335921458094</v>
      </c>
      <c r="AL14">
        <f>G63</f>
        <v>24.631640455172853</v>
      </c>
      <c r="AM14">
        <f>AM13/(1+Hipotesis!O13)</f>
        <v>0.78809650842594292</v>
      </c>
      <c r="AN14" s="67">
        <f t="shared" si="18"/>
        <v>2.328880423530947</v>
      </c>
      <c r="AO14">
        <f t="shared" si="19"/>
        <v>19.412109839524931</v>
      </c>
      <c r="AP14" s="67">
        <f t="shared" si="20"/>
        <v>1.9808781104942799</v>
      </c>
      <c r="AQ14" s="67">
        <f>SUM($AN$9:AN14)</f>
        <v>2.6281567490093454</v>
      </c>
      <c r="AR14" s="67" t="str">
        <f t="shared" si="21"/>
        <v>GANANCIA</v>
      </c>
    </row>
    <row r="15" spans="1:47" x14ac:dyDescent="0.2">
      <c r="D15" s="50">
        <v>2</v>
      </c>
      <c r="E15">
        <v>1</v>
      </c>
      <c r="F15">
        <f t="shared" si="0"/>
        <v>51</v>
      </c>
      <c r="G15">
        <f t="shared" si="10"/>
        <v>40.542354008292115</v>
      </c>
      <c r="H15" s="64">
        <f>IF(E15="Anual",VLOOKUP(F15,Hipotesis!$E$9:$J$38,6,FALSE),1-(1-VLOOKUP(F15,Hipotesis!$E$9:$J$38,6,FALSE))^(1/12))</f>
        <v>2.6161516815303987E-4</v>
      </c>
      <c r="I15">
        <f t="shared" si="11"/>
        <v>0.21650827969873876</v>
      </c>
      <c r="J15">
        <v>0</v>
      </c>
      <c r="K15">
        <f>1-(1-VLOOKUP(D15,Hipotesis!$D$9:$K$38,8,FALSE))^(1/12)</f>
        <v>1.2489919487016277E-2</v>
      </c>
      <c r="L15">
        <f t="shared" si="12"/>
        <v>10.333741535896262</v>
      </c>
      <c r="M15">
        <f t="shared" si="13"/>
        <v>817.03280367190598</v>
      </c>
      <c r="N15">
        <f>IF(D15=1,(VLOOKUP(D15,'Primas Netas Y Reservas'!$D$4:$I$33,5,FALSE)+(VLOOKUP(D15,'Primas Netas Y Reservas'!$D$4:$I$33,6,FALSE)-VLOOKUP(D15,'Primas Netas Y Reservas'!$D$4:$I$33,5,FALSE))*(E15/12))/1000,((VLOOKUP(D15-1,'Primas Netas Y Reservas'!$D$4:$I$33,6,FALSE)+VLOOKUP(D15,'Primas Netas Y Reservas'!$D$4:$I$33,5,FALSE))+(VLOOKUP(D15,'Primas Netas Y Reservas'!$D$4:$I$33,6,FALSE)-VLOOKUP(D15-1,'Primas Netas Y Reservas'!$D$4:$I$33,6,FALSE)-VLOOKUP(D15,'Primas Netas Y Reservas'!$D$4:$I$33,5,FALSE))*(E15/12))/1000)</f>
        <v>4.475840368764137E-2</v>
      </c>
      <c r="O15">
        <f t="shared" si="14"/>
        <v>36.569084052792604</v>
      </c>
      <c r="P15">
        <f>VLOOKUP(D15,Hipotesis!$D$9:$S$38,15,FALSE)*N15</f>
        <v>0</v>
      </c>
      <c r="Q15">
        <f t="shared" si="1"/>
        <v>0</v>
      </c>
      <c r="R15">
        <f t="shared" si="2"/>
        <v>0</v>
      </c>
      <c r="S15">
        <f t="shared" si="3"/>
        <v>0</v>
      </c>
      <c r="T15">
        <f>G15*(VLOOKUP(D15,Hipotesis!$D$9:$N$38,9,FALSE)+VLOOKUP(D15,Hipotesis!$D$9:$N$38,10,FALSE)+VLOOKUP(D15,Hipotesis!$D$9:$N$38,11,FALSE))</f>
        <v>15.406094523151005</v>
      </c>
      <c r="U15">
        <v>0</v>
      </c>
      <c r="V15">
        <f>G15*VLOOKUP(D15,Hipotesis!$D$9:$S$38,16,FALSE)+((VLOOKUP(D15,Hipotesis!$D$9:$T$38,17,FALSE)/$B$4)*M14)/12</f>
        <v>1.8450955067103325</v>
      </c>
      <c r="W15">
        <f>(1+VLOOKUP(D15,Hipotesis!$D$9:$P$38,13,FALSE))^(1/12)-1</f>
        <v>0</v>
      </c>
      <c r="X15">
        <f t="shared" si="15"/>
        <v>0</v>
      </c>
      <c r="Y15">
        <f t="shared" si="4"/>
        <v>9.459146010280263E-2</v>
      </c>
      <c r="Z15">
        <f>(1+VLOOKUP(D15,Hipotesis!$D$9:$O$38,12,))^(1/12)-1</f>
        <v>4.0971966653648995E-3</v>
      </c>
      <c r="AA15">
        <f t="shared" si="16"/>
        <v>0</v>
      </c>
      <c r="AB15">
        <f t="shared" si="17"/>
        <v>9.459146010280263E-2</v>
      </c>
      <c r="AC15" s="68">
        <f t="shared" si="5"/>
        <v>23.291163978430777</v>
      </c>
      <c r="AD15">
        <f t="shared" si="6"/>
        <v>-0.21650827969873876</v>
      </c>
      <c r="AE15" s="67">
        <f t="shared" si="7"/>
        <v>-13.399836893957758</v>
      </c>
      <c r="AF15" s="67">
        <f t="shared" si="8"/>
        <v>-4.0199510681873276</v>
      </c>
      <c r="AG15" s="67">
        <f t="shared" si="9"/>
        <v>-9.3798858257704296</v>
      </c>
      <c r="AJ15">
        <v>7</v>
      </c>
      <c r="AK15" s="67">
        <f>SUM(AG75:AG86)</f>
        <v>2.0144707924684826</v>
      </c>
      <c r="AL15">
        <f>G75</f>
        <v>22.514311119767644</v>
      </c>
      <c r="AM15">
        <f>AM14/(1+Hipotesis!O14)</f>
        <v>0.75201987909116408</v>
      </c>
      <c r="AN15" s="67">
        <f t="shared" si="18"/>
        <v>1.4483751169519044</v>
      </c>
      <c r="AO15">
        <f t="shared" si="19"/>
        <v>16.931209526108514</v>
      </c>
      <c r="AP15" s="67">
        <f t="shared" si="20"/>
        <v>1.1960725018869647</v>
      </c>
      <c r="AQ15" s="67">
        <f>SUM($AN$9:AN15)</f>
        <v>4.0765318659612495</v>
      </c>
      <c r="AR15" s="76" t="str">
        <f t="shared" si="21"/>
        <v>GANANCIA</v>
      </c>
    </row>
    <row r="16" spans="1:47" x14ac:dyDescent="0.2">
      <c r="D16" s="50">
        <v>2</v>
      </c>
      <c r="E16">
        <v>2</v>
      </c>
      <c r="F16">
        <f t="shared" si="0"/>
        <v>51</v>
      </c>
      <c r="G16">
        <f t="shared" si="10"/>
        <v>0</v>
      </c>
      <c r="H16" s="64">
        <f>IF(E16="Anual",VLOOKUP(F16,Hipotesis!$E$9:$J$38,6,FALSE),1-(1-VLOOKUP(F16,Hipotesis!$E$9:$J$38,6,FALSE))^(1/12))</f>
        <v>2.6161516815303987E-4</v>
      </c>
      <c r="I16">
        <f t="shared" si="11"/>
        <v>0.21374817431917531</v>
      </c>
      <c r="J16">
        <v>0</v>
      </c>
      <c r="K16">
        <f>1-(1-VLOOKUP(D16,Hipotesis!$D$9:$K$38,8,FALSE))^(1/12)</f>
        <v>1.2489919487016277E-2</v>
      </c>
      <c r="L16">
        <f t="shared" si="12"/>
        <v>10.202004238625538</v>
      </c>
      <c r="M16">
        <f t="shared" si="13"/>
        <v>806.61705125896117</v>
      </c>
      <c r="N16">
        <f>IF(D16=1,(VLOOKUP(D16,'Primas Netas Y Reservas'!$D$4:$I$33,5,FALSE)+(VLOOKUP(D16,'Primas Netas Y Reservas'!$D$4:$I$33,6,FALSE)-VLOOKUP(D16,'Primas Netas Y Reservas'!$D$4:$I$33,5,FALSE))*(E16/12))/1000,((VLOOKUP(D16-1,'Primas Netas Y Reservas'!$D$4:$I$33,6,FALSE)+VLOOKUP(D16,'Primas Netas Y Reservas'!$D$4:$I$33,5,FALSE))+(VLOOKUP(D16,'Primas Netas Y Reservas'!$D$4:$I$33,6,FALSE)-VLOOKUP(D16-1,'Primas Netas Y Reservas'!$D$4:$I$33,6,FALSE)-VLOOKUP(D16,'Primas Netas Y Reservas'!$D$4:$I$33,5,FALSE))*(E16/12))/1000)</f>
        <v>4.4356355366553468E-2</v>
      </c>
      <c r="O16">
        <f t="shared" si="14"/>
        <v>-0.79049148242864931</v>
      </c>
      <c r="P16">
        <f>VLOOKUP(D16,Hipotesis!$D$9:$S$38,15,FALSE)*N16</f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>G16*(VLOOKUP(D16,Hipotesis!$D$9:$N$38,9,FALSE)+VLOOKUP(D16,Hipotesis!$D$9:$N$38,10,FALSE)+VLOOKUP(D16,Hipotesis!$D$9:$N$38,11,FALSE))</f>
        <v>0</v>
      </c>
      <c r="U16">
        <v>0</v>
      </c>
      <c r="V16">
        <f>G16*VLOOKUP(D16,Hipotesis!$D$9:$S$38,16,FALSE)+((VLOOKUP(D16,Hipotesis!$D$9:$T$38,17,FALSE)/$B$4)*M15)/12</f>
        <v>2.0425820091797647E-2</v>
      </c>
      <c r="W16">
        <f>(1+VLOOKUP(D16,Hipotesis!$D$9:$P$38,13,FALSE))^(1/12)-1</f>
        <v>0</v>
      </c>
      <c r="X16">
        <f t="shared" si="15"/>
        <v>0</v>
      </c>
      <c r="Y16">
        <f t="shared" si="4"/>
        <v>0.14885996363297757</v>
      </c>
      <c r="Z16">
        <f>(1+VLOOKUP(D16,Hipotesis!$D$9:$O$38,12,))^(1/12)-1</f>
        <v>4.0971966653648995E-3</v>
      </c>
      <c r="AA16">
        <f t="shared" si="16"/>
        <v>0.14983072923655058</v>
      </c>
      <c r="AB16">
        <f t="shared" si="17"/>
        <v>-9.7076560357302008E-4</v>
      </c>
      <c r="AC16" s="68">
        <f t="shared" si="5"/>
        <v>-2.0425820091797647E-2</v>
      </c>
      <c r="AD16">
        <f t="shared" si="6"/>
        <v>-0.21374817431917531</v>
      </c>
      <c r="AE16" s="67">
        <f t="shared" si="7"/>
        <v>0.70517745165065393</v>
      </c>
      <c r="AF16" s="67">
        <f t="shared" si="8"/>
        <v>0.21155323549519617</v>
      </c>
      <c r="AG16" s="67">
        <f t="shared" si="9"/>
        <v>0.49362421615545776</v>
      </c>
      <c r="AJ16">
        <v>8</v>
      </c>
      <c r="AK16" s="67">
        <f>SUM(AG87:AG98)</f>
        <v>1.2892799588301629</v>
      </c>
      <c r="AL16">
        <f>G87</f>
        <v>20.792311744923794</v>
      </c>
      <c r="AM16">
        <f>AM15/(1+Hipotesis!O15)</f>
        <v>0.71898541411816719</v>
      </c>
      <c r="AN16" s="67">
        <f t="shared" si="18"/>
        <v>0.88846750909228756</v>
      </c>
      <c r="AO16">
        <f t="shared" si="19"/>
        <v>14.949368870398065</v>
      </c>
      <c r="AP16" s="67">
        <f t="shared" si="20"/>
        <v>0.71055943424442181</v>
      </c>
      <c r="AQ16" s="67">
        <f>SUM($AN$9:AN16)</f>
        <v>4.9649993750535373</v>
      </c>
      <c r="AR16" s="67" t="str">
        <f t="shared" si="21"/>
        <v>GANANCIA</v>
      </c>
    </row>
    <row r="17" spans="4:44" x14ac:dyDescent="0.2">
      <c r="D17" s="50">
        <v>2</v>
      </c>
      <c r="E17">
        <v>3</v>
      </c>
      <c r="F17">
        <f t="shared" si="0"/>
        <v>51</v>
      </c>
      <c r="G17">
        <f t="shared" si="10"/>
        <v>0</v>
      </c>
      <c r="H17" s="64">
        <f>IF(E17="Anual",VLOOKUP(F17,Hipotesis!$E$9:$J$38,6,FALSE),1-(1-VLOOKUP(F17,Hipotesis!$E$9:$J$38,6,FALSE))^(1/12))</f>
        <v>2.6161516815303987E-4</v>
      </c>
      <c r="I17">
        <f t="shared" si="11"/>
        <v>0.21102325550022233</v>
      </c>
      <c r="J17">
        <v>0</v>
      </c>
      <c r="K17">
        <f>1-(1-VLOOKUP(D17,Hipotesis!$D$9:$K$38,8,FALSE))^(1/12)</f>
        <v>1.2489919487016277E-2</v>
      </c>
      <c r="L17">
        <f t="shared" si="12"/>
        <v>10.07194636360782</v>
      </c>
      <c r="M17">
        <f t="shared" si="13"/>
        <v>796.33408163985314</v>
      </c>
      <c r="N17">
        <f>IF(D17=1,(VLOOKUP(D17,'Primas Netas Y Reservas'!$D$4:$I$33,5,FALSE)+(VLOOKUP(D17,'Primas Netas Y Reservas'!$D$4:$I$33,6,FALSE)-VLOOKUP(D17,'Primas Netas Y Reservas'!$D$4:$I$33,5,FALSE))*(E17/12))/1000,((VLOOKUP(D17-1,'Primas Netas Y Reservas'!$D$4:$I$33,6,FALSE)+VLOOKUP(D17,'Primas Netas Y Reservas'!$D$4:$I$33,5,FALSE))+(VLOOKUP(D17,'Primas Netas Y Reservas'!$D$4:$I$33,6,FALSE)-VLOOKUP(D17-1,'Primas Netas Y Reservas'!$D$4:$I$33,6,FALSE)-VLOOKUP(D17,'Primas Netas Y Reservas'!$D$4:$I$33,5,FALSE))*(E17/12))/1000)</f>
        <v>4.3954307045465553E-2</v>
      </c>
      <c r="O17">
        <f t="shared" si="14"/>
        <v>-0.77627983519701615</v>
      </c>
      <c r="P17">
        <f>VLOOKUP(D17,Hipotesis!$D$9:$S$38,15,FALSE)*N17</f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>G17*(VLOOKUP(D17,Hipotesis!$D$9:$N$38,9,FALSE)+VLOOKUP(D17,Hipotesis!$D$9:$N$38,10,FALSE)+VLOOKUP(D17,Hipotesis!$D$9:$N$38,11,FALSE))</f>
        <v>0</v>
      </c>
      <c r="U17">
        <v>0</v>
      </c>
      <c r="V17">
        <f>G17*VLOOKUP(D17,Hipotesis!$D$9:$S$38,16,FALSE)+((VLOOKUP(D17,Hipotesis!$D$9:$T$38,17,FALSE)/$B$4)*M16)/12</f>
        <v>2.0165426281474028E-2</v>
      </c>
      <c r="W17">
        <f>(1+VLOOKUP(D17,Hipotesis!$D$9:$P$38,13,FALSE))^(1/12)-1</f>
        <v>0</v>
      </c>
      <c r="X17">
        <f t="shared" si="15"/>
        <v>0</v>
      </c>
      <c r="Y17">
        <f t="shared" si="4"/>
        <v>0.14563354014638008</v>
      </c>
      <c r="Z17">
        <f>(1+VLOOKUP(D17,Hipotesis!$D$9:$O$38,12,))^(1/12)-1</f>
        <v>4.0971966653648995E-3</v>
      </c>
      <c r="AA17">
        <f t="shared" si="16"/>
        <v>0.14659193017074457</v>
      </c>
      <c r="AB17">
        <f t="shared" si="17"/>
        <v>-9.5839002436447739E-4</v>
      </c>
      <c r="AC17" s="68">
        <f t="shared" si="5"/>
        <v>-2.0165426281474028E-2</v>
      </c>
      <c r="AD17">
        <f t="shared" si="6"/>
        <v>-0.21102325550022233</v>
      </c>
      <c r="AE17" s="67">
        <f t="shared" si="7"/>
        <v>0.69072469356169985</v>
      </c>
      <c r="AF17" s="67">
        <f t="shared" si="8"/>
        <v>0.20721740806850994</v>
      </c>
      <c r="AG17" s="67">
        <f t="shared" si="9"/>
        <v>0.48350728549318989</v>
      </c>
      <c r="AJ17">
        <v>9</v>
      </c>
      <c r="AK17" s="67">
        <f>SUM(AG99:AG110)</f>
        <v>0.39941055315763141</v>
      </c>
      <c r="AL17">
        <f>G99</f>
        <v>19.398083166510229</v>
      </c>
      <c r="AM17">
        <f>AM16/(1+Hipotesis!O16)</f>
        <v>0.68911914980703237</v>
      </c>
      <c r="AN17" s="67">
        <f t="shared" si="18"/>
        <v>0.26520661589036226</v>
      </c>
      <c r="AO17">
        <f t="shared" si="19"/>
        <v>13.367590579591635</v>
      </c>
      <c r="AP17" s="67">
        <f t="shared" si="20"/>
        <v>0.20432869487878405</v>
      </c>
      <c r="AQ17" s="67">
        <f>SUM($AN$9:AN17)</f>
        <v>5.2302059909438992</v>
      </c>
      <c r="AR17" s="67" t="str">
        <f t="shared" si="21"/>
        <v>GANANCIA</v>
      </c>
    </row>
    <row r="18" spans="4:44" x14ac:dyDescent="0.2">
      <c r="D18" s="50">
        <v>2</v>
      </c>
      <c r="E18">
        <v>4</v>
      </c>
      <c r="F18">
        <f t="shared" si="0"/>
        <v>51</v>
      </c>
      <c r="G18">
        <f t="shared" si="10"/>
        <v>0</v>
      </c>
      <c r="H18" s="64">
        <f>IF(E18="Anual",VLOOKUP(F18,Hipotesis!$E$9:$J$38,6,FALSE),1-(1-VLOOKUP(F18,Hipotesis!$E$9:$J$38,6,FALSE))^(1/12))</f>
        <v>2.6161516815303987E-4</v>
      </c>
      <c r="I18">
        <f t="shared" si="11"/>
        <v>0.20833307467420675</v>
      </c>
      <c r="J18">
        <v>0</v>
      </c>
      <c r="K18">
        <f>1-(1-VLOOKUP(D18,Hipotesis!$D$9:$K$38,8,FALSE))^(1/12)</f>
        <v>1.2489919487016277E-2</v>
      </c>
      <c r="L18">
        <f t="shared" si="12"/>
        <v>9.9435465011196484</v>
      </c>
      <c r="M18">
        <f t="shared" si="13"/>
        <v>786.18220206405931</v>
      </c>
      <c r="N18">
        <f>IF(D18=1,(VLOOKUP(D18,'Primas Netas Y Reservas'!$D$4:$I$33,5,FALSE)+(VLOOKUP(D18,'Primas Netas Y Reservas'!$D$4:$I$33,6,FALSE)-VLOOKUP(D18,'Primas Netas Y Reservas'!$D$4:$I$33,5,FALSE))*(E18/12))/1000,((VLOOKUP(D18-1,'Primas Netas Y Reservas'!$D$4:$I$33,6,FALSE)+VLOOKUP(D18,'Primas Netas Y Reservas'!$D$4:$I$33,5,FALSE))+(VLOOKUP(D18,'Primas Netas Y Reservas'!$D$4:$I$33,6,FALSE)-VLOOKUP(D18-1,'Primas Netas Y Reservas'!$D$4:$I$33,6,FALSE)-VLOOKUP(D18,'Primas Netas Y Reservas'!$D$4:$I$33,5,FALSE))*(E18/12))/1000)</f>
        <v>4.3552258724377652E-2</v>
      </c>
      <c r="O18">
        <f t="shared" si="14"/>
        <v>-0.76230206637207942</v>
      </c>
      <c r="P18">
        <f>VLOOKUP(D18,Hipotesis!$D$9:$S$38,15,FALSE)*N18</f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>G18*(VLOOKUP(D18,Hipotesis!$D$9:$N$38,9,FALSE)+VLOOKUP(D18,Hipotesis!$D$9:$N$38,10,FALSE)+VLOOKUP(D18,Hipotesis!$D$9:$N$38,11,FALSE))</f>
        <v>0</v>
      </c>
      <c r="U18">
        <v>0</v>
      </c>
      <c r="V18">
        <f>G18*VLOOKUP(D18,Hipotesis!$D$9:$S$38,16,FALSE)+((VLOOKUP(D18,Hipotesis!$D$9:$T$38,17,FALSE)/$B$4)*M17)/12</f>
        <v>1.9908352040996325E-2</v>
      </c>
      <c r="W18">
        <f>(1+VLOOKUP(D18,Hipotesis!$D$9:$P$38,13,FALSE))^(1/12)-1</f>
        <v>0</v>
      </c>
      <c r="X18">
        <f t="shared" si="15"/>
        <v>0</v>
      </c>
      <c r="Y18">
        <f t="shared" si="4"/>
        <v>0.1424651868062401</v>
      </c>
      <c r="Z18">
        <f>(1+VLOOKUP(D18,Hipotesis!$D$9:$O$38,12,))^(1/12)-1</f>
        <v>4.0971966653648995E-3</v>
      </c>
      <c r="AA18">
        <f t="shared" si="16"/>
        <v>0.14341135901858534</v>
      </c>
      <c r="AB18">
        <f t="shared" si="17"/>
        <v>-9.4617221234523678E-4</v>
      </c>
      <c r="AC18" s="68">
        <f t="shared" si="5"/>
        <v>-1.9908352040996325E-2</v>
      </c>
      <c r="AD18">
        <f t="shared" si="6"/>
        <v>-0.20833307467420675</v>
      </c>
      <c r="AE18" s="67">
        <f t="shared" si="7"/>
        <v>0.67652582646311654</v>
      </c>
      <c r="AF18" s="67">
        <f t="shared" si="8"/>
        <v>0.20295774793893495</v>
      </c>
      <c r="AG18" s="67">
        <f t="shared" si="9"/>
        <v>0.47356807852418159</v>
      </c>
      <c r="AJ18">
        <v>10</v>
      </c>
      <c r="AK18" s="67">
        <f>SUM(AG111:AG122)</f>
        <v>-0.57412738599116464</v>
      </c>
      <c r="AL18">
        <f>G111</f>
        <v>18.086907338054193</v>
      </c>
      <c r="AM18">
        <f>AM17/(1+Hipotesis!O17)</f>
        <v>0.66399501413698447</v>
      </c>
      <c r="AN18" s="67">
        <f t="shared" si="18"/>
        <v>-0.3685187643572157</v>
      </c>
      <c r="AO18">
        <f t="shared" si="19"/>
        <v>12.009616293625623</v>
      </c>
      <c r="AP18" s="67">
        <f t="shared" si="20"/>
        <v>-0.27263068580827843</v>
      </c>
      <c r="AQ18" s="67">
        <f>SUM($AN$9:AN18)</f>
        <v>4.8616872265866835</v>
      </c>
      <c r="AR18" s="67" t="str">
        <f t="shared" si="21"/>
        <v>GANANCIA</v>
      </c>
    </row>
    <row r="19" spans="4:44" x14ac:dyDescent="0.2">
      <c r="D19" s="50">
        <v>2</v>
      </c>
      <c r="E19">
        <v>5</v>
      </c>
      <c r="F19">
        <f t="shared" si="0"/>
        <v>51</v>
      </c>
      <c r="G19">
        <f t="shared" si="10"/>
        <v>0</v>
      </c>
      <c r="H19" s="64">
        <f>IF(E19="Anual",VLOOKUP(F19,Hipotesis!$E$9:$J$38,6,FALSE),1-(1-VLOOKUP(F19,Hipotesis!$E$9:$J$38,6,FALSE))^(1/12))</f>
        <v>2.6161516815303987E-4</v>
      </c>
      <c r="I19">
        <f t="shared" si="11"/>
        <v>0.20567718899191603</v>
      </c>
      <c r="J19">
        <v>0</v>
      </c>
      <c r="K19">
        <f>1-(1-VLOOKUP(D19,Hipotesis!$D$9:$K$38,8,FALSE))^(1/12)</f>
        <v>1.2489919487016277E-2</v>
      </c>
      <c r="L19">
        <f t="shared" si="12"/>
        <v>9.8167835143744373</v>
      </c>
      <c r="M19">
        <f t="shared" si="13"/>
        <v>776.15974136069292</v>
      </c>
      <c r="N19">
        <f>IF(D19=1,(VLOOKUP(D19,'Primas Netas Y Reservas'!$D$4:$I$33,5,FALSE)+(VLOOKUP(D19,'Primas Netas Y Reservas'!$D$4:$I$33,6,FALSE)-VLOOKUP(D19,'Primas Netas Y Reservas'!$D$4:$I$33,5,FALSE))*(E19/12))/1000,((VLOOKUP(D19-1,'Primas Netas Y Reservas'!$D$4:$I$33,6,FALSE)+VLOOKUP(D19,'Primas Netas Y Reservas'!$D$4:$I$33,5,FALSE))+(VLOOKUP(D19,'Primas Netas Y Reservas'!$D$4:$I$33,6,FALSE)-VLOOKUP(D19-1,'Primas Netas Y Reservas'!$D$4:$I$33,6,FALSE)-VLOOKUP(D19,'Primas Netas Y Reservas'!$D$4:$I$33,5,FALSE))*(E19/12))/1000)</f>
        <v>4.3150210403289743E-2</v>
      </c>
      <c r="O19">
        <f t="shared" si="14"/>
        <v>-0.74855452251801324</v>
      </c>
      <c r="P19">
        <f>VLOOKUP(D19,Hipotesis!$D$9:$S$38,15,FALSE)*N19</f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>G19*(VLOOKUP(D19,Hipotesis!$D$9:$N$38,9,FALSE)+VLOOKUP(D19,Hipotesis!$D$9:$N$38,10,FALSE)+VLOOKUP(D19,Hipotesis!$D$9:$N$38,11,FALSE))</f>
        <v>0</v>
      </c>
      <c r="U19">
        <v>0</v>
      </c>
      <c r="V19">
        <f>G19*VLOOKUP(D19,Hipotesis!$D$9:$S$38,16,FALSE)+((VLOOKUP(D19,Hipotesis!$D$9:$T$38,17,FALSE)/$B$4)*M18)/12</f>
        <v>1.9654555051601481E-2</v>
      </c>
      <c r="W19">
        <f>(1+VLOOKUP(D19,Hipotesis!$D$9:$P$38,13,FALSE))^(1/12)-1</f>
        <v>0</v>
      </c>
      <c r="X19">
        <f t="shared" si="15"/>
        <v>0</v>
      </c>
      <c r="Y19">
        <f t="shared" si="4"/>
        <v>0.13935394737798787</v>
      </c>
      <c r="Z19">
        <f>(1+VLOOKUP(D19,Hipotesis!$D$9:$O$38,12,))^(1/12)-1</f>
        <v>4.0971966653648995E-3</v>
      </c>
      <c r="AA19">
        <f t="shared" si="16"/>
        <v>0.14028805753424489</v>
      </c>
      <c r="AB19">
        <f t="shared" si="17"/>
        <v>-9.3411015625702895E-4</v>
      </c>
      <c r="AC19" s="68">
        <f t="shared" si="5"/>
        <v>-1.9654555051601481E-2</v>
      </c>
      <c r="AD19">
        <f t="shared" si="6"/>
        <v>-0.20567718899191603</v>
      </c>
      <c r="AE19" s="67">
        <f t="shared" si="7"/>
        <v>0.66257672585248362</v>
      </c>
      <c r="AF19" s="67">
        <f t="shared" si="8"/>
        <v>0.19877301775574507</v>
      </c>
      <c r="AG19" s="67">
        <f t="shared" si="9"/>
        <v>0.46380370809673854</v>
      </c>
      <c r="AJ19">
        <v>11</v>
      </c>
      <c r="AK19" s="67">
        <f>SUM(AG123:AG134)</f>
        <v>-0.48741991000644802</v>
      </c>
      <c r="AL19">
        <v>0</v>
      </c>
      <c r="AM19">
        <f>AM18/(1+Hipotesis!O18)</f>
        <v>0.64187630367259108</v>
      </c>
      <c r="AN19" s="67">
        <f t="shared" si="18"/>
        <v>-0.30201860661343183</v>
      </c>
      <c r="AO19">
        <f t="shared" si="19"/>
        <v>0</v>
      </c>
      <c r="AP19" s="67">
        <f t="shared" si="20"/>
        <v>-0.21484556109217745</v>
      </c>
      <c r="AQ19" s="67">
        <f>SUM($AN$9:AN19)</f>
        <v>4.5596686199732517</v>
      </c>
      <c r="AR19" s="67" t="str">
        <f t="shared" si="21"/>
        <v>GANANCIA</v>
      </c>
    </row>
    <row r="20" spans="4:44" x14ac:dyDescent="0.2">
      <c r="D20" s="50">
        <v>2</v>
      </c>
      <c r="E20">
        <v>6</v>
      </c>
      <c r="F20">
        <f t="shared" si="0"/>
        <v>51</v>
      </c>
      <c r="G20">
        <f t="shared" si="10"/>
        <v>0</v>
      </c>
      <c r="H20" s="64">
        <f>IF(E20="Anual",VLOOKUP(F20,Hipotesis!$E$9:$J$38,6,FALSE),1-(1-VLOOKUP(F20,Hipotesis!$E$9:$J$38,6,FALSE))^(1/12))</f>
        <v>2.6161516815303987E-4</v>
      </c>
      <c r="I20">
        <f t="shared" si="11"/>
        <v>0.20305516124969761</v>
      </c>
      <c r="J20">
        <v>0</v>
      </c>
      <c r="K20">
        <f>1-(1-VLOOKUP(D20,Hipotesis!$D$9:$K$38,8,FALSE))^(1/12)</f>
        <v>1.2489919487016277E-2</v>
      </c>
      <c r="L20">
        <f t="shared" si="12"/>
        <v>9.6916365360429992</v>
      </c>
      <c r="M20">
        <f t="shared" si="13"/>
        <v>766.26504966340019</v>
      </c>
      <c r="N20">
        <f>IF(D20=1,(VLOOKUP(D20,'Primas Netas Y Reservas'!$D$4:$I$33,5,FALSE)+(VLOOKUP(D20,'Primas Netas Y Reservas'!$D$4:$I$33,6,FALSE)-VLOOKUP(D20,'Primas Netas Y Reservas'!$D$4:$I$33,5,FALSE))*(E20/12))/1000,((VLOOKUP(D20-1,'Primas Netas Y Reservas'!$D$4:$I$33,6,FALSE)+VLOOKUP(D20,'Primas Netas Y Reservas'!$D$4:$I$33,5,FALSE))+(VLOOKUP(D20,'Primas Netas Y Reservas'!$D$4:$I$33,6,FALSE)-VLOOKUP(D20-1,'Primas Netas Y Reservas'!$D$4:$I$33,6,FALSE)-VLOOKUP(D20,'Primas Netas Y Reservas'!$D$4:$I$33,5,FALSE))*(E20/12))/1000)</f>
        <v>4.2748162082201828E-2</v>
      </c>
      <c r="O20">
        <f t="shared" si="14"/>
        <v>-0.73503360533938178</v>
      </c>
      <c r="P20">
        <f>VLOOKUP(D20,Hipotesis!$D$9:$S$38,15,FALSE)*N20</f>
        <v>0</v>
      </c>
      <c r="Q20">
        <f t="shared" si="1"/>
        <v>0</v>
      </c>
      <c r="R20">
        <f t="shared" si="2"/>
        <v>0</v>
      </c>
      <c r="S20">
        <f t="shared" si="3"/>
        <v>0</v>
      </c>
      <c r="T20">
        <f>G20*(VLOOKUP(D20,Hipotesis!$D$9:$N$38,9,FALSE)+VLOOKUP(D20,Hipotesis!$D$9:$N$38,10,FALSE)+VLOOKUP(D20,Hipotesis!$D$9:$N$38,11,FALSE))</f>
        <v>0</v>
      </c>
      <c r="U20">
        <v>0</v>
      </c>
      <c r="V20">
        <f>G20*VLOOKUP(D20,Hipotesis!$D$9:$S$38,16,FALSE)+((VLOOKUP(D20,Hipotesis!$D$9:$T$38,17,FALSE)/$B$4)*M19)/12</f>
        <v>1.9403993534017321E-2</v>
      </c>
      <c r="W20">
        <f>(1+VLOOKUP(D20,Hipotesis!$D$9:$P$38,13,FALSE))^(1/12)-1</f>
        <v>0</v>
      </c>
      <c r="X20">
        <f t="shared" si="15"/>
        <v>0</v>
      </c>
      <c r="Y20">
        <f t="shared" si="4"/>
        <v>0.13629888057025863</v>
      </c>
      <c r="Z20">
        <f>(1+VLOOKUP(D20,Hipotesis!$D$9:$O$38,12,))^(1/12)-1</f>
        <v>4.0971966653648995E-3</v>
      </c>
      <c r="AA20">
        <f t="shared" si="16"/>
        <v>0.13722108244074027</v>
      </c>
      <c r="AB20">
        <f t="shared" si="17"/>
        <v>-9.2220187048164238E-4</v>
      </c>
      <c r="AC20" s="68">
        <f t="shared" si="5"/>
        <v>-1.9403993534017321E-2</v>
      </c>
      <c r="AD20">
        <f t="shared" si="6"/>
        <v>-0.20305516124969761</v>
      </c>
      <c r="AE20" s="67">
        <f t="shared" si="7"/>
        <v>0.64887333112592549</v>
      </c>
      <c r="AF20" s="67">
        <f t="shared" si="8"/>
        <v>0.19466199933777764</v>
      </c>
      <c r="AG20" s="67">
        <f t="shared" si="9"/>
        <v>0.45421133178814788</v>
      </c>
      <c r="AJ20">
        <v>12</v>
      </c>
      <c r="AK20" s="67">
        <f>SUM(AG135:AG146)</f>
        <v>-0.58788929433244419</v>
      </c>
      <c r="AL20">
        <v>0</v>
      </c>
      <c r="AM20">
        <f>AM19/(1+Hipotesis!O19)</f>
        <v>0.61962714368692173</v>
      </c>
      <c r="AN20" s="67">
        <f t="shared" si="18"/>
        <v>-0.3520719863460961</v>
      </c>
      <c r="AO20">
        <f t="shared" si="19"/>
        <v>0</v>
      </c>
      <c r="AP20" s="67">
        <f t="shared" si="20"/>
        <v>-0.24053336052338095</v>
      </c>
      <c r="AQ20" s="67">
        <f>SUM($AN$9:AN20)</f>
        <v>4.2075966336271557</v>
      </c>
      <c r="AR20" s="67" t="str">
        <f t="shared" si="21"/>
        <v>GANANCIA</v>
      </c>
    </row>
    <row r="21" spans="4:44" x14ac:dyDescent="0.2">
      <c r="D21" s="50">
        <v>2</v>
      </c>
      <c r="E21">
        <v>7</v>
      </c>
      <c r="F21">
        <f t="shared" si="0"/>
        <v>51</v>
      </c>
      <c r="G21">
        <f t="shared" si="10"/>
        <v>0</v>
      </c>
      <c r="H21" s="64">
        <f>IF(E21="Anual",VLOOKUP(F21,Hipotesis!$E$9:$J$38,6,FALSE),1-(1-VLOOKUP(F21,Hipotesis!$E$9:$J$38,6,FALSE))^(1/12))</f>
        <v>2.6161516815303987E-4</v>
      </c>
      <c r="I21">
        <f t="shared" si="11"/>
        <v>0.20046655981748787</v>
      </c>
      <c r="J21">
        <v>0</v>
      </c>
      <c r="K21">
        <f>1-(1-VLOOKUP(D21,Hipotesis!$D$9:$K$38,8,FALSE))^(1/12)</f>
        <v>1.2489919487016277E-2</v>
      </c>
      <c r="L21">
        <f t="shared" si="12"/>
        <v>9.5680849648184374</v>
      </c>
      <c r="M21">
        <f t="shared" si="13"/>
        <v>756.4964981387642</v>
      </c>
      <c r="N21">
        <f>IF(D21=1,(VLOOKUP(D21,'Primas Netas Y Reservas'!$D$4:$I$33,5,FALSE)+(VLOOKUP(D21,'Primas Netas Y Reservas'!$D$4:$I$33,6,FALSE)-VLOOKUP(D21,'Primas Netas Y Reservas'!$D$4:$I$33,5,FALSE))*(E21/12))/1000,((VLOOKUP(D21-1,'Primas Netas Y Reservas'!$D$4:$I$33,6,FALSE)+VLOOKUP(D21,'Primas Netas Y Reservas'!$D$4:$I$33,5,FALSE))+(VLOOKUP(D21,'Primas Netas Y Reservas'!$D$4:$I$33,6,FALSE)-VLOOKUP(D21-1,'Primas Netas Y Reservas'!$D$4:$I$33,6,FALSE)-VLOOKUP(D21,'Primas Netas Y Reservas'!$D$4:$I$33,5,FALSE))*(E21/12))/1000)</f>
        <v>4.2346113761113927E-2</v>
      </c>
      <c r="O21">
        <f t="shared" si="14"/>
        <v>-0.72173577086904572</v>
      </c>
      <c r="P21">
        <f>VLOOKUP(D21,Hipotesis!$D$9:$S$38,15,FALSE)*N21</f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>G21*(VLOOKUP(D21,Hipotesis!$D$9:$N$38,9,FALSE)+VLOOKUP(D21,Hipotesis!$D$9:$N$38,10,FALSE)+VLOOKUP(D21,Hipotesis!$D$9:$N$38,11,FALSE))</f>
        <v>0</v>
      </c>
      <c r="U21">
        <v>0</v>
      </c>
      <c r="V21">
        <f>G21*VLOOKUP(D21,Hipotesis!$D$9:$S$38,16,FALSE)+((VLOOKUP(D21,Hipotesis!$D$9:$T$38,17,FALSE)/$B$4)*M20)/12</f>
        <v>1.9156626241585002E-2</v>
      </c>
      <c r="W21">
        <f>(1+VLOOKUP(D21,Hipotesis!$D$9:$P$38,13,FALSE))^(1/12)-1</f>
        <v>0</v>
      </c>
      <c r="X21">
        <f t="shared" si="15"/>
        <v>0</v>
      </c>
      <c r="Y21">
        <f t="shared" si="4"/>
        <v>0.13329905980929857</v>
      </c>
      <c r="Z21">
        <f>(1+VLOOKUP(D21,Hipotesis!$D$9:$O$38,12,))^(1/12)-1</f>
        <v>4.0971966653648995E-3</v>
      </c>
      <c r="AA21">
        <f t="shared" si="16"/>
        <v>0.13420950520401262</v>
      </c>
      <c r="AB21">
        <f t="shared" si="17"/>
        <v>-9.1044539471405686E-4</v>
      </c>
      <c r="AC21" s="68">
        <f t="shared" si="5"/>
        <v>-1.9156626241585002E-2</v>
      </c>
      <c r="AD21">
        <f t="shared" si="6"/>
        <v>-0.20046655981748787</v>
      </c>
      <c r="AE21" s="67">
        <f t="shared" si="7"/>
        <v>0.63541164461927147</v>
      </c>
      <c r="AF21" s="67">
        <f t="shared" si="8"/>
        <v>0.19062349338578144</v>
      </c>
      <c r="AG21" s="67">
        <f t="shared" si="9"/>
        <v>0.44478815123349003</v>
      </c>
      <c r="AJ21">
        <v>13</v>
      </c>
      <c r="AK21" s="67">
        <f>SUM(AG147:AG158)</f>
        <v>-0.8537713888579368</v>
      </c>
      <c r="AL21">
        <v>0</v>
      </c>
      <c r="AM21">
        <f>AM20/(1+Hipotesis!O20)</f>
        <v>0.59887463462977042</v>
      </c>
      <c r="AN21" s="67">
        <f t="shared" si="18"/>
        <v>-0.49561087349157551</v>
      </c>
      <c r="AO21">
        <f t="shared" si="19"/>
        <v>0</v>
      </c>
      <c r="AP21" s="67">
        <f t="shared" si="20"/>
        <v>-0.32424852669583487</v>
      </c>
      <c r="AQ21" s="67">
        <f>SUM($AN$9:AN21)</f>
        <v>3.7119857601355801</v>
      </c>
      <c r="AR21" s="67" t="str">
        <f t="shared" si="21"/>
        <v>GANANCIA</v>
      </c>
    </row>
    <row r="22" spans="4:44" x14ac:dyDescent="0.2">
      <c r="D22" s="50">
        <v>2</v>
      </c>
      <c r="E22">
        <v>8</v>
      </c>
      <c r="F22">
        <f t="shared" si="0"/>
        <v>51</v>
      </c>
      <c r="G22">
        <f t="shared" si="10"/>
        <v>0</v>
      </c>
      <c r="H22" s="64">
        <f>IF(E22="Anual",VLOOKUP(F22,Hipotesis!$E$9:$J$38,6,FALSE),1-(1-VLOOKUP(F22,Hipotesis!$E$9:$J$38,6,FALSE))^(1/12))</f>
        <v>2.6161516815303987E-4</v>
      </c>
      <c r="I22">
        <f t="shared" si="11"/>
        <v>0.19791095856775862</v>
      </c>
      <c r="J22">
        <v>0</v>
      </c>
      <c r="K22">
        <f>1-(1-VLOOKUP(D22,Hipotesis!$D$9:$K$38,8,FALSE))^(1/12)</f>
        <v>1.2489919487016277E-2</v>
      </c>
      <c r="L22">
        <f t="shared" si="12"/>
        <v>9.4461084620248137</v>
      </c>
      <c r="M22">
        <f t="shared" si="13"/>
        <v>746.85247871817171</v>
      </c>
      <c r="N22">
        <f>IF(D22=1,(VLOOKUP(D22,'Primas Netas Y Reservas'!$D$4:$I$33,5,FALSE)+(VLOOKUP(D22,'Primas Netas Y Reservas'!$D$4:$I$33,6,FALSE)-VLOOKUP(D22,'Primas Netas Y Reservas'!$D$4:$I$33,5,FALSE))*(E22/12))/1000,((VLOOKUP(D22-1,'Primas Netas Y Reservas'!$D$4:$I$33,6,FALSE)+VLOOKUP(D22,'Primas Netas Y Reservas'!$D$4:$I$33,5,FALSE))+(VLOOKUP(D22,'Primas Netas Y Reservas'!$D$4:$I$33,6,FALSE)-VLOOKUP(D22-1,'Primas Netas Y Reservas'!$D$4:$I$33,6,FALSE)-VLOOKUP(D22,'Primas Netas Y Reservas'!$D$4:$I$33,5,FALSE))*(E22/12))/1000)</f>
        <v>4.1944065440026018E-2</v>
      </c>
      <c r="O22">
        <f t="shared" si="14"/>
        <v>-0.70865752866778564</v>
      </c>
      <c r="P22">
        <f>VLOOKUP(D22,Hipotesis!$D$9:$S$38,15,FALSE)*N22</f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>G22*(VLOOKUP(D22,Hipotesis!$D$9:$N$38,9,FALSE)+VLOOKUP(D22,Hipotesis!$D$9:$N$38,10,FALSE)+VLOOKUP(D22,Hipotesis!$D$9:$N$38,11,FALSE))</f>
        <v>0</v>
      </c>
      <c r="U22">
        <v>0</v>
      </c>
      <c r="V22">
        <f>G22*VLOOKUP(D22,Hipotesis!$D$9:$S$38,16,FALSE)+((VLOOKUP(D22,Hipotesis!$D$9:$T$38,17,FALSE)/$B$4)*M21)/12</f>
        <v>1.8912412453469103E-2</v>
      </c>
      <c r="W22">
        <f>(1+VLOOKUP(D22,Hipotesis!$D$9:$P$38,13,FALSE))^(1/12)-1</f>
        <v>0</v>
      </c>
      <c r="X22">
        <f t="shared" si="15"/>
        <v>0</v>
      </c>
      <c r="Y22">
        <f t="shared" si="4"/>
        <v>0.13035357301669365</v>
      </c>
      <c r="Z22">
        <f>(1+VLOOKUP(D22,Hipotesis!$D$9:$O$38,12,))^(1/12)-1</f>
        <v>4.0971966653648995E-3</v>
      </c>
      <c r="AA22">
        <f t="shared" si="16"/>
        <v>0.1312524118103334</v>
      </c>
      <c r="AB22">
        <f t="shared" si="17"/>
        <v>-8.9883879363974366E-4</v>
      </c>
      <c r="AC22" s="68">
        <f t="shared" si="5"/>
        <v>-1.8912412453469103E-2</v>
      </c>
      <c r="AD22">
        <f t="shared" si="6"/>
        <v>-0.19791095856775862</v>
      </c>
      <c r="AE22" s="67">
        <f t="shared" si="7"/>
        <v>0.62218773066325161</v>
      </c>
      <c r="AF22" s="67">
        <f t="shared" si="8"/>
        <v>0.18665631919897549</v>
      </c>
      <c r="AG22" s="67">
        <f t="shared" si="9"/>
        <v>0.4355314114642761</v>
      </c>
      <c r="AJ22">
        <v>14</v>
      </c>
      <c r="AK22" s="67">
        <f>SUM(AG159:AG170)</f>
        <v>0.83769612198049281</v>
      </c>
      <c r="AL22">
        <v>0</v>
      </c>
      <c r="AM22">
        <f>AM21/(1+Hipotesis!O21)</f>
        <v>0.58049599689038378</v>
      </c>
      <c r="AN22" s="67">
        <f t="shared" si="18"/>
        <v>0.46346393583753875</v>
      </c>
      <c r="AO22">
        <f t="shared" si="19"/>
        <v>0</v>
      </c>
      <c r="AP22" s="67">
        <f t="shared" si="20"/>
        <v>0.2953109609250596</v>
      </c>
      <c r="AQ22" s="67">
        <f>SUM($AN$9:AN22)</f>
        <v>4.1754496959731187</v>
      </c>
      <c r="AR22" s="67" t="str">
        <f t="shared" si="21"/>
        <v>GANANCIA</v>
      </c>
    </row>
    <row r="23" spans="4:44" x14ac:dyDescent="0.2">
      <c r="D23" s="50">
        <v>2</v>
      </c>
      <c r="E23">
        <v>9</v>
      </c>
      <c r="F23">
        <f t="shared" si="0"/>
        <v>51</v>
      </c>
      <c r="G23">
        <f t="shared" si="10"/>
        <v>0</v>
      </c>
      <c r="H23" s="64">
        <f>IF(E23="Anual",VLOOKUP(F23,Hipotesis!$E$9:$J$38,6,FALSE),1-(1-VLOOKUP(F23,Hipotesis!$E$9:$J$38,6,FALSE))^(1/12))</f>
        <v>2.6161516815303987E-4</v>
      </c>
      <c r="I23">
        <f t="shared" si="11"/>
        <v>0.19538793680536912</v>
      </c>
      <c r="J23">
        <v>0</v>
      </c>
      <c r="K23">
        <f>1-(1-VLOOKUP(D23,Hipotesis!$D$9:$K$38,8,FALSE))^(1/12)</f>
        <v>1.2489919487016277E-2</v>
      </c>
      <c r="L23">
        <f t="shared" si="12"/>
        <v>9.3256869482690696</v>
      </c>
      <c r="M23">
        <f t="shared" si="13"/>
        <v>737.33140383309728</v>
      </c>
      <c r="N23">
        <f>IF(D23=1,(VLOOKUP(D23,'Primas Netas Y Reservas'!$D$4:$I$33,5,FALSE)+(VLOOKUP(D23,'Primas Netas Y Reservas'!$D$4:$I$33,6,FALSE)-VLOOKUP(D23,'Primas Netas Y Reservas'!$D$4:$I$33,5,FALSE))*(E23/12))/1000,((VLOOKUP(D23-1,'Primas Netas Y Reservas'!$D$4:$I$33,6,FALSE)+VLOOKUP(D23,'Primas Netas Y Reservas'!$D$4:$I$33,5,FALSE))+(VLOOKUP(D23,'Primas Netas Y Reservas'!$D$4:$I$33,6,FALSE)-VLOOKUP(D23-1,'Primas Netas Y Reservas'!$D$4:$I$33,6,FALSE)-VLOOKUP(D23,'Primas Netas Y Reservas'!$D$4:$I$33,5,FALSE))*(E23/12))/1000)</f>
        <v>4.154201711893811E-2</v>
      </c>
      <c r="O23">
        <f t="shared" si="14"/>
        <v>-0.69579544103543611</v>
      </c>
      <c r="P23">
        <f>VLOOKUP(D23,Hipotesis!$D$9:$S$38,15,FALSE)*N23</f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>G23*(VLOOKUP(D23,Hipotesis!$D$9:$N$38,9,FALSE)+VLOOKUP(D23,Hipotesis!$D$9:$N$38,10,FALSE)+VLOOKUP(D23,Hipotesis!$D$9:$N$38,11,FALSE))</f>
        <v>0</v>
      </c>
      <c r="U23">
        <v>0</v>
      </c>
      <c r="V23">
        <f>G23*VLOOKUP(D23,Hipotesis!$D$9:$S$38,16,FALSE)+((VLOOKUP(D23,Hipotesis!$D$9:$T$38,17,FALSE)/$B$4)*M22)/12</f>
        <v>1.8671311967954293E-2</v>
      </c>
      <c r="W23">
        <f>(1+VLOOKUP(D23,Hipotesis!$D$9:$P$38,13,FALSE))^(1/12)-1</f>
        <v>0</v>
      </c>
      <c r="X23">
        <f t="shared" si="15"/>
        <v>0</v>
      </c>
      <c r="Y23">
        <f t="shared" si="4"/>
        <v>0.12746152239037392</v>
      </c>
      <c r="Z23">
        <f>(1+VLOOKUP(D23,Hipotesis!$D$9:$O$38,12,))^(1/12)-1</f>
        <v>4.0971966653648995E-3</v>
      </c>
      <c r="AA23">
        <f t="shared" si="16"/>
        <v>0.12834890254699</v>
      </c>
      <c r="AB23">
        <f t="shared" si="17"/>
        <v>-8.8738015661608144E-4</v>
      </c>
      <c r="AC23" s="68">
        <f t="shared" si="5"/>
        <v>-1.8671311967954293E-2</v>
      </c>
      <c r="AD23">
        <f t="shared" si="6"/>
        <v>-0.19538793680536912</v>
      </c>
      <c r="AE23" s="67">
        <f t="shared" si="7"/>
        <v>0.60919771465248673</v>
      </c>
      <c r="AF23" s="67">
        <f t="shared" si="8"/>
        <v>0.18275931439574603</v>
      </c>
      <c r="AG23" s="67">
        <f t="shared" si="9"/>
        <v>0.42643840025674074</v>
      </c>
      <c r="AJ23">
        <v>15</v>
      </c>
      <c r="AK23" s="67">
        <f>SUM(AG171:AG182)</f>
        <v>-0.22787021444138567</v>
      </c>
      <c r="AL23">
        <v>0</v>
      </c>
      <c r="AM23">
        <f>AM22/(1+Hipotesis!O22)</f>
        <v>0.55326021414759674</v>
      </c>
      <c r="AN23" s="67">
        <f t="shared" si="18"/>
        <v>-0.12148646497137851</v>
      </c>
      <c r="AO23">
        <f t="shared" si="19"/>
        <v>0</v>
      </c>
      <c r="AP23" s="67">
        <f t="shared" si="20"/>
        <v>-7.4565385958698438E-2</v>
      </c>
      <c r="AQ23" s="67">
        <f>SUM($AN$9:AN23)</f>
        <v>4.0539632310017399</v>
      </c>
      <c r="AR23" s="67" t="str">
        <f t="shared" si="21"/>
        <v>GANANCIA</v>
      </c>
    </row>
    <row r="24" spans="4:44" x14ac:dyDescent="0.2">
      <c r="D24" s="50">
        <v>2</v>
      </c>
      <c r="E24">
        <v>10</v>
      </c>
      <c r="F24">
        <f t="shared" si="0"/>
        <v>51</v>
      </c>
      <c r="G24">
        <f t="shared" si="10"/>
        <v>0</v>
      </c>
      <c r="H24" s="64">
        <f>IF(E24="Anual",VLOOKUP(F24,Hipotesis!$E$9:$J$38,6,FALSE),1-(1-VLOOKUP(F24,Hipotesis!$E$9:$J$38,6,FALSE))^(1/12))</f>
        <v>2.6161516815303987E-4</v>
      </c>
      <c r="I24">
        <f t="shared" si="11"/>
        <v>0.19289707919831267</v>
      </c>
      <c r="J24">
        <v>0</v>
      </c>
      <c r="K24">
        <f>1-(1-VLOOKUP(D24,Hipotesis!$D$9:$K$38,8,FALSE))^(1/12)</f>
        <v>1.2489919487016277E-2</v>
      </c>
      <c r="L24">
        <f t="shared" si="12"/>
        <v>9.2068006001356011</v>
      </c>
      <c r="M24">
        <f t="shared" si="13"/>
        <v>727.93170615376334</v>
      </c>
      <c r="N24">
        <f>IF(D24=1,(VLOOKUP(D24,'Primas Netas Y Reservas'!$D$4:$I$33,5,FALSE)+(VLOOKUP(D24,'Primas Netas Y Reservas'!$D$4:$I$33,6,FALSE)-VLOOKUP(D24,'Primas Netas Y Reservas'!$D$4:$I$33,5,FALSE))*(E24/12))/1000,((VLOOKUP(D24-1,'Primas Netas Y Reservas'!$D$4:$I$33,6,FALSE)+VLOOKUP(D24,'Primas Netas Y Reservas'!$D$4:$I$33,5,FALSE))+(VLOOKUP(D24,'Primas Netas Y Reservas'!$D$4:$I$33,6,FALSE)-VLOOKUP(D24-1,'Primas Netas Y Reservas'!$D$4:$I$33,6,FALSE)-VLOOKUP(D24,'Primas Netas Y Reservas'!$D$4:$I$33,5,FALSE))*(E24/12))/1000)</f>
        <v>4.1139968797850202E-2</v>
      </c>
      <c r="O24">
        <f t="shared" si="14"/>
        <v>-0.6831461222335129</v>
      </c>
      <c r="P24">
        <f>VLOOKUP(D24,Hipotesis!$D$9:$S$38,15,FALSE)*N24</f>
        <v>0</v>
      </c>
      <c r="Q24">
        <f t="shared" si="1"/>
        <v>0</v>
      </c>
      <c r="R24">
        <f t="shared" si="2"/>
        <v>0</v>
      </c>
      <c r="S24">
        <f t="shared" si="3"/>
        <v>0</v>
      </c>
      <c r="T24">
        <f>G24*(VLOOKUP(D24,Hipotesis!$D$9:$N$38,9,FALSE)+VLOOKUP(D24,Hipotesis!$D$9:$N$38,10,FALSE)+VLOOKUP(D24,Hipotesis!$D$9:$N$38,11,FALSE))</f>
        <v>0</v>
      </c>
      <c r="U24">
        <v>0</v>
      </c>
      <c r="V24">
        <f>G24*VLOOKUP(D24,Hipotesis!$D$9:$S$38,16,FALSE)+((VLOOKUP(D24,Hipotesis!$D$9:$T$38,17,FALSE)/$B$4)*M23)/12</f>
        <v>1.843328509582743E-2</v>
      </c>
      <c r="W24">
        <f>(1+VLOOKUP(D24,Hipotesis!$D$9:$P$38,13,FALSE))^(1/12)-1</f>
        <v>0</v>
      </c>
      <c r="X24">
        <f t="shared" si="15"/>
        <v>0</v>
      </c>
      <c r="Y24">
        <f t="shared" si="4"/>
        <v>0.1246220241888457</v>
      </c>
      <c r="Z24">
        <f>(1+VLOOKUP(D24,Hipotesis!$D$9:$O$38,12,))^(1/12)-1</f>
        <v>4.0971966653648995E-3</v>
      </c>
      <c r="AA24">
        <f t="shared" si="16"/>
        <v>0.12549809178620353</v>
      </c>
      <c r="AB24">
        <f t="shared" si="17"/>
        <v>-8.7606759735783064E-4</v>
      </c>
      <c r="AC24" s="68">
        <f t="shared" si="5"/>
        <v>-1.843328509582743E-2</v>
      </c>
      <c r="AD24">
        <f t="shared" si="6"/>
        <v>-0.19289707919831267</v>
      </c>
      <c r="AE24" s="67">
        <f t="shared" si="7"/>
        <v>0.59643778212821852</v>
      </c>
      <c r="AF24" s="67">
        <f t="shared" si="8"/>
        <v>0.17893133463846556</v>
      </c>
      <c r="AG24" s="67">
        <f t="shared" si="9"/>
        <v>0.41750644748975296</v>
      </c>
      <c r="AJ24">
        <v>16</v>
      </c>
      <c r="AK24" s="67">
        <f>SUM(AG183:AG194)</f>
        <v>-0.56321793871501602</v>
      </c>
      <c r="AL24">
        <v>0</v>
      </c>
      <c r="AM24">
        <f>AM23/(1+Hipotesis!O23)</f>
        <v>0.53313885392699312</v>
      </c>
      <c r="AN24" s="67">
        <f t="shared" si="18"/>
        <v>-0.29043339328402801</v>
      </c>
      <c r="AO24">
        <f t="shared" si="19"/>
        <v>0</v>
      </c>
      <c r="AP24" s="67">
        <f t="shared" si="20"/>
        <v>-0.17107353721813726</v>
      </c>
      <c r="AQ24" s="67">
        <f>SUM($AN$9:AN24)</f>
        <v>3.7635298377177118</v>
      </c>
      <c r="AR24" s="67" t="str">
        <f t="shared" si="21"/>
        <v>GANANCIA</v>
      </c>
    </row>
    <row r="25" spans="4:44" x14ac:dyDescent="0.2">
      <c r="D25" s="50">
        <v>2</v>
      </c>
      <c r="E25">
        <v>11</v>
      </c>
      <c r="F25">
        <f t="shared" si="0"/>
        <v>51</v>
      </c>
      <c r="G25">
        <f t="shared" si="10"/>
        <v>0</v>
      </c>
      <c r="H25" s="64">
        <f>IF(E25="Anual",VLOOKUP(F25,Hipotesis!$E$9:$J$38,6,FALSE),1-(1-VLOOKUP(F25,Hipotesis!$E$9:$J$38,6,FALSE))^(1/12))</f>
        <v>2.6161516815303987E-4</v>
      </c>
      <c r="I25">
        <f t="shared" si="11"/>
        <v>0.19043797570934601</v>
      </c>
      <c r="J25">
        <v>0</v>
      </c>
      <c r="K25">
        <f>1-(1-VLOOKUP(D25,Hipotesis!$D$9:$K$38,8,FALSE))^(1/12)</f>
        <v>1.2489919487016277E-2</v>
      </c>
      <c r="L25">
        <f t="shared" si="12"/>
        <v>9.0894298469230161</v>
      </c>
      <c r="M25">
        <f t="shared" si="13"/>
        <v>718.65183833113099</v>
      </c>
      <c r="N25">
        <f>IF(D25=1,(VLOOKUP(D25,'Primas Netas Y Reservas'!$D$4:$I$33,5,FALSE)+(VLOOKUP(D25,'Primas Netas Y Reservas'!$D$4:$I$33,6,FALSE)-VLOOKUP(D25,'Primas Netas Y Reservas'!$D$4:$I$33,5,FALSE))*(E25/12))/1000,((VLOOKUP(D25-1,'Primas Netas Y Reservas'!$D$4:$I$33,6,FALSE)+VLOOKUP(D25,'Primas Netas Y Reservas'!$D$4:$I$33,5,FALSE))+(VLOOKUP(D25,'Primas Netas Y Reservas'!$D$4:$I$33,6,FALSE)-VLOOKUP(D25-1,'Primas Netas Y Reservas'!$D$4:$I$33,6,FALSE)-VLOOKUP(D25,'Primas Netas Y Reservas'!$D$4:$I$33,5,FALSE))*(E25/12))/1000)</f>
        <v>4.07379204767623E-2</v>
      </c>
      <c r="O25">
        <f t="shared" si="14"/>
        <v>-0.67070623771903115</v>
      </c>
      <c r="P25">
        <f>VLOOKUP(D25,Hipotesis!$D$9:$S$38,15,FALSE)*N25</f>
        <v>0</v>
      </c>
      <c r="Q25">
        <f t="shared" si="1"/>
        <v>0</v>
      </c>
      <c r="R25">
        <f t="shared" si="2"/>
        <v>0</v>
      </c>
      <c r="S25">
        <f t="shared" si="3"/>
        <v>0</v>
      </c>
      <c r="T25">
        <f>G25*(VLOOKUP(D25,Hipotesis!$D$9:$N$38,9,FALSE)+VLOOKUP(D25,Hipotesis!$D$9:$N$38,10,FALSE)+VLOOKUP(D25,Hipotesis!$D$9:$N$38,11,FALSE))</f>
        <v>0</v>
      </c>
      <c r="U25">
        <v>0</v>
      </c>
      <c r="V25">
        <f>G25*VLOOKUP(D25,Hipotesis!$D$9:$S$38,16,FALSE)+((VLOOKUP(D25,Hipotesis!$D$9:$T$38,17,FALSE)/$B$4)*M24)/12</f>
        <v>1.8198292653844081E-2</v>
      </c>
      <c r="W25">
        <f>(1+VLOOKUP(D25,Hipotesis!$D$9:$P$38,13,FALSE))^(1/12)-1</f>
        <v>0</v>
      </c>
      <c r="X25">
        <f t="shared" si="15"/>
        <v>0</v>
      </c>
      <c r="Y25">
        <f t="shared" si="4"/>
        <v>0.12183420851860478</v>
      </c>
      <c r="Z25">
        <f>(1+VLOOKUP(D25,Hipotesis!$D$9:$O$38,12,))^(1/12)-1</f>
        <v>4.0971966653648995E-3</v>
      </c>
      <c r="AA25">
        <f t="shared" si="16"/>
        <v>0.12269910777223141</v>
      </c>
      <c r="AB25">
        <f t="shared" si="17"/>
        <v>-8.6489925362662017E-4</v>
      </c>
      <c r="AC25" s="68">
        <f t="shared" si="5"/>
        <v>-1.8198292653844081E-2</v>
      </c>
      <c r="AD25">
        <f t="shared" si="6"/>
        <v>-0.19043797570934601</v>
      </c>
      <c r="AE25" s="67">
        <f t="shared" si="7"/>
        <v>0.58390417787444582</v>
      </c>
      <c r="AF25" s="67">
        <f t="shared" si="8"/>
        <v>0.17517125336233375</v>
      </c>
      <c r="AG25" s="67">
        <f t="shared" si="9"/>
        <v>0.40873292451211207</v>
      </c>
      <c r="AJ25">
        <v>17</v>
      </c>
      <c r="AK25" s="67">
        <f>SUM(AG195:AG206)</f>
        <v>-0.78137637411519778</v>
      </c>
      <c r="AL25">
        <v>0</v>
      </c>
      <c r="AM25">
        <f>AM24/(1+Hipotesis!O24)</f>
        <v>0.51566786730311354</v>
      </c>
      <c r="AN25" s="67">
        <f t="shared" si="18"/>
        <v>-0.39074809808430283</v>
      </c>
      <c r="AO25">
        <f t="shared" si="19"/>
        <v>0</v>
      </c>
      <c r="AP25" s="67">
        <f t="shared" si="20"/>
        <v>-0.22030445488778141</v>
      </c>
      <c r="AQ25" s="67">
        <f>SUM($AN$9:AN25)</f>
        <v>3.372781739633409</v>
      </c>
      <c r="AR25" s="67" t="str">
        <f t="shared" si="21"/>
        <v>GANANCIA</v>
      </c>
    </row>
    <row r="26" spans="4:44" x14ac:dyDescent="0.2">
      <c r="D26" s="50">
        <v>2</v>
      </c>
      <c r="E26">
        <v>12</v>
      </c>
      <c r="F26">
        <f t="shared" si="0"/>
        <v>51</v>
      </c>
      <c r="G26">
        <f t="shared" si="10"/>
        <v>0</v>
      </c>
      <c r="H26" s="64">
        <f>IF(E26="Anual",VLOOKUP(F26,Hipotesis!$E$9:$J$38,6,FALSE),1-(1-VLOOKUP(F26,Hipotesis!$E$9:$J$38,6,FALSE))^(1/12))</f>
        <v>2.6161516815303987E-4</v>
      </c>
      <c r="I26">
        <f t="shared" si="11"/>
        <v>0.18801022152849006</v>
      </c>
      <c r="J26">
        <v>0</v>
      </c>
      <c r="K26">
        <f>1-(1-VLOOKUP(D26,Hipotesis!$D$9:$K$38,8,FALSE))^(1/12)</f>
        <v>1.2489919487016277E-2</v>
      </c>
      <c r="L26">
        <f t="shared" si="12"/>
        <v>8.9735553674224366</v>
      </c>
      <c r="M26">
        <f t="shared" si="13"/>
        <v>709.49027274217997</v>
      </c>
      <c r="N26">
        <f>IF(D26=1,(VLOOKUP(D26,'Primas Netas Y Reservas'!$D$4:$I$33,5,FALSE)+(VLOOKUP(D26,'Primas Netas Y Reservas'!$D$4:$I$33,6,FALSE)-VLOOKUP(D26,'Primas Netas Y Reservas'!$D$4:$I$33,5,FALSE))*(E26/12))/1000,((VLOOKUP(D26-1,'Primas Netas Y Reservas'!$D$4:$I$33,6,FALSE)+VLOOKUP(D26,'Primas Netas Y Reservas'!$D$4:$I$33,5,FALSE))+(VLOOKUP(D26,'Primas Netas Y Reservas'!$D$4:$I$33,6,FALSE)-VLOOKUP(D26-1,'Primas Netas Y Reservas'!$D$4:$I$33,6,FALSE)-VLOOKUP(D26,'Primas Netas Y Reservas'!$D$4:$I$33,5,FALSE))*(E26/12))/1000)</f>
        <v>4.0335872155674385E-2</v>
      </c>
      <c r="O26">
        <f t="shared" si="14"/>
        <v>-0.65847250338953245</v>
      </c>
      <c r="P26">
        <f>VLOOKUP(D26,Hipotesis!$D$9:$S$38,15,FALSE)*N26</f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>G26*(VLOOKUP(D26,Hipotesis!$D$9:$N$38,9,FALSE)+VLOOKUP(D26,Hipotesis!$D$9:$N$38,10,FALSE)+VLOOKUP(D26,Hipotesis!$D$9:$N$38,11,FALSE))</f>
        <v>0</v>
      </c>
      <c r="U26">
        <v>0</v>
      </c>
      <c r="V26">
        <f>G26*VLOOKUP(D26,Hipotesis!$D$9:$S$38,16,FALSE)+((VLOOKUP(D26,Hipotesis!$D$9:$T$38,17,FALSE)/$B$4)*M25)/12</f>
        <v>1.7966295958278273E-2</v>
      </c>
      <c r="W26">
        <f>(1+VLOOKUP(D26,Hipotesis!$D$9:$P$38,13,FALSE))^(1/12)-1</f>
        <v>0</v>
      </c>
      <c r="X26">
        <f t="shared" si="15"/>
        <v>0</v>
      </c>
      <c r="Y26">
        <f t="shared" si="4"/>
        <v>0.11909721912468516</v>
      </c>
      <c r="Z26">
        <f>(1+VLOOKUP(D26,Hipotesis!$D$9:$O$38,12,))^(1/12)-1</f>
        <v>4.0971966653648995E-3</v>
      </c>
      <c r="AA26">
        <f t="shared" si="16"/>
        <v>0.11995109241160955</v>
      </c>
      <c r="AB26">
        <f t="shared" si="17"/>
        <v>-8.5387328692439082E-4</v>
      </c>
      <c r="AC26" s="68">
        <f t="shared" si="5"/>
        <v>-1.7966295958278273E-2</v>
      </c>
      <c r="AD26">
        <f t="shared" si="6"/>
        <v>-0.18801022152849006</v>
      </c>
      <c r="AE26" s="67">
        <f t="shared" si="7"/>
        <v>0.57159320502744926</v>
      </c>
      <c r="AF26" s="67">
        <f t="shared" si="8"/>
        <v>0.17147796150823477</v>
      </c>
      <c r="AG26" s="67">
        <f t="shared" si="9"/>
        <v>0.40011524351921446</v>
      </c>
      <c r="AJ26">
        <v>18</v>
      </c>
      <c r="AK26" s="67">
        <f>SUM(AG207:AG218)</f>
        <v>-0.62336936897590256</v>
      </c>
      <c r="AL26">
        <v>0</v>
      </c>
      <c r="AM26">
        <f>AM25/(1+Hipotesis!O25)</f>
        <v>0.50007667371152831</v>
      </c>
      <c r="AN26" s="67">
        <f t="shared" si="18"/>
        <v>-0.30188338925990293</v>
      </c>
      <c r="AO26">
        <f t="shared" si="19"/>
        <v>0</v>
      </c>
      <c r="AP26" s="67">
        <f t="shared" si="20"/>
        <v>-0.16314174718459956</v>
      </c>
      <c r="AQ26" s="67">
        <f>SUM($AN$9:AN26)</f>
        <v>3.0708983503735059</v>
      </c>
      <c r="AR26" s="67" t="str">
        <f t="shared" si="21"/>
        <v>GANANCIA</v>
      </c>
    </row>
    <row r="27" spans="4:44" x14ac:dyDescent="0.2">
      <c r="D27" s="50">
        <v>3</v>
      </c>
      <c r="E27">
        <v>1</v>
      </c>
      <c r="F27">
        <f t="shared" si="0"/>
        <v>52</v>
      </c>
      <c r="G27">
        <f t="shared" si="10"/>
        <v>34.757122782707654</v>
      </c>
      <c r="H27" s="64">
        <f>IF(E27="Anual",VLOOKUP(F27,Hipotesis!$E$9:$J$38,6,FALSE),1-(1-VLOOKUP(F27,Hipotesis!$E$9:$J$38,6,FALSE))^(1/12))</f>
        <v>4.337645896667075E-4</v>
      </c>
      <c r="I27">
        <f t="shared" si="11"/>
        <v>0.30775175702853208</v>
      </c>
      <c r="J27">
        <v>0</v>
      </c>
      <c r="K27">
        <f>1-(1-VLOOKUP(D27,Hipotesis!$D$9:$K$38,8,FALSE))^(1/12)</f>
        <v>1.0596241035318976E-2</v>
      </c>
      <c r="L27">
        <f t="shared" si="12"/>
        <v>7.5146689303938228</v>
      </c>
      <c r="M27">
        <f t="shared" si="13"/>
        <v>701.66785205475765</v>
      </c>
      <c r="N27">
        <f>IF(D27=1,(VLOOKUP(D27,'Primas Netas Y Reservas'!$D$4:$I$33,5,FALSE)+(VLOOKUP(D27,'Primas Netas Y Reservas'!$D$4:$I$33,6,FALSE)-VLOOKUP(D27,'Primas Netas Y Reservas'!$D$4:$I$33,5,FALSE))*(E27/12))/1000,((VLOOKUP(D27-1,'Primas Netas Y Reservas'!$D$4:$I$33,6,FALSE)+VLOOKUP(D27,'Primas Netas Y Reservas'!$D$4:$I$33,5,FALSE))+(VLOOKUP(D27,'Primas Netas Y Reservas'!$D$4:$I$33,6,FALSE)-VLOOKUP(D27-1,'Primas Netas Y Reservas'!$D$4:$I$33,6,FALSE)-VLOOKUP(D27,'Primas Netas Y Reservas'!$D$4:$I$33,5,FALSE))*(E27/12))/1000)</f>
        <v>8.5228602734207404E-2</v>
      </c>
      <c r="O27">
        <f t="shared" si="14"/>
        <v>31.184261677116435</v>
      </c>
      <c r="P27">
        <f>VLOOKUP(D27,Hipotesis!$D$9:$S$38,15,FALSE)*N27</f>
        <v>1.278429041013111E-2</v>
      </c>
      <c r="Q27">
        <f t="shared" si="1"/>
        <v>9.6069709942143949E-2</v>
      </c>
      <c r="R27">
        <f t="shared" si="2"/>
        <v>0</v>
      </c>
      <c r="S27">
        <f t="shared" si="3"/>
        <v>9.6069709942143949E-2</v>
      </c>
      <c r="T27">
        <f>G27*(VLOOKUP(D27,Hipotesis!$D$9:$N$38,9,FALSE)+VLOOKUP(D27,Hipotesis!$D$9:$N$38,10,FALSE)+VLOOKUP(D27,Hipotesis!$D$9:$N$38,11,FALSE))</f>
        <v>8.3417094678498369</v>
      </c>
      <c r="U27">
        <v>0</v>
      </c>
      <c r="V27">
        <f>G27*VLOOKUP(D27,Hipotesis!$D$9:$S$38,16,FALSE)+((VLOOKUP(D27,Hipotesis!$D$9:$T$38,17,FALSE)/$B$4)*M26)/12</f>
        <v>1.5818077820403988</v>
      </c>
      <c r="W27">
        <f>(1+VLOOKUP(D27,Hipotesis!$D$9:$P$38,13,FALSE))^(1/12)-1</f>
        <v>0</v>
      </c>
      <c r="X27">
        <f t="shared" si="15"/>
        <v>0</v>
      </c>
      <c r="Y27">
        <f t="shared" si="4"/>
        <v>0.23091196986411855</v>
      </c>
      <c r="Z27">
        <f>(1+VLOOKUP(D27,Hipotesis!$D$9:$O$38,12,))^(1/12)-1</f>
        <v>4.3352755910992524E-3</v>
      </c>
      <c r="AA27">
        <f t="shared" si="16"/>
        <v>0.12406652208297748</v>
      </c>
      <c r="AB27">
        <f t="shared" si="17"/>
        <v>0.10684544778114106</v>
      </c>
      <c r="AC27" s="68">
        <f t="shared" si="5"/>
        <v>24.833605532817415</v>
      </c>
      <c r="AD27">
        <f t="shared" si="6"/>
        <v>-0.403821466970676</v>
      </c>
      <c r="AE27" s="67">
        <f t="shared" si="7"/>
        <v>-6.5235656414055763</v>
      </c>
      <c r="AF27" s="67">
        <f t="shared" si="8"/>
        <v>-1.9570696924216728</v>
      </c>
      <c r="AG27" s="67">
        <f t="shared" si="9"/>
        <v>-4.5664959489839037</v>
      </c>
      <c r="AJ27">
        <v>19</v>
      </c>
      <c r="AK27" s="67">
        <f>SUM(AG219:AG230)</f>
        <v>-0.45479133350662715</v>
      </c>
      <c r="AL27">
        <v>0</v>
      </c>
      <c r="AM27">
        <f>AM26/(1+Hipotesis!O26)</f>
        <v>0.48427690593114914</v>
      </c>
      <c r="AN27" s="67">
        <f t="shared" si="18"/>
        <v>-0.21294797729253087</v>
      </c>
      <c r="AO27">
        <f t="shared" si="19"/>
        <v>0</v>
      </c>
      <c r="AP27" s="67">
        <f t="shared" si="20"/>
        <v>-0.11048122434359541</v>
      </c>
      <c r="AQ27" s="67">
        <f>SUM($AN$9:AN27)</f>
        <v>2.8579503730809752</v>
      </c>
      <c r="AR27" s="67" t="str">
        <f t="shared" si="21"/>
        <v>GANANCIA</v>
      </c>
    </row>
    <row r="28" spans="4:44" x14ac:dyDescent="0.2">
      <c r="D28" s="50">
        <v>3</v>
      </c>
      <c r="E28">
        <v>2</v>
      </c>
      <c r="F28">
        <f t="shared" si="0"/>
        <v>52</v>
      </c>
      <c r="G28">
        <f t="shared" si="10"/>
        <v>0</v>
      </c>
      <c r="H28" s="64">
        <f>IF(E28="Anual",VLOOKUP(F28,Hipotesis!$E$9:$J$38,6,FALSE),1-(1-VLOOKUP(F28,Hipotesis!$E$9:$J$38,6,FALSE))^(1/12))</f>
        <v>4.337645896667075E-4</v>
      </c>
      <c r="I28">
        <f t="shared" si="11"/>
        <v>0.30435866792885197</v>
      </c>
      <c r="J28">
        <v>0</v>
      </c>
      <c r="K28">
        <f>1-(1-VLOOKUP(D28,Hipotesis!$D$9:$K$38,8,FALSE))^(1/12)</f>
        <v>1.0596241035318976E-2</v>
      </c>
      <c r="L28">
        <f t="shared" si="12"/>
        <v>7.4318166293001848</v>
      </c>
      <c r="M28">
        <f t="shared" si="13"/>
        <v>693.93167675752863</v>
      </c>
      <c r="N28">
        <f>IF(D28=1,(VLOOKUP(D28,'Primas Netas Y Reservas'!$D$4:$I$33,5,FALSE)+(VLOOKUP(D28,'Primas Netas Y Reservas'!$D$4:$I$33,6,FALSE)-VLOOKUP(D28,'Primas Netas Y Reservas'!$D$4:$I$33,5,FALSE))*(E28/12))/1000,((VLOOKUP(D28-1,'Primas Netas Y Reservas'!$D$4:$I$33,6,FALSE)+VLOOKUP(D28,'Primas Netas Y Reservas'!$D$4:$I$33,5,FALSE))+(VLOOKUP(D28,'Primas Netas Y Reservas'!$D$4:$I$33,6,FALSE)-VLOOKUP(D28-1,'Primas Netas Y Reservas'!$D$4:$I$33,6,FALSE)-VLOOKUP(D28,'Primas Netas Y Reservas'!$D$4:$I$33,5,FALSE))*(E28/12))/1000)</f>
        <v>8.4960881304011152E-2</v>
      </c>
      <c r="O28">
        <f t="shared" si="14"/>
        <v>-0.84512379204973342</v>
      </c>
      <c r="P28">
        <f>VLOOKUP(D28,Hipotesis!$D$9:$S$38,15,FALSE)*N28</f>
        <v>1.2744132195601672E-2</v>
      </c>
      <c r="Q28">
        <f t="shared" si="1"/>
        <v>9.4712053577272387E-2</v>
      </c>
      <c r="R28">
        <f t="shared" si="2"/>
        <v>0</v>
      </c>
      <c r="S28">
        <f t="shared" si="3"/>
        <v>9.4712053577272387E-2</v>
      </c>
      <c r="T28">
        <f>G28*(VLOOKUP(D28,Hipotesis!$D$9:$N$38,9,FALSE)+VLOOKUP(D28,Hipotesis!$D$9:$N$38,10,FALSE)+VLOOKUP(D28,Hipotesis!$D$9:$N$38,11,FALSE))</f>
        <v>0</v>
      </c>
      <c r="U28">
        <v>0</v>
      </c>
      <c r="V28">
        <f>G28*VLOOKUP(D28,Hipotesis!$D$9:$S$38,16,FALSE)+((VLOOKUP(D28,Hipotesis!$D$9:$T$38,17,FALSE)/$B$4)*M27)/12</f>
        <v>1.7541696301368939E-2</v>
      </c>
      <c r="W28">
        <f>(1+VLOOKUP(D28,Hipotesis!$D$9:$P$38,13,FALSE))^(1/12)-1</f>
        <v>0</v>
      </c>
      <c r="X28">
        <f t="shared" si="15"/>
        <v>0</v>
      </c>
      <c r="Y28">
        <f t="shared" si="4"/>
        <v>0.25743216512151051</v>
      </c>
      <c r="Z28">
        <f>(1+VLOOKUP(D28,Hipotesis!$D$9:$O$38,12,))^(1/12)-1</f>
        <v>4.3352755910992524E-3</v>
      </c>
      <c r="AA28">
        <f t="shared" si="16"/>
        <v>0.2592588905582322</v>
      </c>
      <c r="AB28">
        <f t="shared" si="17"/>
        <v>-1.8267254367216653E-3</v>
      </c>
      <c r="AC28" s="68">
        <f t="shared" si="5"/>
        <v>-1.7541696301368939E-2</v>
      </c>
      <c r="AD28">
        <f t="shared" si="6"/>
        <v>-0.39907072150612433</v>
      </c>
      <c r="AE28" s="67">
        <f t="shared" si="7"/>
        <v>0.68594353936375063</v>
      </c>
      <c r="AF28" s="67">
        <f t="shared" si="8"/>
        <v>0.20578306180912517</v>
      </c>
      <c r="AG28" s="67">
        <f t="shared" si="9"/>
        <v>0.48016047755462543</v>
      </c>
      <c r="AJ28">
        <v>20</v>
      </c>
      <c r="AK28" s="67">
        <f>SUM(AG231:AG242)</f>
        <v>-0.66737669175677483</v>
      </c>
      <c r="AL28">
        <v>0</v>
      </c>
      <c r="AM28">
        <f>AM27/(1+Hipotesis!O27)</f>
        <v>0.46823226742386426</v>
      </c>
      <c r="AN28" s="67">
        <f t="shared" si="18"/>
        <v>-0.30295418722156847</v>
      </c>
      <c r="AO28">
        <f t="shared" si="19"/>
        <v>0</v>
      </c>
      <c r="AP28" s="67">
        <f t="shared" si="20"/>
        <v>-0.15048873109104816</v>
      </c>
      <c r="AQ28" s="67">
        <f>SUM($AN$9:AN28)</f>
        <v>2.5549961858594066</v>
      </c>
      <c r="AR28" s="67" t="str">
        <f t="shared" si="21"/>
        <v>GANANCIA</v>
      </c>
    </row>
    <row r="29" spans="4:44" x14ac:dyDescent="0.2">
      <c r="D29" s="50">
        <v>3</v>
      </c>
      <c r="E29">
        <v>3</v>
      </c>
      <c r="F29">
        <f t="shared" si="0"/>
        <v>52</v>
      </c>
      <c r="G29">
        <f t="shared" si="10"/>
        <v>0</v>
      </c>
      <c r="H29" s="64">
        <f>IF(E29="Anual",VLOOKUP(F29,Hipotesis!$E$9:$J$38,6,FALSE),1-(1-VLOOKUP(F29,Hipotesis!$E$9:$J$38,6,FALSE))^(1/12))</f>
        <v>4.337645896667075E-4</v>
      </c>
      <c r="I29">
        <f t="shared" si="11"/>
        <v>0.30100298902545974</v>
      </c>
      <c r="J29">
        <v>0</v>
      </c>
      <c r="K29">
        <f>1-(1-VLOOKUP(D29,Hipotesis!$D$9:$K$38,8,FALSE))^(1/12)</f>
        <v>1.0596241035318976E-2</v>
      </c>
      <c r="L29">
        <f t="shared" si="12"/>
        <v>7.3498778087417627</v>
      </c>
      <c r="M29">
        <f t="shared" si="13"/>
        <v>686.28079595976135</v>
      </c>
      <c r="N29">
        <f>IF(D29=1,(VLOOKUP(D29,'Primas Netas Y Reservas'!$D$4:$I$33,5,FALSE)+(VLOOKUP(D29,'Primas Netas Y Reservas'!$D$4:$I$33,6,FALSE)-VLOOKUP(D29,'Primas Netas Y Reservas'!$D$4:$I$33,5,FALSE))*(E29/12))/1000,((VLOOKUP(D29-1,'Primas Netas Y Reservas'!$D$4:$I$33,6,FALSE)+VLOOKUP(D29,'Primas Netas Y Reservas'!$D$4:$I$33,5,FALSE))+(VLOOKUP(D29,'Primas Netas Y Reservas'!$D$4:$I$33,6,FALSE)-VLOOKUP(D29-1,'Primas Netas Y Reservas'!$D$4:$I$33,6,FALSE)-VLOOKUP(D29,'Primas Netas Y Reservas'!$D$4:$I$33,5,FALSE))*(E29/12))/1000)</f>
        <v>8.4693159873814886E-2</v>
      </c>
      <c r="O29">
        <f t="shared" si="14"/>
        <v>-0.8337576515408216</v>
      </c>
      <c r="P29">
        <f>VLOOKUP(D29,Hipotesis!$D$9:$S$38,15,FALSE)*N29</f>
        <v>1.2703973981072232E-2</v>
      </c>
      <c r="Q29">
        <f t="shared" si="1"/>
        <v>9.3372656446315552E-2</v>
      </c>
      <c r="R29">
        <f t="shared" si="2"/>
        <v>0</v>
      </c>
      <c r="S29">
        <f t="shared" si="3"/>
        <v>9.3372656446315552E-2</v>
      </c>
      <c r="T29">
        <f>G29*(VLOOKUP(D29,Hipotesis!$D$9:$N$38,9,FALSE)+VLOOKUP(D29,Hipotesis!$D$9:$N$38,10,FALSE)+VLOOKUP(D29,Hipotesis!$D$9:$N$38,11,FALSE))</f>
        <v>0</v>
      </c>
      <c r="U29">
        <v>0</v>
      </c>
      <c r="V29">
        <f>G29*VLOOKUP(D29,Hipotesis!$D$9:$S$38,16,FALSE)+((VLOOKUP(D29,Hipotesis!$D$9:$T$38,17,FALSE)/$B$4)*M28)/12</f>
        <v>1.7348291918938216E-2</v>
      </c>
      <c r="W29">
        <f>(1+VLOOKUP(D29,Hipotesis!$D$9:$P$38,13,FALSE))^(1/12)-1</f>
        <v>0</v>
      </c>
      <c r="X29">
        <f t="shared" si="15"/>
        <v>0</v>
      </c>
      <c r="Y29">
        <f t="shared" si="4"/>
        <v>0.25378975482653049</v>
      </c>
      <c r="Z29">
        <f>(1+VLOOKUP(D29,Hipotesis!$D$9:$O$38,12,))^(1/12)-1</f>
        <v>4.3352755910992524E-3</v>
      </c>
      <c r="AA29">
        <f t="shared" si="16"/>
        <v>0.25559504601110178</v>
      </c>
      <c r="AB29">
        <f t="shared" si="17"/>
        <v>-1.8052911845713056E-3</v>
      </c>
      <c r="AC29" s="68">
        <f t="shared" si="5"/>
        <v>-1.7348291918938216E-2</v>
      </c>
      <c r="AD29">
        <f t="shared" si="6"/>
        <v>-0.39437564547177528</v>
      </c>
      <c r="AE29" s="67">
        <f t="shared" si="7"/>
        <v>0.67582346897663859</v>
      </c>
      <c r="AF29" s="67">
        <f t="shared" si="8"/>
        <v>0.20274704069299157</v>
      </c>
      <c r="AG29" s="67">
        <f t="shared" si="9"/>
        <v>0.47307642828364704</v>
      </c>
      <c r="AJ29">
        <v>21</v>
      </c>
      <c r="AK29" s="67">
        <f>SUM(AG243:AG254)</f>
        <v>-0.72338460922024561</v>
      </c>
      <c r="AL29">
        <v>0</v>
      </c>
      <c r="AM29">
        <f>AM28/(1+Hipotesis!O28)</f>
        <v>0.45394780933101569</v>
      </c>
      <c r="AN29" s="67">
        <f t="shared" si="18"/>
        <v>-0.3186292943439526</v>
      </c>
      <c r="AO29">
        <f t="shared" si="19"/>
        <v>0</v>
      </c>
      <c r="AP29" s="67">
        <f t="shared" si="20"/>
        <v>-0.15141149835615864</v>
      </c>
      <c r="AQ29" s="67">
        <f>SUM($AN$9:AN29)</f>
        <v>2.2363668915154538</v>
      </c>
      <c r="AR29" s="67" t="str">
        <f t="shared" si="21"/>
        <v>GANANCIA</v>
      </c>
    </row>
    <row r="30" spans="4:44" x14ac:dyDescent="0.2">
      <c r="D30" s="50">
        <v>3</v>
      </c>
      <c r="E30">
        <v>4</v>
      </c>
      <c r="F30">
        <f t="shared" si="0"/>
        <v>52</v>
      </c>
      <c r="G30">
        <f t="shared" si="10"/>
        <v>0</v>
      </c>
      <c r="H30" s="64">
        <f>IF(E30="Anual",VLOOKUP(F30,Hipotesis!$E$9:$J$38,6,FALSE),1-(1-VLOOKUP(F30,Hipotesis!$E$9:$J$38,6,FALSE))^(1/12))</f>
        <v>4.337645896667075E-4</v>
      </c>
      <c r="I30">
        <f t="shared" si="11"/>
        <v>0.29768430785562727</v>
      </c>
      <c r="J30">
        <v>0</v>
      </c>
      <c r="K30">
        <f>1-(1-VLOOKUP(D30,Hipotesis!$D$9:$K$38,8,FALSE))^(1/12)</f>
        <v>1.0596241035318976E-2</v>
      </c>
      <c r="L30">
        <f t="shared" si="12"/>
        <v>7.2688423972217215</v>
      </c>
      <c r="M30">
        <f t="shared" si="13"/>
        <v>678.71426925468393</v>
      </c>
      <c r="N30">
        <f>IF(D30=1,(VLOOKUP(D30,'Primas Netas Y Reservas'!$D$4:$I$33,5,FALSE)+(VLOOKUP(D30,'Primas Netas Y Reservas'!$D$4:$I$33,6,FALSE)-VLOOKUP(D30,'Primas Netas Y Reservas'!$D$4:$I$33,5,FALSE))*(E30/12))/1000,((VLOOKUP(D30-1,'Primas Netas Y Reservas'!$D$4:$I$33,6,FALSE)+VLOOKUP(D30,'Primas Netas Y Reservas'!$D$4:$I$33,5,FALSE))+(VLOOKUP(D30,'Primas Netas Y Reservas'!$D$4:$I$33,6,FALSE)-VLOOKUP(D30-1,'Primas Netas Y Reservas'!$D$4:$I$33,6,FALSE)-VLOOKUP(D30,'Primas Netas Y Reservas'!$D$4:$I$33,5,FALSE))*(E30/12))/1000)</f>
        <v>8.4425438443618633E-2</v>
      </c>
      <c r="O30">
        <f t="shared" si="14"/>
        <v>-0.8225394107820776</v>
      </c>
      <c r="P30">
        <f>VLOOKUP(D30,Hipotesis!$D$9:$S$38,15,FALSE)*N30</f>
        <v>1.2663815766542795E-2</v>
      </c>
      <c r="Q30">
        <f t="shared" si="1"/>
        <v>9.2051280954451156E-2</v>
      </c>
      <c r="R30">
        <f t="shared" si="2"/>
        <v>0</v>
      </c>
      <c r="S30">
        <f t="shared" si="3"/>
        <v>9.2051280954451156E-2</v>
      </c>
      <c r="T30">
        <f>G30*(VLOOKUP(D30,Hipotesis!$D$9:$N$38,9,FALSE)+VLOOKUP(D30,Hipotesis!$D$9:$N$38,10,FALSE)+VLOOKUP(D30,Hipotesis!$D$9:$N$38,11,FALSE))</f>
        <v>0</v>
      </c>
      <c r="U30">
        <v>0</v>
      </c>
      <c r="V30">
        <f>G30*VLOOKUP(D30,Hipotesis!$D$9:$S$38,16,FALSE)+((VLOOKUP(D30,Hipotesis!$D$9:$T$38,17,FALSE)/$B$4)*M29)/12</f>
        <v>1.7157019898994031E-2</v>
      </c>
      <c r="W30">
        <f>(1+VLOOKUP(D30,Hipotesis!$D$9:$P$38,13,FALSE))^(1/12)-1</f>
        <v>0</v>
      </c>
      <c r="X30">
        <f t="shared" si="15"/>
        <v>0</v>
      </c>
      <c r="Y30">
        <f t="shared" si="4"/>
        <v>0.25019636929636269</v>
      </c>
      <c r="Z30">
        <f>(1+VLOOKUP(D30,Hipotesis!$D$9:$O$38,12,))^(1/12)-1</f>
        <v>4.3352755910992524E-3</v>
      </c>
      <c r="AA30">
        <f t="shared" si="16"/>
        <v>0.25198047681548458</v>
      </c>
      <c r="AB30">
        <f t="shared" si="17"/>
        <v>-1.7841075191219128E-3</v>
      </c>
      <c r="AC30" s="68">
        <f t="shared" si="5"/>
        <v>-1.7157019898994031E-2</v>
      </c>
      <c r="AD30">
        <f t="shared" si="6"/>
        <v>-0.38973558881007841</v>
      </c>
      <c r="AE30" s="67">
        <f t="shared" si="7"/>
        <v>0.66584317136936788</v>
      </c>
      <c r="AF30" s="67">
        <f t="shared" si="8"/>
        <v>0.19975295141081037</v>
      </c>
      <c r="AG30" s="67">
        <f t="shared" si="9"/>
        <v>0.46609021995855748</v>
      </c>
      <c r="AJ30">
        <v>22</v>
      </c>
      <c r="AK30" s="67">
        <f>SUM(AG255:AG266)</f>
        <v>8.2944295652069552E-2</v>
      </c>
      <c r="AL30">
        <v>0</v>
      </c>
      <c r="AM30">
        <f>AM29/(1+Hipotesis!O29)</f>
        <v>0.44047010439911227</v>
      </c>
      <c r="AN30" s="67">
        <f t="shared" si="18"/>
        <v>3.5127354002342757E-2</v>
      </c>
      <c r="AO30">
        <f t="shared" si="19"/>
        <v>0</v>
      </c>
      <c r="AP30" s="67">
        <f t="shared" si="20"/>
        <v>1.6115091049439614E-2</v>
      </c>
      <c r="AQ30" s="67">
        <f>SUM($AN$9:AN30)</f>
        <v>2.2714942455177964</v>
      </c>
      <c r="AR30" s="67" t="str">
        <f t="shared" si="21"/>
        <v>GANANCIA</v>
      </c>
    </row>
    <row r="31" spans="4:44" x14ac:dyDescent="0.2">
      <c r="D31" s="50">
        <v>3</v>
      </c>
      <c r="E31">
        <v>5</v>
      </c>
      <c r="F31">
        <f t="shared" si="0"/>
        <v>52</v>
      </c>
      <c r="G31">
        <f t="shared" si="10"/>
        <v>0</v>
      </c>
      <c r="H31" s="64">
        <f>IF(E31="Anual",VLOOKUP(F31,Hipotesis!$E$9:$J$38,6,FALSE),1-(1-VLOOKUP(F31,Hipotesis!$E$9:$J$38,6,FALSE))^(1/12))</f>
        <v>4.337645896667075E-4</v>
      </c>
      <c r="I31">
        <f t="shared" si="11"/>
        <v>0.29440221650419718</v>
      </c>
      <c r="J31">
        <v>0</v>
      </c>
      <c r="K31">
        <f>1-(1-VLOOKUP(D31,Hipotesis!$D$9:$K$38,8,FALSE))^(1/12)</f>
        <v>1.0596241035318976E-2</v>
      </c>
      <c r="L31">
        <f t="shared" si="12"/>
        <v>7.1887004342856038</v>
      </c>
      <c r="M31">
        <f t="shared" si="13"/>
        <v>671.23116660389417</v>
      </c>
      <c r="N31">
        <f>IF(D31=1,(VLOOKUP(D31,'Primas Netas Y Reservas'!$D$4:$I$33,5,FALSE)+(VLOOKUP(D31,'Primas Netas Y Reservas'!$D$4:$I$33,6,FALSE)-VLOOKUP(D31,'Primas Netas Y Reservas'!$D$4:$I$33,5,FALSE))*(E31/12))/1000,((VLOOKUP(D31-1,'Primas Netas Y Reservas'!$D$4:$I$33,6,FALSE)+VLOOKUP(D31,'Primas Netas Y Reservas'!$D$4:$I$33,5,FALSE))+(VLOOKUP(D31,'Primas Netas Y Reservas'!$D$4:$I$33,6,FALSE)-VLOOKUP(D31-1,'Primas Netas Y Reservas'!$D$4:$I$33,6,FALSE)-VLOOKUP(D31,'Primas Netas Y Reservas'!$D$4:$I$33,5,FALSE))*(E31/12))/1000)</f>
        <v>8.4157717013422367E-2</v>
      </c>
      <c r="O31">
        <f t="shared" si="14"/>
        <v>-0.81146719012703272</v>
      </c>
      <c r="P31">
        <f>VLOOKUP(D31,Hipotesis!$D$9:$S$38,15,FALSE)*N31</f>
        <v>1.2623657552013355E-2</v>
      </c>
      <c r="Q31">
        <f t="shared" si="1"/>
        <v>9.0747692526431153E-2</v>
      </c>
      <c r="R31">
        <f t="shared" si="2"/>
        <v>0</v>
      </c>
      <c r="S31">
        <f t="shared" si="3"/>
        <v>9.0747692526431153E-2</v>
      </c>
      <c r="T31">
        <f>G31*(VLOOKUP(D31,Hipotesis!$D$9:$N$38,9,FALSE)+VLOOKUP(D31,Hipotesis!$D$9:$N$38,10,FALSE)+VLOOKUP(D31,Hipotesis!$D$9:$N$38,11,FALSE))</f>
        <v>0</v>
      </c>
      <c r="U31">
        <v>0</v>
      </c>
      <c r="V31">
        <f>G31*VLOOKUP(D31,Hipotesis!$D$9:$S$38,16,FALSE)+((VLOOKUP(D31,Hipotesis!$D$9:$T$38,17,FALSE)/$B$4)*M30)/12</f>
        <v>1.6967856731367099E-2</v>
      </c>
      <c r="W31">
        <f>(1+VLOOKUP(D31,Hipotesis!$D$9:$P$38,13,FALSE))^(1/12)-1</f>
        <v>0</v>
      </c>
      <c r="X31">
        <f t="shared" si="15"/>
        <v>0</v>
      </c>
      <c r="Y31">
        <f t="shared" si="4"/>
        <v>0.24665137026493208</v>
      </c>
      <c r="Z31">
        <f>(1+VLOOKUP(D31,Hipotesis!$D$9:$O$38,12,))^(1/12)-1</f>
        <v>4.3352755910992524E-3</v>
      </c>
      <c r="AA31">
        <f t="shared" si="16"/>
        <v>0.24841454178520389</v>
      </c>
      <c r="AB31">
        <f t="shared" si="17"/>
        <v>-1.7631715202717927E-3</v>
      </c>
      <c r="AC31" s="68">
        <f t="shared" si="5"/>
        <v>-1.6967856731367099E-2</v>
      </c>
      <c r="AD31">
        <f t="shared" si="6"/>
        <v>-0.38514990903062835</v>
      </c>
      <c r="AE31" s="67">
        <f t="shared" si="7"/>
        <v>0.6560007946299693</v>
      </c>
      <c r="AF31" s="67">
        <f t="shared" si="8"/>
        <v>0.19680023838899077</v>
      </c>
      <c r="AG31" s="67">
        <f t="shared" si="9"/>
        <v>0.45920055624097855</v>
      </c>
      <c r="AJ31">
        <v>23</v>
      </c>
      <c r="AK31" s="67">
        <f>SUM(AG267:AG278)</f>
        <v>9.3806457044995295E-2</v>
      </c>
      <c r="AL31">
        <v>0</v>
      </c>
      <c r="AM31">
        <f>AM30/(1+Hipotesis!O30)</f>
        <v>0.4235053625591465</v>
      </c>
      <c r="AN31" s="67">
        <f t="shared" si="18"/>
        <v>3.8197428264384235E-2</v>
      </c>
      <c r="AO31">
        <f t="shared" si="19"/>
        <v>0</v>
      </c>
      <c r="AP31" s="67">
        <f t="shared" si="20"/>
        <v>1.6917478017075167E-2</v>
      </c>
      <c r="AQ31" s="67">
        <f>SUM($AN$9:AN31)</f>
        <v>2.3096916737821807</v>
      </c>
      <c r="AR31" s="67" t="str">
        <f t="shared" si="21"/>
        <v>GANANCIA</v>
      </c>
    </row>
    <row r="32" spans="4:44" x14ac:dyDescent="0.2">
      <c r="D32" s="50">
        <v>3</v>
      </c>
      <c r="E32">
        <v>6</v>
      </c>
      <c r="F32">
        <f t="shared" si="0"/>
        <v>52</v>
      </c>
      <c r="G32">
        <f t="shared" si="10"/>
        <v>0</v>
      </c>
      <c r="H32" s="64">
        <f>IF(E32="Anual",VLOOKUP(F32,Hipotesis!$E$9:$J$38,6,FALSE),1-(1-VLOOKUP(F32,Hipotesis!$E$9:$J$38,6,FALSE))^(1/12))</f>
        <v>4.337645896667075E-4</v>
      </c>
      <c r="I32">
        <f t="shared" si="11"/>
        <v>0.29115631155344351</v>
      </c>
      <c r="J32">
        <v>0</v>
      </c>
      <c r="K32">
        <f>1-(1-VLOOKUP(D32,Hipotesis!$D$9:$K$38,8,FALSE))^(1/12)</f>
        <v>1.0596241035318976E-2</v>
      </c>
      <c r="L32">
        <f t="shared" si="12"/>
        <v>7.109442069297037</v>
      </c>
      <c r="M32">
        <f t="shared" si="13"/>
        <v>663.83056822304366</v>
      </c>
      <c r="N32">
        <f>IF(D32=1,(VLOOKUP(D32,'Primas Netas Y Reservas'!$D$4:$I$33,5,FALSE)+(VLOOKUP(D32,'Primas Netas Y Reservas'!$D$4:$I$33,6,FALSE)-VLOOKUP(D32,'Primas Netas Y Reservas'!$D$4:$I$33,5,FALSE))*(E32/12))/1000,((VLOOKUP(D32-1,'Primas Netas Y Reservas'!$D$4:$I$33,6,FALSE)+VLOOKUP(D32,'Primas Netas Y Reservas'!$D$4:$I$33,5,FALSE))+(VLOOKUP(D32,'Primas Netas Y Reservas'!$D$4:$I$33,6,FALSE)-VLOOKUP(D32-1,'Primas Netas Y Reservas'!$D$4:$I$33,6,FALSE)-VLOOKUP(D32,'Primas Netas Y Reservas'!$D$4:$I$33,5,FALSE))*(E32/12))/1000)</f>
        <v>8.3889995583226129E-2</v>
      </c>
      <c r="O32">
        <f t="shared" si="14"/>
        <v>-0.80053913339826721</v>
      </c>
      <c r="P32">
        <f>VLOOKUP(D32,Hipotesis!$D$9:$S$38,15,FALSE)*N32</f>
        <v>1.2583499337483919E-2</v>
      </c>
      <c r="Q32">
        <f t="shared" si="1"/>
        <v>8.9461659568879567E-2</v>
      </c>
      <c r="R32">
        <f t="shared" si="2"/>
        <v>0</v>
      </c>
      <c r="S32">
        <f t="shared" si="3"/>
        <v>8.9461659568879567E-2</v>
      </c>
      <c r="T32">
        <f>G32*(VLOOKUP(D32,Hipotesis!$D$9:$N$38,9,FALSE)+VLOOKUP(D32,Hipotesis!$D$9:$N$38,10,FALSE)+VLOOKUP(D32,Hipotesis!$D$9:$N$38,11,FALSE))</f>
        <v>0</v>
      </c>
      <c r="U32">
        <v>0</v>
      </c>
      <c r="V32">
        <f>G32*VLOOKUP(D32,Hipotesis!$D$9:$S$38,16,FALSE)+((VLOOKUP(D32,Hipotesis!$D$9:$T$38,17,FALSE)/$B$4)*M31)/12</f>
        <v>1.6780779165097352E-2</v>
      </c>
      <c r="W32">
        <f>(1+VLOOKUP(D32,Hipotesis!$D$9:$P$38,13,FALSE))^(1/12)-1</f>
        <v>0</v>
      </c>
      <c r="X32">
        <f t="shared" si="15"/>
        <v>0</v>
      </c>
      <c r="Y32">
        <f t="shared" si="4"/>
        <v>0.24315412758101962</v>
      </c>
      <c r="Z32">
        <f>(1+VLOOKUP(D32,Hipotesis!$D$9:$O$38,12,))^(1/12)-1</f>
        <v>4.3352755910992524E-3</v>
      </c>
      <c r="AA32">
        <f t="shared" si="16"/>
        <v>0.24489660788286827</v>
      </c>
      <c r="AB32">
        <f t="shared" si="17"/>
        <v>-1.742480301848654E-3</v>
      </c>
      <c r="AC32" s="68">
        <f t="shared" si="5"/>
        <v>-1.6780779165097352E-2</v>
      </c>
      <c r="AD32">
        <f t="shared" si="6"/>
        <v>-0.3806179711223231</v>
      </c>
      <c r="AE32" s="67">
        <f t="shared" si="7"/>
        <v>0.64629451069186639</v>
      </c>
      <c r="AF32" s="67">
        <f t="shared" si="8"/>
        <v>0.1938883532075599</v>
      </c>
      <c r="AG32" s="67">
        <f t="shared" si="9"/>
        <v>0.45240615748430646</v>
      </c>
      <c r="AJ32">
        <v>24</v>
      </c>
      <c r="AK32" s="67">
        <f>SUM(AG279:AG290)</f>
        <v>-0.13098282597393759</v>
      </c>
      <c r="AL32">
        <v>0</v>
      </c>
      <c r="AM32">
        <f>AM31/(1+Hipotesis!O31)</f>
        <v>0.40719401912879427</v>
      </c>
      <c r="AN32" s="67">
        <f t="shared" si="18"/>
        <v>-5.1424382117823533E-2</v>
      </c>
      <c r="AO32">
        <f t="shared" si="19"/>
        <v>0</v>
      </c>
      <c r="AP32" s="67">
        <f t="shared" si="20"/>
        <v>-2.1926731106267937E-2</v>
      </c>
      <c r="AQ32" s="67">
        <f>SUM($AN$9:AN32)</f>
        <v>2.2582672916643571</v>
      </c>
      <c r="AR32" s="67" t="str">
        <f t="shared" si="21"/>
        <v>GANANCIA</v>
      </c>
    </row>
    <row r="33" spans="4:44" x14ac:dyDescent="0.2">
      <c r="D33" s="50">
        <v>3</v>
      </c>
      <c r="E33">
        <v>7</v>
      </c>
      <c r="F33">
        <f t="shared" si="0"/>
        <v>52</v>
      </c>
      <c r="G33">
        <f t="shared" si="10"/>
        <v>0</v>
      </c>
      <c r="H33" s="64">
        <f>IF(E33="Anual",VLOOKUP(F33,Hipotesis!$E$9:$J$38,6,FALSE),1-(1-VLOOKUP(F33,Hipotesis!$E$9:$J$38,6,FALSE))^(1/12))</f>
        <v>4.337645896667075E-4</v>
      </c>
      <c r="I33">
        <f t="shared" si="11"/>
        <v>0.28794619403348581</v>
      </c>
      <c r="J33">
        <v>0</v>
      </c>
      <c r="K33">
        <f>1-(1-VLOOKUP(D33,Hipotesis!$D$9:$K$38,8,FALSE))^(1/12)</f>
        <v>1.0596241035318976E-2</v>
      </c>
      <c r="L33">
        <f t="shared" si="12"/>
        <v>7.0310575602269472</v>
      </c>
      <c r="M33">
        <f t="shared" si="13"/>
        <v>656.51156446878326</v>
      </c>
      <c r="N33">
        <f>IF(D33=1,(VLOOKUP(D33,'Primas Netas Y Reservas'!$D$4:$I$33,5,FALSE)+(VLOOKUP(D33,'Primas Netas Y Reservas'!$D$4:$I$33,6,FALSE)-VLOOKUP(D33,'Primas Netas Y Reservas'!$D$4:$I$33,5,FALSE))*(E33/12))/1000,((VLOOKUP(D33-1,'Primas Netas Y Reservas'!$D$4:$I$33,6,FALSE)+VLOOKUP(D33,'Primas Netas Y Reservas'!$D$4:$I$33,5,FALSE))+(VLOOKUP(D33,'Primas Netas Y Reservas'!$D$4:$I$33,6,FALSE)-VLOOKUP(D33-1,'Primas Netas Y Reservas'!$D$4:$I$33,6,FALSE)-VLOOKUP(D33,'Primas Netas Y Reservas'!$D$4:$I$33,5,FALSE))*(E33/12))/1000)</f>
        <v>8.3622274153029863E-2</v>
      </c>
      <c r="O33">
        <f t="shared" si="14"/>
        <v>-0.78975340759848933</v>
      </c>
      <c r="P33">
        <f>VLOOKUP(D33,Hipotesis!$D$9:$S$38,15,FALSE)*N33</f>
        <v>1.2543341122954479E-2</v>
      </c>
      <c r="Q33">
        <f t="shared" si="1"/>
        <v>8.8192953433054652E-2</v>
      </c>
      <c r="R33">
        <f t="shared" si="2"/>
        <v>0</v>
      </c>
      <c r="S33">
        <f t="shared" si="3"/>
        <v>8.8192953433054652E-2</v>
      </c>
      <c r="T33">
        <f>G33*(VLOOKUP(D33,Hipotesis!$D$9:$N$38,9,FALSE)+VLOOKUP(D33,Hipotesis!$D$9:$N$38,10,FALSE)+VLOOKUP(D33,Hipotesis!$D$9:$N$38,11,FALSE))</f>
        <v>0</v>
      </c>
      <c r="U33">
        <v>0</v>
      </c>
      <c r="V33">
        <f>G33*VLOOKUP(D33,Hipotesis!$D$9:$S$38,16,FALSE)+((VLOOKUP(D33,Hipotesis!$D$9:$T$38,17,FALSE)/$B$4)*M32)/12</f>
        <v>1.659576420557609E-2</v>
      </c>
      <c r="W33">
        <f>(1+VLOOKUP(D33,Hipotesis!$D$9:$P$38,13,FALSE))^(1/12)-1</f>
        <v>0</v>
      </c>
      <c r="X33">
        <f t="shared" si="15"/>
        <v>0</v>
      </c>
      <c r="Y33">
        <f t="shared" si="4"/>
        <v>0.23970401910691061</v>
      </c>
      <c r="Z33">
        <f>(1+VLOOKUP(D33,Hipotesis!$D$9:$O$38,12,))^(1/12)-1</f>
        <v>4.3352755910992524E-3</v>
      </c>
      <c r="AA33">
        <f t="shared" si="16"/>
        <v>0.24142605011812701</v>
      </c>
      <c r="AB33">
        <f t="shared" si="17"/>
        <v>-1.7220310112164002E-3</v>
      </c>
      <c r="AC33" s="68">
        <f t="shared" si="5"/>
        <v>-1.659576420557609E-2</v>
      </c>
      <c r="AD33">
        <f t="shared" si="6"/>
        <v>-0.37613914746654048</v>
      </c>
      <c r="AE33" s="67">
        <f t="shared" si="7"/>
        <v>0.63672251503328336</v>
      </c>
      <c r="AF33" s="67">
        <f t="shared" si="8"/>
        <v>0.19101675450998501</v>
      </c>
      <c r="AG33" s="67">
        <f t="shared" si="9"/>
        <v>0.44570576052329836</v>
      </c>
      <c r="AJ33">
        <v>25</v>
      </c>
      <c r="AK33" s="67">
        <f>SUM(AG291:AG302)</f>
        <v>0.14405438863185105</v>
      </c>
      <c r="AL33">
        <v>0</v>
      </c>
      <c r="AM33">
        <f>AM32/(1+Hipotesis!O32)</f>
        <v>0.3926040054140818</v>
      </c>
      <c r="AN33" s="67">
        <f t="shared" si="18"/>
        <v>5.4357879073585469E-2</v>
      </c>
      <c r="AO33">
        <f t="shared" si="19"/>
        <v>0</v>
      </c>
      <c r="AP33" s="67">
        <f t="shared" si="20"/>
        <v>2.238425659192422E-2</v>
      </c>
      <c r="AQ33" s="67">
        <f>SUM($AN$9:AN33)</f>
        <v>2.3126251707379426</v>
      </c>
      <c r="AR33" s="67" t="str">
        <f t="shared" si="21"/>
        <v>GANANCIA</v>
      </c>
    </row>
    <row r="34" spans="4:44" x14ac:dyDescent="0.2">
      <c r="D34" s="50">
        <v>3</v>
      </c>
      <c r="E34">
        <v>8</v>
      </c>
      <c r="F34">
        <f t="shared" si="0"/>
        <v>52</v>
      </c>
      <c r="G34">
        <f t="shared" si="10"/>
        <v>0</v>
      </c>
      <c r="H34" s="64">
        <f>IF(E34="Anual",VLOOKUP(F34,Hipotesis!$E$9:$J$38,6,FALSE),1-(1-VLOOKUP(F34,Hipotesis!$E$9:$J$38,6,FALSE))^(1/12))</f>
        <v>4.337645896667075E-4</v>
      </c>
      <c r="I34">
        <f t="shared" si="11"/>
        <v>0.28477146937324993</v>
      </c>
      <c r="J34">
        <v>0</v>
      </c>
      <c r="K34">
        <f>1-(1-VLOOKUP(D34,Hipotesis!$D$9:$K$38,8,FALSE))^(1/12)</f>
        <v>1.0596241035318976E-2</v>
      </c>
      <c r="L34">
        <f t="shared" si="12"/>
        <v>6.9535372724561197</v>
      </c>
      <c r="M34">
        <f t="shared" si="13"/>
        <v>649.27325572695383</v>
      </c>
      <c r="N34">
        <f>IF(D34=1,(VLOOKUP(D34,'Primas Netas Y Reservas'!$D$4:$I$33,5,FALSE)+(VLOOKUP(D34,'Primas Netas Y Reservas'!$D$4:$I$33,6,FALSE)-VLOOKUP(D34,'Primas Netas Y Reservas'!$D$4:$I$33,5,FALSE))*(E34/12))/1000,((VLOOKUP(D34-1,'Primas Netas Y Reservas'!$D$4:$I$33,6,FALSE)+VLOOKUP(D34,'Primas Netas Y Reservas'!$D$4:$I$33,5,FALSE))+(VLOOKUP(D34,'Primas Netas Y Reservas'!$D$4:$I$33,6,FALSE)-VLOOKUP(D34-1,'Primas Netas Y Reservas'!$D$4:$I$33,6,FALSE)-VLOOKUP(D34,'Primas Netas Y Reservas'!$D$4:$I$33,5,FALSE))*(E34/12))/1000)</f>
        <v>8.3354552722833597E-2</v>
      </c>
      <c r="O34">
        <f t="shared" si="14"/>
        <v>-0.77910820262493985</v>
      </c>
      <c r="P34">
        <f>VLOOKUP(D34,Hipotesis!$D$9:$S$38,15,FALSE)*N34</f>
        <v>1.250318290842504E-2</v>
      </c>
      <c r="Q34">
        <f t="shared" si="1"/>
        <v>8.6941348378069827E-2</v>
      </c>
      <c r="R34">
        <f t="shared" si="2"/>
        <v>0</v>
      </c>
      <c r="S34">
        <f t="shared" si="3"/>
        <v>8.6941348378069827E-2</v>
      </c>
      <c r="T34">
        <f>G34*(VLOOKUP(D34,Hipotesis!$D$9:$N$38,9,FALSE)+VLOOKUP(D34,Hipotesis!$D$9:$N$38,10,FALSE)+VLOOKUP(D34,Hipotesis!$D$9:$N$38,11,FALSE))</f>
        <v>0</v>
      </c>
      <c r="U34">
        <v>0</v>
      </c>
      <c r="V34">
        <f>G34*VLOOKUP(D34,Hipotesis!$D$9:$S$38,16,FALSE)+((VLOOKUP(D34,Hipotesis!$D$9:$T$38,17,FALSE)/$B$4)*M33)/12</f>
        <v>1.6412789111719579E-2</v>
      </c>
      <c r="W34">
        <f>(1+VLOOKUP(D34,Hipotesis!$D$9:$P$38,13,FALSE))^(1/12)-1</f>
        <v>0</v>
      </c>
      <c r="X34">
        <f t="shared" si="15"/>
        <v>0</v>
      </c>
      <c r="Y34">
        <f t="shared" si="4"/>
        <v>0.23630043061829134</v>
      </c>
      <c r="Z34">
        <f>(1+VLOOKUP(D34,Hipotesis!$D$9:$O$38,12,))^(1/12)-1</f>
        <v>4.3352755910992524E-3</v>
      </c>
      <c r="AA34">
        <f t="shared" si="16"/>
        <v>0.23800225144717782</v>
      </c>
      <c r="AB34">
        <f t="shared" si="17"/>
        <v>-1.7018208288864726E-3</v>
      </c>
      <c r="AC34" s="68">
        <f t="shared" si="5"/>
        <v>-1.6412789111719579E-2</v>
      </c>
      <c r="AD34">
        <f t="shared" si="6"/>
        <v>-0.37171281775131976</v>
      </c>
      <c r="AE34" s="67">
        <f t="shared" si="7"/>
        <v>0.62728302638019184</v>
      </c>
      <c r="AF34" s="67">
        <f t="shared" si="8"/>
        <v>0.18818490791405754</v>
      </c>
      <c r="AG34" s="67">
        <f t="shared" si="9"/>
        <v>0.43909811846613434</v>
      </c>
      <c r="AJ34">
        <v>26</v>
      </c>
      <c r="AK34" s="67">
        <f>SUM(AG303:AG314)</f>
        <v>0.14431683521693789</v>
      </c>
      <c r="AL34">
        <v>0</v>
      </c>
      <c r="AM34">
        <f>AM33/(1+Hipotesis!O33)</f>
        <v>0.37734274942850793</v>
      </c>
      <c r="AN34" s="67">
        <f t="shared" si="18"/>
        <v>5.2344925032107213E-2</v>
      </c>
      <c r="AO34">
        <f t="shared" si="19"/>
        <v>0</v>
      </c>
      <c r="AP34" s="67">
        <f t="shared" si="20"/>
        <v>2.0815642747971499E-2</v>
      </c>
      <c r="AQ34" s="67">
        <f>SUM($AN$9:AN34)</f>
        <v>2.3649700957700497</v>
      </c>
      <c r="AR34" s="67" t="str">
        <f t="shared" si="21"/>
        <v>GANANCIA</v>
      </c>
    </row>
    <row r="35" spans="4:44" x14ac:dyDescent="0.2">
      <c r="D35" s="50">
        <v>3</v>
      </c>
      <c r="E35">
        <v>9</v>
      </c>
      <c r="F35">
        <f t="shared" si="0"/>
        <v>52</v>
      </c>
      <c r="G35">
        <f t="shared" si="10"/>
        <v>0</v>
      </c>
      <c r="H35" s="64">
        <f>IF(E35="Anual",VLOOKUP(F35,Hipotesis!$E$9:$J$38,6,FALSE),1-(1-VLOOKUP(F35,Hipotesis!$E$9:$J$38,6,FALSE))^(1/12))</f>
        <v>4.337645896667075E-4</v>
      </c>
      <c r="I35">
        <f t="shared" si="11"/>
        <v>0.28163174735196939</v>
      </c>
      <c r="J35">
        <v>0</v>
      </c>
      <c r="K35">
        <f>1-(1-VLOOKUP(D35,Hipotesis!$D$9:$K$38,8,FALSE))^(1/12)</f>
        <v>1.0596241035318976E-2</v>
      </c>
      <c r="L35">
        <f t="shared" si="12"/>
        <v>6.8768716775909597</v>
      </c>
      <c r="M35">
        <f t="shared" si="13"/>
        <v>642.11475230201086</v>
      </c>
      <c r="N35">
        <f>IF(D35=1,(VLOOKUP(D35,'Primas Netas Y Reservas'!$D$4:$I$33,5,FALSE)+(VLOOKUP(D35,'Primas Netas Y Reservas'!$D$4:$I$33,6,FALSE)-VLOOKUP(D35,'Primas Netas Y Reservas'!$D$4:$I$33,5,FALSE))*(E35/12))/1000,((VLOOKUP(D35-1,'Primas Netas Y Reservas'!$D$4:$I$33,6,FALSE)+VLOOKUP(D35,'Primas Netas Y Reservas'!$D$4:$I$33,5,FALSE))+(VLOOKUP(D35,'Primas Netas Y Reservas'!$D$4:$I$33,6,FALSE)-VLOOKUP(D35-1,'Primas Netas Y Reservas'!$D$4:$I$33,6,FALSE)-VLOOKUP(D35,'Primas Netas Y Reservas'!$D$4:$I$33,5,FALSE))*(E35/12))/1000)</f>
        <v>8.3086831292637359E-2</v>
      </c>
      <c r="O35">
        <f t="shared" si="14"/>
        <v>-0.76860173098739182</v>
      </c>
      <c r="P35">
        <f>VLOOKUP(D35,Hipotesis!$D$9:$S$38,15,FALSE)*N35</f>
        <v>1.2463024693895604E-2</v>
      </c>
      <c r="Q35">
        <f t="shared" si="1"/>
        <v>8.5706621534567415E-2</v>
      </c>
      <c r="R35">
        <f t="shared" si="2"/>
        <v>0</v>
      </c>
      <c r="S35">
        <f t="shared" si="3"/>
        <v>8.5706621534567415E-2</v>
      </c>
      <c r="T35">
        <f>G35*(VLOOKUP(D35,Hipotesis!$D$9:$N$38,9,FALSE)+VLOOKUP(D35,Hipotesis!$D$9:$N$38,10,FALSE)+VLOOKUP(D35,Hipotesis!$D$9:$N$38,11,FALSE))</f>
        <v>0</v>
      </c>
      <c r="U35">
        <v>0</v>
      </c>
      <c r="V35">
        <f>G35*VLOOKUP(D35,Hipotesis!$D$9:$S$38,16,FALSE)+((VLOOKUP(D35,Hipotesis!$D$9:$T$38,17,FALSE)/$B$4)*M34)/12</f>
        <v>1.6231831393173846E-2</v>
      </c>
      <c r="W35">
        <f>(1+VLOOKUP(D35,Hipotesis!$D$9:$P$38,13,FALSE))^(1/12)-1</f>
        <v>0</v>
      </c>
      <c r="X35">
        <f t="shared" si="15"/>
        <v>0</v>
      </c>
      <c r="Y35">
        <f t="shared" si="4"/>
        <v>0.23294275570537901</v>
      </c>
      <c r="Z35">
        <f>(1+VLOOKUP(D35,Hipotesis!$D$9:$O$38,12,))^(1/12)-1</f>
        <v>4.3352755910992524E-3</v>
      </c>
      <c r="AA35">
        <f t="shared" si="16"/>
        <v>0.23462460267351271</v>
      </c>
      <c r="AB35">
        <f t="shared" si="17"/>
        <v>-1.6818469681336866E-3</v>
      </c>
      <c r="AC35" s="68">
        <f t="shared" si="5"/>
        <v>-1.6231831393173846E-2</v>
      </c>
      <c r="AD35">
        <f t="shared" si="6"/>
        <v>-0.36733836888653681</v>
      </c>
      <c r="AE35" s="67">
        <f t="shared" si="7"/>
        <v>0.61797428641306018</v>
      </c>
      <c r="AF35" s="67">
        <f t="shared" si="8"/>
        <v>0.18539228592391804</v>
      </c>
      <c r="AG35" s="67">
        <f t="shared" si="9"/>
        <v>0.43258200048914214</v>
      </c>
      <c r="AJ35">
        <v>27</v>
      </c>
      <c r="AK35" s="67">
        <f>SUM(AG315:AG326)</f>
        <v>0.29943744744067141</v>
      </c>
      <c r="AL35">
        <v>0</v>
      </c>
      <c r="AM35">
        <f>AM34/(1+Hipotesis!O34)</f>
        <v>0.36270837670062556</v>
      </c>
      <c r="AN35" s="67">
        <f t="shared" si="18"/>
        <v>0.10420297779406358</v>
      </c>
      <c r="AO35">
        <f t="shared" si="19"/>
        <v>0</v>
      </c>
      <c r="AP35" s="67">
        <f t="shared" si="20"/>
        <v>4.0089956811929464E-2</v>
      </c>
      <c r="AQ35" s="67">
        <f>SUM($AN$9:AN35)</f>
        <v>2.4691730735641131</v>
      </c>
      <c r="AR35" s="67" t="str">
        <f t="shared" si="21"/>
        <v>GANANCIA</v>
      </c>
    </row>
    <row r="36" spans="4:44" x14ac:dyDescent="0.2">
      <c r="D36" s="50">
        <v>3</v>
      </c>
      <c r="E36">
        <v>10</v>
      </c>
      <c r="F36">
        <f t="shared" si="0"/>
        <v>52</v>
      </c>
      <c r="G36">
        <f t="shared" si="10"/>
        <v>0</v>
      </c>
      <c r="H36" s="64">
        <f>IF(E36="Anual",VLOOKUP(F36,Hipotesis!$E$9:$J$38,6,FALSE),1-(1-VLOOKUP(F36,Hipotesis!$E$9:$J$38,6,FALSE))^(1/12))</f>
        <v>4.337645896667075E-4</v>
      </c>
      <c r="I36">
        <f t="shared" si="11"/>
        <v>0.2785266420512213</v>
      </c>
      <c r="J36">
        <v>0</v>
      </c>
      <c r="K36">
        <f>1-(1-VLOOKUP(D36,Hipotesis!$D$9:$K$38,8,FALSE))^(1/12)</f>
        <v>1.0596241035318976E-2</v>
      </c>
      <c r="L36">
        <f t="shared" si="12"/>
        <v>6.8010513522923146</v>
      </c>
      <c r="M36">
        <f t="shared" si="13"/>
        <v>635.03517430766726</v>
      </c>
      <c r="N36">
        <f>IF(D36=1,(VLOOKUP(D36,'Primas Netas Y Reservas'!$D$4:$I$33,5,FALSE)+(VLOOKUP(D36,'Primas Netas Y Reservas'!$D$4:$I$33,6,FALSE)-VLOOKUP(D36,'Primas Netas Y Reservas'!$D$4:$I$33,5,FALSE))*(E36/12))/1000,((VLOOKUP(D36-1,'Primas Netas Y Reservas'!$D$4:$I$33,6,FALSE)+VLOOKUP(D36,'Primas Netas Y Reservas'!$D$4:$I$33,5,FALSE))+(VLOOKUP(D36,'Primas Netas Y Reservas'!$D$4:$I$33,6,FALSE)-VLOOKUP(D36-1,'Primas Netas Y Reservas'!$D$4:$I$33,6,FALSE)-VLOOKUP(D36,'Primas Netas Y Reservas'!$D$4:$I$33,5,FALSE))*(E36/12))/1000)</f>
        <v>8.2819109862441093E-2</v>
      </c>
      <c r="O36">
        <f t="shared" si="14"/>
        <v>-0.75823222752967467</v>
      </c>
      <c r="P36">
        <f>VLOOKUP(D36,Hipotesis!$D$9:$S$38,15,FALSE)*N36</f>
        <v>1.2422866479366164E-2</v>
      </c>
      <c r="Q36">
        <f t="shared" si="1"/>
        <v>8.4488552868840119E-2</v>
      </c>
      <c r="R36">
        <f t="shared" si="2"/>
        <v>0</v>
      </c>
      <c r="S36">
        <f t="shared" si="3"/>
        <v>8.4488552868840119E-2</v>
      </c>
      <c r="T36">
        <f>G36*(VLOOKUP(D36,Hipotesis!$D$9:$N$38,9,FALSE)+VLOOKUP(D36,Hipotesis!$D$9:$N$38,10,FALSE)+VLOOKUP(D36,Hipotesis!$D$9:$N$38,11,FALSE))</f>
        <v>0</v>
      </c>
      <c r="U36">
        <v>0</v>
      </c>
      <c r="V36">
        <f>G36*VLOOKUP(D36,Hipotesis!$D$9:$S$38,16,FALSE)+((VLOOKUP(D36,Hipotesis!$D$9:$T$38,17,FALSE)/$B$4)*M35)/12</f>
        <v>1.6052868807550271E-2</v>
      </c>
      <c r="W36">
        <f>(1+VLOOKUP(D36,Hipotesis!$D$9:$P$38,13,FALSE))^(1/12)-1</f>
        <v>0</v>
      </c>
      <c r="X36">
        <f t="shared" si="15"/>
        <v>0</v>
      </c>
      <c r="Y36">
        <f t="shared" si="4"/>
        <v>0.22963039567526994</v>
      </c>
      <c r="Z36">
        <f>(1+VLOOKUP(D36,Hipotesis!$D$9:$O$38,12,))^(1/12)-1</f>
        <v>4.3352755910992524E-3</v>
      </c>
      <c r="AA36">
        <f t="shared" si="16"/>
        <v>0.23129250234988644</v>
      </c>
      <c r="AB36">
        <f t="shared" si="17"/>
        <v>-1.6621066746165072E-3</v>
      </c>
      <c r="AC36" s="68">
        <f t="shared" si="5"/>
        <v>-1.6052868807550271E-2</v>
      </c>
      <c r="AD36">
        <f t="shared" si="6"/>
        <v>-0.3630151949200614</v>
      </c>
      <c r="AE36" s="67">
        <f t="shared" si="7"/>
        <v>0.60879455947733296</v>
      </c>
      <c r="AF36" s="67">
        <f t="shared" si="8"/>
        <v>0.18263836784319989</v>
      </c>
      <c r="AG36" s="67">
        <f t="shared" si="9"/>
        <v>0.4261561916341331</v>
      </c>
      <c r="AJ36">
        <v>28</v>
      </c>
      <c r="AK36" s="67">
        <f>SUM(AG327:AG338)</f>
        <v>0.26561457134157584</v>
      </c>
      <c r="AL36">
        <v>0</v>
      </c>
      <c r="AM36">
        <f>AM35/(1+Hipotesis!O35)</f>
        <v>0.34799581242993893</v>
      </c>
      <c r="AN36" s="67">
        <f t="shared" si="18"/>
        <v>8.8724486106682446E-2</v>
      </c>
      <c r="AO36">
        <f t="shared" si="19"/>
        <v>0</v>
      </c>
      <c r="AP36" s="67">
        <f t="shared" si="20"/>
        <v>3.3009429612871281E-2</v>
      </c>
      <c r="AQ36" s="67">
        <f>SUM($AN$9:AN36)</f>
        <v>2.5578975596707956</v>
      </c>
      <c r="AR36" s="67" t="str">
        <f t="shared" si="21"/>
        <v>GANANCIA</v>
      </c>
    </row>
    <row r="37" spans="4:44" x14ac:dyDescent="0.2">
      <c r="D37" s="50">
        <v>3</v>
      </c>
      <c r="E37">
        <v>11</v>
      </c>
      <c r="F37">
        <f t="shared" si="0"/>
        <v>52</v>
      </c>
      <c r="G37">
        <f t="shared" si="10"/>
        <v>0</v>
      </c>
      <c r="H37" s="64">
        <f>IF(E37="Anual",VLOOKUP(F37,Hipotesis!$E$9:$J$38,6,FALSE),1-(1-VLOOKUP(F37,Hipotesis!$E$9:$J$38,6,FALSE))^(1/12))</f>
        <v>4.337645896667075E-4</v>
      </c>
      <c r="I37">
        <f t="shared" si="11"/>
        <v>0.27545577180749137</v>
      </c>
      <c r="J37">
        <v>0</v>
      </c>
      <c r="K37">
        <f>1-(1-VLOOKUP(D37,Hipotesis!$D$9:$K$38,8,FALSE))^(1/12)</f>
        <v>1.0596241035318976E-2</v>
      </c>
      <c r="L37">
        <f t="shared" si="12"/>
        <v>6.7260669771172008</v>
      </c>
      <c r="M37">
        <f t="shared" si="13"/>
        <v>628.03365155874258</v>
      </c>
      <c r="N37">
        <f>IF(D37=1,(VLOOKUP(D37,'Primas Netas Y Reservas'!$D$4:$I$33,5,FALSE)+(VLOOKUP(D37,'Primas Netas Y Reservas'!$D$4:$I$33,6,FALSE)-VLOOKUP(D37,'Primas Netas Y Reservas'!$D$4:$I$33,5,FALSE))*(E37/12))/1000,((VLOOKUP(D37-1,'Primas Netas Y Reservas'!$D$4:$I$33,6,FALSE)+VLOOKUP(D37,'Primas Netas Y Reservas'!$D$4:$I$33,5,FALSE))+(VLOOKUP(D37,'Primas Netas Y Reservas'!$D$4:$I$33,6,FALSE)-VLOOKUP(D37-1,'Primas Netas Y Reservas'!$D$4:$I$33,6,FALSE)-VLOOKUP(D37,'Primas Netas Y Reservas'!$D$4:$I$33,5,FALSE))*(E37/12))/1000)</f>
        <v>8.255138843224484E-2</v>
      </c>
      <c r="O37">
        <f t="shared" si="14"/>
        <v>-0.74799794915426077</v>
      </c>
      <c r="P37">
        <f>VLOOKUP(D37,Hipotesis!$D$9:$S$38,15,FALSE)*N37</f>
        <v>1.2382708264836726E-2</v>
      </c>
      <c r="Q37">
        <f t="shared" si="1"/>
        <v>8.3286925147394539E-2</v>
      </c>
      <c r="R37">
        <f t="shared" si="2"/>
        <v>0</v>
      </c>
      <c r="S37">
        <f t="shared" si="3"/>
        <v>8.3286925147394539E-2</v>
      </c>
      <c r="T37">
        <f>G37*(VLOOKUP(D37,Hipotesis!$D$9:$N$38,9,FALSE)+VLOOKUP(D37,Hipotesis!$D$9:$N$38,10,FALSE)+VLOOKUP(D37,Hipotesis!$D$9:$N$38,11,FALSE))</f>
        <v>0</v>
      </c>
      <c r="U37">
        <v>0</v>
      </c>
      <c r="V37">
        <f>G37*VLOOKUP(D37,Hipotesis!$D$9:$S$38,16,FALSE)+((VLOOKUP(D37,Hipotesis!$D$9:$T$38,17,FALSE)/$B$4)*M36)/12</f>
        <v>1.5875879357691681E-2</v>
      </c>
      <c r="W37">
        <f>(1+VLOOKUP(D37,Hipotesis!$D$9:$P$38,13,FALSE))^(1/12)-1</f>
        <v>0</v>
      </c>
      <c r="X37">
        <f t="shared" si="15"/>
        <v>0</v>
      </c>
      <c r="Y37">
        <f t="shared" si="4"/>
        <v>0.2263627594554905</v>
      </c>
      <c r="Z37">
        <f>(1+VLOOKUP(D37,Hipotesis!$D$9:$O$38,12,))^(1/12)-1</f>
        <v>4.3352755910992524E-3</v>
      </c>
      <c r="AA37">
        <f t="shared" si="16"/>
        <v>0.22800535668149222</v>
      </c>
      <c r="AB37">
        <f t="shared" si="17"/>
        <v>-1.6425972260017169E-3</v>
      </c>
      <c r="AC37" s="68">
        <f t="shared" si="5"/>
        <v>-1.5875879357691681E-2</v>
      </c>
      <c r="AD37">
        <f t="shared" si="6"/>
        <v>-0.35874269695488592</v>
      </c>
      <c r="AE37" s="67">
        <f t="shared" si="7"/>
        <v>0.59974213229717366</v>
      </c>
      <c r="AF37" s="67">
        <f t="shared" si="8"/>
        <v>0.17992263968915209</v>
      </c>
      <c r="AG37" s="67">
        <f t="shared" si="9"/>
        <v>0.41981949260802154</v>
      </c>
      <c r="AJ37">
        <v>29</v>
      </c>
      <c r="AK37" s="67">
        <f>SUM(AG339:AG350)</f>
        <v>0.34493434333599476</v>
      </c>
      <c r="AL37">
        <v>0</v>
      </c>
      <c r="AM37">
        <f>AM36/(1+Hipotesis!O36)</f>
        <v>0.33403470923507528</v>
      </c>
      <c r="AN37" s="67">
        <f t="shared" si="18"/>
        <v>0.11048497281781018</v>
      </c>
      <c r="AO37">
        <f t="shared" si="19"/>
        <v>0</v>
      </c>
      <c r="AP37" s="67">
        <f t="shared" si="20"/>
        <v>3.9790482730649064E-2</v>
      </c>
      <c r="AQ37" s="67">
        <f>SUM($AN$9:AN37)</f>
        <v>2.6683825324886059</v>
      </c>
      <c r="AR37" s="67" t="str">
        <f t="shared" si="21"/>
        <v>GANANCIA</v>
      </c>
    </row>
    <row r="38" spans="4:44" ht="17" customHeight="1" x14ac:dyDescent="0.2">
      <c r="D38" s="50">
        <v>3</v>
      </c>
      <c r="E38">
        <v>12</v>
      </c>
      <c r="F38">
        <f t="shared" si="0"/>
        <v>52</v>
      </c>
      <c r="G38">
        <f t="shared" si="10"/>
        <v>0</v>
      </c>
      <c r="H38" s="64">
        <f>IF(E38="Anual",VLOOKUP(F38,Hipotesis!$E$9:$J$38,6,FALSE),1-(1-VLOOKUP(F38,Hipotesis!$E$9:$J$38,6,FALSE))^(1/12))</f>
        <v>4.337645896667075E-4</v>
      </c>
      <c r="I38">
        <f t="shared" si="11"/>
        <v>0.27241875916526193</v>
      </c>
      <c r="J38">
        <v>0</v>
      </c>
      <c r="K38">
        <f>1-(1-VLOOKUP(D38,Hipotesis!$D$9:$K$38,8,FALSE))^(1/12)</f>
        <v>1.0596241035318976E-2</v>
      </c>
      <c r="L38">
        <f t="shared" si="12"/>
        <v>6.6519093353733103</v>
      </c>
      <c r="M38">
        <f t="shared" si="13"/>
        <v>621.10932346420407</v>
      </c>
      <c r="N38">
        <f>IF(D38=1,(VLOOKUP(D38,'Primas Netas Y Reservas'!$D$4:$I$33,5,FALSE)+(VLOOKUP(D38,'Primas Netas Y Reservas'!$D$4:$I$33,6,FALSE)-VLOOKUP(D38,'Primas Netas Y Reservas'!$D$4:$I$33,5,FALSE))*(E38/12))/1000,((VLOOKUP(D38-1,'Primas Netas Y Reservas'!$D$4:$I$33,6,FALSE)+VLOOKUP(D38,'Primas Netas Y Reservas'!$D$4:$I$33,5,FALSE))+(VLOOKUP(D38,'Primas Netas Y Reservas'!$D$4:$I$33,6,FALSE)-VLOOKUP(D38-1,'Primas Netas Y Reservas'!$D$4:$I$33,6,FALSE)-VLOOKUP(D38,'Primas Netas Y Reservas'!$D$4:$I$33,5,FALSE))*(E38/12))/1000)</f>
        <v>8.2283667002048588E-2</v>
      </c>
      <c r="O38">
        <f t="shared" si="14"/>
        <v>-0.73789717455061776</v>
      </c>
      <c r="P38">
        <f>VLOOKUP(D38,Hipotesis!$D$9:$S$38,15,FALSE)*N38</f>
        <v>1.2342550050307289E-2</v>
      </c>
      <c r="Q38">
        <f t="shared" si="1"/>
        <v>8.210152390195137E-2</v>
      </c>
      <c r="R38">
        <f t="shared" si="2"/>
        <v>0</v>
      </c>
      <c r="S38">
        <f t="shared" si="3"/>
        <v>8.210152390195137E-2</v>
      </c>
      <c r="T38">
        <f>G38*(VLOOKUP(D38,Hipotesis!$D$9:$N$38,9,FALSE)+VLOOKUP(D38,Hipotesis!$D$9:$N$38,10,FALSE)+VLOOKUP(D38,Hipotesis!$D$9:$N$38,11,FALSE))</f>
        <v>0</v>
      </c>
      <c r="U38">
        <v>0</v>
      </c>
      <c r="V38">
        <f>G38*VLOOKUP(D38,Hipotesis!$D$9:$S$38,16,FALSE)+((VLOOKUP(D38,Hipotesis!$D$9:$T$38,17,FALSE)/$B$4)*M37)/12</f>
        <v>1.5700841288968561E-2</v>
      </c>
      <c r="W38">
        <f>(1+VLOOKUP(D38,Hipotesis!$D$9:$P$38,13,FALSE))^(1/12)-1</f>
        <v>0</v>
      </c>
      <c r="X38">
        <f t="shared" si="15"/>
        <v>0</v>
      </c>
      <c r="Y38">
        <f t="shared" si="4"/>
        <v>0.22313926349873803</v>
      </c>
      <c r="Z38">
        <f>(1+VLOOKUP(D38,Hipotesis!$D$9:$O$38,12,))^(1/12)-1</f>
        <v>4.3352755910992524E-3</v>
      </c>
      <c r="AA38">
        <f t="shared" si="16"/>
        <v>0.22476257943033146</v>
      </c>
      <c r="AB38">
        <f t="shared" si="17"/>
        <v>-1.6233159315934217E-3</v>
      </c>
      <c r="AC38" s="68">
        <f t="shared" si="5"/>
        <v>-1.5700841288968561E-2</v>
      </c>
      <c r="AD38">
        <f t="shared" si="6"/>
        <v>-0.35452028306721328</v>
      </c>
      <c r="AE38" s="67">
        <f t="shared" si="7"/>
        <v>0.59081531369317397</v>
      </c>
      <c r="AF38" s="67">
        <f t="shared" si="8"/>
        <v>0.17724459410795218</v>
      </c>
      <c r="AG38" s="67">
        <f t="shared" si="9"/>
        <v>0.41357071958522179</v>
      </c>
      <c r="AJ38">
        <v>30</v>
      </c>
      <c r="AK38" s="67">
        <f>SUM(AG351:AG362)</f>
        <v>0.54820597546332384</v>
      </c>
      <c r="AL38">
        <v>0</v>
      </c>
      <c r="AM38">
        <f>AM37/(1+Hipotesis!O37)</f>
        <v>0.32030725543089406</v>
      </c>
      <c r="AN38" s="67">
        <f t="shared" si="18"/>
        <v>0.16791189594082181</v>
      </c>
      <c r="AO38">
        <f t="shared" si="19"/>
        <v>0</v>
      </c>
      <c r="AP38" s="67">
        <f t="shared" si="20"/>
        <v>5.8700686903200898E-2</v>
      </c>
      <c r="AQ38" s="67">
        <f>SUM($AN$9:AN38)</f>
        <v>2.8362944284294276</v>
      </c>
      <c r="AR38" s="67" t="str">
        <f t="shared" si="21"/>
        <v>GANANCIA</v>
      </c>
    </row>
    <row r="39" spans="4:44" x14ac:dyDescent="0.2">
      <c r="D39" s="50">
        <v>4</v>
      </c>
      <c r="E39">
        <v>1</v>
      </c>
      <c r="F39">
        <f t="shared" si="0"/>
        <v>53</v>
      </c>
      <c r="G39">
        <f t="shared" si="10"/>
        <v>30.42744044071571</v>
      </c>
      <c r="H39" s="64">
        <f>IF(E39="Anual",VLOOKUP(F39,Hipotesis!$E$9:$J$38,6,FALSE),1-(1-VLOOKUP(F39,Hipotesis!$E$9:$J$38,6,FALSE))^(1/12))</f>
        <v>4.6706043400079889E-4</v>
      </c>
      <c r="I39">
        <f t="shared" si="11"/>
        <v>0.29009559017913378</v>
      </c>
      <c r="J39">
        <v>0</v>
      </c>
      <c r="K39">
        <f>1-(1-VLOOKUP(D39,Hipotesis!$D$9:$K$38,8,FALSE))^(1/12)</f>
        <v>8.7416109546967213E-3</v>
      </c>
      <c r="L39">
        <f t="shared" si="12"/>
        <v>5.4269601632699365</v>
      </c>
      <c r="M39">
        <f t="shared" si="13"/>
        <v>615.39226771075505</v>
      </c>
      <c r="N39">
        <f>IF(D39=1,(VLOOKUP(D39,'Primas Netas Y Reservas'!$D$4:$I$33,5,FALSE)+(VLOOKUP(D39,'Primas Netas Y Reservas'!$D$4:$I$33,6,FALSE)-VLOOKUP(D39,'Primas Netas Y Reservas'!$D$4:$I$33,5,FALSE))*(E39/12))/1000,((VLOOKUP(D39-1,'Primas Netas Y Reservas'!$D$4:$I$33,6,FALSE)+VLOOKUP(D39,'Primas Netas Y Reservas'!$D$4:$I$33,5,FALSE))+(VLOOKUP(D39,'Primas Netas Y Reservas'!$D$4:$I$33,6,FALSE)-VLOOKUP(D39-1,'Primas Netas Y Reservas'!$D$4:$I$33,6,FALSE)-VLOOKUP(D39,'Primas Netas Y Reservas'!$D$4:$I$33,5,FALSE))*(E39/12))/1000)</f>
        <v>0.12731878747744652</v>
      </c>
      <c r="O39">
        <f t="shared" si="14"/>
        <v>27.243844604133244</v>
      </c>
      <c r="P39">
        <f>VLOOKUP(D39,Hipotesis!$D$9:$S$38,15,FALSE)*N39</f>
        <v>3.1829696869361629E-2</v>
      </c>
      <c r="Q39">
        <f t="shared" si="1"/>
        <v>0.17273849691898338</v>
      </c>
      <c r="R39">
        <f t="shared" si="2"/>
        <v>0</v>
      </c>
      <c r="S39">
        <f t="shared" si="3"/>
        <v>0.17273849691898338</v>
      </c>
      <c r="T39">
        <f>G39*(VLOOKUP(D39,Hipotesis!$D$9:$N$38,9,FALSE)+VLOOKUP(D39,Hipotesis!$D$9:$N$38,10,FALSE)+VLOOKUP(D39,Hipotesis!$D$9:$N$38,11,FALSE))</f>
        <v>4.5641160661073563</v>
      </c>
      <c r="U39">
        <v>0</v>
      </c>
      <c r="V39">
        <f>G39*VLOOKUP(D39,Hipotesis!$D$9:$S$38,16,FALSE)+((VLOOKUP(D39,Hipotesis!$D$9:$T$38,17,FALSE)/$B$4)*M38)/12</f>
        <v>1.3847625529188119</v>
      </c>
      <c r="W39">
        <f>(1+VLOOKUP(D39,Hipotesis!$D$9:$P$38,13,FALSE))^(1/12)-1</f>
        <v>0</v>
      </c>
      <c r="X39">
        <f t="shared" si="15"/>
        <v>0</v>
      </c>
      <c r="Y39">
        <f t="shared" si="4"/>
        <v>0.30129116239371434</v>
      </c>
      <c r="Z39">
        <f>(1+VLOOKUP(D39,Hipotesis!$D$9:$O$38,12,))^(1/12)-1</f>
        <v>4.004870124255433E-3</v>
      </c>
      <c r="AA39">
        <f t="shared" si="16"/>
        <v>0.20467750915938868</v>
      </c>
      <c r="AB39">
        <f t="shared" si="17"/>
        <v>9.6613653234325636E-2</v>
      </c>
      <c r="AC39" s="68">
        <f t="shared" si="5"/>
        <v>24.478561821689542</v>
      </c>
      <c r="AD39">
        <f t="shared" si="6"/>
        <v>-0.46283408709811713</v>
      </c>
      <c r="AE39" s="67">
        <f t="shared" si="7"/>
        <v>-2.9268257071481085</v>
      </c>
      <c r="AF39" s="67">
        <f t="shared" si="8"/>
        <v>-0.87804771214443256</v>
      </c>
      <c r="AG39" s="67">
        <f t="shared" si="9"/>
        <v>-2.0487779950036762</v>
      </c>
      <c r="AM39">
        <f>AM38/(1+Hipotesis!O38)</f>
        <v>0.30629344344324005</v>
      </c>
    </row>
    <row r="40" spans="4:44" x14ac:dyDescent="0.2">
      <c r="D40" s="50">
        <v>4</v>
      </c>
      <c r="E40">
        <v>2</v>
      </c>
      <c r="F40">
        <f t="shared" si="0"/>
        <v>53</v>
      </c>
      <c r="G40">
        <f t="shared" si="10"/>
        <v>0</v>
      </c>
      <c r="H40" s="64">
        <f>IF(E40="Anual",VLOOKUP(F40,Hipotesis!$E$9:$J$38,6,FALSE),1-(1-VLOOKUP(F40,Hipotesis!$E$9:$J$38,6,FALSE))^(1/12))</f>
        <v>4.6706043400079889E-4</v>
      </c>
      <c r="I40">
        <f t="shared" si="11"/>
        <v>0.28742537963772108</v>
      </c>
      <c r="J40">
        <v>0</v>
      </c>
      <c r="K40">
        <f>1-(1-VLOOKUP(D40,Hipotesis!$D$9:$K$38,8,FALSE))^(1/12)</f>
        <v>8.7416109546967213E-3</v>
      </c>
      <c r="L40">
        <f t="shared" si="12"/>
        <v>5.3770072280086945</v>
      </c>
      <c r="M40">
        <f t="shared" si="13"/>
        <v>609.72783510310865</v>
      </c>
      <c r="N40">
        <f>IF(D40=1,(VLOOKUP(D40,'Primas Netas Y Reservas'!$D$4:$I$33,5,FALSE)+(VLOOKUP(D40,'Primas Netas Y Reservas'!$D$4:$I$33,6,FALSE)-VLOOKUP(D40,'Primas Netas Y Reservas'!$D$4:$I$33,5,FALSE))*(E40/12))/1000,((VLOOKUP(D40-1,'Primas Netas Y Reservas'!$D$4:$I$33,6,FALSE)+VLOOKUP(D40,'Primas Netas Y Reservas'!$D$4:$I$33,5,FALSE))+(VLOOKUP(D40,'Primas Netas Y Reservas'!$D$4:$I$33,6,FALSE)-VLOOKUP(D40-1,'Primas Netas Y Reservas'!$D$4:$I$33,6,FALSE)-VLOOKUP(D40,'Primas Netas Y Reservas'!$D$4:$I$33,5,FALSE))*(E40/12))/1000)</f>
        <v>0.12719345594411513</v>
      </c>
      <c r="O40">
        <f t="shared" si="14"/>
        <v>-0.79760681584154725</v>
      </c>
      <c r="P40">
        <f>VLOOKUP(D40,Hipotesis!$D$9:$S$38,15,FALSE)*N40</f>
        <v>3.1798363986028783E-2</v>
      </c>
      <c r="Q40">
        <f t="shared" si="1"/>
        <v>0.17098003299172812</v>
      </c>
      <c r="R40">
        <f t="shared" si="2"/>
        <v>0</v>
      </c>
      <c r="S40">
        <f t="shared" si="3"/>
        <v>0.17098003299172812</v>
      </c>
      <c r="T40">
        <f>G40*(VLOOKUP(D40,Hipotesis!$D$9:$N$38,9,FALSE)+VLOOKUP(D40,Hipotesis!$D$9:$N$38,10,FALSE)+VLOOKUP(D40,Hipotesis!$D$9:$N$38,11,FALSE))</f>
        <v>0</v>
      </c>
      <c r="U40">
        <v>0</v>
      </c>
      <c r="V40">
        <f>G40*VLOOKUP(D40,Hipotesis!$D$9:$S$38,16,FALSE)+((VLOOKUP(D40,Hipotesis!$D$9:$T$38,17,FALSE)/$B$4)*M39)/12</f>
        <v>1.5384806692768876E-2</v>
      </c>
      <c r="W40">
        <f>(1+VLOOKUP(D40,Hipotesis!$D$9:$P$38,13,FALSE))^(1/12)-1</f>
        <v>0</v>
      </c>
      <c r="X40">
        <f t="shared" si="15"/>
        <v>0</v>
      </c>
      <c r="Y40">
        <f t="shared" si="4"/>
        <v>0.31187036392374184</v>
      </c>
      <c r="Z40">
        <f>(1+VLOOKUP(D40,Hipotesis!$D$9:$O$38,12,))^(1/12)-1</f>
        <v>4.004870124255433E-3</v>
      </c>
      <c r="AA40">
        <f t="shared" si="16"/>
        <v>0.31378556848433947</v>
      </c>
      <c r="AB40">
        <f t="shared" si="17"/>
        <v>-1.9152045605976013E-3</v>
      </c>
      <c r="AC40" s="68">
        <f t="shared" si="5"/>
        <v>-1.5384806692768876E-2</v>
      </c>
      <c r="AD40">
        <f t="shared" si="6"/>
        <v>-0.45840541262944923</v>
      </c>
      <c r="AE40" s="67">
        <f t="shared" si="7"/>
        <v>0.63568696044307105</v>
      </c>
      <c r="AF40" s="67">
        <f t="shared" si="8"/>
        <v>0.19070608813292131</v>
      </c>
      <c r="AG40" s="67">
        <f t="shared" si="9"/>
        <v>0.44498087231014971</v>
      </c>
    </row>
    <row r="41" spans="4:44" x14ac:dyDescent="0.2">
      <c r="D41" s="50">
        <v>4</v>
      </c>
      <c r="E41">
        <v>3</v>
      </c>
      <c r="F41">
        <f t="shared" si="0"/>
        <v>53</v>
      </c>
      <c r="G41">
        <f t="shared" si="10"/>
        <v>0</v>
      </c>
      <c r="H41" s="64">
        <f>IF(E41="Anual",VLOOKUP(F41,Hipotesis!$E$9:$J$38,6,FALSE),1-(1-VLOOKUP(F41,Hipotesis!$E$9:$J$38,6,FALSE))^(1/12))</f>
        <v>4.6706043400079889E-4</v>
      </c>
      <c r="I41">
        <f t="shared" si="11"/>
        <v>0.2847797472856255</v>
      </c>
      <c r="J41">
        <v>0</v>
      </c>
      <c r="K41">
        <f>1-(1-VLOOKUP(D41,Hipotesis!$D$9:$K$38,8,FALSE))^(1/12)</f>
        <v>8.7416109546967213E-3</v>
      </c>
      <c r="L41">
        <f t="shared" si="12"/>
        <v>5.3275140889623032</v>
      </c>
      <c r="M41">
        <f t="shared" si="13"/>
        <v>604.11554126686076</v>
      </c>
      <c r="N41">
        <f>IF(D41=1,(VLOOKUP(D41,'Primas Netas Y Reservas'!$D$4:$I$33,5,FALSE)+(VLOOKUP(D41,'Primas Netas Y Reservas'!$D$4:$I$33,6,FALSE)-VLOOKUP(D41,'Primas Netas Y Reservas'!$D$4:$I$33,5,FALSE))*(E41/12))/1000,((VLOOKUP(D41-1,'Primas Netas Y Reservas'!$D$4:$I$33,6,FALSE)+VLOOKUP(D41,'Primas Netas Y Reservas'!$D$4:$I$33,5,FALSE))+(VLOOKUP(D41,'Primas Netas Y Reservas'!$D$4:$I$33,6,FALSE)-VLOOKUP(D41-1,'Primas Netas Y Reservas'!$D$4:$I$33,6,FALSE)-VLOOKUP(D41,'Primas Netas Y Reservas'!$D$4:$I$33,5,FALSE))*(E41/12))/1000)</f>
        <v>0.12706812441078377</v>
      </c>
      <c r="O41">
        <f t="shared" si="14"/>
        <v>-0.78956177590249865</v>
      </c>
      <c r="P41">
        <f>VLOOKUP(D41,Hipotesis!$D$9:$S$38,15,FALSE)*N41</f>
        <v>3.1767031102695943E-2</v>
      </c>
      <c r="Q41">
        <f t="shared" si="1"/>
        <v>0.16923930576411633</v>
      </c>
      <c r="R41">
        <f t="shared" si="2"/>
        <v>0</v>
      </c>
      <c r="S41">
        <f t="shared" si="3"/>
        <v>0.16923930576411633</v>
      </c>
      <c r="T41">
        <f>G41*(VLOOKUP(D41,Hipotesis!$D$9:$N$38,9,FALSE)+VLOOKUP(D41,Hipotesis!$D$9:$N$38,10,FALSE)+VLOOKUP(D41,Hipotesis!$D$9:$N$38,11,FALSE))</f>
        <v>0</v>
      </c>
      <c r="U41">
        <v>0</v>
      </c>
      <c r="V41">
        <f>G41*VLOOKUP(D41,Hipotesis!$D$9:$S$38,16,FALSE)+((VLOOKUP(D41,Hipotesis!$D$9:$T$38,17,FALSE)/$B$4)*M40)/12</f>
        <v>1.5243195877577715E-2</v>
      </c>
      <c r="W41">
        <f>(1+VLOOKUP(D41,Hipotesis!$D$9:$P$38,13,FALSE))^(1/12)-1</f>
        <v>0</v>
      </c>
      <c r="X41">
        <f t="shared" si="15"/>
        <v>0</v>
      </c>
      <c r="Y41">
        <f t="shared" si="4"/>
        <v>0.30869435561506819</v>
      </c>
      <c r="Z41">
        <f>(1+VLOOKUP(D41,Hipotesis!$D$9:$O$38,12,))^(1/12)-1</f>
        <v>4.004870124255433E-3</v>
      </c>
      <c r="AA41">
        <f t="shared" si="16"/>
        <v>0.31059125677667315</v>
      </c>
      <c r="AB41">
        <f t="shared" si="17"/>
        <v>-1.89690116160495E-3</v>
      </c>
      <c r="AC41" s="68">
        <f t="shared" si="5"/>
        <v>-1.5243195877577715E-2</v>
      </c>
      <c r="AD41">
        <f t="shared" si="6"/>
        <v>-0.45401905304974183</v>
      </c>
      <c r="AE41" s="67">
        <f t="shared" si="7"/>
        <v>0.62899388259024736</v>
      </c>
      <c r="AF41" s="67">
        <f t="shared" si="8"/>
        <v>0.18869816477707421</v>
      </c>
      <c r="AG41" s="67">
        <f t="shared" si="9"/>
        <v>0.44029571781317312</v>
      </c>
    </row>
    <row r="42" spans="4:44" x14ac:dyDescent="0.2">
      <c r="D42" s="50">
        <v>4</v>
      </c>
      <c r="E42">
        <v>4</v>
      </c>
      <c r="F42">
        <f t="shared" si="0"/>
        <v>53</v>
      </c>
      <c r="G42">
        <f t="shared" si="10"/>
        <v>0</v>
      </c>
      <c r="H42" s="64">
        <f>IF(E42="Anual",VLOOKUP(F42,Hipotesis!$E$9:$J$38,6,FALSE),1-(1-VLOOKUP(F42,Hipotesis!$E$9:$J$38,6,FALSE))^(1/12))</f>
        <v>4.6706043400079889E-4</v>
      </c>
      <c r="I42">
        <f t="shared" si="11"/>
        <v>0.28215846689072749</v>
      </c>
      <c r="J42">
        <v>0</v>
      </c>
      <c r="K42">
        <f>1-(1-VLOOKUP(D42,Hipotesis!$D$9:$K$38,8,FALSE))^(1/12)</f>
        <v>8.7416109546967213E-3</v>
      </c>
      <c r="L42">
        <f t="shared" si="12"/>
        <v>5.2784765138957974</v>
      </c>
      <c r="M42">
        <f t="shared" si="13"/>
        <v>598.55490628607424</v>
      </c>
      <c r="N42">
        <f>IF(D42=1,(VLOOKUP(D42,'Primas Netas Y Reservas'!$D$4:$I$33,5,FALSE)+(VLOOKUP(D42,'Primas Netas Y Reservas'!$D$4:$I$33,6,FALSE)-VLOOKUP(D42,'Primas Netas Y Reservas'!$D$4:$I$33,5,FALSE))*(E42/12))/1000,((VLOOKUP(D42-1,'Primas Netas Y Reservas'!$D$4:$I$33,6,FALSE)+VLOOKUP(D42,'Primas Netas Y Reservas'!$D$4:$I$33,5,FALSE))+(VLOOKUP(D42,'Primas Netas Y Reservas'!$D$4:$I$33,6,FALSE)-VLOOKUP(D42-1,'Primas Netas Y Reservas'!$D$4:$I$33,6,FALSE)-VLOOKUP(D42,'Primas Netas Y Reservas'!$D$4:$I$33,5,FALSE))*(E42/12))/1000)</f>
        <v>0.12694279287745242</v>
      </c>
      <c r="O42">
        <f t="shared" si="14"/>
        <v>-0.78159726172938804</v>
      </c>
      <c r="P42">
        <f>VLOOKUP(D42,Hipotesis!$D$9:$S$38,15,FALSE)*N42</f>
        <v>3.1735698219363104E-2</v>
      </c>
      <c r="Q42">
        <f t="shared" si="1"/>
        <v>0.16751613770299281</v>
      </c>
      <c r="R42">
        <f t="shared" si="2"/>
        <v>0</v>
      </c>
      <c r="S42">
        <f t="shared" si="3"/>
        <v>0.16751613770299281</v>
      </c>
      <c r="T42">
        <f>G42*(VLOOKUP(D42,Hipotesis!$D$9:$N$38,9,FALSE)+VLOOKUP(D42,Hipotesis!$D$9:$N$38,10,FALSE)+VLOOKUP(D42,Hipotesis!$D$9:$N$38,11,FALSE))</f>
        <v>0</v>
      </c>
      <c r="U42">
        <v>0</v>
      </c>
      <c r="V42">
        <f>G42*VLOOKUP(D42,Hipotesis!$D$9:$S$38,16,FALSE)+((VLOOKUP(D42,Hipotesis!$D$9:$T$38,17,FALSE)/$B$4)*M41)/12</f>
        <v>1.5102888531671519E-2</v>
      </c>
      <c r="W42">
        <f>(1+VLOOKUP(D42,Hipotesis!$D$9:$P$38,13,FALSE))^(1/12)-1</f>
        <v>0</v>
      </c>
      <c r="X42">
        <f t="shared" si="15"/>
        <v>0</v>
      </c>
      <c r="Y42">
        <f t="shared" si="4"/>
        <v>0.30555039196063505</v>
      </c>
      <c r="Z42">
        <f>(1+VLOOKUP(D42,Hipotesis!$D$9:$O$38,12,))^(1/12)-1</f>
        <v>4.004870124255433E-3</v>
      </c>
      <c r="AA42">
        <f t="shared" si="16"/>
        <v>0.30742916440910717</v>
      </c>
      <c r="AB42">
        <f t="shared" si="17"/>
        <v>-1.8787724484721048E-3</v>
      </c>
      <c r="AC42" s="68">
        <f t="shared" si="5"/>
        <v>-1.5102888531671519E-2</v>
      </c>
      <c r="AD42">
        <f t="shared" si="6"/>
        <v>-0.44967460459372033</v>
      </c>
      <c r="AE42" s="67">
        <f t="shared" si="7"/>
        <v>0.62237016056463124</v>
      </c>
      <c r="AF42" s="67">
        <f t="shared" si="8"/>
        <v>0.18671104816938935</v>
      </c>
      <c r="AG42" s="67">
        <f t="shared" si="9"/>
        <v>0.43565911239524191</v>
      </c>
    </row>
    <row r="43" spans="4:44" x14ac:dyDescent="0.2">
      <c r="D43" s="50">
        <v>4</v>
      </c>
      <c r="E43">
        <v>5</v>
      </c>
      <c r="F43">
        <f t="shared" si="0"/>
        <v>53</v>
      </c>
      <c r="G43">
        <f t="shared" si="10"/>
        <v>0</v>
      </c>
      <c r="H43" s="64">
        <f>IF(E43="Anual",VLOOKUP(F43,Hipotesis!$E$9:$J$38,6,FALSE),1-(1-VLOOKUP(F43,Hipotesis!$E$9:$J$38,6,FALSE))^(1/12))</f>
        <v>4.6706043400079889E-4</v>
      </c>
      <c r="I43">
        <f t="shared" si="11"/>
        <v>0.27956131430328135</v>
      </c>
      <c r="J43">
        <v>0</v>
      </c>
      <c r="K43">
        <f>1-(1-VLOOKUP(D43,Hipotesis!$D$9:$K$38,8,FALSE))^(1/12)</f>
        <v>8.7416109546967213E-3</v>
      </c>
      <c r="L43">
        <f t="shared" si="12"/>
        <v>5.2298903095301936</v>
      </c>
      <c r="M43">
        <f t="shared" si="13"/>
        <v>593.04545466224079</v>
      </c>
      <c r="N43">
        <f>IF(D43=1,(VLOOKUP(D43,'Primas Netas Y Reservas'!$D$4:$I$33,5,FALSE)+(VLOOKUP(D43,'Primas Netas Y Reservas'!$D$4:$I$33,6,FALSE)-VLOOKUP(D43,'Primas Netas Y Reservas'!$D$4:$I$33,5,FALSE))*(E43/12))/1000,((VLOOKUP(D43-1,'Primas Netas Y Reservas'!$D$4:$I$33,6,FALSE)+VLOOKUP(D43,'Primas Netas Y Reservas'!$D$4:$I$33,5,FALSE))+(VLOOKUP(D43,'Primas Netas Y Reservas'!$D$4:$I$33,6,FALSE)-VLOOKUP(D43-1,'Primas Netas Y Reservas'!$D$4:$I$33,6,FALSE)-VLOOKUP(D43,'Primas Netas Y Reservas'!$D$4:$I$33,5,FALSE))*(E43/12))/1000)</f>
        <v>0.12681746134412106</v>
      </c>
      <c r="O43">
        <f t="shared" si="14"/>
        <v>-0.77371247252064279</v>
      </c>
      <c r="P43">
        <f>VLOOKUP(D43,Hipotesis!$D$9:$S$38,15,FALSE)*N43</f>
        <v>3.1704365336030264E-2</v>
      </c>
      <c r="Q43">
        <f t="shared" si="1"/>
        <v>0.16581035304070965</v>
      </c>
      <c r="R43">
        <f t="shared" si="2"/>
        <v>0</v>
      </c>
      <c r="S43">
        <f t="shared" si="3"/>
        <v>0.16581035304070965</v>
      </c>
      <c r="T43">
        <f>G43*(VLOOKUP(D43,Hipotesis!$D$9:$N$38,9,FALSE)+VLOOKUP(D43,Hipotesis!$D$9:$N$38,10,FALSE)+VLOOKUP(D43,Hipotesis!$D$9:$N$38,11,FALSE))</f>
        <v>0</v>
      </c>
      <c r="U43">
        <v>0</v>
      </c>
      <c r="V43">
        <f>G43*VLOOKUP(D43,Hipotesis!$D$9:$S$38,16,FALSE)+((VLOOKUP(D43,Hipotesis!$D$9:$T$38,17,FALSE)/$B$4)*M42)/12</f>
        <v>1.4963872657151855E-2</v>
      </c>
      <c r="W43">
        <f>(1+VLOOKUP(D43,Hipotesis!$D$9:$P$38,13,FALSE))^(1/12)-1</f>
        <v>0</v>
      </c>
      <c r="X43">
        <f t="shared" si="15"/>
        <v>0</v>
      </c>
      <c r="Y43">
        <f t="shared" si="4"/>
        <v>0.30243815213028574</v>
      </c>
      <c r="Z43">
        <f>(1+VLOOKUP(D43,Hipotesis!$D$9:$O$38,12,))^(1/12)-1</f>
        <v>4.004870124255433E-3</v>
      </c>
      <c r="AA43">
        <f t="shared" si="16"/>
        <v>0.30429896888640728</v>
      </c>
      <c r="AB43">
        <f t="shared" si="17"/>
        <v>-1.8608167561215557E-3</v>
      </c>
      <c r="AC43" s="68">
        <f t="shared" si="5"/>
        <v>-1.4963872657151855E-2</v>
      </c>
      <c r="AD43">
        <f t="shared" si="6"/>
        <v>-0.44537166734399103</v>
      </c>
      <c r="AE43" s="67">
        <f t="shared" si="7"/>
        <v>0.61581508464978574</v>
      </c>
      <c r="AF43" s="67">
        <f t="shared" si="8"/>
        <v>0.18474452539493572</v>
      </c>
      <c r="AG43" s="67">
        <f t="shared" si="9"/>
        <v>0.43107055925485005</v>
      </c>
    </row>
    <row r="44" spans="4:44" x14ac:dyDescent="0.2">
      <c r="D44" s="50">
        <v>4</v>
      </c>
      <c r="E44">
        <v>6</v>
      </c>
      <c r="F44">
        <f t="shared" si="0"/>
        <v>53</v>
      </c>
      <c r="G44">
        <f t="shared" si="10"/>
        <v>0</v>
      </c>
      <c r="H44" s="64">
        <f>IF(E44="Anual",VLOOKUP(F44,Hipotesis!$E$9:$J$38,6,FALSE),1-(1-VLOOKUP(F44,Hipotesis!$E$9:$J$38,6,FALSE))^(1/12))</f>
        <v>4.6706043400079889E-4</v>
      </c>
      <c r="I44">
        <f t="shared" si="11"/>
        <v>0.27698806743674731</v>
      </c>
      <c r="J44">
        <v>0</v>
      </c>
      <c r="K44">
        <f>1-(1-VLOOKUP(D44,Hipotesis!$D$9:$K$38,8,FALSE))^(1/12)</f>
        <v>8.7416109546967213E-3</v>
      </c>
      <c r="L44">
        <f t="shared" si="12"/>
        <v>5.181751321183917</v>
      </c>
      <c r="M44">
        <f t="shared" si="13"/>
        <v>587.58671527362014</v>
      </c>
      <c r="N44">
        <f>IF(D44=1,(VLOOKUP(D44,'Primas Netas Y Reservas'!$D$4:$I$33,5,FALSE)+(VLOOKUP(D44,'Primas Netas Y Reservas'!$D$4:$I$33,6,FALSE)-VLOOKUP(D44,'Primas Netas Y Reservas'!$D$4:$I$33,5,FALSE))*(E44/12))/1000,((VLOOKUP(D44-1,'Primas Netas Y Reservas'!$D$4:$I$33,6,FALSE)+VLOOKUP(D44,'Primas Netas Y Reservas'!$D$4:$I$33,5,FALSE))+(VLOOKUP(D44,'Primas Netas Y Reservas'!$D$4:$I$33,6,FALSE)-VLOOKUP(D44-1,'Primas Netas Y Reservas'!$D$4:$I$33,6,FALSE)-VLOOKUP(D44,'Primas Netas Y Reservas'!$D$4:$I$33,5,FALSE))*(E44/12))/1000)</f>
        <v>0.1266921298107897</v>
      </c>
      <c r="O44">
        <f t="shared" si="14"/>
        <v>-0.76590661539439964</v>
      </c>
      <c r="P44">
        <f>VLOOKUP(D44,Hipotesis!$D$9:$S$38,15,FALSE)*N44</f>
        <v>3.1673032452697425E-2</v>
      </c>
      <c r="Q44">
        <f t="shared" si="1"/>
        <v>0.16412177775766595</v>
      </c>
      <c r="R44">
        <f t="shared" si="2"/>
        <v>0</v>
      </c>
      <c r="S44">
        <f t="shared" si="3"/>
        <v>0.16412177775766595</v>
      </c>
      <c r="T44">
        <f>G44*(VLOOKUP(D44,Hipotesis!$D$9:$N$38,9,FALSE)+VLOOKUP(D44,Hipotesis!$D$9:$N$38,10,FALSE)+VLOOKUP(D44,Hipotesis!$D$9:$N$38,11,FALSE))</f>
        <v>0</v>
      </c>
      <c r="U44">
        <v>0</v>
      </c>
      <c r="V44">
        <f>G44*VLOOKUP(D44,Hipotesis!$D$9:$S$38,16,FALSE)+((VLOOKUP(D44,Hipotesis!$D$9:$T$38,17,FALSE)/$B$4)*M43)/12</f>
        <v>1.4826136366556018E-2</v>
      </c>
      <c r="W44">
        <f>(1+VLOOKUP(D44,Hipotesis!$D$9:$P$38,13,FALSE))^(1/12)-1</f>
        <v>0</v>
      </c>
      <c r="X44">
        <f t="shared" si="15"/>
        <v>0</v>
      </c>
      <c r="Y44">
        <f t="shared" si="4"/>
        <v>0.29935731848511721</v>
      </c>
      <c r="Z44">
        <f>(1+VLOOKUP(D44,Hipotesis!$D$9:$O$38,12,))^(1/12)-1</f>
        <v>4.004870124255433E-3</v>
      </c>
      <c r="AA44">
        <f t="shared" si="16"/>
        <v>0.30120035092044556</v>
      </c>
      <c r="AB44">
        <f t="shared" si="17"/>
        <v>-1.8430324353283358E-3</v>
      </c>
      <c r="AC44" s="68">
        <f t="shared" si="5"/>
        <v>-1.4826136366556018E-2</v>
      </c>
      <c r="AD44">
        <f t="shared" si="6"/>
        <v>-0.44110984519441326</v>
      </c>
      <c r="AE44" s="67">
        <f t="shared" si="7"/>
        <v>0.60932795231854753</v>
      </c>
      <c r="AF44" s="67">
        <f t="shared" si="8"/>
        <v>0.18279838569556425</v>
      </c>
      <c r="AG44" s="67">
        <f t="shared" si="9"/>
        <v>0.42652956662298325</v>
      </c>
    </row>
    <row r="45" spans="4:44" x14ac:dyDescent="0.2">
      <c r="D45" s="50">
        <v>4</v>
      </c>
      <c r="E45">
        <v>7</v>
      </c>
      <c r="F45">
        <f t="shared" si="0"/>
        <v>53</v>
      </c>
      <c r="G45">
        <f t="shared" si="10"/>
        <v>0</v>
      </c>
      <c r="H45" s="64">
        <f>IF(E45="Anual",VLOOKUP(F45,Hipotesis!$E$9:$J$38,6,FALSE),1-(1-VLOOKUP(F45,Hipotesis!$E$9:$J$38,6,FALSE))^(1/12))</f>
        <v>4.6706043400079889E-4</v>
      </c>
      <c r="I45">
        <f t="shared" si="11"/>
        <v>0.2744385062488009</v>
      </c>
      <c r="J45">
        <v>0</v>
      </c>
      <c r="K45">
        <f>1-(1-VLOOKUP(D45,Hipotesis!$D$9:$K$38,8,FALSE))^(1/12)</f>
        <v>8.7416109546967213E-3</v>
      </c>
      <c r="L45">
        <f t="shared" si="12"/>
        <v>5.1340554324175267</v>
      </c>
      <c r="M45">
        <f t="shared" si="13"/>
        <v>582.17822133495383</v>
      </c>
      <c r="N45">
        <f>IF(D45=1,(VLOOKUP(D45,'Primas Netas Y Reservas'!$D$4:$I$33,5,FALSE)+(VLOOKUP(D45,'Primas Netas Y Reservas'!$D$4:$I$33,6,FALSE)-VLOOKUP(D45,'Primas Netas Y Reservas'!$D$4:$I$33,5,FALSE))*(E45/12))/1000,((VLOOKUP(D45-1,'Primas Netas Y Reservas'!$D$4:$I$33,6,FALSE)+VLOOKUP(D45,'Primas Netas Y Reservas'!$D$4:$I$33,5,FALSE))+(VLOOKUP(D45,'Primas Netas Y Reservas'!$D$4:$I$33,6,FALSE)-VLOOKUP(D45-1,'Primas Netas Y Reservas'!$D$4:$I$33,6,FALSE)-VLOOKUP(D45,'Primas Netas Y Reservas'!$D$4:$I$33,5,FALSE))*(E45/12))/1000)</f>
        <v>0.12656679827745834</v>
      </c>
      <c r="O45">
        <f t="shared" si="14"/>
        <v>-0.75817890531041598</v>
      </c>
      <c r="P45">
        <f>VLOOKUP(D45,Hipotesis!$D$9:$S$38,15,FALSE)*N45</f>
        <v>3.1641699569364586E-2</v>
      </c>
      <c r="Q45">
        <f t="shared" si="1"/>
        <v>0.16245023956501956</v>
      </c>
      <c r="R45">
        <f t="shared" si="2"/>
        <v>0</v>
      </c>
      <c r="S45">
        <f t="shared" si="3"/>
        <v>0.16245023956501956</v>
      </c>
      <c r="T45">
        <f>G45*(VLOOKUP(D45,Hipotesis!$D$9:$N$38,9,FALSE)+VLOOKUP(D45,Hipotesis!$D$9:$N$38,10,FALSE)+VLOOKUP(D45,Hipotesis!$D$9:$N$38,11,FALSE))</f>
        <v>0</v>
      </c>
      <c r="U45">
        <v>0</v>
      </c>
      <c r="V45">
        <f>G45*VLOOKUP(D45,Hipotesis!$D$9:$S$38,16,FALSE)+((VLOOKUP(D45,Hipotesis!$D$9:$T$38,17,FALSE)/$B$4)*M44)/12</f>
        <v>1.4689667881840502E-2</v>
      </c>
      <c r="W45">
        <f>(1+VLOOKUP(D45,Hipotesis!$D$9:$P$38,13,FALSE))^(1/12)-1</f>
        <v>0</v>
      </c>
      <c r="X45">
        <f t="shared" si="15"/>
        <v>0</v>
      </c>
      <c r="Y45">
        <f t="shared" si="4"/>
        <v>0.29630757654591366</v>
      </c>
      <c r="Z45">
        <f>(1+VLOOKUP(D45,Hipotesis!$D$9:$O$38,12,))^(1/12)-1</f>
        <v>4.004870124255433E-3</v>
      </c>
      <c r="AA45">
        <f t="shared" si="16"/>
        <v>0.29813299439848295</v>
      </c>
      <c r="AB45">
        <f t="shared" si="17"/>
        <v>-1.8254178525692623E-3</v>
      </c>
      <c r="AC45" s="68">
        <f t="shared" si="5"/>
        <v>-1.4689667881840502E-2</v>
      </c>
      <c r="AD45">
        <f t="shared" si="6"/>
        <v>-0.43688874581382042</v>
      </c>
      <c r="AE45" s="67">
        <f t="shared" si="7"/>
        <v>0.60290806816066878</v>
      </c>
      <c r="AF45" s="67">
        <f t="shared" si="8"/>
        <v>0.18087242044820062</v>
      </c>
      <c r="AG45" s="67">
        <f t="shared" si="9"/>
        <v>0.42203564771246815</v>
      </c>
    </row>
    <row r="46" spans="4:44" x14ac:dyDescent="0.2">
      <c r="D46" s="50">
        <v>4</v>
      </c>
      <c r="E46">
        <v>8</v>
      </c>
      <c r="F46">
        <f t="shared" si="0"/>
        <v>53</v>
      </c>
      <c r="G46">
        <f t="shared" si="10"/>
        <v>0</v>
      </c>
      <c r="H46" s="64">
        <f>IF(E46="Anual",VLOOKUP(F46,Hipotesis!$E$9:$J$38,6,FALSE),1-(1-VLOOKUP(F46,Hipotesis!$E$9:$J$38,6,FALSE))^(1/12))</f>
        <v>4.6706043400079889E-4</v>
      </c>
      <c r="I46">
        <f t="shared" si="11"/>
        <v>0.27191241272251665</v>
      </c>
      <c r="J46">
        <v>0</v>
      </c>
      <c r="K46">
        <f>1-(1-VLOOKUP(D46,Hipotesis!$D$9:$K$38,8,FALSE))^(1/12)</f>
        <v>8.7416109546967213E-3</v>
      </c>
      <c r="L46">
        <f t="shared" si="12"/>
        <v>5.086798564681712</v>
      </c>
      <c r="M46">
        <f t="shared" si="13"/>
        <v>576.81951035754969</v>
      </c>
      <c r="N46">
        <f>IF(D46=1,(VLOOKUP(D46,'Primas Netas Y Reservas'!$D$4:$I$33,5,FALSE)+(VLOOKUP(D46,'Primas Netas Y Reservas'!$D$4:$I$33,6,FALSE)-VLOOKUP(D46,'Primas Netas Y Reservas'!$D$4:$I$33,5,FALSE))*(E46/12))/1000,((VLOOKUP(D46-1,'Primas Netas Y Reservas'!$D$4:$I$33,6,FALSE)+VLOOKUP(D46,'Primas Netas Y Reservas'!$D$4:$I$33,5,FALSE))+(VLOOKUP(D46,'Primas Netas Y Reservas'!$D$4:$I$33,6,FALSE)-VLOOKUP(D46-1,'Primas Netas Y Reservas'!$D$4:$I$33,6,FALSE)-VLOOKUP(D46,'Primas Netas Y Reservas'!$D$4:$I$33,5,FALSE))*(E46/12))/1000)</f>
        <v>0.12644146674412696</v>
      </c>
      <c r="O46">
        <f t="shared" si="14"/>
        <v>-0.75052856499289078</v>
      </c>
      <c r="P46">
        <f>VLOOKUP(D46,Hipotesis!$D$9:$S$38,15,FALSE)*N46</f>
        <v>3.1610366686031739E-2</v>
      </c>
      <c r="Q46">
        <f t="shared" si="1"/>
        <v>0.16079556788756885</v>
      </c>
      <c r="R46">
        <f t="shared" si="2"/>
        <v>0</v>
      </c>
      <c r="S46">
        <f t="shared" si="3"/>
        <v>0.16079556788756885</v>
      </c>
      <c r="T46">
        <f>G46*(VLOOKUP(D46,Hipotesis!$D$9:$N$38,9,FALSE)+VLOOKUP(D46,Hipotesis!$D$9:$N$38,10,FALSE)+VLOOKUP(D46,Hipotesis!$D$9:$N$38,11,FALSE))</f>
        <v>0</v>
      </c>
      <c r="U46">
        <v>0</v>
      </c>
      <c r="V46">
        <f>G46*VLOOKUP(D46,Hipotesis!$D$9:$S$38,16,FALSE)+((VLOOKUP(D46,Hipotesis!$D$9:$T$38,17,FALSE)/$B$4)*M45)/12</f>
        <v>1.4554455533373844E-2</v>
      </c>
      <c r="W46">
        <f>(1+VLOOKUP(D46,Hipotesis!$D$9:$P$38,13,FALSE))^(1/12)-1</f>
        <v>0</v>
      </c>
      <c r="X46">
        <f t="shared" si="15"/>
        <v>0</v>
      </c>
      <c r="Y46">
        <f t="shared" si="4"/>
        <v>0.29328861496189096</v>
      </c>
      <c r="Z46">
        <f>(1+VLOOKUP(D46,Hipotesis!$D$9:$O$38,12,))^(1/12)-1</f>
        <v>4.004870124255433E-3</v>
      </c>
      <c r="AA46">
        <f t="shared" si="16"/>
        <v>0.29509658635176456</v>
      </c>
      <c r="AB46">
        <f t="shared" si="17"/>
        <v>-1.8079713898736085E-3</v>
      </c>
      <c r="AC46" s="68">
        <f t="shared" si="5"/>
        <v>-1.4554455533373844E-2</v>
      </c>
      <c r="AD46">
        <f t="shared" si="6"/>
        <v>-0.43270798061008553</v>
      </c>
      <c r="AE46" s="67">
        <f t="shared" si="7"/>
        <v>0.59655474381132234</v>
      </c>
      <c r="AF46" s="67">
        <f t="shared" si="8"/>
        <v>0.1789664231433967</v>
      </c>
      <c r="AG46" s="67">
        <f t="shared" si="9"/>
        <v>0.41758832066792562</v>
      </c>
    </row>
    <row r="47" spans="4:44" x14ac:dyDescent="0.2">
      <c r="D47" s="50">
        <v>4</v>
      </c>
      <c r="E47">
        <v>9</v>
      </c>
      <c r="F47">
        <f t="shared" si="0"/>
        <v>53</v>
      </c>
      <c r="G47">
        <f t="shared" si="10"/>
        <v>0</v>
      </c>
      <c r="H47" s="64">
        <f>IF(E47="Anual",VLOOKUP(F47,Hipotesis!$E$9:$J$38,6,FALSE),1-(1-VLOOKUP(F47,Hipotesis!$E$9:$J$38,6,FALSE))^(1/12))</f>
        <v>4.6706043400079889E-4</v>
      </c>
      <c r="I47">
        <f t="shared" si="11"/>
        <v>0.26940957084772543</v>
      </c>
      <c r="J47">
        <v>0</v>
      </c>
      <c r="K47">
        <f>1-(1-VLOOKUP(D47,Hipotesis!$D$9:$K$38,8,FALSE))^(1/12)</f>
        <v>8.7416109546967213E-3</v>
      </c>
      <c r="L47">
        <f t="shared" si="12"/>
        <v>5.0399766769685321</v>
      </c>
      <c r="M47">
        <f t="shared" si="13"/>
        <v>571.5101241097334</v>
      </c>
      <c r="N47">
        <f>IF(D47=1,(VLOOKUP(D47,'Primas Netas Y Reservas'!$D$4:$I$33,5,FALSE)+(VLOOKUP(D47,'Primas Netas Y Reservas'!$D$4:$I$33,6,FALSE)-VLOOKUP(D47,'Primas Netas Y Reservas'!$D$4:$I$33,5,FALSE))*(E47/12))/1000,((VLOOKUP(D47-1,'Primas Netas Y Reservas'!$D$4:$I$33,6,FALSE)+VLOOKUP(D47,'Primas Netas Y Reservas'!$D$4:$I$33,5,FALSE))+(VLOOKUP(D47,'Primas Netas Y Reservas'!$D$4:$I$33,6,FALSE)-VLOOKUP(D47-1,'Primas Netas Y Reservas'!$D$4:$I$33,6,FALSE)-VLOOKUP(D47,'Primas Netas Y Reservas'!$D$4:$I$33,5,FALSE))*(E47/12))/1000)</f>
        <v>0.1263161352107956</v>
      </c>
      <c r="O47">
        <f t="shared" si="14"/>
        <v>-0.74295482485405273</v>
      </c>
      <c r="P47">
        <f>VLOOKUP(D47,Hipotesis!$D$9:$S$38,15,FALSE)*N47</f>
        <v>3.15790338026989E-2</v>
      </c>
      <c r="Q47">
        <f t="shared" si="1"/>
        <v>0.15915759384680336</v>
      </c>
      <c r="R47">
        <f t="shared" si="2"/>
        <v>0</v>
      </c>
      <c r="S47">
        <f t="shared" si="3"/>
        <v>0.15915759384680336</v>
      </c>
      <c r="T47">
        <f>G47*(VLOOKUP(D47,Hipotesis!$D$9:$N$38,9,FALSE)+VLOOKUP(D47,Hipotesis!$D$9:$N$38,10,FALSE)+VLOOKUP(D47,Hipotesis!$D$9:$N$38,11,FALSE))</f>
        <v>0</v>
      </c>
      <c r="U47">
        <v>0</v>
      </c>
      <c r="V47">
        <f>G47*VLOOKUP(D47,Hipotesis!$D$9:$S$38,16,FALSE)+((VLOOKUP(D47,Hipotesis!$D$9:$T$38,17,FALSE)/$B$4)*M46)/12</f>
        <v>1.4420487758938741E-2</v>
      </c>
      <c r="W47">
        <f>(1+VLOOKUP(D47,Hipotesis!$D$9:$P$38,13,FALSE))^(1/12)-1</f>
        <v>0</v>
      </c>
      <c r="X47">
        <f t="shared" si="15"/>
        <v>0</v>
      </c>
      <c r="Y47">
        <f t="shared" si="4"/>
        <v>0.29030012547974904</v>
      </c>
      <c r="Z47">
        <f>(1+VLOOKUP(D47,Hipotesis!$D$9:$O$38,12,))^(1/12)-1</f>
        <v>4.004870124255433E-3</v>
      </c>
      <c r="AA47">
        <f t="shared" si="16"/>
        <v>0.29209081692442423</v>
      </c>
      <c r="AB47">
        <f t="shared" si="17"/>
        <v>-1.7906914446751956E-3</v>
      </c>
      <c r="AC47" s="68">
        <f t="shared" si="5"/>
        <v>-1.4420487758938741E-2</v>
      </c>
      <c r="AD47">
        <f t="shared" si="6"/>
        <v>-0.42856716469452882</v>
      </c>
      <c r="AE47" s="67">
        <f t="shared" si="7"/>
        <v>0.59026729788033416</v>
      </c>
      <c r="AF47" s="67">
        <f t="shared" si="8"/>
        <v>0.17708018936410025</v>
      </c>
      <c r="AG47" s="67">
        <f t="shared" si="9"/>
        <v>0.41318710851623391</v>
      </c>
    </row>
    <row r="48" spans="4:44" x14ac:dyDescent="0.2">
      <c r="D48" s="50">
        <v>4</v>
      </c>
      <c r="E48">
        <v>10</v>
      </c>
      <c r="F48">
        <f t="shared" si="0"/>
        <v>53</v>
      </c>
      <c r="G48">
        <f t="shared" si="10"/>
        <v>0</v>
      </c>
      <c r="H48" s="64">
        <f>IF(E48="Anual",VLOOKUP(F48,Hipotesis!$E$9:$J$38,6,FALSE),1-(1-VLOOKUP(F48,Hipotesis!$E$9:$J$38,6,FALSE))^(1/12))</f>
        <v>4.6706043400079889E-4</v>
      </c>
      <c r="I48">
        <f t="shared" si="11"/>
        <v>0.26692976660254247</v>
      </c>
      <c r="J48">
        <v>0</v>
      </c>
      <c r="K48">
        <f>1-(1-VLOOKUP(D48,Hipotesis!$D$9:$K$38,8,FALSE))^(1/12)</f>
        <v>8.7416109546967213E-3</v>
      </c>
      <c r="L48">
        <f t="shared" si="12"/>
        <v>4.9935857654658609</v>
      </c>
      <c r="M48">
        <f t="shared" si="13"/>
        <v>566.24960857766507</v>
      </c>
      <c r="N48">
        <f>IF(D48=1,(VLOOKUP(D48,'Primas Netas Y Reservas'!$D$4:$I$33,5,FALSE)+(VLOOKUP(D48,'Primas Netas Y Reservas'!$D$4:$I$33,6,FALSE)-VLOOKUP(D48,'Primas Netas Y Reservas'!$D$4:$I$33,5,FALSE))*(E48/12))/1000,((VLOOKUP(D48-1,'Primas Netas Y Reservas'!$D$4:$I$33,6,FALSE)+VLOOKUP(D48,'Primas Netas Y Reservas'!$D$4:$I$33,5,FALSE))+(VLOOKUP(D48,'Primas Netas Y Reservas'!$D$4:$I$33,6,FALSE)-VLOOKUP(D48-1,'Primas Netas Y Reservas'!$D$4:$I$33,6,FALSE)-VLOOKUP(D48,'Primas Netas Y Reservas'!$D$4:$I$33,5,FALSE))*(E48/12))/1000)</f>
        <v>0.12619080367746424</v>
      </c>
      <c r="O48">
        <f t="shared" si="14"/>
        <v>-0.73545692291855858</v>
      </c>
      <c r="P48">
        <f>VLOOKUP(D48,Hipotesis!$D$9:$S$38,15,FALSE)*N48</f>
        <v>3.154770091936606E-2</v>
      </c>
      <c r="Q48">
        <f t="shared" si="1"/>
        <v>0.1575361502441206</v>
      </c>
      <c r="R48">
        <f t="shared" si="2"/>
        <v>0</v>
      </c>
      <c r="S48">
        <f t="shared" si="3"/>
        <v>0.1575361502441206</v>
      </c>
      <c r="T48">
        <f>G48*(VLOOKUP(D48,Hipotesis!$D$9:$N$38,9,FALSE)+VLOOKUP(D48,Hipotesis!$D$9:$N$38,10,FALSE)+VLOOKUP(D48,Hipotesis!$D$9:$N$38,11,FALSE))</f>
        <v>0</v>
      </c>
      <c r="U48">
        <v>0</v>
      </c>
      <c r="V48">
        <f>G48*VLOOKUP(D48,Hipotesis!$D$9:$S$38,16,FALSE)+((VLOOKUP(D48,Hipotesis!$D$9:$T$38,17,FALSE)/$B$4)*M47)/12</f>
        <v>1.4287753102743333E-2</v>
      </c>
      <c r="W48">
        <f>(1+VLOOKUP(D48,Hipotesis!$D$9:$P$38,13,FALSE))^(1/12)-1</f>
        <v>0</v>
      </c>
      <c r="X48">
        <f t="shared" si="15"/>
        <v>0</v>
      </c>
      <c r="Y48">
        <f t="shared" si="4"/>
        <v>0.28734180291302891</v>
      </c>
      <c r="Z48">
        <f>(1+VLOOKUP(D48,Hipotesis!$D$9:$O$38,12,))^(1/12)-1</f>
        <v>4.004870124255433E-3</v>
      </c>
      <c r="AA48">
        <f t="shared" si="16"/>
        <v>0.28911537934269482</v>
      </c>
      <c r="AB48">
        <f t="shared" si="17"/>
        <v>-1.773576429665891E-3</v>
      </c>
      <c r="AC48" s="68">
        <f t="shared" si="5"/>
        <v>-1.4287753102743333E-2</v>
      </c>
      <c r="AD48">
        <f t="shared" si="6"/>
        <v>-0.42446591684666307</v>
      </c>
      <c r="AE48" s="67">
        <f t="shared" si="7"/>
        <v>0.58404505588218114</v>
      </c>
      <c r="AF48" s="67">
        <f t="shared" si="8"/>
        <v>0.17521351676465433</v>
      </c>
      <c r="AG48" s="67">
        <f t="shared" si="9"/>
        <v>0.40883153911752679</v>
      </c>
    </row>
    <row r="49" spans="4:33" x14ac:dyDescent="0.2">
      <c r="D49" s="50">
        <v>4</v>
      </c>
      <c r="E49">
        <v>11</v>
      </c>
      <c r="F49">
        <f t="shared" si="0"/>
        <v>53</v>
      </c>
      <c r="G49">
        <f t="shared" si="10"/>
        <v>0</v>
      </c>
      <c r="H49" s="64">
        <f>IF(E49="Anual",VLOOKUP(F49,Hipotesis!$E$9:$J$38,6,FALSE),1-(1-VLOOKUP(F49,Hipotesis!$E$9:$J$38,6,FALSE))^(1/12))</f>
        <v>4.6706043400079889E-4</v>
      </c>
      <c r="I49">
        <f t="shared" si="11"/>
        <v>0.26447278793506673</v>
      </c>
      <c r="J49">
        <v>0</v>
      </c>
      <c r="K49">
        <f>1-(1-VLOOKUP(D49,Hipotesis!$D$9:$K$38,8,FALSE))^(1/12)</f>
        <v>8.7416109546967213E-3</v>
      </c>
      <c r="L49">
        <f t="shared" si="12"/>
        <v>4.9476218632150148</v>
      </c>
      <c r="M49">
        <f t="shared" si="13"/>
        <v>561.03751392651498</v>
      </c>
      <c r="N49">
        <f>IF(D49=1,(VLOOKUP(D49,'Primas Netas Y Reservas'!$D$4:$I$33,5,FALSE)+(VLOOKUP(D49,'Primas Netas Y Reservas'!$D$4:$I$33,6,FALSE)-VLOOKUP(D49,'Primas Netas Y Reservas'!$D$4:$I$33,5,FALSE))*(E49/12))/1000,((VLOOKUP(D49-1,'Primas Netas Y Reservas'!$D$4:$I$33,6,FALSE)+VLOOKUP(D49,'Primas Netas Y Reservas'!$D$4:$I$33,5,FALSE))+(VLOOKUP(D49,'Primas Netas Y Reservas'!$D$4:$I$33,6,FALSE)-VLOOKUP(D49-1,'Primas Netas Y Reservas'!$D$4:$I$33,6,FALSE)-VLOOKUP(D49,'Primas Netas Y Reservas'!$D$4:$I$33,5,FALSE))*(E49/12))/1000)</f>
        <v>0.12606547214413288</v>
      </c>
      <c r="O49">
        <f t="shared" si="14"/>
        <v>-0.72803410474845975</v>
      </c>
      <c r="P49">
        <f>VLOOKUP(D49,Hipotesis!$D$9:$S$38,15,FALSE)*N49</f>
        <v>3.1516368036033221E-2</v>
      </c>
      <c r="Q49">
        <f t="shared" si="1"/>
        <v>0.15593107154420882</v>
      </c>
      <c r="R49">
        <f t="shared" si="2"/>
        <v>0</v>
      </c>
      <c r="S49">
        <f t="shared" si="3"/>
        <v>0.15593107154420882</v>
      </c>
      <c r="T49">
        <f>G49*(VLOOKUP(D49,Hipotesis!$D$9:$N$38,9,FALSE)+VLOOKUP(D49,Hipotesis!$D$9:$N$38,10,FALSE)+VLOOKUP(D49,Hipotesis!$D$9:$N$38,11,FALSE))</f>
        <v>0</v>
      </c>
      <c r="U49">
        <v>0</v>
      </c>
      <c r="V49">
        <f>G49*VLOOKUP(D49,Hipotesis!$D$9:$S$38,16,FALSE)+((VLOOKUP(D49,Hipotesis!$D$9:$T$38,17,FALSE)/$B$4)*M48)/12</f>
        <v>1.4156240214441625E-2</v>
      </c>
      <c r="W49">
        <f>(1+VLOOKUP(D49,Hipotesis!$D$9:$P$38,13,FALSE))^(1/12)-1</f>
        <v>0</v>
      </c>
      <c r="X49">
        <f t="shared" si="15"/>
        <v>0</v>
      </c>
      <c r="Y49">
        <f t="shared" si="4"/>
        <v>0.28441334511177097</v>
      </c>
      <c r="Z49">
        <f>(1+VLOOKUP(D49,Hipotesis!$D$9:$O$38,12,))^(1/12)-1</f>
        <v>4.004870124255433E-3</v>
      </c>
      <c r="AA49">
        <f t="shared" si="16"/>
        <v>0.28616996988442145</v>
      </c>
      <c r="AB49">
        <f t="shared" si="17"/>
        <v>-1.7566247726504924E-3</v>
      </c>
      <c r="AC49" s="68">
        <f t="shared" si="5"/>
        <v>-1.4156240214441625E-2</v>
      </c>
      <c r="AD49">
        <f t="shared" si="6"/>
        <v>-0.42040385947927555</v>
      </c>
      <c r="AE49" s="67">
        <f t="shared" si="7"/>
        <v>0.57788735016651349</v>
      </c>
      <c r="AF49" s="67">
        <f t="shared" si="8"/>
        <v>0.17336620504995404</v>
      </c>
      <c r="AG49" s="67">
        <f t="shared" si="9"/>
        <v>0.40452114511655946</v>
      </c>
    </row>
    <row r="50" spans="4:33" x14ac:dyDescent="0.2">
      <c r="D50" s="50">
        <v>4</v>
      </c>
      <c r="E50">
        <v>12</v>
      </c>
      <c r="F50">
        <f t="shared" si="0"/>
        <v>53</v>
      </c>
      <c r="G50">
        <f t="shared" si="10"/>
        <v>0</v>
      </c>
      <c r="H50" s="64">
        <f>IF(E50="Anual",VLOOKUP(F50,Hipotesis!$E$9:$J$38,6,FALSE),1-(1-VLOOKUP(F50,Hipotesis!$E$9:$J$38,6,FALSE))^(1/12))</f>
        <v>4.6706043400079889E-4</v>
      </c>
      <c r="I50">
        <f t="shared" si="11"/>
        <v>0.26203842474524736</v>
      </c>
      <c r="J50">
        <v>0</v>
      </c>
      <c r="K50">
        <f>1-(1-VLOOKUP(D50,Hipotesis!$D$9:$K$38,8,FALSE))^(1/12)</f>
        <v>8.7416109546967213E-3</v>
      </c>
      <c r="L50">
        <f t="shared" si="12"/>
        <v>4.9020810397715335</v>
      </c>
      <c r="M50">
        <f t="shared" si="13"/>
        <v>555.87339446199815</v>
      </c>
      <c r="N50">
        <f>IF(D50=1,(VLOOKUP(D50,'Primas Netas Y Reservas'!$D$4:$I$33,5,FALSE)+(VLOOKUP(D50,'Primas Netas Y Reservas'!$D$4:$I$33,6,FALSE)-VLOOKUP(D50,'Primas Netas Y Reservas'!$D$4:$I$33,5,FALSE))*(E50/12))/1000,((VLOOKUP(D50-1,'Primas Netas Y Reservas'!$D$4:$I$33,6,FALSE)+VLOOKUP(D50,'Primas Netas Y Reservas'!$D$4:$I$33,5,FALSE))+(VLOOKUP(D50,'Primas Netas Y Reservas'!$D$4:$I$33,6,FALSE)-VLOOKUP(D50-1,'Primas Netas Y Reservas'!$D$4:$I$33,6,FALSE)-VLOOKUP(D50,'Primas Netas Y Reservas'!$D$4:$I$33,5,FALSE))*(E50/12))/1000)</f>
        <v>0.12594014061080153</v>
      </c>
      <c r="O50">
        <f t="shared" si="14"/>
        <v>-0.72068562336905018</v>
      </c>
      <c r="P50">
        <f>VLOOKUP(D50,Hipotesis!$D$9:$S$38,15,FALSE)*N50</f>
        <v>3.1485035152700382E-2</v>
      </c>
      <c r="Q50">
        <f t="shared" si="1"/>
        <v>0.15434219385859277</v>
      </c>
      <c r="R50">
        <f t="shared" si="2"/>
        <v>0</v>
      </c>
      <c r="S50">
        <f t="shared" si="3"/>
        <v>0.15434219385859277</v>
      </c>
      <c r="T50">
        <f>G50*(VLOOKUP(D50,Hipotesis!$D$9:$N$38,9,FALSE)+VLOOKUP(D50,Hipotesis!$D$9:$N$38,10,FALSE)+VLOOKUP(D50,Hipotesis!$D$9:$N$38,11,FALSE))</f>
        <v>0</v>
      </c>
      <c r="U50">
        <v>0</v>
      </c>
      <c r="V50">
        <f>G50*VLOOKUP(D50,Hipotesis!$D$9:$S$38,16,FALSE)+((VLOOKUP(D50,Hipotesis!$D$9:$T$38,17,FALSE)/$B$4)*M49)/12</f>
        <v>1.4025937848162874E-2</v>
      </c>
      <c r="W50">
        <f>(1+VLOOKUP(D50,Hipotesis!$D$9:$P$38,13,FALSE))^(1/12)-1</f>
        <v>0</v>
      </c>
      <c r="X50">
        <f t="shared" si="15"/>
        <v>0</v>
      </c>
      <c r="Y50">
        <f t="shared" si="4"/>
        <v>0.28151445293247229</v>
      </c>
      <c r="Z50">
        <f>(1+VLOOKUP(D50,Hipotesis!$D$9:$O$38,12,))^(1/12)-1</f>
        <v>4.004870124255433E-3</v>
      </c>
      <c r="AA50">
        <f t="shared" si="16"/>
        <v>0.2832542878488753</v>
      </c>
      <c r="AB50">
        <f t="shared" si="17"/>
        <v>-1.7398349164030008E-3</v>
      </c>
      <c r="AC50" s="68">
        <f t="shared" si="5"/>
        <v>-1.4025937848162874E-2</v>
      </c>
      <c r="AD50">
        <f t="shared" si="6"/>
        <v>-0.41638061860384012</v>
      </c>
      <c r="AE50" s="67">
        <f t="shared" si="7"/>
        <v>0.57179351984951943</v>
      </c>
      <c r="AF50" s="67">
        <f t="shared" si="8"/>
        <v>0.17153805595485583</v>
      </c>
      <c r="AG50" s="67">
        <f t="shared" si="9"/>
        <v>0.4002554638946636</v>
      </c>
    </row>
    <row r="51" spans="4:33" x14ac:dyDescent="0.2">
      <c r="D51" s="50">
        <v>5</v>
      </c>
      <c r="E51">
        <v>1</v>
      </c>
      <c r="F51">
        <f t="shared" si="0"/>
        <v>54</v>
      </c>
      <c r="G51">
        <f t="shared" si="10"/>
        <v>27.23160635914315</v>
      </c>
      <c r="H51" s="64">
        <f>IF(E51="Anual",VLOOKUP(F51,Hipotesis!$E$9:$J$38,6,FALSE),1-(1-VLOOKUP(F51,Hipotesis!$E$9:$J$38,6,FALSE))^(1/12))</f>
        <v>5.0285718085141262E-4</v>
      </c>
      <c r="I51">
        <f t="shared" si="11"/>
        <v>0.2795249280494656</v>
      </c>
      <c r="J51">
        <v>0</v>
      </c>
      <c r="K51">
        <f>1-(1-VLOOKUP(D51,Hipotesis!$D$9:$K$38,8,FALSE))^(1/12)</f>
        <v>7.8284203424832111E-3</v>
      </c>
      <c r="L51">
        <f t="shared" si="12"/>
        <v>4.3494223504185268</v>
      </c>
      <c r="M51">
        <f t="shared" si="13"/>
        <v>551.24444718353016</v>
      </c>
      <c r="N51">
        <f>IF(D51=1,(VLOOKUP(D51,'Primas Netas Y Reservas'!$D$4:$I$33,5,FALSE)+(VLOOKUP(D51,'Primas Netas Y Reservas'!$D$4:$I$33,6,FALSE)-VLOOKUP(D51,'Primas Netas Y Reservas'!$D$4:$I$33,5,FALSE))*(E51/12))/1000,((VLOOKUP(D51-1,'Primas Netas Y Reservas'!$D$4:$I$33,6,FALSE)+VLOOKUP(D51,'Primas Netas Y Reservas'!$D$4:$I$33,5,FALSE))+(VLOOKUP(D51,'Primas Netas Y Reservas'!$D$4:$I$33,6,FALSE)-VLOOKUP(D51-1,'Primas Netas Y Reservas'!$D$4:$I$33,6,FALSE)-VLOOKUP(D51,'Primas Netas Y Reservas'!$D$4:$I$33,5,FALSE))*(E51/12))/1000)</f>
        <v>0.17112664894930085</v>
      </c>
      <c r="O51">
        <f>(M51*N51-M50*N50)</f>
        <v>24.325841538079786</v>
      </c>
      <c r="P51">
        <f>VLOOKUP(D51,Hipotesis!$D$9:$S$38,15,FALSE)*N51</f>
        <v>6.331686011124131E-2</v>
      </c>
      <c r="Q51">
        <f t="shared" si="1"/>
        <v>0.27539176652615627</v>
      </c>
      <c r="R51">
        <f t="shared" si="2"/>
        <v>0</v>
      </c>
      <c r="S51">
        <f t="shared" si="3"/>
        <v>0.27539176652615627</v>
      </c>
      <c r="T51">
        <f>G51*(VLOOKUP(D51,Hipotesis!$D$9:$N$38,9,FALSE)+VLOOKUP(D51,Hipotesis!$D$9:$N$38,10,FALSE)+VLOOKUP(D51,Hipotesis!$D$9:$N$38,11,FALSE))</f>
        <v>2.1785285087314521</v>
      </c>
      <c r="U51">
        <v>0</v>
      </c>
      <c r="V51">
        <f>G51*VLOOKUP(D51,Hipotesis!$D$9:$S$38,16,FALSE)+((VLOOKUP(D51,Hipotesis!$D$9:$T$38,17,FALSE)/$B$4)*M50)/12</f>
        <v>1.2393191210229917</v>
      </c>
      <c r="W51">
        <f>(1+VLOOKUP(D51,Hipotesis!$D$9:$P$38,13,FALSE))^(1/12)-1</f>
        <v>0</v>
      </c>
      <c r="X51">
        <f t="shared" si="15"/>
        <v>0</v>
      </c>
      <c r="Y51">
        <f t="shared" si="4"/>
        <v>0.35823871960140685</v>
      </c>
      <c r="Z51">
        <f>(1+VLOOKUP(D51,Hipotesis!$D$9:$O$38,12,))^(1/12)-1</f>
        <v>3.8353618503625952E-3</v>
      </c>
      <c r="AA51">
        <f t="shared" si="16"/>
        <v>0.26850130819679374</v>
      </c>
      <c r="AB51">
        <f t="shared" si="17"/>
        <v>8.9737411404613138E-2</v>
      </c>
      <c r="AC51" s="68">
        <f t="shared" si="5"/>
        <v>23.813758729388706</v>
      </c>
      <c r="AD51">
        <f t="shared" si="6"/>
        <v>-0.55491669457562187</v>
      </c>
      <c r="AE51" s="67">
        <f t="shared" si="7"/>
        <v>-0.70876078366529383</v>
      </c>
      <c r="AF51" s="67">
        <f t="shared" si="8"/>
        <v>-0.21262823509958814</v>
      </c>
      <c r="AG51" s="67">
        <f t="shared" si="9"/>
        <v>-0.49613254856570566</v>
      </c>
    </row>
    <row r="52" spans="4:33" x14ac:dyDescent="0.2">
      <c r="D52" s="50">
        <v>5</v>
      </c>
      <c r="E52">
        <v>2</v>
      </c>
      <c r="F52">
        <f t="shared" si="0"/>
        <v>54</v>
      </c>
      <c r="G52">
        <f t="shared" si="10"/>
        <v>0</v>
      </c>
      <c r="H52" s="64">
        <f>IF(E52="Anual",VLOOKUP(F52,Hipotesis!$E$9:$J$38,6,FALSE),1-(1-VLOOKUP(F52,Hipotesis!$E$9:$J$38,6,FALSE))^(1/12))</f>
        <v>5.0285718085141262E-4</v>
      </c>
      <c r="I52">
        <f t="shared" si="11"/>
        <v>0.2771972286707054</v>
      </c>
      <c r="J52">
        <v>0</v>
      </c>
      <c r="K52">
        <f>1-(1-VLOOKUP(D52,Hipotesis!$D$9:$K$38,8,FALSE))^(1/12)</f>
        <v>7.8284203424832111E-3</v>
      </c>
      <c r="L52">
        <f t="shared" si="12"/>
        <v>4.3132032275886534</v>
      </c>
      <c r="M52">
        <f t="shared" si="13"/>
        <v>546.65404672727072</v>
      </c>
      <c r="N52">
        <f>IF(D52=1,(VLOOKUP(D52,'Primas Netas Y Reservas'!$D$4:$I$33,5,FALSE)+(VLOOKUP(D52,'Primas Netas Y Reservas'!$D$4:$I$33,6,FALSE)-VLOOKUP(D52,'Primas Netas Y Reservas'!$D$4:$I$33,5,FALSE))*(E52/12))/1000,((VLOOKUP(D52-1,'Primas Netas Y Reservas'!$D$4:$I$33,6,FALSE)+VLOOKUP(D52,'Primas Netas Y Reservas'!$D$4:$I$33,5,FALSE))+(VLOOKUP(D52,'Primas Netas Y Reservas'!$D$4:$I$33,6,FALSE)-VLOOKUP(D52-1,'Primas Netas Y Reservas'!$D$4:$I$33,6,FALSE)-VLOOKUP(D52,'Primas Netas Y Reservas'!$D$4:$I$33,5,FALSE))*(E52/12))/1000)</f>
        <v>0.17115270527907095</v>
      </c>
      <c r="O52">
        <f t="shared" si="14"/>
        <v>-0.77129604930333073</v>
      </c>
      <c r="P52">
        <f>VLOOKUP(D52,Hipotesis!$D$9:$S$38,15,FALSE)*N52</f>
        <v>6.3326500953256246E-2</v>
      </c>
      <c r="Q52">
        <f t="shared" si="1"/>
        <v>0.27314006830348075</v>
      </c>
      <c r="R52">
        <f t="shared" si="2"/>
        <v>0</v>
      </c>
      <c r="S52">
        <f t="shared" si="3"/>
        <v>0.27314006830348075</v>
      </c>
      <c r="T52">
        <f>G52*(VLOOKUP(D52,Hipotesis!$D$9:$N$38,9,FALSE)+VLOOKUP(D52,Hipotesis!$D$9:$N$38,10,FALSE)+VLOOKUP(D52,Hipotesis!$D$9:$N$38,11,FALSE))</f>
        <v>0</v>
      </c>
      <c r="U52">
        <v>0</v>
      </c>
      <c r="V52">
        <f>G52*VLOOKUP(D52,Hipotesis!$D$9:$S$38,16,FALSE)+((VLOOKUP(D52,Hipotesis!$D$9:$T$38,17,FALSE)/$B$4)*M51)/12</f>
        <v>1.3781111179588253E-2</v>
      </c>
      <c r="W52">
        <f>(1+VLOOKUP(D52,Hipotesis!$D$9:$P$38,13,FALSE))^(1/12)-1</f>
        <v>0</v>
      </c>
      <c r="X52">
        <f t="shared" si="15"/>
        <v>0</v>
      </c>
      <c r="Y52">
        <f t="shared" si="4"/>
        <v>0.35961855094133227</v>
      </c>
      <c r="Z52">
        <f>(1+VLOOKUP(D52,Hipotesis!$D$9:$O$38,12,))^(1/12)-1</f>
        <v>3.8353618503625952E-3</v>
      </c>
      <c r="AA52">
        <f t="shared" si="16"/>
        <v>0.36179971280991075</v>
      </c>
      <c r="AB52">
        <f t="shared" si="17"/>
        <v>-2.1811618685784505E-3</v>
      </c>
      <c r="AC52" s="68">
        <f t="shared" si="5"/>
        <v>-1.3781111179588253E-2</v>
      </c>
      <c r="AD52">
        <f t="shared" si="6"/>
        <v>-0.55033729697418621</v>
      </c>
      <c r="AE52" s="67">
        <f t="shared" si="7"/>
        <v>0.56679619209088861</v>
      </c>
      <c r="AF52" s="67">
        <f t="shared" si="8"/>
        <v>0.17003885762726659</v>
      </c>
      <c r="AG52" s="67">
        <f t="shared" si="9"/>
        <v>0.39675733446362205</v>
      </c>
    </row>
    <row r="53" spans="4:33" x14ac:dyDescent="0.2">
      <c r="D53" s="50">
        <v>5</v>
      </c>
      <c r="E53">
        <v>3</v>
      </c>
      <c r="F53">
        <f t="shared" si="0"/>
        <v>54</v>
      </c>
      <c r="G53">
        <f t="shared" si="10"/>
        <v>0</v>
      </c>
      <c r="H53" s="64">
        <f>IF(E53="Anual",VLOOKUP(F53,Hipotesis!$E$9:$J$38,6,FALSE),1-(1-VLOOKUP(F53,Hipotesis!$E$9:$J$38,6,FALSE))^(1/12))</f>
        <v>5.0285718085141262E-4</v>
      </c>
      <c r="I53">
        <f t="shared" si="11"/>
        <v>0.2748889128382917</v>
      </c>
      <c r="J53">
        <v>0</v>
      </c>
      <c r="K53">
        <f>1-(1-VLOOKUP(D53,Hipotesis!$D$9:$K$38,8,FALSE))^(1/12)</f>
        <v>7.8284203424832111E-3</v>
      </c>
      <c r="L53">
        <f t="shared" si="12"/>
        <v>4.277285713743348</v>
      </c>
      <c r="M53">
        <f t="shared" si="13"/>
        <v>542.10187210068909</v>
      </c>
      <c r="N53">
        <f>IF(D53=1,(VLOOKUP(D53,'Primas Netas Y Reservas'!$D$4:$I$33,5,FALSE)+(VLOOKUP(D53,'Primas Netas Y Reservas'!$D$4:$I$33,6,FALSE)-VLOOKUP(D53,'Primas Netas Y Reservas'!$D$4:$I$33,5,FALSE))*(E53/12))/1000,((VLOOKUP(D53-1,'Primas Netas Y Reservas'!$D$4:$I$33,6,FALSE)+VLOOKUP(D53,'Primas Netas Y Reservas'!$D$4:$I$33,5,FALSE))+(VLOOKUP(D53,'Primas Netas Y Reservas'!$D$4:$I$33,6,FALSE)-VLOOKUP(D53-1,'Primas Netas Y Reservas'!$D$4:$I$33,6,FALSE)-VLOOKUP(D53,'Primas Netas Y Reservas'!$D$4:$I$33,5,FALSE))*(E53/12))/1000)</f>
        <v>0.17117876160884099</v>
      </c>
      <c r="O53">
        <f t="shared" si="14"/>
        <v>-0.7649918170937724</v>
      </c>
      <c r="P53">
        <f>VLOOKUP(D53,Hipotesis!$D$9:$S$38,15,FALSE)*N53</f>
        <v>6.3336141795271167E-2</v>
      </c>
      <c r="Q53">
        <f t="shared" si="1"/>
        <v>0.27090677446453632</v>
      </c>
      <c r="R53">
        <f t="shared" si="2"/>
        <v>0</v>
      </c>
      <c r="S53">
        <f t="shared" si="3"/>
        <v>0.27090677446453632</v>
      </c>
      <c r="T53">
        <f>G53*(VLOOKUP(D53,Hipotesis!$D$9:$N$38,9,FALSE)+VLOOKUP(D53,Hipotesis!$D$9:$N$38,10,FALSE)+VLOOKUP(D53,Hipotesis!$D$9:$N$38,11,FALSE))</f>
        <v>0</v>
      </c>
      <c r="U53">
        <v>0</v>
      </c>
      <c r="V53">
        <f>G53*VLOOKUP(D53,Hipotesis!$D$9:$S$38,16,FALSE)+((VLOOKUP(D53,Hipotesis!$D$9:$T$38,17,FALSE)/$B$4)*M52)/12</f>
        <v>1.3666351168181767E-2</v>
      </c>
      <c r="W53">
        <f>(1+VLOOKUP(D53,Hipotesis!$D$9:$P$38,13,FALSE))^(1/12)-1</f>
        <v>0</v>
      </c>
      <c r="X53">
        <f t="shared" si="15"/>
        <v>0</v>
      </c>
      <c r="Y53">
        <f t="shared" si="4"/>
        <v>0.35667835529152675</v>
      </c>
      <c r="Z53">
        <f>(1+VLOOKUP(D53,Hipotesis!$D$9:$O$38,12,))^(1/12)-1</f>
        <v>3.8353618503625952E-3</v>
      </c>
      <c r="AA53">
        <f t="shared" si="16"/>
        <v>0.35884151336707731</v>
      </c>
      <c r="AB53">
        <f t="shared" si="17"/>
        <v>-2.1631580755505668E-3</v>
      </c>
      <c r="AC53" s="68">
        <f t="shared" si="5"/>
        <v>-1.3666351168181767E-2</v>
      </c>
      <c r="AD53">
        <f t="shared" si="6"/>
        <v>-0.54579568730282801</v>
      </c>
      <c r="AE53" s="67">
        <f t="shared" si="7"/>
        <v>0.56220813391428925</v>
      </c>
      <c r="AF53" s="67">
        <f t="shared" si="8"/>
        <v>0.16866244017428678</v>
      </c>
      <c r="AG53" s="67">
        <f t="shared" si="9"/>
        <v>0.39354569374000248</v>
      </c>
    </row>
    <row r="54" spans="4:33" x14ac:dyDescent="0.2">
      <c r="D54" s="50">
        <v>5</v>
      </c>
      <c r="E54">
        <v>4</v>
      </c>
      <c r="F54">
        <f t="shared" si="0"/>
        <v>54</v>
      </c>
      <c r="G54">
        <f t="shared" si="10"/>
        <v>0</v>
      </c>
      <c r="H54" s="64">
        <f>IF(E54="Anual",VLOOKUP(F54,Hipotesis!$E$9:$J$38,6,FALSE),1-(1-VLOOKUP(F54,Hipotesis!$E$9:$J$38,6,FALSE))^(1/12))</f>
        <v>5.0285718085141262E-4</v>
      </c>
      <c r="I54">
        <f t="shared" si="11"/>
        <v>0.27259981913882553</v>
      </c>
      <c r="J54">
        <v>0</v>
      </c>
      <c r="K54">
        <f>1-(1-VLOOKUP(D54,Hipotesis!$D$9:$K$38,8,FALSE))^(1/12)</f>
        <v>7.8284203424832111E-3</v>
      </c>
      <c r="L54">
        <f t="shared" si="12"/>
        <v>4.2416672972817633</v>
      </c>
      <c r="M54">
        <f t="shared" si="13"/>
        <v>537.58760498426852</v>
      </c>
      <c r="N54">
        <f>IF(D54=1,(VLOOKUP(D54,'Primas Netas Y Reservas'!$D$4:$I$33,5,FALSE)+(VLOOKUP(D54,'Primas Netas Y Reservas'!$D$4:$I$33,6,FALSE)-VLOOKUP(D54,'Primas Netas Y Reservas'!$D$4:$I$33,5,FALSE))*(E54/12))/1000,((VLOOKUP(D54-1,'Primas Netas Y Reservas'!$D$4:$I$33,6,FALSE)+VLOOKUP(D54,'Primas Netas Y Reservas'!$D$4:$I$33,5,FALSE))+(VLOOKUP(D54,'Primas Netas Y Reservas'!$D$4:$I$33,6,FALSE)-VLOOKUP(D54-1,'Primas Netas Y Reservas'!$D$4:$I$33,6,FALSE)-VLOOKUP(D54,'Primas Netas Y Reservas'!$D$4:$I$33,5,FALSE))*(E54/12))/1000)</f>
        <v>0.17120481793861106</v>
      </c>
      <c r="O54">
        <f t="shared" si="14"/>
        <v>-0.75873909464462486</v>
      </c>
      <c r="P54">
        <f>VLOOKUP(D54,Hipotesis!$D$9:$S$38,15,FALSE)*N54</f>
        <v>6.3345782637286088E-2</v>
      </c>
      <c r="Q54">
        <f t="shared" si="1"/>
        <v>0.26869173463329532</v>
      </c>
      <c r="R54">
        <f t="shared" si="2"/>
        <v>0</v>
      </c>
      <c r="S54">
        <f t="shared" si="3"/>
        <v>0.26869173463329532</v>
      </c>
      <c r="T54">
        <f>G54*(VLOOKUP(D54,Hipotesis!$D$9:$N$38,9,FALSE)+VLOOKUP(D54,Hipotesis!$D$9:$N$38,10,FALSE)+VLOOKUP(D54,Hipotesis!$D$9:$N$38,11,FALSE))</f>
        <v>0</v>
      </c>
      <c r="U54">
        <v>0</v>
      </c>
      <c r="V54">
        <f>G54*VLOOKUP(D54,Hipotesis!$D$9:$S$38,16,FALSE)+((VLOOKUP(D54,Hipotesis!$D$9:$T$38,17,FALSE)/$B$4)*M53)/12</f>
        <v>1.3552546802517227E-2</v>
      </c>
      <c r="W54">
        <f>(1+VLOOKUP(D54,Hipotesis!$D$9:$P$38,13,FALSE))^(1/12)-1</f>
        <v>0</v>
      </c>
      <c r="X54">
        <f t="shared" si="15"/>
        <v>0</v>
      </c>
      <c r="Y54">
        <f t="shared" si="4"/>
        <v>0.35376219005780096</v>
      </c>
      <c r="Z54">
        <f>(1+VLOOKUP(D54,Hipotesis!$D$9:$O$38,12,))^(1/12)-1</f>
        <v>3.8353618503625952E-3</v>
      </c>
      <c r="AA54">
        <f t="shared" si="16"/>
        <v>0.3559074929359563</v>
      </c>
      <c r="AB54">
        <f t="shared" si="17"/>
        <v>-2.1453028781553271E-3</v>
      </c>
      <c r="AC54" s="68">
        <f t="shared" si="5"/>
        <v>-1.3552546802517227E-2</v>
      </c>
      <c r="AD54">
        <f t="shared" si="6"/>
        <v>-0.54129155377212079</v>
      </c>
      <c r="AE54" s="67">
        <f t="shared" si="7"/>
        <v>0.55765718412778775</v>
      </c>
      <c r="AF54" s="67">
        <f t="shared" si="8"/>
        <v>0.16729715523833633</v>
      </c>
      <c r="AG54" s="67">
        <f t="shared" si="9"/>
        <v>0.39036002888945143</v>
      </c>
    </row>
    <row r="55" spans="4:33" x14ac:dyDescent="0.2">
      <c r="D55" s="50">
        <v>5</v>
      </c>
      <c r="E55">
        <v>5</v>
      </c>
      <c r="F55">
        <f t="shared" si="0"/>
        <v>54</v>
      </c>
      <c r="G55">
        <f t="shared" si="10"/>
        <v>0</v>
      </c>
      <c r="H55" s="64">
        <f>IF(E55="Anual",VLOOKUP(F55,Hipotesis!$E$9:$J$38,6,FALSE),1-(1-VLOOKUP(F55,Hipotesis!$E$9:$J$38,6,FALSE))^(1/12))</f>
        <v>5.0285718085141262E-4</v>
      </c>
      <c r="I55">
        <f t="shared" si="11"/>
        <v>0.27032978750305209</v>
      </c>
      <c r="J55">
        <v>0</v>
      </c>
      <c r="K55">
        <f>1-(1-VLOOKUP(D55,Hipotesis!$D$9:$K$38,8,FALSE))^(1/12)</f>
        <v>7.8284203424832111E-3</v>
      </c>
      <c r="L55">
        <f t="shared" si="12"/>
        <v>4.206345487518008</v>
      </c>
      <c r="M55">
        <f t="shared" si="13"/>
        <v>533.11092970924744</v>
      </c>
      <c r="N55">
        <f>IF(D55=1,(VLOOKUP(D55,'Primas Netas Y Reservas'!$D$4:$I$33,5,FALSE)+(VLOOKUP(D55,'Primas Netas Y Reservas'!$D$4:$I$33,6,FALSE)-VLOOKUP(D55,'Primas Netas Y Reservas'!$D$4:$I$33,5,FALSE))*(E55/12))/1000,((VLOOKUP(D55-1,'Primas Netas Y Reservas'!$D$4:$I$33,6,FALSE)+VLOOKUP(D55,'Primas Netas Y Reservas'!$D$4:$I$33,5,FALSE))+(VLOOKUP(D55,'Primas Netas Y Reservas'!$D$4:$I$33,6,FALSE)-VLOOKUP(D55-1,'Primas Netas Y Reservas'!$D$4:$I$33,6,FALSE)-VLOOKUP(D55,'Primas Netas Y Reservas'!$D$4:$I$33,5,FALSE))*(E55/12))/1000)</f>
        <v>0.17123087426838116</v>
      </c>
      <c r="O55">
        <f t="shared" si="14"/>
        <v>-0.75253746124171528</v>
      </c>
      <c r="P55">
        <f>VLOOKUP(D55,Hipotesis!$D$9:$S$38,15,FALSE)*N55</f>
        <v>6.3355423479301023E-2</v>
      </c>
      <c r="Q55">
        <f t="shared" si="1"/>
        <v>0.26649479966195033</v>
      </c>
      <c r="R55">
        <f t="shared" si="2"/>
        <v>0</v>
      </c>
      <c r="S55">
        <f t="shared" si="3"/>
        <v>0.26649479966195033</v>
      </c>
      <c r="T55">
        <f>G55*(VLOOKUP(D55,Hipotesis!$D$9:$N$38,9,FALSE)+VLOOKUP(D55,Hipotesis!$D$9:$N$38,10,FALSE)+VLOOKUP(D55,Hipotesis!$D$9:$N$38,11,FALSE))</f>
        <v>0</v>
      </c>
      <c r="U55">
        <v>0</v>
      </c>
      <c r="V55">
        <f>G55*VLOOKUP(D55,Hipotesis!$D$9:$S$38,16,FALSE)+((VLOOKUP(D55,Hipotesis!$D$9:$T$38,17,FALSE)/$B$4)*M54)/12</f>
        <v>1.3439690124606711E-2</v>
      </c>
      <c r="W55">
        <f>(1+VLOOKUP(D55,Hipotesis!$D$9:$P$38,13,FALSE))^(1/12)-1</f>
        <v>0</v>
      </c>
      <c r="X55">
        <f t="shared" si="15"/>
        <v>0</v>
      </c>
      <c r="Y55">
        <f t="shared" si="4"/>
        <v>0.35086985890793199</v>
      </c>
      <c r="Z55">
        <f>(1+VLOOKUP(D55,Hipotesis!$D$9:$O$38,12,))^(1/12)-1</f>
        <v>3.8353618503625952E-3</v>
      </c>
      <c r="AA55">
        <f t="shared" si="16"/>
        <v>0.35299745395797766</v>
      </c>
      <c r="AB55">
        <f t="shared" si="17"/>
        <v>-2.1275950500456967E-3</v>
      </c>
      <c r="AC55" s="68">
        <f t="shared" si="5"/>
        <v>-1.3439690124606711E-2</v>
      </c>
      <c r="AD55">
        <f t="shared" si="6"/>
        <v>-0.53682458716500236</v>
      </c>
      <c r="AE55" s="67">
        <f t="shared" si="7"/>
        <v>0.55314304286003824</v>
      </c>
      <c r="AF55" s="67">
        <f t="shared" si="8"/>
        <v>0.16594291285801147</v>
      </c>
      <c r="AG55" s="67">
        <f t="shared" si="9"/>
        <v>0.3872001300020268</v>
      </c>
    </row>
    <row r="56" spans="4:33" x14ac:dyDescent="0.2">
      <c r="D56" s="50">
        <v>5</v>
      </c>
      <c r="E56">
        <v>6</v>
      </c>
      <c r="F56">
        <f t="shared" si="0"/>
        <v>54</v>
      </c>
      <c r="G56">
        <f t="shared" si="10"/>
        <v>0</v>
      </c>
      <c r="H56" s="64">
        <f>IF(E56="Anual",VLOOKUP(F56,Hipotesis!$E$9:$J$38,6,FALSE),1-(1-VLOOKUP(F56,Hipotesis!$E$9:$J$38,6,FALSE))^(1/12))</f>
        <v>5.0285718085141262E-4</v>
      </c>
      <c r="I56">
        <f t="shared" si="11"/>
        <v>0.26807865919466778</v>
      </c>
      <c r="J56">
        <v>0</v>
      </c>
      <c r="K56">
        <f>1-(1-VLOOKUP(D56,Hipotesis!$D$9:$K$38,8,FALSE))^(1/12)</f>
        <v>7.8284203424832111E-3</v>
      </c>
      <c r="L56">
        <f t="shared" si="12"/>
        <v>4.1713178145069847</v>
      </c>
      <c r="M56">
        <f t="shared" si="13"/>
        <v>528.67153323554578</v>
      </c>
      <c r="N56">
        <f>IF(D56=1,(VLOOKUP(D56,'Primas Netas Y Reservas'!$D$4:$I$33,5,FALSE)+(VLOOKUP(D56,'Primas Netas Y Reservas'!$D$4:$I$33,6,FALSE)-VLOOKUP(D56,'Primas Netas Y Reservas'!$D$4:$I$33,5,FALSE))*(E56/12))/1000,((VLOOKUP(D56-1,'Primas Netas Y Reservas'!$D$4:$I$33,6,FALSE)+VLOOKUP(D56,'Primas Netas Y Reservas'!$D$4:$I$33,5,FALSE))+(VLOOKUP(D56,'Primas Netas Y Reservas'!$D$4:$I$33,6,FALSE)-VLOOKUP(D56-1,'Primas Netas Y Reservas'!$D$4:$I$33,6,FALSE)-VLOOKUP(D56,'Primas Netas Y Reservas'!$D$4:$I$33,5,FALSE))*(E56/12))/1000)</f>
        <v>0.1712569305981512</v>
      </c>
      <c r="O56">
        <f t="shared" si="14"/>
        <v>-0.74638649960589021</v>
      </c>
      <c r="P56">
        <f>VLOOKUP(D56,Hipotesis!$D$9:$S$38,15,FALSE)*N56</f>
        <v>6.3365064321315945E-2</v>
      </c>
      <c r="Q56">
        <f t="shared" si="1"/>
        <v>0.26431582162088613</v>
      </c>
      <c r="R56">
        <f t="shared" si="2"/>
        <v>0</v>
      </c>
      <c r="S56">
        <f t="shared" si="3"/>
        <v>0.26431582162088613</v>
      </c>
      <c r="T56">
        <f>G56*(VLOOKUP(D56,Hipotesis!$D$9:$N$38,9,FALSE)+VLOOKUP(D56,Hipotesis!$D$9:$N$38,10,FALSE)+VLOOKUP(D56,Hipotesis!$D$9:$N$38,11,FALSE))</f>
        <v>0</v>
      </c>
      <c r="U56">
        <v>0</v>
      </c>
      <c r="V56">
        <f>G56*VLOOKUP(D56,Hipotesis!$D$9:$S$38,16,FALSE)+((VLOOKUP(D56,Hipotesis!$D$9:$T$38,17,FALSE)/$B$4)*M55)/12</f>
        <v>1.3327773242731185E-2</v>
      </c>
      <c r="W56">
        <f>(1+VLOOKUP(D56,Hipotesis!$D$9:$P$38,13,FALSE))^(1/12)-1</f>
        <v>0</v>
      </c>
      <c r="X56">
        <f t="shared" si="15"/>
        <v>0</v>
      </c>
      <c r="Y56">
        <f t="shared" si="4"/>
        <v>0.3480011671131677</v>
      </c>
      <c r="Z56">
        <f>(1+VLOOKUP(D56,Hipotesis!$D$9:$O$38,12,))^(1/12)-1</f>
        <v>3.8353618503625952E-3</v>
      </c>
      <c r="AA56">
        <f t="shared" si="16"/>
        <v>0.35011120048816247</v>
      </c>
      <c r="AB56">
        <f t="shared" si="17"/>
        <v>-2.1100333749947543E-3</v>
      </c>
      <c r="AC56" s="68">
        <f t="shared" si="5"/>
        <v>-1.3327773242731185E-2</v>
      </c>
      <c r="AD56">
        <f t="shared" si="6"/>
        <v>-0.53239448081555385</v>
      </c>
      <c r="AE56" s="67">
        <f t="shared" si="7"/>
        <v>0.54866541266077284</v>
      </c>
      <c r="AF56" s="67">
        <f t="shared" si="8"/>
        <v>0.16459962379823184</v>
      </c>
      <c r="AG56" s="67">
        <f t="shared" si="9"/>
        <v>0.384065788862541</v>
      </c>
    </row>
    <row r="57" spans="4:33" x14ac:dyDescent="0.2">
      <c r="D57" s="50">
        <v>5</v>
      </c>
      <c r="E57">
        <v>7</v>
      </c>
      <c r="F57">
        <f t="shared" si="0"/>
        <v>54</v>
      </c>
      <c r="G57">
        <f t="shared" si="10"/>
        <v>0</v>
      </c>
      <c r="H57" s="64">
        <f>IF(E57="Anual",VLOOKUP(F57,Hipotesis!$E$9:$J$38,6,FALSE),1-(1-VLOOKUP(F57,Hipotesis!$E$9:$J$38,6,FALSE))^(1/12))</f>
        <v>5.0285718085141262E-4</v>
      </c>
      <c r="I57">
        <f t="shared" si="11"/>
        <v>0.26584627679922046</v>
      </c>
      <c r="J57">
        <v>0</v>
      </c>
      <c r="K57">
        <f>1-(1-VLOOKUP(D57,Hipotesis!$D$9:$K$38,8,FALSE))^(1/12)</f>
        <v>7.8284203424832111E-3</v>
      </c>
      <c r="L57">
        <f t="shared" si="12"/>
        <v>4.1365818288716669</v>
      </c>
      <c r="M57">
        <f t="shared" si="13"/>
        <v>524.2691051298749</v>
      </c>
      <c r="N57">
        <f>IF(D57=1,(VLOOKUP(D57,'Primas Netas Y Reservas'!$D$4:$I$33,5,FALSE)+(VLOOKUP(D57,'Primas Netas Y Reservas'!$D$4:$I$33,6,FALSE)-VLOOKUP(D57,'Primas Netas Y Reservas'!$D$4:$I$33,5,FALSE))*(E57/12))/1000,((VLOOKUP(D57-1,'Primas Netas Y Reservas'!$D$4:$I$33,6,FALSE)+VLOOKUP(D57,'Primas Netas Y Reservas'!$D$4:$I$33,5,FALSE))+(VLOOKUP(D57,'Primas Netas Y Reservas'!$D$4:$I$33,6,FALSE)-VLOOKUP(D57-1,'Primas Netas Y Reservas'!$D$4:$I$33,6,FALSE)-VLOOKUP(D57,'Primas Netas Y Reservas'!$D$4:$I$33,5,FALSE))*(E57/12))/1000)</f>
        <v>0.17128298692792127</v>
      </c>
      <c r="O57">
        <f t="shared" si="14"/>
        <v>-0.74028579586469334</v>
      </c>
      <c r="P57">
        <f>VLOOKUP(D57,Hipotesis!$D$9:$S$38,15,FALSE)*N57</f>
        <v>6.3374705163330866E-2</v>
      </c>
      <c r="Q57">
        <f t="shared" si="1"/>
        <v>0.26215465378873387</v>
      </c>
      <c r="R57">
        <f t="shared" si="2"/>
        <v>0</v>
      </c>
      <c r="S57">
        <f t="shared" si="3"/>
        <v>0.26215465378873387</v>
      </c>
      <c r="T57">
        <f>G57*(VLOOKUP(D57,Hipotesis!$D$9:$N$38,9,FALSE)+VLOOKUP(D57,Hipotesis!$D$9:$N$38,10,FALSE)+VLOOKUP(D57,Hipotesis!$D$9:$N$38,11,FALSE))</f>
        <v>0</v>
      </c>
      <c r="U57">
        <v>0</v>
      </c>
      <c r="V57">
        <f>G57*VLOOKUP(D57,Hipotesis!$D$9:$S$38,16,FALSE)+((VLOOKUP(D57,Hipotesis!$D$9:$T$38,17,FALSE)/$B$4)*M56)/12</f>
        <v>1.3216788330888643E-2</v>
      </c>
      <c r="W57">
        <f>(1+VLOOKUP(D57,Hipotesis!$D$9:$P$38,13,FALSE))^(1/12)-1</f>
        <v>0</v>
      </c>
      <c r="X57">
        <f t="shared" si="15"/>
        <v>0</v>
      </c>
      <c r="Y57">
        <f t="shared" si="4"/>
        <v>0.34515592153513619</v>
      </c>
      <c r="Z57">
        <f>(1+VLOOKUP(D57,Hipotesis!$D$9:$O$38,12,))^(1/12)-1</f>
        <v>3.8353618503625952E-3</v>
      </c>
      <c r="AA57">
        <f t="shared" si="16"/>
        <v>0.3472485381819484</v>
      </c>
      <c r="AB57">
        <f t="shared" si="17"/>
        <v>-2.0926166468121839E-3</v>
      </c>
      <c r="AC57" s="68">
        <f t="shared" si="5"/>
        <v>-1.3216788330888643E-2</v>
      </c>
      <c r="AD57">
        <f t="shared" si="6"/>
        <v>-0.52800093058795428</v>
      </c>
      <c r="AE57" s="67">
        <f t="shared" si="7"/>
        <v>0.54422399848098646</v>
      </c>
      <c r="AF57" s="67">
        <f t="shared" si="8"/>
        <v>0.16326719954429594</v>
      </c>
      <c r="AG57" s="67">
        <f t="shared" si="9"/>
        <v>0.38095679893669054</v>
      </c>
    </row>
    <row r="58" spans="4:33" x14ac:dyDescent="0.2">
      <c r="D58" s="50">
        <v>5</v>
      </c>
      <c r="E58">
        <v>8</v>
      </c>
      <c r="F58">
        <f t="shared" si="0"/>
        <v>54</v>
      </c>
      <c r="G58">
        <f t="shared" si="10"/>
        <v>0</v>
      </c>
      <c r="H58" s="64">
        <f>IF(E58="Anual",VLOOKUP(F58,Hipotesis!$E$9:$J$38,6,FALSE),1-(1-VLOOKUP(F58,Hipotesis!$E$9:$J$38,6,FALSE))^(1/12))</f>
        <v>5.0285718085141262E-4</v>
      </c>
      <c r="I58">
        <f t="shared" si="11"/>
        <v>0.26363248421310176</v>
      </c>
      <c r="J58">
        <v>0</v>
      </c>
      <c r="K58">
        <f>1-(1-VLOOKUP(D58,Hipotesis!$D$9:$K$38,8,FALSE))^(1/12)</f>
        <v>7.8284203424832111E-3</v>
      </c>
      <c r="L58">
        <f t="shared" si="12"/>
        <v>4.1021351016318288</v>
      </c>
      <c r="M58">
        <f t="shared" si="13"/>
        <v>519.90333754403002</v>
      </c>
      <c r="N58">
        <f>IF(D58=1,(VLOOKUP(D58,'Primas Netas Y Reservas'!$D$4:$I$33,5,FALSE)+(VLOOKUP(D58,'Primas Netas Y Reservas'!$D$4:$I$33,6,FALSE)-VLOOKUP(D58,'Primas Netas Y Reservas'!$D$4:$I$33,5,FALSE))*(E58/12))/1000,((VLOOKUP(D58-1,'Primas Netas Y Reservas'!$D$4:$I$33,6,FALSE)+VLOOKUP(D58,'Primas Netas Y Reservas'!$D$4:$I$33,5,FALSE))+(VLOOKUP(D58,'Primas Netas Y Reservas'!$D$4:$I$33,6,FALSE)-VLOOKUP(D58-1,'Primas Netas Y Reservas'!$D$4:$I$33,6,FALSE)-VLOOKUP(D58,'Primas Netas Y Reservas'!$D$4:$I$33,5,FALSE))*(E58/12))/1000)</f>
        <v>0.17130904325769133</v>
      </c>
      <c r="O58">
        <f t="shared" si="14"/>
        <v>-0.73423493952500962</v>
      </c>
      <c r="P58">
        <f>VLOOKUP(D58,Hipotesis!$D$9:$S$38,15,FALSE)*N58</f>
        <v>6.3384346005345787E-2</v>
      </c>
      <c r="Q58">
        <f t="shared" si="1"/>
        <v>0.26001115064250613</v>
      </c>
      <c r="R58">
        <f t="shared" si="2"/>
        <v>0</v>
      </c>
      <c r="S58">
        <f t="shared" si="3"/>
        <v>0.26001115064250613</v>
      </c>
      <c r="T58">
        <f>G58*(VLOOKUP(D58,Hipotesis!$D$9:$N$38,9,FALSE)+VLOOKUP(D58,Hipotesis!$D$9:$N$38,10,FALSE)+VLOOKUP(D58,Hipotesis!$D$9:$N$38,11,FALSE))</f>
        <v>0</v>
      </c>
      <c r="U58">
        <v>0</v>
      </c>
      <c r="V58">
        <f>G58*VLOOKUP(D58,Hipotesis!$D$9:$S$38,16,FALSE)+((VLOOKUP(D58,Hipotesis!$D$9:$T$38,17,FALSE)/$B$4)*M57)/12</f>
        <v>1.3106727628246872E-2</v>
      </c>
      <c r="W58">
        <f>(1+VLOOKUP(D58,Hipotesis!$D$9:$P$38,13,FALSE))^(1/12)-1</f>
        <v>0</v>
      </c>
      <c r="X58">
        <f t="shared" si="15"/>
        <v>0</v>
      </c>
      <c r="Y58">
        <f t="shared" si="4"/>
        <v>0.3423339306128621</v>
      </c>
      <c r="Z58">
        <f>(1+VLOOKUP(D58,Hipotesis!$D$9:$O$38,12,))^(1/12)-1</f>
        <v>3.8353618503625952E-3</v>
      </c>
      <c r="AA58">
        <f t="shared" si="16"/>
        <v>0.34440927428212359</v>
      </c>
      <c r="AB58">
        <f t="shared" si="17"/>
        <v>-2.0753436692614599E-3</v>
      </c>
      <c r="AC58" s="68">
        <f t="shared" si="5"/>
        <v>-1.3106727628246872E-2</v>
      </c>
      <c r="AD58">
        <f t="shared" si="6"/>
        <v>-0.52364363485560794</v>
      </c>
      <c r="AE58" s="67">
        <f t="shared" si="7"/>
        <v>0.53981850765401695</v>
      </c>
      <c r="AF58" s="67">
        <f t="shared" si="8"/>
        <v>0.16194555229620508</v>
      </c>
      <c r="AG58" s="67">
        <f t="shared" si="9"/>
        <v>0.37787295535781185</v>
      </c>
    </row>
    <row r="59" spans="4:33" x14ac:dyDescent="0.2">
      <c r="D59" s="50">
        <v>5</v>
      </c>
      <c r="E59">
        <v>9</v>
      </c>
      <c r="F59">
        <f t="shared" si="0"/>
        <v>54</v>
      </c>
      <c r="G59">
        <f t="shared" si="10"/>
        <v>0</v>
      </c>
      <c r="H59" s="64">
        <f>IF(E59="Anual",VLOOKUP(F59,Hipotesis!$E$9:$J$38,6,FALSE),1-(1-VLOOKUP(F59,Hipotesis!$E$9:$J$38,6,FALSE))^(1/12))</f>
        <v>5.0285718085141262E-4</v>
      </c>
      <c r="I59">
        <f t="shared" si="11"/>
        <v>0.26143712663263136</v>
      </c>
      <c r="J59">
        <v>0</v>
      </c>
      <c r="K59">
        <f>1-(1-VLOOKUP(D59,Hipotesis!$D$9:$K$38,8,FALSE))^(1/12)</f>
        <v>7.8284203424832111E-3</v>
      </c>
      <c r="L59">
        <f t="shared" si="12"/>
        <v>4.0679752240341891</v>
      </c>
      <c r="M59">
        <f t="shared" si="13"/>
        <v>515.57392519336327</v>
      </c>
      <c r="N59">
        <f>IF(D59=1,(VLOOKUP(D59,'Primas Netas Y Reservas'!$D$4:$I$33,5,FALSE)+(VLOOKUP(D59,'Primas Netas Y Reservas'!$D$4:$I$33,6,FALSE)-VLOOKUP(D59,'Primas Netas Y Reservas'!$D$4:$I$33,5,FALSE))*(E59/12))/1000,((VLOOKUP(D59-1,'Primas Netas Y Reservas'!$D$4:$I$33,6,FALSE)+VLOOKUP(D59,'Primas Netas Y Reservas'!$D$4:$I$33,5,FALSE))+(VLOOKUP(D59,'Primas Netas Y Reservas'!$D$4:$I$33,6,FALSE)-VLOOKUP(D59-1,'Primas Netas Y Reservas'!$D$4:$I$33,6,FALSE)-VLOOKUP(D59,'Primas Netas Y Reservas'!$D$4:$I$33,5,FALSE))*(E59/12))/1000)</f>
        <v>0.1713350995874614</v>
      </c>
      <c r="O59">
        <f t="shared" si="14"/>
        <v>-0.72823352344506986</v>
      </c>
      <c r="P59">
        <f>VLOOKUP(D59,Hipotesis!$D$9:$S$38,15,FALSE)*N59</f>
        <v>6.3393986847360723E-2</v>
      </c>
      <c r="Q59">
        <f t="shared" si="1"/>
        <v>0.25788516784781268</v>
      </c>
      <c r="R59">
        <f t="shared" si="2"/>
        <v>0</v>
      </c>
      <c r="S59">
        <f t="shared" si="3"/>
        <v>0.25788516784781268</v>
      </c>
      <c r="T59">
        <f>G59*(VLOOKUP(D59,Hipotesis!$D$9:$N$38,9,FALSE)+VLOOKUP(D59,Hipotesis!$D$9:$N$38,10,FALSE)+VLOOKUP(D59,Hipotesis!$D$9:$N$38,11,FALSE))</f>
        <v>0</v>
      </c>
      <c r="U59">
        <v>0</v>
      </c>
      <c r="V59">
        <f>G59*VLOOKUP(D59,Hipotesis!$D$9:$S$38,16,FALSE)+((VLOOKUP(D59,Hipotesis!$D$9:$T$38,17,FALSE)/$B$4)*M58)/12</f>
        <v>1.2997583438600748E-2</v>
      </c>
      <c r="W59">
        <f>(1+VLOOKUP(D59,Hipotesis!$D$9:$P$38,13,FALSE))^(1/12)-1</f>
        <v>0</v>
      </c>
      <c r="X59">
        <f t="shared" si="15"/>
        <v>0</v>
      </c>
      <c r="Y59">
        <f t="shared" si="4"/>
        <v>0.33953500434988837</v>
      </c>
      <c r="Z59">
        <f>(1+VLOOKUP(D59,Hipotesis!$D$9:$O$38,12,))^(1/12)-1</f>
        <v>3.8353618503625952E-3</v>
      </c>
      <c r="AA59">
        <f t="shared" si="16"/>
        <v>0.34159321760586608</v>
      </c>
      <c r="AB59">
        <f t="shared" si="17"/>
        <v>-2.058213255977714E-3</v>
      </c>
      <c r="AC59" s="68">
        <f t="shared" si="5"/>
        <v>-1.2997583438600748E-2</v>
      </c>
      <c r="AD59">
        <f t="shared" si="6"/>
        <v>-0.51932229448044409</v>
      </c>
      <c r="AE59" s="67">
        <f t="shared" si="7"/>
        <v>0.53544864987591334</v>
      </c>
      <c r="AF59" s="67">
        <f t="shared" si="8"/>
        <v>0.16063459496277399</v>
      </c>
      <c r="AG59" s="67">
        <f t="shared" si="9"/>
        <v>0.37481405491313935</v>
      </c>
    </row>
    <row r="60" spans="4:33" x14ac:dyDescent="0.2">
      <c r="D60" s="50">
        <v>5</v>
      </c>
      <c r="E60">
        <v>10</v>
      </c>
      <c r="F60">
        <f t="shared" si="0"/>
        <v>54</v>
      </c>
      <c r="G60">
        <f t="shared" si="10"/>
        <v>0</v>
      </c>
      <c r="H60" s="64">
        <f>IF(E60="Anual",VLOOKUP(F60,Hipotesis!$E$9:$J$38,6,FALSE),1-(1-VLOOKUP(F60,Hipotesis!$E$9:$J$38,6,FALSE))^(1/12))</f>
        <v>5.0285718085141262E-4</v>
      </c>
      <c r="I60">
        <f t="shared" si="11"/>
        <v>0.25926005054323176</v>
      </c>
      <c r="J60">
        <v>0</v>
      </c>
      <c r="K60">
        <f>1-(1-VLOOKUP(D60,Hipotesis!$D$9:$K$38,8,FALSE))^(1/12)</f>
        <v>7.8284203424832111E-3</v>
      </c>
      <c r="L60">
        <f t="shared" si="12"/>
        <v>4.034099807383976</v>
      </c>
      <c r="M60">
        <f t="shared" si="13"/>
        <v>511.28056533543599</v>
      </c>
      <c r="N60">
        <f>IF(D60=1,(VLOOKUP(D60,'Primas Netas Y Reservas'!$D$4:$I$33,5,FALSE)+(VLOOKUP(D60,'Primas Netas Y Reservas'!$D$4:$I$33,6,FALSE)-VLOOKUP(D60,'Primas Netas Y Reservas'!$D$4:$I$33,5,FALSE))*(E60/12))/1000,((VLOOKUP(D60-1,'Primas Netas Y Reservas'!$D$4:$I$33,6,FALSE)+VLOOKUP(D60,'Primas Netas Y Reservas'!$D$4:$I$33,5,FALSE))+(VLOOKUP(D60,'Primas Netas Y Reservas'!$D$4:$I$33,6,FALSE)-VLOOKUP(D60-1,'Primas Netas Y Reservas'!$D$4:$I$33,6,FALSE)-VLOOKUP(D60,'Primas Netas Y Reservas'!$D$4:$I$33,5,FALSE))*(E60/12))/1000)</f>
        <v>0.17136115591723144</v>
      </c>
      <c r="O60">
        <f t="shared" si="14"/>
        <v>-0.72228114380737907</v>
      </c>
      <c r="P60">
        <f>VLOOKUP(D60,Hipotesis!$D$9:$S$38,15,FALSE)*N60</f>
        <v>6.340362768937563E-2</v>
      </c>
      <c r="Q60">
        <f t="shared" si="1"/>
        <v>0.25577656224915557</v>
      </c>
      <c r="R60">
        <f t="shared" si="2"/>
        <v>0</v>
      </c>
      <c r="S60">
        <f t="shared" si="3"/>
        <v>0.25577656224915557</v>
      </c>
      <c r="T60">
        <f>G60*(VLOOKUP(D60,Hipotesis!$D$9:$N$38,9,FALSE)+VLOOKUP(D60,Hipotesis!$D$9:$N$38,10,FALSE)+VLOOKUP(D60,Hipotesis!$D$9:$N$38,11,FALSE))</f>
        <v>0</v>
      </c>
      <c r="U60">
        <v>0</v>
      </c>
      <c r="V60">
        <f>G60*VLOOKUP(D60,Hipotesis!$D$9:$S$38,16,FALSE)+((VLOOKUP(D60,Hipotesis!$D$9:$T$38,17,FALSE)/$B$4)*M59)/12</f>
        <v>1.2889348129834081E-2</v>
      </c>
      <c r="W60">
        <f>(1+VLOOKUP(D60,Hipotesis!$D$9:$P$38,13,FALSE))^(1/12)-1</f>
        <v>0</v>
      </c>
      <c r="X60">
        <f t="shared" si="15"/>
        <v>0</v>
      </c>
      <c r="Y60">
        <f t="shared" si="4"/>
        <v>0.33675895430150349</v>
      </c>
      <c r="Z60">
        <f>(1+VLOOKUP(D60,Hipotesis!$D$9:$O$38,12,))^(1/12)-1</f>
        <v>3.8353618503625952E-3</v>
      </c>
      <c r="AA60">
        <f t="shared" si="16"/>
        <v>0.33880017853188976</v>
      </c>
      <c r="AB60">
        <f t="shared" si="17"/>
        <v>-2.0412242303862729E-3</v>
      </c>
      <c r="AC60" s="68">
        <f t="shared" si="5"/>
        <v>-1.2889348129834081E-2</v>
      </c>
      <c r="AD60">
        <f t="shared" si="6"/>
        <v>-0.51503661279238733</v>
      </c>
      <c r="AE60" s="67">
        <f t="shared" si="7"/>
        <v>0.53111413718666112</v>
      </c>
      <c r="AF60" s="67">
        <f t="shared" si="8"/>
        <v>0.15933424115599834</v>
      </c>
      <c r="AG60" s="67">
        <f t="shared" si="9"/>
        <v>0.37177989603066275</v>
      </c>
    </row>
    <row r="61" spans="4:33" x14ac:dyDescent="0.2">
      <c r="D61" s="50">
        <v>5</v>
      </c>
      <c r="E61">
        <v>11</v>
      </c>
      <c r="F61">
        <f t="shared" si="0"/>
        <v>54</v>
      </c>
      <c r="G61">
        <f t="shared" si="10"/>
        <v>0</v>
      </c>
      <c r="H61" s="64">
        <f>IF(E61="Anual",VLOOKUP(F61,Hipotesis!$E$9:$J$38,6,FALSE),1-(1-VLOOKUP(F61,Hipotesis!$E$9:$J$38,6,FALSE))^(1/12))</f>
        <v>5.0285718085141262E-4</v>
      </c>
      <c r="I61">
        <f t="shared" si="11"/>
        <v>0.25710110370869382</v>
      </c>
      <c r="J61">
        <v>0</v>
      </c>
      <c r="K61">
        <f>1-(1-VLOOKUP(D61,Hipotesis!$D$9:$K$38,8,FALSE))^(1/12)</f>
        <v>7.8284203424832111E-3</v>
      </c>
      <c r="L61">
        <f t="shared" si="12"/>
        <v>4.0005064828778956</v>
      </c>
      <c r="M61">
        <f t="shared" si="13"/>
        <v>507.02295774884942</v>
      </c>
      <c r="N61">
        <f>IF(D61=1,(VLOOKUP(D61,'Primas Netas Y Reservas'!$D$4:$I$33,5,FALSE)+(VLOOKUP(D61,'Primas Netas Y Reservas'!$D$4:$I$33,6,FALSE)-VLOOKUP(D61,'Primas Netas Y Reservas'!$D$4:$I$33,5,FALSE))*(E61/12))/1000,((VLOOKUP(D61-1,'Primas Netas Y Reservas'!$D$4:$I$33,6,FALSE)+VLOOKUP(D61,'Primas Netas Y Reservas'!$D$4:$I$33,5,FALSE))+(VLOOKUP(D61,'Primas Netas Y Reservas'!$D$4:$I$33,6,FALSE)-VLOOKUP(D61-1,'Primas Netas Y Reservas'!$D$4:$I$33,6,FALSE)-VLOOKUP(D61,'Primas Netas Y Reservas'!$D$4:$I$33,5,FALSE))*(E61/12))/1000)</f>
        <v>0.17138721224700154</v>
      </c>
      <c r="O61">
        <f t="shared" si="14"/>
        <v>-0.71637740009133211</v>
      </c>
      <c r="P61">
        <f>VLOOKUP(D61,Hipotesis!$D$9:$S$38,15,FALSE)*N61</f>
        <v>6.3413268531390565E-2</v>
      </c>
      <c r="Q61">
        <f t="shared" si="1"/>
        <v>0.2536851918603048</v>
      </c>
      <c r="R61">
        <f t="shared" si="2"/>
        <v>0</v>
      </c>
      <c r="S61">
        <f t="shared" si="3"/>
        <v>0.2536851918603048</v>
      </c>
      <c r="T61">
        <f>G61*(VLOOKUP(D61,Hipotesis!$D$9:$N$38,9,FALSE)+VLOOKUP(D61,Hipotesis!$D$9:$N$38,10,FALSE)+VLOOKUP(D61,Hipotesis!$D$9:$N$38,11,FALSE))</f>
        <v>0</v>
      </c>
      <c r="U61">
        <v>0</v>
      </c>
      <c r="V61">
        <f>G61*VLOOKUP(D61,Hipotesis!$D$9:$S$38,16,FALSE)+((VLOOKUP(D61,Hipotesis!$D$9:$T$38,17,FALSE)/$B$4)*M60)/12</f>
        <v>1.2782014133385899E-2</v>
      </c>
      <c r="W61">
        <f>(1+VLOOKUP(D61,Hipotesis!$D$9:$P$38,13,FALSE))^(1/12)-1</f>
        <v>0</v>
      </c>
      <c r="X61">
        <f t="shared" si="15"/>
        <v>0</v>
      </c>
      <c r="Y61">
        <f t="shared" si="4"/>
        <v>0.33400559356207277</v>
      </c>
      <c r="Z61">
        <f>(1+VLOOKUP(D61,Hipotesis!$D$9:$O$38,12,))^(1/12)-1</f>
        <v>3.8353618503625952E-3</v>
      </c>
      <c r="AA61">
        <f t="shared" si="16"/>
        <v>0.33602996898769466</v>
      </c>
      <c r="AB61">
        <f t="shared" si="17"/>
        <v>-2.0243754256218777E-3</v>
      </c>
      <c r="AC61" s="68">
        <f t="shared" si="5"/>
        <v>-1.2782014133385899E-2</v>
      </c>
      <c r="AD61">
        <f t="shared" si="6"/>
        <v>-0.51078629556899857</v>
      </c>
      <c r="AE61" s="67">
        <f t="shared" si="7"/>
        <v>0.52681468395102038</v>
      </c>
      <c r="AF61" s="67">
        <f t="shared" si="8"/>
        <v>0.1580444051853061</v>
      </c>
      <c r="AG61" s="67">
        <f t="shared" si="9"/>
        <v>0.36877027876571428</v>
      </c>
    </row>
    <row r="62" spans="4:33" x14ac:dyDescent="0.2">
      <c r="D62" s="50">
        <v>5</v>
      </c>
      <c r="E62">
        <v>12</v>
      </c>
      <c r="F62">
        <f t="shared" si="0"/>
        <v>54</v>
      </c>
      <c r="G62">
        <f t="shared" si="10"/>
        <v>0</v>
      </c>
      <c r="H62" s="64">
        <f>IF(E62="Anual",VLOOKUP(F62,Hipotesis!$E$9:$J$38,6,FALSE),1-(1-VLOOKUP(F62,Hipotesis!$E$9:$J$38,6,FALSE))^(1/12))</f>
        <v>5.0285718085141262E-4</v>
      </c>
      <c r="I62">
        <f t="shared" si="11"/>
        <v>0.25496013516053134</v>
      </c>
      <c r="J62">
        <v>0</v>
      </c>
      <c r="K62">
        <f>1-(1-VLOOKUP(D62,Hipotesis!$D$9:$K$38,8,FALSE))^(1/12)</f>
        <v>7.8284203424832111E-3</v>
      </c>
      <c r="L62">
        <f t="shared" si="12"/>
        <v>3.9671929014384855</v>
      </c>
      <c r="M62">
        <f t="shared" si="13"/>
        <v>502.8008047122504</v>
      </c>
      <c r="N62">
        <f>IF(D62=1,(VLOOKUP(D62,'Primas Netas Y Reservas'!$D$4:$I$33,5,FALSE)+(VLOOKUP(D62,'Primas Netas Y Reservas'!$D$4:$I$33,6,FALSE)-VLOOKUP(D62,'Primas Netas Y Reservas'!$D$4:$I$33,5,FALSE))*(E62/12))/1000,((VLOOKUP(D62-1,'Primas Netas Y Reservas'!$D$4:$I$33,6,FALSE)+VLOOKUP(D62,'Primas Netas Y Reservas'!$D$4:$I$33,5,FALSE))+(VLOOKUP(D62,'Primas Netas Y Reservas'!$D$4:$I$33,6,FALSE)-VLOOKUP(D62-1,'Primas Netas Y Reservas'!$D$4:$I$33,6,FALSE)-VLOOKUP(D62,'Primas Netas Y Reservas'!$D$4:$I$33,5,FALSE))*(E62/12))/1000)</f>
        <v>0.17141326857677161</v>
      </c>
      <c r="O62">
        <f t="shared" si="14"/>
        <v>-0.71052189504668206</v>
      </c>
      <c r="P62">
        <f>VLOOKUP(D62,Hipotesis!$D$9:$S$38,15,FALSE)*N62</f>
        <v>6.34229093734055E-2</v>
      </c>
      <c r="Q62">
        <f t="shared" si="1"/>
        <v>0.25161091585475071</v>
      </c>
      <c r="R62">
        <f t="shared" si="2"/>
        <v>0</v>
      </c>
      <c r="S62">
        <f t="shared" si="3"/>
        <v>0.25161091585475071</v>
      </c>
      <c r="T62">
        <f>G62*(VLOOKUP(D62,Hipotesis!$D$9:$N$38,9,FALSE)+VLOOKUP(D62,Hipotesis!$D$9:$N$38,10,FALSE)+VLOOKUP(D62,Hipotesis!$D$9:$N$38,11,FALSE))</f>
        <v>0</v>
      </c>
      <c r="U62">
        <v>0</v>
      </c>
      <c r="V62">
        <f>G62*VLOOKUP(D62,Hipotesis!$D$9:$S$38,16,FALSE)+((VLOOKUP(D62,Hipotesis!$D$9:$T$38,17,FALSE)/$B$4)*M61)/12</f>
        <v>1.2675573943721236E-2</v>
      </c>
      <c r="W62">
        <f>(1+VLOOKUP(D62,Hipotesis!$D$9:$P$38,13,FALSE))^(1/12)-1</f>
        <v>0</v>
      </c>
      <c r="X62">
        <f t="shared" si="15"/>
        <v>0</v>
      </c>
      <c r="Y62">
        <f t="shared" si="4"/>
        <v>0.33127473675247388</v>
      </c>
      <c r="Z62">
        <f>(1+VLOOKUP(D62,Hipotesis!$D$9:$O$38,12,))^(1/12)-1</f>
        <v>3.8353618503625952E-3</v>
      </c>
      <c r="AA62">
        <f t="shared" si="16"/>
        <v>0.33328240243692242</v>
      </c>
      <c r="AB62">
        <f t="shared" si="17"/>
        <v>-2.0076656844485682E-3</v>
      </c>
      <c r="AC62" s="68">
        <f t="shared" si="5"/>
        <v>-1.2675573943721236E-2</v>
      </c>
      <c r="AD62">
        <f t="shared" si="6"/>
        <v>-0.5065710510152821</v>
      </c>
      <c r="AE62" s="67">
        <f t="shared" si="7"/>
        <v>0.52255000684015274</v>
      </c>
      <c r="AF62" s="67">
        <f t="shared" si="8"/>
        <v>0.15676500205204583</v>
      </c>
      <c r="AG62" s="67">
        <f t="shared" si="9"/>
        <v>0.36578500478810694</v>
      </c>
    </row>
    <row r="63" spans="4:33" x14ac:dyDescent="0.2">
      <c r="D63" s="50">
        <v>6</v>
      </c>
      <c r="E63">
        <v>1</v>
      </c>
      <c r="F63">
        <f t="shared" ref="F63:F122" si="22">$B$5+D63-1</f>
        <v>55</v>
      </c>
      <c r="G63">
        <f t="shared" si="10"/>
        <v>24.631640455172853</v>
      </c>
      <c r="H63" s="64">
        <f>IF(E63="Anual",VLOOKUP(F63,Hipotesis!$E$9:$J$38,6,FALSE),1-(1-VLOOKUP(F63,Hipotesis!$E$9:$J$38,6,FALSE))^(1/12))</f>
        <v>5.4144071278416916E-4</v>
      </c>
      <c r="I63">
        <f t="shared" si="11"/>
        <v>0.27223682609185473</v>
      </c>
      <c r="J63">
        <v>0</v>
      </c>
      <c r="K63">
        <f>1-(1-VLOOKUP(D63,Hipotesis!$D$9:$K$38,8,FALSE))^(1/12)</f>
        <v>6.9243826282994192E-3</v>
      </c>
      <c r="L63">
        <f t="shared" si="12"/>
        <v>3.4797000856951015</v>
      </c>
      <c r="M63">
        <f t="shared" si="13"/>
        <v>499.04886780046343</v>
      </c>
      <c r="N63">
        <f>IF(D63=1,(VLOOKUP(D63,'Primas Netas Y Reservas'!$D$4:$I$33,5,FALSE)+(VLOOKUP(D63,'Primas Netas Y Reservas'!$D$4:$I$33,6,FALSE)-VLOOKUP(D63,'Primas Netas Y Reservas'!$D$4:$I$33,5,FALSE))*(E63/12))/1000,((VLOOKUP(D63-1,'Primas Netas Y Reservas'!$D$4:$I$33,6,FALSE)+VLOOKUP(D63,'Primas Netas Y Reservas'!$D$4:$I$33,5,FALSE))+(VLOOKUP(D63,'Primas Netas Y Reservas'!$D$4:$I$33,6,FALSE)-VLOOKUP(D63-1,'Primas Netas Y Reservas'!$D$4:$I$33,6,FALSE)-VLOOKUP(D63,'Primas Netas Y Reservas'!$D$4:$I$33,5,FALSE))*(E63/12))/1000)</f>
        <v>0.21676112539468856</v>
      </c>
      <c r="O63">
        <f t="shared" si="14"/>
        <v>21.987664832615735</v>
      </c>
      <c r="P63">
        <f>VLOOKUP(D63,Hipotesis!$D$9:$S$38,15,FALSE)*N63</f>
        <v>0.10838056269734428</v>
      </c>
      <c r="Q63">
        <f t="shared" si="1"/>
        <v>0.3771318533056322</v>
      </c>
      <c r="R63">
        <f t="shared" si="2"/>
        <v>0</v>
      </c>
      <c r="S63">
        <f t="shared" si="3"/>
        <v>0.3771318533056322</v>
      </c>
      <c r="T63">
        <f>G63*(VLOOKUP(D63,Hipotesis!$D$9:$N$38,9,FALSE)+VLOOKUP(D63,Hipotesis!$D$9:$N$38,10,FALSE)+VLOOKUP(D63,Hipotesis!$D$9:$N$38,11,FALSE))</f>
        <v>1.9705312364138283</v>
      </c>
      <c r="U63">
        <v>0</v>
      </c>
      <c r="V63">
        <f>G63*VLOOKUP(D63,Hipotesis!$D$9:$S$38,16,FALSE)+((VLOOKUP(D63,Hipotesis!$D$9:$T$38,17,FALSE)/$B$4)*M62)/12</f>
        <v>1.1209938406005846</v>
      </c>
      <c r="W63">
        <f>(1+VLOOKUP(D63,Hipotesis!$D$9:$P$38,13,FALSE))^(1/12)-1</f>
        <v>0</v>
      </c>
      <c r="X63">
        <f t="shared" si="15"/>
        <v>0</v>
      </c>
      <c r="Y63">
        <f t="shared" si="4"/>
        <v>0.41949397020752649</v>
      </c>
      <c r="Z63">
        <f>(1+VLOOKUP(D63,Hipotesis!$D$9:$O$38,12,))^(1/12)-1</f>
        <v>3.9124500965010967E-3</v>
      </c>
      <c r="AA63">
        <f t="shared" si="16"/>
        <v>0.33720127767503516</v>
      </c>
      <c r="AB63">
        <f t="shared" si="17"/>
        <v>8.2292692532491343E-2</v>
      </c>
      <c r="AC63" s="68">
        <f t="shared" si="5"/>
        <v>21.54011537815844</v>
      </c>
      <c r="AD63">
        <f t="shared" si="6"/>
        <v>-0.64936867939748688</v>
      </c>
      <c r="AE63" s="67">
        <f t="shared" si="7"/>
        <v>-0.67742416364725555</v>
      </c>
      <c r="AF63" s="67">
        <f t="shared" si="8"/>
        <v>-0.20322724909417667</v>
      </c>
      <c r="AG63" s="67">
        <f t="shared" si="9"/>
        <v>-0.47419691455307889</v>
      </c>
    </row>
    <row r="64" spans="4:33" x14ac:dyDescent="0.2">
      <c r="D64" s="50">
        <v>6</v>
      </c>
      <c r="E64">
        <v>2</v>
      </c>
      <c r="F64">
        <f t="shared" si="22"/>
        <v>55</v>
      </c>
      <c r="G64">
        <f t="shared" si="10"/>
        <v>0</v>
      </c>
      <c r="H64" s="64">
        <f>IF(E64="Anual",VLOOKUP(F64,Hipotesis!$E$9:$J$38,6,FALSE),1-(1-VLOOKUP(F64,Hipotesis!$E$9:$J$38,6,FALSE))^(1/12))</f>
        <v>5.4144071278416916E-4</v>
      </c>
      <c r="I64">
        <f t="shared" si="11"/>
        <v>0.27020537469601552</v>
      </c>
      <c r="J64">
        <v>0</v>
      </c>
      <c r="K64">
        <f>1-(1-VLOOKUP(D64,Hipotesis!$D$9:$K$38,8,FALSE))^(1/12)</f>
        <v>6.9243826282994192E-3</v>
      </c>
      <c r="L64">
        <f t="shared" si="12"/>
        <v>3.4537343054674041</v>
      </c>
      <c r="M64">
        <f t="shared" si="13"/>
        <v>495.32492812030006</v>
      </c>
      <c r="N64">
        <f>IF(D64=1,(VLOOKUP(D64,'Primas Netas Y Reservas'!$D$4:$I$33,5,FALSE)+(VLOOKUP(D64,'Primas Netas Y Reservas'!$D$4:$I$33,6,FALSE)-VLOOKUP(D64,'Primas Netas Y Reservas'!$D$4:$I$33,5,FALSE))*(E64/12))/1000,((VLOOKUP(D64-1,'Primas Netas Y Reservas'!$D$4:$I$33,6,FALSE)+VLOOKUP(D64,'Primas Netas Y Reservas'!$D$4:$I$33,5,FALSE))+(VLOOKUP(D64,'Primas Netas Y Reservas'!$D$4:$I$33,6,FALSE)-VLOOKUP(D64-1,'Primas Netas Y Reservas'!$D$4:$I$33,6,FALSE)-VLOOKUP(D64,'Primas Netas Y Reservas'!$D$4:$I$33,5,FALSE))*(E64/12))/1000)</f>
        <v>0.21694853020387619</v>
      </c>
      <c r="O64">
        <f t="shared" si="14"/>
        <v>-0.7143790823338918</v>
      </c>
      <c r="P64">
        <f>VLOOKUP(D64,Hipotesis!$D$9:$S$38,15,FALSE)*N64</f>
        <v>0.1084742651019381</v>
      </c>
      <c r="Q64">
        <f t="shared" si="1"/>
        <v>0.37464129064292923</v>
      </c>
      <c r="R64">
        <f t="shared" si="2"/>
        <v>0</v>
      </c>
      <c r="S64">
        <f t="shared" si="3"/>
        <v>0.37464129064292923</v>
      </c>
      <c r="T64">
        <f>G64*(VLOOKUP(D64,Hipotesis!$D$9:$N$38,9,FALSE)+VLOOKUP(D64,Hipotesis!$D$9:$N$38,10,FALSE)+VLOOKUP(D64,Hipotesis!$D$9:$N$38,11,FALSE))</f>
        <v>0</v>
      </c>
      <c r="U64">
        <v>0</v>
      </c>
      <c r="V64">
        <f>G64*VLOOKUP(D64,Hipotesis!$D$9:$S$38,16,FALSE)+((VLOOKUP(D64,Hipotesis!$D$9:$T$38,17,FALSE)/$B$4)*M63)/12</f>
        <v>1.2476221695011586E-2</v>
      </c>
      <c r="W64">
        <f>(1+VLOOKUP(D64,Hipotesis!$D$9:$P$38,13,FALSE))^(1/12)-1</f>
        <v>0</v>
      </c>
      <c r="X64">
        <f t="shared" si="15"/>
        <v>0</v>
      </c>
      <c r="Y64">
        <f t="shared" si="4"/>
        <v>0.42063748392408823</v>
      </c>
      <c r="Z64">
        <f>(1+VLOOKUP(D64,Hipotesis!$D$9:$O$38,12,))^(1/12)-1</f>
        <v>3.9124500965010967E-3</v>
      </c>
      <c r="AA64">
        <f t="shared" si="16"/>
        <v>0.42322691907123633</v>
      </c>
      <c r="AB64">
        <f t="shared" si="17"/>
        <v>-2.5894351471481046E-3</v>
      </c>
      <c r="AC64" s="68">
        <f t="shared" si="5"/>
        <v>-1.2476221695011586E-2</v>
      </c>
      <c r="AD64">
        <f t="shared" si="6"/>
        <v>-0.64484666533894475</v>
      </c>
      <c r="AE64" s="67">
        <f t="shared" si="7"/>
        <v>0.47769367922402373</v>
      </c>
      <c r="AF64" s="67">
        <f t="shared" si="8"/>
        <v>0.14330810376720712</v>
      </c>
      <c r="AG64" s="67">
        <f t="shared" si="9"/>
        <v>0.33438557545681658</v>
      </c>
    </row>
    <row r="65" spans="4:33" x14ac:dyDescent="0.2">
      <c r="D65" s="50">
        <v>6</v>
      </c>
      <c r="E65">
        <v>3</v>
      </c>
      <c r="F65">
        <f t="shared" si="22"/>
        <v>55</v>
      </c>
      <c r="G65">
        <f t="shared" si="10"/>
        <v>0</v>
      </c>
      <c r="H65" s="64">
        <f>IF(E65="Anual",VLOOKUP(F65,Hipotesis!$E$9:$J$38,6,FALSE),1-(1-VLOOKUP(F65,Hipotesis!$E$9:$J$38,6,FALSE))^(1/12))</f>
        <v>5.4144071278416916E-4</v>
      </c>
      <c r="I65">
        <f t="shared" si="11"/>
        <v>0.26818908214122261</v>
      </c>
      <c r="J65">
        <v>0</v>
      </c>
      <c r="K65">
        <f>1-(1-VLOOKUP(D65,Hipotesis!$D$9:$K$38,8,FALSE))^(1/12)</f>
        <v>6.9243826282994192E-3</v>
      </c>
      <c r="L65">
        <f t="shared" si="12"/>
        <v>3.4279622838183856</v>
      </c>
      <c r="M65">
        <f t="shared" si="13"/>
        <v>491.62877675434044</v>
      </c>
      <c r="N65">
        <f>IF(D65=1,(VLOOKUP(D65,'Primas Netas Y Reservas'!$D$4:$I$33,5,FALSE)+(VLOOKUP(D65,'Primas Netas Y Reservas'!$D$4:$I$33,6,FALSE)-VLOOKUP(D65,'Primas Netas Y Reservas'!$D$4:$I$33,5,FALSE))*(E65/12))/1000,((VLOOKUP(D65-1,'Primas Netas Y Reservas'!$D$4:$I$33,6,FALSE)+VLOOKUP(D65,'Primas Netas Y Reservas'!$D$4:$I$33,5,FALSE))+(VLOOKUP(D65,'Primas Netas Y Reservas'!$D$4:$I$33,6,FALSE)-VLOOKUP(D65-1,'Primas Netas Y Reservas'!$D$4:$I$33,6,FALSE)-VLOOKUP(D65,'Primas Netas Y Reservas'!$D$4:$I$33,5,FALSE))*(E65/12))/1000)</f>
        <v>0.21713593501306386</v>
      </c>
      <c r="O65">
        <f t="shared" si="14"/>
        <v>-0.70974100915717031</v>
      </c>
      <c r="P65">
        <f>VLOOKUP(D65,Hipotesis!$D$9:$S$38,15,FALSE)*N65</f>
        <v>0.10856796750653193</v>
      </c>
      <c r="Q65">
        <f t="shared" si="1"/>
        <v>0.3721668978432115</v>
      </c>
      <c r="R65">
        <f t="shared" si="2"/>
        <v>0</v>
      </c>
      <c r="S65">
        <f t="shared" si="3"/>
        <v>0.3721668978432115</v>
      </c>
      <c r="T65">
        <f>G65*(VLOOKUP(D65,Hipotesis!$D$9:$N$38,9,FALSE)+VLOOKUP(D65,Hipotesis!$D$9:$N$38,10,FALSE)+VLOOKUP(D65,Hipotesis!$D$9:$N$38,11,FALSE))</f>
        <v>0</v>
      </c>
      <c r="U65">
        <v>0</v>
      </c>
      <c r="V65">
        <f>G65*VLOOKUP(D65,Hipotesis!$D$9:$S$38,16,FALSE)+((VLOOKUP(D65,Hipotesis!$D$9:$T$38,17,FALSE)/$B$4)*M64)/12</f>
        <v>1.2383123203007501E-2</v>
      </c>
      <c r="W65">
        <f>(1+VLOOKUP(D65,Hipotesis!$D$9:$P$38,13,FALSE))^(1/12)-1</f>
        <v>0</v>
      </c>
      <c r="X65">
        <f t="shared" si="15"/>
        <v>0</v>
      </c>
      <c r="Y65">
        <f t="shared" si="4"/>
        <v>0.41786056781201641</v>
      </c>
      <c r="Z65">
        <f>(1+VLOOKUP(D65,Hipotesis!$D$9:$O$38,12,))^(1/12)-1</f>
        <v>3.9124500965010967E-3</v>
      </c>
      <c r="AA65">
        <f t="shared" si="16"/>
        <v>0.42043194656162075</v>
      </c>
      <c r="AB65">
        <f t="shared" si="17"/>
        <v>-2.5713787496043565E-3</v>
      </c>
      <c r="AC65" s="68">
        <f t="shared" si="5"/>
        <v>-1.2383123203007501E-2</v>
      </c>
      <c r="AD65">
        <f t="shared" si="6"/>
        <v>-0.64035597998443405</v>
      </c>
      <c r="AE65" s="67">
        <f t="shared" si="7"/>
        <v>0.47486247378174512</v>
      </c>
      <c r="AF65" s="67">
        <f t="shared" si="8"/>
        <v>0.14245874213452353</v>
      </c>
      <c r="AG65" s="67">
        <f t="shared" si="9"/>
        <v>0.33240373164722159</v>
      </c>
    </row>
    <row r="66" spans="4:33" x14ac:dyDescent="0.2">
      <c r="D66" s="50">
        <v>6</v>
      </c>
      <c r="E66">
        <v>4</v>
      </c>
      <c r="F66">
        <f t="shared" si="22"/>
        <v>55</v>
      </c>
      <c r="G66">
        <f t="shared" si="10"/>
        <v>0</v>
      </c>
      <c r="H66" s="64">
        <f>IF(E66="Anual",VLOOKUP(F66,Hipotesis!$E$9:$J$38,6,FALSE),1-(1-VLOOKUP(F66,Hipotesis!$E$9:$J$38,6,FALSE))^(1/12))</f>
        <v>5.4144071278416916E-4</v>
      </c>
      <c r="I66">
        <f t="shared" si="11"/>
        <v>0.26618783531107926</v>
      </c>
      <c r="J66">
        <v>0</v>
      </c>
      <c r="K66">
        <f>1-(1-VLOOKUP(D66,Hipotesis!$D$9:$K$38,8,FALSE))^(1/12)</f>
        <v>6.9243826282994192E-3</v>
      </c>
      <c r="L66">
        <f t="shared" si="12"/>
        <v>3.4023825749071555</v>
      </c>
      <c r="M66">
        <f t="shared" si="13"/>
        <v>487.96020634412218</v>
      </c>
      <c r="N66">
        <f>IF(D66=1,(VLOOKUP(D66,'Primas Netas Y Reservas'!$D$4:$I$33,5,FALSE)+(VLOOKUP(D66,'Primas Netas Y Reservas'!$D$4:$I$33,6,FALSE)-VLOOKUP(D66,'Primas Netas Y Reservas'!$D$4:$I$33,5,FALSE))*(E66/12))/1000,((VLOOKUP(D66-1,'Primas Netas Y Reservas'!$D$4:$I$33,6,FALSE)+VLOOKUP(D66,'Primas Netas Y Reservas'!$D$4:$I$33,5,FALSE))+(VLOOKUP(D66,'Primas Netas Y Reservas'!$D$4:$I$33,6,FALSE)-VLOOKUP(D66-1,'Primas Netas Y Reservas'!$D$4:$I$33,6,FALSE)-VLOOKUP(D66,'Primas Netas Y Reservas'!$D$4:$I$33,5,FALSE))*(E66/12))/1000)</f>
        <v>0.21732333982225152</v>
      </c>
      <c r="O66">
        <f t="shared" si="14"/>
        <v>-0.70513237682290253</v>
      </c>
      <c r="P66">
        <f>VLOOKUP(D66,Hipotesis!$D$9:$S$38,15,FALSE)*N66</f>
        <v>0.10866166991112576</v>
      </c>
      <c r="Q66">
        <f t="shared" si="1"/>
        <v>0.36970857226592746</v>
      </c>
      <c r="R66">
        <f t="shared" si="2"/>
        <v>0</v>
      </c>
      <c r="S66">
        <f t="shared" si="3"/>
        <v>0.36970857226592746</v>
      </c>
      <c r="T66">
        <f>G66*(VLOOKUP(D66,Hipotesis!$D$9:$N$38,9,FALSE)+VLOOKUP(D66,Hipotesis!$D$9:$N$38,10,FALSE)+VLOOKUP(D66,Hipotesis!$D$9:$N$38,11,FALSE))</f>
        <v>0</v>
      </c>
      <c r="U66">
        <v>0</v>
      </c>
      <c r="V66">
        <f>G66*VLOOKUP(D66,Hipotesis!$D$9:$S$38,16,FALSE)+((VLOOKUP(D66,Hipotesis!$D$9:$T$38,17,FALSE)/$B$4)*M65)/12</f>
        <v>1.2290719418858509E-2</v>
      </c>
      <c r="W66">
        <f>(1+VLOOKUP(D66,Hipotesis!$D$9:$P$38,13,FALSE))^(1/12)-1</f>
        <v>0</v>
      </c>
      <c r="X66">
        <f t="shared" si="15"/>
        <v>0</v>
      </c>
      <c r="Y66">
        <f t="shared" si="4"/>
        <v>0.41510167263979142</v>
      </c>
      <c r="Z66">
        <f>(1+VLOOKUP(D66,Hipotesis!$D$9:$O$38,12,))^(1/12)-1</f>
        <v>3.9124500965010967E-3</v>
      </c>
      <c r="AA66">
        <f t="shared" si="16"/>
        <v>0.41765512028185298</v>
      </c>
      <c r="AB66">
        <f t="shared" si="17"/>
        <v>-2.5534476420615341E-3</v>
      </c>
      <c r="AC66" s="68">
        <f t="shared" si="5"/>
        <v>-1.2290719418858509E-2</v>
      </c>
      <c r="AD66">
        <f t="shared" si="6"/>
        <v>-0.63589640757700672</v>
      </c>
      <c r="AE66" s="67">
        <f t="shared" si="7"/>
        <v>0.47204692246682872</v>
      </c>
      <c r="AF66" s="67">
        <f t="shared" si="8"/>
        <v>0.14161407674004861</v>
      </c>
      <c r="AG66" s="67">
        <f t="shared" si="9"/>
        <v>0.33043284572678011</v>
      </c>
    </row>
    <row r="67" spans="4:33" x14ac:dyDescent="0.2">
      <c r="D67" s="50">
        <v>6</v>
      </c>
      <c r="E67">
        <v>5</v>
      </c>
      <c r="F67">
        <f t="shared" si="22"/>
        <v>55</v>
      </c>
      <c r="G67">
        <f t="shared" si="10"/>
        <v>0</v>
      </c>
      <c r="H67" s="64">
        <f>IF(E67="Anual",VLOOKUP(F67,Hipotesis!$E$9:$J$38,6,FALSE),1-(1-VLOOKUP(F67,Hipotesis!$E$9:$J$38,6,FALSE))^(1/12))</f>
        <v>5.4144071278416916E-4</v>
      </c>
      <c r="I67">
        <f t="shared" si="11"/>
        <v>0.26420152193327179</v>
      </c>
      <c r="J67">
        <v>0</v>
      </c>
      <c r="K67">
        <f>1-(1-VLOOKUP(D67,Hipotesis!$D$9:$K$38,8,FALSE))^(1/12)</f>
        <v>6.9243826282994192E-3</v>
      </c>
      <c r="L67">
        <f t="shared" si="12"/>
        <v>3.3769937436817945</v>
      </c>
      <c r="M67">
        <f t="shared" si="13"/>
        <v>484.31901107850712</v>
      </c>
      <c r="N67">
        <f>IF(D67=1,(VLOOKUP(D67,'Primas Netas Y Reservas'!$D$4:$I$33,5,FALSE)+(VLOOKUP(D67,'Primas Netas Y Reservas'!$D$4:$I$33,6,FALSE)-VLOOKUP(D67,'Primas Netas Y Reservas'!$D$4:$I$33,5,FALSE))*(E67/12))/1000,((VLOOKUP(D67-1,'Primas Netas Y Reservas'!$D$4:$I$33,6,FALSE)+VLOOKUP(D67,'Primas Netas Y Reservas'!$D$4:$I$33,5,FALSE))+(VLOOKUP(D67,'Primas Netas Y Reservas'!$D$4:$I$33,6,FALSE)-VLOOKUP(D67-1,'Primas Netas Y Reservas'!$D$4:$I$33,6,FALSE)-VLOOKUP(D67,'Primas Netas Y Reservas'!$D$4:$I$33,5,FALSE))*(E67/12))/1000)</f>
        <v>0.21751074463143918</v>
      </c>
      <c r="O67">
        <f t="shared" si="14"/>
        <v>-0.70055300421131506</v>
      </c>
      <c r="P67">
        <f>VLOOKUP(D67,Hipotesis!$D$9:$S$38,15,FALSE)*N67</f>
        <v>0.10875537231571959</v>
      </c>
      <c r="Q67">
        <f t="shared" si="1"/>
        <v>0.36726621190196929</v>
      </c>
      <c r="R67">
        <f t="shared" si="2"/>
        <v>0</v>
      </c>
      <c r="S67">
        <f t="shared" si="3"/>
        <v>0.36726621190196929</v>
      </c>
      <c r="T67">
        <f>G67*(VLOOKUP(D67,Hipotesis!$D$9:$N$38,9,FALSE)+VLOOKUP(D67,Hipotesis!$D$9:$N$38,10,FALSE)+VLOOKUP(D67,Hipotesis!$D$9:$N$38,11,FALSE))</f>
        <v>0</v>
      </c>
      <c r="U67">
        <v>0</v>
      </c>
      <c r="V67">
        <f>G67*VLOOKUP(D67,Hipotesis!$D$9:$S$38,16,FALSE)+((VLOOKUP(D67,Hipotesis!$D$9:$T$38,17,FALSE)/$B$4)*M66)/12</f>
        <v>1.2199005158603053E-2</v>
      </c>
      <c r="W67">
        <f>(1+VLOOKUP(D67,Hipotesis!$D$9:$P$38,13,FALSE))^(1/12)-1</f>
        <v>0</v>
      </c>
      <c r="X67">
        <f t="shared" si="15"/>
        <v>0</v>
      </c>
      <c r="Y67">
        <f t="shared" si="4"/>
        <v>0.41236068408600685</v>
      </c>
      <c r="Z67">
        <f>(1+VLOOKUP(D67,Hipotesis!$D$9:$O$38,12,))^(1/12)-1</f>
        <v>3.9124500965010967E-3</v>
      </c>
      <c r="AA67">
        <f t="shared" si="16"/>
        <v>0.41489632504610618</v>
      </c>
      <c r="AB67">
        <f t="shared" si="17"/>
        <v>-2.5356409600993546E-3</v>
      </c>
      <c r="AC67" s="68">
        <f t="shared" si="5"/>
        <v>-1.2199005158603053E-2</v>
      </c>
      <c r="AD67">
        <f t="shared" si="6"/>
        <v>-0.63146773383524102</v>
      </c>
      <c r="AE67" s="67">
        <f t="shared" si="7"/>
        <v>0.46924694930347777</v>
      </c>
      <c r="AF67" s="67">
        <f t="shared" si="8"/>
        <v>0.14077408479104334</v>
      </c>
      <c r="AG67" s="67">
        <f t="shared" si="9"/>
        <v>0.3284728645124344</v>
      </c>
    </row>
    <row r="68" spans="4:33" x14ac:dyDescent="0.2">
      <c r="D68" s="50">
        <v>6</v>
      </c>
      <c r="E68">
        <v>6</v>
      </c>
      <c r="F68">
        <f t="shared" si="22"/>
        <v>55</v>
      </c>
      <c r="G68">
        <f t="shared" si="10"/>
        <v>0</v>
      </c>
      <c r="H68" s="64">
        <f>IF(E68="Anual",VLOOKUP(F68,Hipotesis!$E$9:$J$38,6,FALSE),1-(1-VLOOKUP(F68,Hipotesis!$E$9:$J$38,6,FALSE))^(1/12))</f>
        <v>5.4144071278416916E-4</v>
      </c>
      <c r="I68">
        <f t="shared" si="11"/>
        <v>0.26223003057327082</v>
      </c>
      <c r="J68">
        <v>0</v>
      </c>
      <c r="K68">
        <f>1-(1-VLOOKUP(D68,Hipotesis!$D$9:$K$38,8,FALSE))^(1/12)</f>
        <v>6.9243826282994192E-3</v>
      </c>
      <c r="L68">
        <f t="shared" si="12"/>
        <v>3.3517943657988485</v>
      </c>
      <c r="M68">
        <f t="shared" si="13"/>
        <v>480.70498668213497</v>
      </c>
      <c r="N68">
        <f>IF(D68=1,(VLOOKUP(D68,'Primas Netas Y Reservas'!$D$4:$I$33,5,FALSE)+(VLOOKUP(D68,'Primas Netas Y Reservas'!$D$4:$I$33,6,FALSE)-VLOOKUP(D68,'Primas Netas Y Reservas'!$D$4:$I$33,5,FALSE))*(E68/12))/1000,((VLOOKUP(D68-1,'Primas Netas Y Reservas'!$D$4:$I$33,6,FALSE)+VLOOKUP(D68,'Primas Netas Y Reservas'!$D$4:$I$33,5,FALSE))+(VLOOKUP(D68,'Primas Netas Y Reservas'!$D$4:$I$33,6,FALSE)-VLOOKUP(D68-1,'Primas Netas Y Reservas'!$D$4:$I$33,6,FALSE)-VLOOKUP(D68,'Primas Netas Y Reservas'!$D$4:$I$33,5,FALSE))*(E68/12))/1000)</f>
        <v>0.21769814944062685</v>
      </c>
      <c r="O68">
        <f t="shared" si="14"/>
        <v>-0.69600271126637381</v>
      </c>
      <c r="P68">
        <f>VLOOKUP(D68,Hipotesis!$D$9:$S$38,15,FALSE)*N68</f>
        <v>0.10884907472031342</v>
      </c>
      <c r="Q68">
        <f t="shared" ref="Q68:Q131" si="23">L68*P68</f>
        <v>0.3648397153699644</v>
      </c>
      <c r="R68">
        <f t="shared" ref="R68:R131" si="24">J68*N68</f>
        <v>0</v>
      </c>
      <c r="S68">
        <f t="shared" ref="S68:S131" si="25">L68*P68+J68*N68</f>
        <v>0.3648397153699644</v>
      </c>
      <c r="T68">
        <f>G68*(VLOOKUP(D68,Hipotesis!$D$9:$N$38,9,FALSE)+VLOOKUP(D68,Hipotesis!$D$9:$N$38,10,FALSE)+VLOOKUP(D68,Hipotesis!$D$9:$N$38,11,FALSE))</f>
        <v>0</v>
      </c>
      <c r="U68">
        <v>0</v>
      </c>
      <c r="V68">
        <f>G68*VLOOKUP(D68,Hipotesis!$D$9:$S$38,16,FALSE)+((VLOOKUP(D68,Hipotesis!$D$9:$T$38,17,FALSE)/$B$4)*M67)/12</f>
        <v>1.2107975276962677E-2</v>
      </c>
      <c r="W68">
        <f>(1+VLOOKUP(D68,Hipotesis!$D$9:$P$38,13,FALSE))^(1/12)-1</f>
        <v>0</v>
      </c>
      <c r="X68">
        <f t="shared" si="15"/>
        <v>0</v>
      </c>
      <c r="Y68">
        <f t="shared" ref="Y68:Y131" si="26">AA68+AB68</f>
        <v>0.4096374885319537</v>
      </c>
      <c r="Z68">
        <f>(1+VLOOKUP(D68,Hipotesis!$D$9:$O$38,12,))^(1/12)-1</f>
        <v>3.9124500965010967E-3</v>
      </c>
      <c r="AA68">
        <f t="shared" si="16"/>
        <v>0.41215544637717549</v>
      </c>
      <c r="AB68">
        <f t="shared" si="17"/>
        <v>-2.5179578452218031E-3</v>
      </c>
      <c r="AC68" s="68">
        <f t="shared" ref="AC68:AC131" si="27">G68-T68-U68-V68</f>
        <v>-1.2107975276962677E-2</v>
      </c>
      <c r="AD68">
        <f t="shared" ref="AD68:AD131" si="28">-(I68+S68)</f>
        <v>-0.62706974594323528</v>
      </c>
      <c r="AE68" s="67">
        <f t="shared" ref="AE68:AE131" si="29">G68+Y68-I68-S68-O68-T68-U68-V68</f>
        <v>0.46646247857812961</v>
      </c>
      <c r="AF68" s="67">
        <f t="shared" ref="AF68:AF131" si="30">(30%)*AE68</f>
        <v>0.13993874357343888</v>
      </c>
      <c r="AG68" s="67">
        <f t="shared" ref="AG68:AG131" si="31">AE68-AF68</f>
        <v>0.32652373500469073</v>
      </c>
    </row>
    <row r="69" spans="4:33" x14ac:dyDescent="0.2">
      <c r="D69" s="50">
        <v>6</v>
      </c>
      <c r="E69">
        <v>7</v>
      </c>
      <c r="F69">
        <f t="shared" si="22"/>
        <v>55</v>
      </c>
      <c r="G69">
        <f t="shared" ref="G69:G132" si="32">IF(E69=1,IF(D69&lt;=$B$7,($B$1+($B$3/$B$4*1000))*M68/$B$2,0),0)</f>
        <v>0</v>
      </c>
      <c r="H69" s="64">
        <f>IF(E69="Anual",VLOOKUP(F69,Hipotesis!$E$9:$J$38,6,FALSE),1-(1-VLOOKUP(F69,Hipotesis!$E$9:$J$38,6,FALSE))^(1/12))</f>
        <v>5.4144071278416916E-4</v>
      </c>
      <c r="I69">
        <f t="shared" ref="I69:I132" si="33">H69*1000*(M68/$B$2)</f>
        <v>0.26027325062807971</v>
      </c>
      <c r="J69">
        <v>0</v>
      </c>
      <c r="K69">
        <f>1-(1-VLOOKUP(D69,Hipotesis!$D$9:$K$38,8,FALSE))^(1/12)</f>
        <v>6.9243826282994192E-3</v>
      </c>
      <c r="L69">
        <f t="shared" ref="L69:L132" si="34">(M68-I69-J69)*K69</f>
        <v>3.3267830275434189</v>
      </c>
      <c r="M69">
        <f t="shared" ref="M69:M132" si="35">M68-I69-L69-J69</f>
        <v>477.1179304039635</v>
      </c>
      <c r="N69">
        <f>IF(D69=1,(VLOOKUP(D69,'Primas Netas Y Reservas'!$D$4:$I$33,5,FALSE)+(VLOOKUP(D69,'Primas Netas Y Reservas'!$D$4:$I$33,6,FALSE)-VLOOKUP(D69,'Primas Netas Y Reservas'!$D$4:$I$33,5,FALSE))*(E69/12))/1000,((VLOOKUP(D69-1,'Primas Netas Y Reservas'!$D$4:$I$33,6,FALSE)+VLOOKUP(D69,'Primas Netas Y Reservas'!$D$4:$I$33,5,FALSE))+(VLOOKUP(D69,'Primas Netas Y Reservas'!$D$4:$I$33,6,FALSE)-VLOOKUP(D69-1,'Primas Netas Y Reservas'!$D$4:$I$33,6,FALSE)-VLOOKUP(D69,'Primas Netas Y Reservas'!$D$4:$I$33,5,FALSE))*(E69/12))/1000)</f>
        <v>0.21788555424981451</v>
      </c>
      <c r="O69">
        <f t="shared" ref="O69:O132" si="36">(M69*N69-M68*N68)</f>
        <v>-0.69148131898994336</v>
      </c>
      <c r="P69">
        <f>VLOOKUP(D69,Hipotesis!$D$9:$S$38,15,FALSE)*N69</f>
        <v>0.10894277712490726</v>
      </c>
      <c r="Q69">
        <f t="shared" si="23"/>
        <v>0.36242898191258688</v>
      </c>
      <c r="R69">
        <f t="shared" si="24"/>
        <v>0</v>
      </c>
      <c r="S69">
        <f t="shared" si="25"/>
        <v>0.36242898191258688</v>
      </c>
      <c r="T69">
        <f>G69*(VLOOKUP(D69,Hipotesis!$D$9:$N$38,9,FALSE)+VLOOKUP(D69,Hipotesis!$D$9:$N$38,10,FALSE)+VLOOKUP(D69,Hipotesis!$D$9:$N$38,11,FALSE))</f>
        <v>0</v>
      </c>
      <c r="U69">
        <v>0</v>
      </c>
      <c r="V69">
        <f>G69*VLOOKUP(D69,Hipotesis!$D$9:$S$38,16,FALSE)+((VLOOKUP(D69,Hipotesis!$D$9:$T$38,17,FALSE)/$B$4)*M68)/12</f>
        <v>1.2017624667053374E-2</v>
      </c>
      <c r="W69">
        <f>(1+VLOOKUP(D69,Hipotesis!$D$9:$P$38,13,FALSE))^(1/12)-1</f>
        <v>0</v>
      </c>
      <c r="X69">
        <f t="shared" ref="X69:X132" si="37">(1+X68)*(1+W69)-1</f>
        <v>0</v>
      </c>
      <c r="Y69">
        <f t="shared" si="26"/>
        <v>0.40693197305749951</v>
      </c>
      <c r="Z69">
        <f>(1+VLOOKUP(D69,Hipotesis!$D$9:$O$38,12,))^(1/12)-1</f>
        <v>3.9124500965010967E-3</v>
      </c>
      <c r="AA69">
        <f t="shared" ref="AA69:AA132" si="38">N68*M68*Z69</f>
        <v>0.40943237050231635</v>
      </c>
      <c r="AB69">
        <f t="shared" ref="AB69:AB132" si="39">(AD68+AC69)*Z69</f>
        <v>-2.5003974448168558E-3</v>
      </c>
      <c r="AC69" s="68">
        <f t="shared" si="27"/>
        <v>-1.2017624667053374E-2</v>
      </c>
      <c r="AD69">
        <f t="shared" si="28"/>
        <v>-0.62270223254066659</v>
      </c>
      <c r="AE69" s="67">
        <f t="shared" si="29"/>
        <v>0.46369343483972292</v>
      </c>
      <c r="AF69" s="67">
        <f t="shared" si="30"/>
        <v>0.13910803045191686</v>
      </c>
      <c r="AG69" s="67">
        <f t="shared" si="31"/>
        <v>0.32458540438780603</v>
      </c>
    </row>
    <row r="70" spans="4:33" x14ac:dyDescent="0.2">
      <c r="D70" s="50">
        <v>6</v>
      </c>
      <c r="E70">
        <v>8</v>
      </c>
      <c r="F70">
        <f t="shared" si="22"/>
        <v>55</v>
      </c>
      <c r="G70">
        <f t="shared" si="32"/>
        <v>0</v>
      </c>
      <c r="H70" s="64">
        <f>IF(E70="Anual",VLOOKUP(F70,Hipotesis!$E$9:$J$38,6,FALSE),1-(1-VLOOKUP(F70,Hipotesis!$E$9:$J$38,6,FALSE))^(1/12))</f>
        <v>5.4144071278416916E-4</v>
      </c>
      <c r="I70">
        <f t="shared" si="33"/>
        <v>0.25833107232002961</v>
      </c>
      <c r="J70">
        <v>0</v>
      </c>
      <c r="K70">
        <f>1-(1-VLOOKUP(D70,Hipotesis!$D$9:$K$38,8,FALSE))^(1/12)</f>
        <v>6.9243826282994192E-3</v>
      </c>
      <c r="L70">
        <f t="shared" si="34"/>
        <v>3.3019583257498537</v>
      </c>
      <c r="M70">
        <f t="shared" si="35"/>
        <v>473.55764100589363</v>
      </c>
      <c r="N70">
        <f>IF(D70=1,(VLOOKUP(D70,'Primas Netas Y Reservas'!$D$4:$I$33,5,FALSE)+(VLOOKUP(D70,'Primas Netas Y Reservas'!$D$4:$I$33,6,FALSE)-VLOOKUP(D70,'Primas Netas Y Reservas'!$D$4:$I$33,5,FALSE))*(E70/12))/1000,((VLOOKUP(D70-1,'Primas Netas Y Reservas'!$D$4:$I$33,6,FALSE)+VLOOKUP(D70,'Primas Netas Y Reservas'!$D$4:$I$33,5,FALSE))+(VLOOKUP(D70,'Primas Netas Y Reservas'!$D$4:$I$33,6,FALSE)-VLOOKUP(D70-1,'Primas Netas Y Reservas'!$D$4:$I$33,6,FALSE)-VLOOKUP(D70,'Primas Netas Y Reservas'!$D$4:$I$33,5,FALSE))*(E70/12))/1000)</f>
        <v>0.21807295905900215</v>
      </c>
      <c r="O70">
        <f t="shared" si="36"/>
        <v>-0.68698864943613103</v>
      </c>
      <c r="P70">
        <f>VLOOKUP(D70,Hipotesis!$D$9:$S$38,15,FALSE)*N70</f>
        <v>0.10903647952950107</v>
      </c>
      <c r="Q70">
        <f t="shared" si="23"/>
        <v>0.36003391139288954</v>
      </c>
      <c r="R70">
        <f t="shared" si="24"/>
        <v>0</v>
      </c>
      <c r="S70">
        <f t="shared" si="25"/>
        <v>0.36003391139288954</v>
      </c>
      <c r="T70">
        <f>G70*(VLOOKUP(D70,Hipotesis!$D$9:$N$38,9,FALSE)+VLOOKUP(D70,Hipotesis!$D$9:$N$38,10,FALSE)+VLOOKUP(D70,Hipotesis!$D$9:$N$38,11,FALSE))</f>
        <v>0</v>
      </c>
      <c r="U70">
        <v>0</v>
      </c>
      <c r="V70">
        <f>G70*VLOOKUP(D70,Hipotesis!$D$9:$S$38,16,FALSE)+((VLOOKUP(D70,Hipotesis!$D$9:$T$38,17,FALSE)/$B$4)*M69)/12</f>
        <v>1.1927948260099087E-2</v>
      </c>
      <c r="W70">
        <f>(1+VLOOKUP(D70,Hipotesis!$D$9:$P$38,13,FALSE))^(1/12)-1</f>
        <v>0</v>
      </c>
      <c r="X70">
        <f t="shared" si="37"/>
        <v>0</v>
      </c>
      <c r="Y70">
        <f t="shared" si="26"/>
        <v>0.40424402543698895</v>
      </c>
      <c r="Z70">
        <f>(1+VLOOKUP(D70,Hipotesis!$D$9:$O$38,12,))^(1/12)-1</f>
        <v>3.9124500965010967E-3</v>
      </c>
      <c r="AA70">
        <f t="shared" si="38"/>
        <v>0.40672698434910542</v>
      </c>
      <c r="AB70">
        <f t="shared" si="39"/>
        <v>-2.4829589121164643E-3</v>
      </c>
      <c r="AC70" s="68">
        <f t="shared" si="27"/>
        <v>-1.1927948260099087E-2</v>
      </c>
      <c r="AD70">
        <f t="shared" si="28"/>
        <v>-0.61836498371291915</v>
      </c>
      <c r="AE70" s="67">
        <f t="shared" si="29"/>
        <v>0.46093974290010176</v>
      </c>
      <c r="AF70" s="67">
        <f t="shared" si="30"/>
        <v>0.13828192287003052</v>
      </c>
      <c r="AG70" s="67">
        <f t="shared" si="31"/>
        <v>0.32265782003007126</v>
      </c>
    </row>
    <row r="71" spans="4:33" x14ac:dyDescent="0.2">
      <c r="D71" s="50">
        <v>6</v>
      </c>
      <c r="E71">
        <v>9</v>
      </c>
      <c r="F71">
        <f t="shared" si="22"/>
        <v>55</v>
      </c>
      <c r="G71">
        <f t="shared" si="32"/>
        <v>0</v>
      </c>
      <c r="H71" s="64">
        <f>IF(E71="Anual",VLOOKUP(F71,Hipotesis!$E$9:$J$38,6,FALSE),1-(1-VLOOKUP(F71,Hipotesis!$E$9:$J$38,6,FALSE))^(1/12))</f>
        <v>5.4144071278416916E-4</v>
      </c>
      <c r="I71">
        <f t="shared" si="33"/>
        <v>0.25640338669062074</v>
      </c>
      <c r="J71">
        <v>0</v>
      </c>
      <c r="K71">
        <f>1-(1-VLOOKUP(D71,Hipotesis!$D$9:$K$38,8,FALSE))^(1/12)</f>
        <v>6.9243826282994192E-3</v>
      </c>
      <c r="L71">
        <f t="shared" si="34"/>
        <v>3.2773188677230247</v>
      </c>
      <c r="M71">
        <f t="shared" si="35"/>
        <v>470.02391875147998</v>
      </c>
      <c r="N71">
        <f>IF(D71=1,(VLOOKUP(D71,'Primas Netas Y Reservas'!$D$4:$I$33,5,FALSE)+(VLOOKUP(D71,'Primas Netas Y Reservas'!$D$4:$I$33,6,FALSE)-VLOOKUP(D71,'Primas Netas Y Reservas'!$D$4:$I$33,5,FALSE))*(E71/12))/1000,((VLOOKUP(D71-1,'Primas Netas Y Reservas'!$D$4:$I$33,6,FALSE)+VLOOKUP(D71,'Primas Netas Y Reservas'!$D$4:$I$33,5,FALSE))+(VLOOKUP(D71,'Primas Netas Y Reservas'!$D$4:$I$33,6,FALSE)-VLOOKUP(D71-1,'Primas Netas Y Reservas'!$D$4:$I$33,6,FALSE)-VLOOKUP(D71,'Primas Netas Y Reservas'!$D$4:$I$33,5,FALSE))*(E71/12))/1000)</f>
        <v>0.21826036386818981</v>
      </c>
      <c r="O71">
        <f t="shared" si="36"/>
        <v>-0.68252452570537514</v>
      </c>
      <c r="P71">
        <f>VLOOKUP(D71,Hipotesis!$D$9:$S$38,15,FALSE)*N71</f>
        <v>0.10913018193409491</v>
      </c>
      <c r="Q71">
        <f t="shared" si="23"/>
        <v>0.35765440429065559</v>
      </c>
      <c r="R71">
        <f t="shared" si="24"/>
        <v>0</v>
      </c>
      <c r="S71">
        <f t="shared" si="25"/>
        <v>0.35765440429065559</v>
      </c>
      <c r="T71">
        <f>G71*(VLOOKUP(D71,Hipotesis!$D$9:$N$38,9,FALSE)+VLOOKUP(D71,Hipotesis!$D$9:$N$38,10,FALSE)+VLOOKUP(D71,Hipotesis!$D$9:$N$38,11,FALSE))</f>
        <v>0</v>
      </c>
      <c r="U71">
        <v>0</v>
      </c>
      <c r="V71">
        <f>G71*VLOOKUP(D71,Hipotesis!$D$9:$S$38,16,FALSE)+((VLOOKUP(D71,Hipotesis!$D$9:$T$38,17,FALSE)/$B$4)*M70)/12</f>
        <v>1.1838941025147339E-2</v>
      </c>
      <c r="W71">
        <f>(1+VLOOKUP(D71,Hipotesis!$D$9:$P$38,13,FALSE))^(1/12)-1</f>
        <v>0</v>
      </c>
      <c r="X71">
        <f t="shared" si="37"/>
        <v>0</v>
      </c>
      <c r="Y71">
        <f t="shared" si="26"/>
        <v>0.40157353413516711</v>
      </c>
      <c r="Z71">
        <f>(1+VLOOKUP(D71,Hipotesis!$D$9:$O$38,12,))^(1/12)-1</f>
        <v>3.9124500965010967E-3</v>
      </c>
      <c r="AA71">
        <f t="shared" si="38"/>
        <v>0.4040391755413239</v>
      </c>
      <c r="AB71">
        <f t="shared" si="39"/>
        <v>-2.4656414061568184E-3</v>
      </c>
      <c r="AC71" s="68">
        <f t="shared" si="27"/>
        <v>-1.1838941025147339E-2</v>
      </c>
      <c r="AD71">
        <f t="shared" si="28"/>
        <v>-0.61405779098127633</v>
      </c>
      <c r="AE71" s="67">
        <f t="shared" si="29"/>
        <v>0.4582013278341186</v>
      </c>
      <c r="AF71" s="67">
        <f t="shared" si="30"/>
        <v>0.13746039835023557</v>
      </c>
      <c r="AG71" s="67">
        <f t="shared" si="31"/>
        <v>0.320740929483883</v>
      </c>
    </row>
    <row r="72" spans="4:33" x14ac:dyDescent="0.2">
      <c r="D72" s="50">
        <v>6</v>
      </c>
      <c r="E72">
        <v>10</v>
      </c>
      <c r="F72">
        <f t="shared" si="22"/>
        <v>55</v>
      </c>
      <c r="G72">
        <f t="shared" si="32"/>
        <v>0</v>
      </c>
      <c r="H72" s="64">
        <f>IF(E72="Anual",VLOOKUP(F72,Hipotesis!$E$9:$J$38,6,FALSE),1-(1-VLOOKUP(F72,Hipotesis!$E$9:$J$38,6,FALSE))^(1/12))</f>
        <v>5.4144071278416916E-4</v>
      </c>
      <c r="I72">
        <f t="shared" si="33"/>
        <v>0.25449008559440972</v>
      </c>
      <c r="J72">
        <v>0</v>
      </c>
      <c r="K72">
        <f>1-(1-VLOOKUP(D72,Hipotesis!$D$9:$K$38,8,FALSE))^(1/12)</f>
        <v>6.9243826282994192E-3</v>
      </c>
      <c r="L72">
        <f t="shared" si="34"/>
        <v>3.2528632711602015</v>
      </c>
      <c r="M72">
        <f t="shared" si="35"/>
        <v>466.51656539472538</v>
      </c>
      <c r="N72">
        <f>IF(D72=1,(VLOOKUP(D72,'Primas Netas Y Reservas'!$D$4:$I$33,5,FALSE)+(VLOOKUP(D72,'Primas Netas Y Reservas'!$D$4:$I$33,6,FALSE)-VLOOKUP(D72,'Primas Netas Y Reservas'!$D$4:$I$33,5,FALSE))*(E72/12))/1000,((VLOOKUP(D72-1,'Primas Netas Y Reservas'!$D$4:$I$33,6,FALSE)+VLOOKUP(D72,'Primas Netas Y Reservas'!$D$4:$I$33,5,FALSE))+(VLOOKUP(D72,'Primas Netas Y Reservas'!$D$4:$I$33,6,FALSE)-VLOOKUP(D72-1,'Primas Netas Y Reservas'!$D$4:$I$33,6,FALSE)-VLOOKUP(D72,'Primas Netas Y Reservas'!$D$4:$I$33,5,FALSE))*(E72/12))/1000)</f>
        <v>0.21844776867737747</v>
      </c>
      <c r="O72">
        <f t="shared" si="36"/>
        <v>-0.67808877193890282</v>
      </c>
      <c r="P72">
        <f>VLOOKUP(D72,Hipotesis!$D$9:$S$38,15,FALSE)*N72</f>
        <v>0.10922388433868874</v>
      </c>
      <c r="Q72">
        <f t="shared" si="23"/>
        <v>0.35529036169877054</v>
      </c>
      <c r="R72">
        <f t="shared" si="24"/>
        <v>0</v>
      </c>
      <c r="S72">
        <f t="shared" si="25"/>
        <v>0.35529036169877054</v>
      </c>
      <c r="T72">
        <f>G72*(VLOOKUP(D72,Hipotesis!$D$9:$N$38,9,FALSE)+VLOOKUP(D72,Hipotesis!$D$9:$N$38,10,FALSE)+VLOOKUP(D72,Hipotesis!$D$9:$N$38,11,FALSE))</f>
        <v>0</v>
      </c>
      <c r="U72">
        <v>0</v>
      </c>
      <c r="V72">
        <f>G72*VLOOKUP(D72,Hipotesis!$D$9:$S$38,16,FALSE)+((VLOOKUP(D72,Hipotesis!$D$9:$T$38,17,FALSE)/$B$4)*M71)/12</f>
        <v>1.1750597968786998E-2</v>
      </c>
      <c r="W72">
        <f>(1+VLOOKUP(D72,Hipotesis!$D$9:$P$38,13,FALSE))^(1/12)-1</f>
        <v>0</v>
      </c>
      <c r="X72">
        <f t="shared" si="37"/>
        <v>0</v>
      </c>
      <c r="Y72">
        <f t="shared" si="26"/>
        <v>0.39892038830312465</v>
      </c>
      <c r="Z72">
        <f>(1+VLOOKUP(D72,Hipotesis!$D$9:$O$38,12,))^(1/12)-1</f>
        <v>3.9124500965010967E-3</v>
      </c>
      <c r="AA72">
        <f t="shared" si="38"/>
        <v>0.40136883239486354</v>
      </c>
      <c r="AB72">
        <f t="shared" si="39"/>
        <v>-2.448444091738871E-3</v>
      </c>
      <c r="AC72" s="68">
        <f t="shared" si="27"/>
        <v>-1.1750597968786998E-2</v>
      </c>
      <c r="AD72">
        <f t="shared" si="28"/>
        <v>-0.60978044729318026</v>
      </c>
      <c r="AE72" s="67">
        <f t="shared" si="29"/>
        <v>0.45547811498006019</v>
      </c>
      <c r="AF72" s="67">
        <f t="shared" si="30"/>
        <v>0.13664343449401806</v>
      </c>
      <c r="AG72" s="67">
        <f t="shared" si="31"/>
        <v>0.31883468048604213</v>
      </c>
    </row>
    <row r="73" spans="4:33" x14ac:dyDescent="0.2">
      <c r="D73" s="50">
        <v>6</v>
      </c>
      <c r="E73">
        <v>11</v>
      </c>
      <c r="F73">
        <f t="shared" si="22"/>
        <v>55</v>
      </c>
      <c r="G73">
        <f t="shared" si="32"/>
        <v>0</v>
      </c>
      <c r="H73" s="64">
        <f>IF(E73="Anual",VLOOKUP(F73,Hipotesis!$E$9:$J$38,6,FALSE),1-(1-VLOOKUP(F73,Hipotesis!$E$9:$J$38,6,FALSE))^(1/12))</f>
        <v>5.4144071278416916E-4</v>
      </c>
      <c r="I73">
        <f t="shared" si="33"/>
        <v>0.25259106169294254</v>
      </c>
      <c r="J73">
        <v>0</v>
      </c>
      <c r="K73">
        <f>1-(1-VLOOKUP(D73,Hipotesis!$D$9:$K$38,8,FALSE))^(1/12)</f>
        <v>6.9243826282994192E-3</v>
      </c>
      <c r="L73">
        <f t="shared" si="34"/>
        <v>3.2285901640734962</v>
      </c>
      <c r="M73">
        <f t="shared" si="35"/>
        <v>463.0353841689589</v>
      </c>
      <c r="N73">
        <f>IF(D73=1,(VLOOKUP(D73,'Primas Netas Y Reservas'!$D$4:$I$33,5,FALSE)+(VLOOKUP(D73,'Primas Netas Y Reservas'!$D$4:$I$33,6,FALSE)-VLOOKUP(D73,'Primas Netas Y Reservas'!$D$4:$I$33,5,FALSE))*(E73/12))/1000,((VLOOKUP(D73-1,'Primas Netas Y Reservas'!$D$4:$I$33,6,FALSE)+VLOOKUP(D73,'Primas Netas Y Reservas'!$D$4:$I$33,5,FALSE))+(VLOOKUP(D73,'Primas Netas Y Reservas'!$D$4:$I$33,6,FALSE)-VLOOKUP(D73-1,'Primas Netas Y Reservas'!$D$4:$I$33,6,FALSE)-VLOOKUP(D73,'Primas Netas Y Reservas'!$D$4:$I$33,5,FALSE))*(E73/12))/1000)</f>
        <v>0.21863517348656511</v>
      </c>
      <c r="O73">
        <f t="shared" si="36"/>
        <v>-0.67368121331294617</v>
      </c>
      <c r="P73">
        <f>VLOOKUP(D73,Hipotesis!$D$9:$S$38,15,FALSE)*N73</f>
        <v>0.10931758674328255</v>
      </c>
      <c r="Q73">
        <f t="shared" si="23"/>
        <v>0.35294168531961329</v>
      </c>
      <c r="R73">
        <f t="shared" si="24"/>
        <v>0</v>
      </c>
      <c r="S73">
        <f t="shared" si="25"/>
        <v>0.35294168531961329</v>
      </c>
      <c r="T73">
        <f>G73*(VLOOKUP(D73,Hipotesis!$D$9:$N$38,9,FALSE)+VLOOKUP(D73,Hipotesis!$D$9:$N$38,10,FALSE)+VLOOKUP(D73,Hipotesis!$D$9:$N$38,11,FALSE))</f>
        <v>0</v>
      </c>
      <c r="U73">
        <v>0</v>
      </c>
      <c r="V73">
        <f>G73*VLOOKUP(D73,Hipotesis!$D$9:$S$38,16,FALSE)+((VLOOKUP(D73,Hipotesis!$D$9:$T$38,17,FALSE)/$B$4)*M72)/12</f>
        <v>1.1662914134868134E-2</v>
      </c>
      <c r="W73">
        <f>(1+VLOOKUP(D73,Hipotesis!$D$9:$P$38,13,FALSE))^(1/12)-1</f>
        <v>0</v>
      </c>
      <c r="X73">
        <f t="shared" si="37"/>
        <v>0</v>
      </c>
      <c r="Y73">
        <f t="shared" si="26"/>
        <v>0.39628447777426568</v>
      </c>
      <c r="Z73">
        <f>(1+VLOOKUP(D73,Hipotesis!$D$9:$O$38,12,))^(1/12)-1</f>
        <v>3.9124500965010967E-3</v>
      </c>
      <c r="AA73">
        <f t="shared" si="38"/>
        <v>0.39871584391365483</v>
      </c>
      <c r="AB73">
        <f t="shared" si="39"/>
        <v>-2.4313661393891338E-3</v>
      </c>
      <c r="AC73" s="68">
        <f t="shared" si="27"/>
        <v>-1.1662914134868134E-2</v>
      </c>
      <c r="AD73">
        <f t="shared" si="28"/>
        <v>-0.60553274701255577</v>
      </c>
      <c r="AE73" s="67">
        <f t="shared" si="29"/>
        <v>0.45277002993978788</v>
      </c>
      <c r="AF73" s="67">
        <f t="shared" si="30"/>
        <v>0.13583100898193637</v>
      </c>
      <c r="AG73" s="67">
        <f t="shared" si="31"/>
        <v>0.31693902095785154</v>
      </c>
    </row>
    <row r="74" spans="4:33" x14ac:dyDescent="0.2">
      <c r="D74" s="50">
        <v>6</v>
      </c>
      <c r="E74">
        <v>12</v>
      </c>
      <c r="F74">
        <f t="shared" si="22"/>
        <v>55</v>
      </c>
      <c r="G74">
        <f t="shared" si="32"/>
        <v>0</v>
      </c>
      <c r="H74" s="64">
        <f>IF(E74="Anual",VLOOKUP(F74,Hipotesis!$E$9:$J$38,6,FALSE),1-(1-VLOOKUP(F74,Hipotesis!$E$9:$J$38,6,FALSE))^(1/12))</f>
        <v>5.4144071278416916E-4</v>
      </c>
      <c r="I74">
        <f t="shared" si="33"/>
        <v>0.2507062084487327</v>
      </c>
      <c r="J74">
        <v>0</v>
      </c>
      <c r="K74">
        <f>1-(1-VLOOKUP(D74,Hipotesis!$D$9:$K$38,8,FALSE))^(1/12)</f>
        <v>6.9243826282994192E-3</v>
      </c>
      <c r="L74">
        <f t="shared" si="34"/>
        <v>3.2044981847128979</v>
      </c>
      <c r="M74">
        <f t="shared" si="35"/>
        <v>459.58017977579726</v>
      </c>
      <c r="N74">
        <f>IF(D74=1,(VLOOKUP(D74,'Primas Netas Y Reservas'!$D$4:$I$33,5,FALSE)+(VLOOKUP(D74,'Primas Netas Y Reservas'!$D$4:$I$33,6,FALSE)-VLOOKUP(D74,'Primas Netas Y Reservas'!$D$4:$I$33,5,FALSE))*(E74/12))/1000,((VLOOKUP(D74-1,'Primas Netas Y Reservas'!$D$4:$I$33,6,FALSE)+VLOOKUP(D74,'Primas Netas Y Reservas'!$D$4:$I$33,5,FALSE))+(VLOOKUP(D74,'Primas Netas Y Reservas'!$D$4:$I$33,6,FALSE)-VLOOKUP(D74-1,'Primas Netas Y Reservas'!$D$4:$I$33,6,FALSE)-VLOOKUP(D74,'Primas Netas Y Reservas'!$D$4:$I$33,5,FALSE))*(E74/12))/1000)</f>
        <v>0.2188225782957528</v>
      </c>
      <c r="O74">
        <f t="shared" si="36"/>
        <v>-0.66930167603311475</v>
      </c>
      <c r="P74">
        <f>VLOOKUP(D74,Hipotesis!$D$9:$S$38,15,FALSE)*N74</f>
        <v>0.1094112891478764</v>
      </c>
      <c r="Q74">
        <f t="shared" si="23"/>
        <v>0.35060827746146789</v>
      </c>
      <c r="R74">
        <f t="shared" si="24"/>
        <v>0</v>
      </c>
      <c r="S74">
        <f t="shared" si="25"/>
        <v>0.35060827746146789</v>
      </c>
      <c r="T74">
        <f>G74*(VLOOKUP(D74,Hipotesis!$D$9:$N$38,9,FALSE)+VLOOKUP(D74,Hipotesis!$D$9:$N$38,10,FALSE)+VLOOKUP(D74,Hipotesis!$D$9:$N$38,11,FALSE))</f>
        <v>0</v>
      </c>
      <c r="U74">
        <v>0</v>
      </c>
      <c r="V74">
        <f>G74*VLOOKUP(D74,Hipotesis!$D$9:$S$38,16,FALSE)+((VLOOKUP(D74,Hipotesis!$D$9:$T$38,17,FALSE)/$B$4)*M73)/12</f>
        <v>1.1575884604223971E-2</v>
      </c>
      <c r="W74">
        <f>(1+VLOOKUP(D74,Hipotesis!$D$9:$P$38,13,FALSE))^(1/12)-1</f>
        <v>0</v>
      </c>
      <c r="X74">
        <f t="shared" si="37"/>
        <v>0</v>
      </c>
      <c r="Y74">
        <f t="shared" si="26"/>
        <v>0.39366569306029692</v>
      </c>
      <c r="Z74">
        <f>(1+VLOOKUP(D74,Hipotesis!$D$9:$O$38,12,))^(1/12)-1</f>
        <v>3.9124500965010967E-3</v>
      </c>
      <c r="AA74">
        <f t="shared" si="38"/>
        <v>0.39608009978561765</v>
      </c>
      <c r="AB74">
        <f t="shared" si="39"/>
        <v>-2.4144067253207297E-3</v>
      </c>
      <c r="AC74" s="68">
        <f t="shared" si="27"/>
        <v>-1.1575884604223971E-2</v>
      </c>
      <c r="AD74">
        <f t="shared" si="28"/>
        <v>-0.60131448591020065</v>
      </c>
      <c r="AE74" s="67">
        <f t="shared" si="29"/>
        <v>0.45007699857898709</v>
      </c>
      <c r="AF74" s="67">
        <f t="shared" si="30"/>
        <v>0.13502309957369613</v>
      </c>
      <c r="AG74" s="67">
        <f t="shared" si="31"/>
        <v>0.31505389900529096</v>
      </c>
    </row>
    <row r="75" spans="4:33" x14ac:dyDescent="0.2">
      <c r="D75" s="50">
        <v>7</v>
      </c>
      <c r="E75">
        <v>1</v>
      </c>
      <c r="F75">
        <f t="shared" si="22"/>
        <v>56</v>
      </c>
      <c r="G75">
        <f t="shared" si="32"/>
        <v>22.514311119767644</v>
      </c>
      <c r="H75" s="64">
        <f>IF(E75="Anual",VLOOKUP(F75,Hipotesis!$E$9:$J$38,6,FALSE),1-(1-VLOOKUP(F75,Hipotesis!$E$9:$J$38,6,FALSE))^(1/12))</f>
        <v>5.8292779976976128E-4</v>
      </c>
      <c r="I75">
        <f t="shared" si="33"/>
        <v>0.26790206301449682</v>
      </c>
      <c r="J75">
        <v>0</v>
      </c>
      <c r="K75">
        <f>1-(1-VLOOKUP(D75,Hipotesis!$D$9:$K$38,8,FALSE))^(1/12)</f>
        <v>6.0293080661268927E-3</v>
      </c>
      <c r="L75">
        <f t="shared" si="34"/>
        <v>2.7693352208847966</v>
      </c>
      <c r="M75">
        <f t="shared" si="35"/>
        <v>456.54294249189797</v>
      </c>
      <c r="N75">
        <f>IF(D75=1,(VLOOKUP(D75,'Primas Netas Y Reservas'!$D$4:$I$33,5,FALSE)+(VLOOKUP(D75,'Primas Netas Y Reservas'!$D$4:$I$33,6,FALSE)-VLOOKUP(D75,'Primas Netas Y Reservas'!$D$4:$I$33,5,FALSE))*(E75/12))/1000,((VLOOKUP(D75-1,'Primas Netas Y Reservas'!$D$4:$I$33,6,FALSE)+VLOOKUP(D75,'Primas Netas Y Reservas'!$D$4:$I$33,5,FALSE))+(VLOOKUP(D75,'Primas Netas Y Reservas'!$D$4:$I$33,6,FALSE)-VLOOKUP(D75-1,'Primas Netas Y Reservas'!$D$4:$I$33,6,FALSE)-VLOOKUP(D75,'Primas Netas Y Reservas'!$D$4:$I$33,5,FALSE))*(E75/12))/1000)</f>
        <v>0.26434309822836466</v>
      </c>
      <c r="O75">
        <f t="shared" si="36"/>
        <v>20.117456020436876</v>
      </c>
      <c r="P75">
        <f>VLOOKUP(D75,Hipotesis!$D$9:$S$38,15,FALSE)*N75</f>
        <v>0.17182301384843704</v>
      </c>
      <c r="Q75">
        <f t="shared" si="23"/>
        <v>0.47583552400905282</v>
      </c>
      <c r="R75">
        <f t="shared" si="24"/>
        <v>0</v>
      </c>
      <c r="S75">
        <f t="shared" si="25"/>
        <v>0.47583552400905282</v>
      </c>
      <c r="T75">
        <f>G75*(VLOOKUP(D75,Hipotesis!$D$9:$N$38,9,FALSE)+VLOOKUP(D75,Hipotesis!$D$9:$N$38,10,FALSE)+VLOOKUP(D75,Hipotesis!$D$9:$N$38,11,FALSE))</f>
        <v>1.8011448895814115</v>
      </c>
      <c r="U75">
        <v>0</v>
      </c>
      <c r="V75">
        <f>G75*VLOOKUP(D75,Hipotesis!$D$9:$S$38,16,FALSE)+((VLOOKUP(D75,Hipotesis!$D$9:$T$38,17,FALSE)/$B$4)*M74)/12</f>
        <v>1.024633504883939</v>
      </c>
      <c r="W75">
        <f>(1+VLOOKUP(D75,Hipotesis!$D$9:$P$38,13,FALSE))^(1/12)-1</f>
        <v>0</v>
      </c>
      <c r="X75">
        <f t="shared" si="37"/>
        <v>0</v>
      </c>
      <c r="Y75">
        <f t="shared" si="26"/>
        <v>0.44876008834439896</v>
      </c>
      <c r="Z75">
        <f>(1+VLOOKUP(D75,Hipotesis!$D$9:$O$38,12,))^(1/12)-1</f>
        <v>3.7504894993418691E-3</v>
      </c>
      <c r="AA75">
        <f t="shared" si="38"/>
        <v>0.37717367676591229</v>
      </c>
      <c r="AB75">
        <f t="shared" si="39"/>
        <v>7.1586411578486636E-2</v>
      </c>
      <c r="AC75" s="68">
        <f t="shared" si="27"/>
        <v>19.688532725302291</v>
      </c>
      <c r="AD75">
        <f t="shared" si="28"/>
        <v>-0.74373758702354964</v>
      </c>
      <c r="AE75" s="67">
        <f t="shared" si="29"/>
        <v>-0.7239007938137314</v>
      </c>
      <c r="AF75" s="67">
        <f t="shared" si="30"/>
        <v>-0.21717023814411943</v>
      </c>
      <c r="AG75" s="67">
        <f t="shared" si="31"/>
        <v>-0.506730555669612</v>
      </c>
    </row>
    <row r="76" spans="4:33" x14ac:dyDescent="0.2">
      <c r="D76" s="50">
        <v>7</v>
      </c>
      <c r="E76">
        <v>2</v>
      </c>
      <c r="F76">
        <f t="shared" si="22"/>
        <v>56</v>
      </c>
      <c r="G76">
        <f t="shared" si="32"/>
        <v>0</v>
      </c>
      <c r="H76" s="64">
        <f>IF(E76="Anual",VLOOKUP(F76,Hipotesis!$E$9:$J$38,6,FALSE),1-(1-VLOOKUP(F76,Hipotesis!$E$9:$J$38,6,FALSE))^(1/12))</f>
        <v>5.8292779976976128E-4</v>
      </c>
      <c r="I76">
        <f t="shared" si="33"/>
        <v>0.26613157296721474</v>
      </c>
      <c r="J76">
        <v>0</v>
      </c>
      <c r="K76">
        <f>1-(1-VLOOKUP(D76,Hipotesis!$D$9:$K$38,8,FALSE))^(1/12)</f>
        <v>6.0293080661268927E-3</v>
      </c>
      <c r="L76">
        <f t="shared" si="34"/>
        <v>2.7510334564601644</v>
      </c>
      <c r="M76">
        <f t="shared" si="35"/>
        <v>453.52577746247061</v>
      </c>
      <c r="N76">
        <f>IF(D76=1,(VLOOKUP(D76,'Primas Netas Y Reservas'!$D$4:$I$33,5,FALSE)+(VLOOKUP(D76,'Primas Netas Y Reservas'!$D$4:$I$33,6,FALSE)-VLOOKUP(D76,'Primas Netas Y Reservas'!$D$4:$I$33,5,FALSE))*(E76/12))/1000,((VLOOKUP(D76-1,'Primas Netas Y Reservas'!$D$4:$I$33,6,FALSE)+VLOOKUP(D76,'Primas Netas Y Reservas'!$D$4:$I$33,5,FALSE))+(VLOOKUP(D76,'Primas Netas Y Reservas'!$D$4:$I$33,6,FALSE)-VLOOKUP(D76-1,'Primas Netas Y Reservas'!$D$4:$I$33,6,FALSE)-VLOOKUP(D76,'Primas Netas Y Reservas'!$D$4:$I$33,5,FALSE))*(E76/12))/1000)</f>
        <v>0.26470316615224726</v>
      </c>
      <c r="O76">
        <f t="shared" si="36"/>
        <v>-0.63426666662694231</v>
      </c>
      <c r="P76">
        <f>VLOOKUP(D76,Hipotesis!$D$9:$S$38,15,FALSE)*N76</f>
        <v>0.17205705799896073</v>
      </c>
      <c r="Q76">
        <f t="shared" si="23"/>
        <v>0.47333472297524792</v>
      </c>
      <c r="R76">
        <f t="shared" si="24"/>
        <v>0</v>
      </c>
      <c r="S76">
        <f t="shared" si="25"/>
        <v>0.47333472297524792</v>
      </c>
      <c r="T76">
        <f>G76*(VLOOKUP(D76,Hipotesis!$D$9:$N$38,9,FALSE)+VLOOKUP(D76,Hipotesis!$D$9:$N$38,10,FALSE)+VLOOKUP(D76,Hipotesis!$D$9:$N$38,11,FALSE))</f>
        <v>0</v>
      </c>
      <c r="U76">
        <v>0</v>
      </c>
      <c r="V76">
        <f>G76*VLOOKUP(D76,Hipotesis!$D$9:$S$38,16,FALSE)+((VLOOKUP(D76,Hipotesis!$D$9:$T$38,17,FALSE)/$B$4)*M75)/12</f>
        <v>1.1413573562297448E-2</v>
      </c>
      <c r="W76">
        <f>(1+VLOOKUP(D76,Hipotesis!$D$9:$P$38,13,FALSE))^(1/12)-1</f>
        <v>0</v>
      </c>
      <c r="X76">
        <f t="shared" si="37"/>
        <v>0</v>
      </c>
      <c r="Y76">
        <f t="shared" si="26"/>
        <v>0.44979179782583961</v>
      </c>
      <c r="Z76">
        <f>(1+VLOOKUP(D76,Hipotesis!$D$9:$O$38,12,))^(1/12)-1</f>
        <v>3.7504894993418691E-3</v>
      </c>
      <c r="AA76">
        <f t="shared" si="38"/>
        <v>0.45262398432403267</v>
      </c>
      <c r="AB76">
        <f t="shared" si="39"/>
        <v>-2.832186498193045E-3</v>
      </c>
      <c r="AC76" s="68">
        <f t="shared" si="27"/>
        <v>-1.1413573562297448E-2</v>
      </c>
      <c r="AD76">
        <f t="shared" si="28"/>
        <v>-0.73946629594246271</v>
      </c>
      <c r="AE76" s="67">
        <f t="shared" si="29"/>
        <v>0.33317859494802182</v>
      </c>
      <c r="AF76" s="67">
        <f t="shared" si="30"/>
        <v>9.9953578484406544E-2</v>
      </c>
      <c r="AG76" s="67">
        <f t="shared" si="31"/>
        <v>0.23322501646361526</v>
      </c>
    </row>
    <row r="77" spans="4:33" x14ac:dyDescent="0.2">
      <c r="D77" s="50">
        <v>7</v>
      </c>
      <c r="E77">
        <v>3</v>
      </c>
      <c r="F77">
        <f t="shared" si="22"/>
        <v>56</v>
      </c>
      <c r="G77">
        <f t="shared" si="32"/>
        <v>0</v>
      </c>
      <c r="H77" s="64">
        <f>IF(E77="Anual",VLOOKUP(F77,Hipotesis!$E$9:$J$38,6,FALSE),1-(1-VLOOKUP(F77,Hipotesis!$E$9:$J$38,6,FALSE))^(1/12))</f>
        <v>5.8292779976976128E-4</v>
      </c>
      <c r="I77">
        <f t="shared" si="33"/>
        <v>0.26437278359506838</v>
      </c>
      <c r="J77">
        <v>0</v>
      </c>
      <c r="K77">
        <f>1-(1-VLOOKUP(D77,Hipotesis!$D$9:$K$38,8,FALSE))^(1/12)</f>
        <v>6.0293080661268927E-3</v>
      </c>
      <c r="L77">
        <f t="shared" si="34"/>
        <v>2.7328526432943501</v>
      </c>
      <c r="M77">
        <f t="shared" si="35"/>
        <v>450.52855203558119</v>
      </c>
      <c r="N77">
        <f>IF(D77=1,(VLOOKUP(D77,'Primas Netas Y Reservas'!$D$4:$I$33,5,FALSE)+(VLOOKUP(D77,'Primas Netas Y Reservas'!$D$4:$I$33,6,FALSE)-VLOOKUP(D77,'Primas Netas Y Reservas'!$D$4:$I$33,5,FALSE))*(E77/12))/1000,((VLOOKUP(D77-1,'Primas Netas Y Reservas'!$D$4:$I$33,6,FALSE)+VLOOKUP(D77,'Primas Netas Y Reservas'!$D$4:$I$33,5,FALSE))+(VLOOKUP(D77,'Primas Netas Y Reservas'!$D$4:$I$33,6,FALSE)-VLOOKUP(D77-1,'Primas Netas Y Reservas'!$D$4:$I$33,6,FALSE)-VLOOKUP(D77,'Primas Netas Y Reservas'!$D$4:$I$33,5,FALSE))*(E77/12))/1000)</f>
        <v>0.26506323407612992</v>
      </c>
      <c r="O77">
        <f t="shared" si="36"/>
        <v>-0.63115417978833932</v>
      </c>
      <c r="P77">
        <f>VLOOKUP(D77,Hipotesis!$D$9:$S$38,15,FALSE)*N77</f>
        <v>0.17229110214948445</v>
      </c>
      <c r="Q77">
        <f t="shared" si="23"/>
        <v>0.47084619392531546</v>
      </c>
      <c r="R77">
        <f t="shared" si="24"/>
        <v>0</v>
      </c>
      <c r="S77">
        <f t="shared" si="25"/>
        <v>0.47084619392531546</v>
      </c>
      <c r="T77">
        <f>G77*(VLOOKUP(D77,Hipotesis!$D$9:$N$38,9,FALSE)+VLOOKUP(D77,Hipotesis!$D$9:$N$38,10,FALSE)+VLOOKUP(D77,Hipotesis!$D$9:$N$38,11,FALSE))</f>
        <v>0</v>
      </c>
      <c r="U77">
        <v>0</v>
      </c>
      <c r="V77">
        <f>G77*VLOOKUP(D77,Hipotesis!$D$9:$S$38,16,FALSE)+((VLOOKUP(D77,Hipotesis!$D$9:$T$38,17,FALSE)/$B$4)*M76)/12</f>
        <v>1.1338144436561766E-2</v>
      </c>
      <c r="W77">
        <f>(1+VLOOKUP(D77,Hipotesis!$D$9:$P$38,13,FALSE))^(1/12)-1</f>
        <v>0</v>
      </c>
      <c r="X77">
        <f t="shared" si="37"/>
        <v>0</v>
      </c>
      <c r="Y77">
        <f t="shared" si="26"/>
        <v>0.44742928968136492</v>
      </c>
      <c r="Z77">
        <f>(1+VLOOKUP(D77,Hipotesis!$D$9:$O$38,12,))^(1/12)-1</f>
        <v>3.7504894993418691E-3</v>
      </c>
      <c r="AA77">
        <f t="shared" si="38"/>
        <v>0.45024517385106572</v>
      </c>
      <c r="AB77">
        <f t="shared" si="39"/>
        <v>-2.8158841697007797E-3</v>
      </c>
      <c r="AC77" s="68">
        <f t="shared" si="27"/>
        <v>-1.1338144436561766E-2</v>
      </c>
      <c r="AD77">
        <f t="shared" si="28"/>
        <v>-0.7352189775203839</v>
      </c>
      <c r="AE77" s="67">
        <f t="shared" si="29"/>
        <v>0.33202634751275861</v>
      </c>
      <c r="AF77" s="67">
        <f t="shared" si="30"/>
        <v>9.9607904253827581E-2</v>
      </c>
      <c r="AG77" s="67">
        <f t="shared" si="31"/>
        <v>0.23241844325893102</v>
      </c>
    </row>
    <row r="78" spans="4:33" x14ac:dyDescent="0.2">
      <c r="D78" s="50">
        <v>7</v>
      </c>
      <c r="E78">
        <v>4</v>
      </c>
      <c r="F78">
        <f t="shared" si="22"/>
        <v>56</v>
      </c>
      <c r="G78">
        <f t="shared" si="32"/>
        <v>0</v>
      </c>
      <c r="H78" s="64">
        <f>IF(E78="Anual",VLOOKUP(F78,Hipotesis!$E$9:$J$38,6,FALSE),1-(1-VLOOKUP(F78,Hipotesis!$E$9:$J$38,6,FALSE))^(1/12))</f>
        <v>5.8292779976976128E-4</v>
      </c>
      <c r="I78">
        <f t="shared" si="33"/>
        <v>0.26262561757155772</v>
      </c>
      <c r="J78">
        <v>0</v>
      </c>
      <c r="K78">
        <f>1-(1-VLOOKUP(D78,Hipotesis!$D$9:$K$38,8,FALSE))^(1/12)</f>
        <v>6.0293080661268927E-3</v>
      </c>
      <c r="L78">
        <f t="shared" si="34"/>
        <v>2.7147919820542037</v>
      </c>
      <c r="M78">
        <f t="shared" si="35"/>
        <v>447.55113443595548</v>
      </c>
      <c r="N78">
        <f>IF(D78=1,(VLOOKUP(D78,'Primas Netas Y Reservas'!$D$4:$I$33,5,FALSE)+(VLOOKUP(D78,'Primas Netas Y Reservas'!$D$4:$I$33,6,FALSE)-VLOOKUP(D78,'Primas Netas Y Reservas'!$D$4:$I$33,5,FALSE))*(E78/12))/1000,((VLOOKUP(D78-1,'Primas Netas Y Reservas'!$D$4:$I$33,6,FALSE)+VLOOKUP(D78,'Primas Netas Y Reservas'!$D$4:$I$33,5,FALSE))+(VLOOKUP(D78,'Primas Netas Y Reservas'!$D$4:$I$33,6,FALSE)-VLOOKUP(D78-1,'Primas Netas Y Reservas'!$D$4:$I$33,6,FALSE)-VLOOKUP(D78,'Primas Netas Y Reservas'!$D$4:$I$33,5,FALSE))*(E78/12))/1000)</f>
        <v>0.26542330200001252</v>
      </c>
      <c r="O78">
        <f t="shared" si="36"/>
        <v>-0.62805513034432181</v>
      </c>
      <c r="P78">
        <f>VLOOKUP(D78,Hipotesis!$D$9:$S$38,15,FALSE)*N78</f>
        <v>0.17252514630000815</v>
      </c>
      <c r="Q78">
        <f t="shared" si="23"/>
        <v>0.46836988387799061</v>
      </c>
      <c r="R78">
        <f t="shared" si="24"/>
        <v>0</v>
      </c>
      <c r="S78">
        <f t="shared" si="25"/>
        <v>0.46836988387799061</v>
      </c>
      <c r="T78">
        <f>G78*(VLOOKUP(D78,Hipotesis!$D$9:$N$38,9,FALSE)+VLOOKUP(D78,Hipotesis!$D$9:$N$38,10,FALSE)+VLOOKUP(D78,Hipotesis!$D$9:$N$38,11,FALSE))</f>
        <v>0</v>
      </c>
      <c r="U78">
        <v>0</v>
      </c>
      <c r="V78">
        <f>G78*VLOOKUP(D78,Hipotesis!$D$9:$S$38,16,FALSE)+((VLOOKUP(D78,Hipotesis!$D$9:$T$38,17,FALSE)/$B$4)*M77)/12</f>
        <v>1.1263213800889529E-2</v>
      </c>
      <c r="W78">
        <f>(1+VLOOKUP(D78,Hipotesis!$D$9:$P$38,13,FALSE))^(1/12)-1</f>
        <v>0</v>
      </c>
      <c r="X78">
        <f t="shared" si="37"/>
        <v>0</v>
      </c>
      <c r="Y78">
        <f t="shared" si="26"/>
        <v>0.4450783631073077</v>
      </c>
      <c r="Z78">
        <f>(1+VLOOKUP(D78,Hipotesis!$D$9:$O$38,12,))^(1/12)-1</f>
        <v>3.7504894993418691E-3</v>
      </c>
      <c r="AA78">
        <f t="shared" si="38"/>
        <v>0.44787803672730386</v>
      </c>
      <c r="AB78">
        <f t="shared" si="39"/>
        <v>-2.7996736199961442E-3</v>
      </c>
      <c r="AC78" s="68">
        <f t="shared" si="27"/>
        <v>-1.1263213800889529E-2</v>
      </c>
      <c r="AD78">
        <f t="shared" si="28"/>
        <v>-0.73099550144954839</v>
      </c>
      <c r="AE78" s="67">
        <f t="shared" si="29"/>
        <v>0.33087477820119165</v>
      </c>
      <c r="AF78" s="67">
        <f t="shared" si="30"/>
        <v>9.9262433460357499E-2</v>
      </c>
      <c r="AG78" s="67">
        <f t="shared" si="31"/>
        <v>0.23161234474083414</v>
      </c>
    </row>
    <row r="79" spans="4:33" x14ac:dyDescent="0.2">
      <c r="D79" s="50">
        <v>7</v>
      </c>
      <c r="E79">
        <v>5</v>
      </c>
      <c r="F79">
        <f t="shared" si="22"/>
        <v>56</v>
      </c>
      <c r="G79">
        <f t="shared" si="32"/>
        <v>0</v>
      </c>
      <c r="H79" s="64">
        <f>IF(E79="Anual",VLOOKUP(F79,Hipotesis!$E$9:$J$38,6,FALSE),1-(1-VLOOKUP(F79,Hipotesis!$E$9:$J$38,6,FALSE))^(1/12))</f>
        <v>5.8292779976976128E-4</v>
      </c>
      <c r="I79">
        <f t="shared" si="33"/>
        <v>0.26088999808121216</v>
      </c>
      <c r="J79">
        <v>0</v>
      </c>
      <c r="K79">
        <f>1-(1-VLOOKUP(D79,Hipotesis!$D$9:$K$38,8,FALSE))^(1/12)</f>
        <v>6.0293080661268927E-3</v>
      </c>
      <c r="L79">
        <f t="shared" si="34"/>
        <v>2.6968506786891449</v>
      </c>
      <c r="M79">
        <f t="shared" si="35"/>
        <v>444.59339375918512</v>
      </c>
      <c r="N79">
        <f>IF(D79=1,(VLOOKUP(D79,'Primas Netas Y Reservas'!$D$4:$I$33,5,FALSE)+(VLOOKUP(D79,'Primas Netas Y Reservas'!$D$4:$I$33,6,FALSE)-VLOOKUP(D79,'Primas Netas Y Reservas'!$D$4:$I$33,5,FALSE))*(E79/12))/1000,((VLOOKUP(D79-1,'Primas Netas Y Reservas'!$D$4:$I$33,6,FALSE)+VLOOKUP(D79,'Primas Netas Y Reservas'!$D$4:$I$33,5,FALSE))+(VLOOKUP(D79,'Primas Netas Y Reservas'!$D$4:$I$33,6,FALSE)-VLOOKUP(D79-1,'Primas Netas Y Reservas'!$D$4:$I$33,6,FALSE)-VLOOKUP(D79,'Primas Netas Y Reservas'!$D$4:$I$33,5,FALSE))*(E79/12))/1000)</f>
        <v>0.26578336992389517</v>
      </c>
      <c r="O79">
        <f t="shared" si="36"/>
        <v>-0.62496947662532421</v>
      </c>
      <c r="P79">
        <f>VLOOKUP(D79,Hipotesis!$D$9:$S$38,15,FALSE)*N79</f>
        <v>0.17275919045053187</v>
      </c>
      <c r="Q79">
        <f t="shared" si="23"/>
        <v>0.46590574001630408</v>
      </c>
      <c r="R79">
        <f t="shared" si="24"/>
        <v>0</v>
      </c>
      <c r="S79">
        <f t="shared" si="25"/>
        <v>0.46590574001630408</v>
      </c>
      <c r="T79">
        <f>G79*(VLOOKUP(D79,Hipotesis!$D$9:$N$38,9,FALSE)+VLOOKUP(D79,Hipotesis!$D$9:$N$38,10,FALSE)+VLOOKUP(D79,Hipotesis!$D$9:$N$38,11,FALSE))</f>
        <v>0</v>
      </c>
      <c r="U79">
        <v>0</v>
      </c>
      <c r="V79">
        <f>G79*VLOOKUP(D79,Hipotesis!$D$9:$S$38,16,FALSE)+((VLOOKUP(D79,Hipotesis!$D$9:$T$38,17,FALSE)/$B$4)*M78)/12</f>
        <v>1.1188778360898885E-2</v>
      </c>
      <c r="W79">
        <f>(1+VLOOKUP(D79,Hipotesis!$D$9:$P$38,13,FALSE))^(1/12)-1</f>
        <v>0</v>
      </c>
      <c r="X79">
        <f t="shared" si="37"/>
        <v>0</v>
      </c>
      <c r="Y79">
        <f t="shared" si="26"/>
        <v>0.44273896820793396</v>
      </c>
      <c r="Z79">
        <f>(1+VLOOKUP(D79,Hipotesis!$D$9:$O$38,12,))^(1/12)-1</f>
        <v>3.7504894993418691E-3</v>
      </c>
      <c r="AA79">
        <f t="shared" si="38"/>
        <v>0.44552252255593966</v>
      </c>
      <c r="AB79">
        <f t="shared" si="39"/>
        <v>-2.7835543480056904E-3</v>
      </c>
      <c r="AC79" s="68">
        <f t="shared" si="27"/>
        <v>-1.1188778360898885E-2</v>
      </c>
      <c r="AD79">
        <f t="shared" si="28"/>
        <v>-0.7267957380975163</v>
      </c>
      <c r="AE79" s="67">
        <f t="shared" si="29"/>
        <v>0.32972392837484304</v>
      </c>
      <c r="AF79" s="67">
        <f t="shared" si="30"/>
        <v>9.8917178512452908E-2</v>
      </c>
      <c r="AG79" s="67">
        <f t="shared" si="31"/>
        <v>0.23080674986239014</v>
      </c>
    </row>
    <row r="80" spans="4:33" x14ac:dyDescent="0.2">
      <c r="D80" s="50">
        <v>7</v>
      </c>
      <c r="E80">
        <v>6</v>
      </c>
      <c r="F80">
        <f t="shared" si="22"/>
        <v>56</v>
      </c>
      <c r="G80">
        <f t="shared" si="32"/>
        <v>0</v>
      </c>
      <c r="H80" s="64">
        <f>IF(E80="Anual",VLOOKUP(F80,Hipotesis!$E$9:$J$38,6,FALSE),1-(1-VLOOKUP(F80,Hipotesis!$E$9:$J$38,6,FALSE))^(1/12))</f>
        <v>5.8292779976976128E-4</v>
      </c>
      <c r="I80">
        <f t="shared" si="33"/>
        <v>0.25916584881621291</v>
      </c>
      <c r="J80">
        <v>0</v>
      </c>
      <c r="K80">
        <f>1-(1-VLOOKUP(D80,Hipotesis!$D$9:$K$38,8,FALSE))^(1/12)</f>
        <v>6.0293080661268927E-3</v>
      </c>
      <c r="L80">
        <f t="shared" si="34"/>
        <v>2.6790279443962524</v>
      </c>
      <c r="M80">
        <f t="shared" si="35"/>
        <v>441.65519996597266</v>
      </c>
      <c r="N80">
        <f>IF(D80=1,(VLOOKUP(D80,'Primas Netas Y Reservas'!$D$4:$I$33,5,FALSE)+(VLOOKUP(D80,'Primas Netas Y Reservas'!$D$4:$I$33,6,FALSE)-VLOOKUP(D80,'Primas Netas Y Reservas'!$D$4:$I$33,5,FALSE))*(E80/12))/1000,((VLOOKUP(D80-1,'Primas Netas Y Reservas'!$D$4:$I$33,6,FALSE)+VLOOKUP(D80,'Primas Netas Y Reservas'!$D$4:$I$33,5,FALSE))+(VLOOKUP(D80,'Primas Netas Y Reservas'!$D$4:$I$33,6,FALSE)-VLOOKUP(D80-1,'Primas Netas Y Reservas'!$D$4:$I$33,6,FALSE)-VLOOKUP(D80,'Primas Netas Y Reservas'!$D$4:$I$33,5,FALSE))*(E80/12))/1000)</f>
        <v>0.26614343784777778</v>
      </c>
      <c r="O80">
        <f t="shared" si="36"/>
        <v>-0.62189717692578483</v>
      </c>
      <c r="P80">
        <f>VLOOKUP(D80,Hipotesis!$D$9:$S$38,15,FALSE)*N80</f>
        <v>0.17299323460105556</v>
      </c>
      <c r="Q80">
        <f t="shared" si="23"/>
        <v>0.46345370968772454</v>
      </c>
      <c r="R80">
        <f t="shared" si="24"/>
        <v>0</v>
      </c>
      <c r="S80">
        <f t="shared" si="25"/>
        <v>0.46345370968772454</v>
      </c>
      <c r="T80">
        <f>G80*(VLOOKUP(D80,Hipotesis!$D$9:$N$38,9,FALSE)+VLOOKUP(D80,Hipotesis!$D$9:$N$38,10,FALSE)+VLOOKUP(D80,Hipotesis!$D$9:$N$38,11,FALSE))</f>
        <v>0</v>
      </c>
      <c r="U80">
        <v>0</v>
      </c>
      <c r="V80">
        <f>G80*VLOOKUP(D80,Hipotesis!$D$9:$S$38,16,FALSE)+((VLOOKUP(D80,Hipotesis!$D$9:$T$38,17,FALSE)/$B$4)*M79)/12</f>
        <v>1.1114834843979626E-2</v>
      </c>
      <c r="W80">
        <f>(1+VLOOKUP(D80,Hipotesis!$D$9:$P$38,13,FALSE))^(1/12)-1</f>
        <v>0</v>
      </c>
      <c r="X80">
        <f t="shared" si="37"/>
        <v>0</v>
      </c>
      <c r="Y80">
        <f t="shared" si="26"/>
        <v>0.4404110552411768</v>
      </c>
      <c r="Z80">
        <f>(1+VLOOKUP(D80,Hipotesis!$D$9:$O$38,12,))^(1/12)-1</f>
        <v>3.7504894993418691E-3</v>
      </c>
      <c r="AA80">
        <f t="shared" si="38"/>
        <v>0.4431785810964472</v>
      </c>
      <c r="AB80">
        <f t="shared" si="39"/>
        <v>-2.7675258552704225E-3</v>
      </c>
      <c r="AC80" s="68">
        <f t="shared" si="27"/>
        <v>-1.1114834843979626E-2</v>
      </c>
      <c r="AD80">
        <f t="shared" si="28"/>
        <v>-0.72261955850393744</v>
      </c>
      <c r="AE80" s="67">
        <f t="shared" si="29"/>
        <v>0.32857383881904456</v>
      </c>
      <c r="AF80" s="67">
        <f t="shared" si="30"/>
        <v>9.8572151645713368E-2</v>
      </c>
      <c r="AG80" s="67">
        <f t="shared" si="31"/>
        <v>0.23000168717333119</v>
      </c>
    </row>
    <row r="81" spans="4:33" x14ac:dyDescent="0.2">
      <c r="D81" s="50">
        <v>7</v>
      </c>
      <c r="E81">
        <v>7</v>
      </c>
      <c r="F81">
        <f t="shared" si="22"/>
        <v>56</v>
      </c>
      <c r="G81">
        <f t="shared" si="32"/>
        <v>0</v>
      </c>
      <c r="H81" s="64">
        <f>IF(E81="Anual",VLOOKUP(F81,Hipotesis!$E$9:$J$38,6,FALSE),1-(1-VLOOKUP(F81,Hipotesis!$E$9:$J$38,6,FALSE))^(1/12))</f>
        <v>5.8292779976976128E-4</v>
      </c>
      <c r="I81">
        <f t="shared" si="33"/>
        <v>0.25745309397303839</v>
      </c>
      <c r="J81">
        <v>0</v>
      </c>
      <c r="K81">
        <f>1-(1-VLOOKUP(D81,Hipotesis!$D$9:$K$38,8,FALSE))^(1/12)</f>
        <v>6.0293080661268927E-3</v>
      </c>
      <c r="L81">
        <f t="shared" si="34"/>
        <v>2.6613229955855839</v>
      </c>
      <c r="M81">
        <f t="shared" si="35"/>
        <v>438.73642387641405</v>
      </c>
      <c r="N81">
        <f>IF(D81=1,(VLOOKUP(D81,'Primas Netas Y Reservas'!$D$4:$I$33,5,FALSE)+(VLOOKUP(D81,'Primas Netas Y Reservas'!$D$4:$I$33,6,FALSE)-VLOOKUP(D81,'Primas Netas Y Reservas'!$D$4:$I$33,5,FALSE))*(E81/12))/1000,((VLOOKUP(D81-1,'Primas Netas Y Reservas'!$D$4:$I$33,6,FALSE)+VLOOKUP(D81,'Primas Netas Y Reservas'!$D$4:$I$33,5,FALSE))+(VLOOKUP(D81,'Primas Netas Y Reservas'!$D$4:$I$33,6,FALSE)-VLOOKUP(D81-1,'Primas Netas Y Reservas'!$D$4:$I$33,6,FALSE)-VLOOKUP(D81,'Primas Netas Y Reservas'!$D$4:$I$33,5,FALSE))*(E81/12))/1000)</f>
        <v>0.26650350577166038</v>
      </c>
      <c r="O81">
        <f t="shared" si="36"/>
        <v>-0.61883818950616387</v>
      </c>
      <c r="P81">
        <f>VLOOKUP(D81,Hipotesis!$D$9:$S$38,15,FALSE)*N81</f>
        <v>0.17322727875157926</v>
      </c>
      <c r="Q81">
        <f t="shared" si="23"/>
        <v>0.46101374040429188</v>
      </c>
      <c r="R81">
        <f t="shared" si="24"/>
        <v>0</v>
      </c>
      <c r="S81">
        <f t="shared" si="25"/>
        <v>0.46101374040429188</v>
      </c>
      <c r="T81">
        <f>G81*(VLOOKUP(D81,Hipotesis!$D$9:$N$38,9,FALSE)+VLOOKUP(D81,Hipotesis!$D$9:$N$38,10,FALSE)+VLOOKUP(D81,Hipotesis!$D$9:$N$38,11,FALSE))</f>
        <v>0</v>
      </c>
      <c r="U81">
        <v>0</v>
      </c>
      <c r="V81">
        <f>G81*VLOOKUP(D81,Hipotesis!$D$9:$S$38,16,FALSE)+((VLOOKUP(D81,Hipotesis!$D$9:$T$38,17,FALSE)/$B$4)*M80)/12</f>
        <v>1.1041379999149316E-2</v>
      </c>
      <c r="W81">
        <f>(1+VLOOKUP(D81,Hipotesis!$D$9:$P$38,13,FALSE))^(1/12)-1</f>
        <v>0</v>
      </c>
      <c r="X81">
        <f t="shared" si="37"/>
        <v>0</v>
      </c>
      <c r="Y81">
        <f t="shared" si="26"/>
        <v>0.43809457461878354</v>
      </c>
      <c r="Z81">
        <f>(1+VLOOKUP(D81,Hipotesis!$D$9:$O$38,12,))^(1/12)-1</f>
        <v>3.7504894993418691E-3</v>
      </c>
      <c r="AA81">
        <f t="shared" si="38"/>
        <v>0.44084616226471668</v>
      </c>
      <c r="AB81">
        <f t="shared" si="39"/>
        <v>-2.7515876459331279E-3</v>
      </c>
      <c r="AC81" s="68">
        <f t="shared" si="27"/>
        <v>-1.1041379999149316E-2</v>
      </c>
      <c r="AD81">
        <f t="shared" si="28"/>
        <v>-0.71846683437733028</v>
      </c>
      <c r="AE81" s="67">
        <f t="shared" si="29"/>
        <v>0.3274245497484678</v>
      </c>
      <c r="AF81" s="67">
        <f t="shared" si="30"/>
        <v>9.8227364924540331E-2</v>
      </c>
      <c r="AG81" s="67">
        <f t="shared" si="31"/>
        <v>0.22919718482392748</v>
      </c>
    </row>
    <row r="82" spans="4:33" x14ac:dyDescent="0.2">
      <c r="D82" s="50">
        <v>7</v>
      </c>
      <c r="E82">
        <v>8</v>
      </c>
      <c r="F82">
        <f t="shared" si="22"/>
        <v>56</v>
      </c>
      <c r="G82">
        <f t="shared" si="32"/>
        <v>0</v>
      </c>
      <c r="H82" s="64">
        <f>IF(E82="Anual",VLOOKUP(F82,Hipotesis!$E$9:$J$38,6,FALSE),1-(1-VLOOKUP(F82,Hipotesis!$E$9:$J$38,6,FALSE))^(1/12))</f>
        <v>5.8292779976976128E-4</v>
      </c>
      <c r="I82">
        <f t="shared" si="33"/>
        <v>0.25575165824913138</v>
      </c>
      <c r="J82">
        <v>0</v>
      </c>
      <c r="K82">
        <f>1-(1-VLOOKUP(D82,Hipotesis!$D$9:$K$38,8,FALSE))^(1/12)</f>
        <v>6.0293080661268927E-3</v>
      </c>
      <c r="L82">
        <f t="shared" si="34"/>
        <v>2.6437350538457238</v>
      </c>
      <c r="M82">
        <f t="shared" si="35"/>
        <v>435.83693716431918</v>
      </c>
      <c r="N82">
        <f>IF(D82=1,(VLOOKUP(D82,'Primas Netas Y Reservas'!$D$4:$I$33,5,FALSE)+(VLOOKUP(D82,'Primas Netas Y Reservas'!$D$4:$I$33,6,FALSE)-VLOOKUP(D82,'Primas Netas Y Reservas'!$D$4:$I$33,5,FALSE))*(E82/12))/1000,((VLOOKUP(D82-1,'Primas Netas Y Reservas'!$D$4:$I$33,6,FALSE)+VLOOKUP(D82,'Primas Netas Y Reservas'!$D$4:$I$33,5,FALSE))+(VLOOKUP(D82,'Primas Netas Y Reservas'!$D$4:$I$33,6,FALSE)-VLOOKUP(D82-1,'Primas Netas Y Reservas'!$D$4:$I$33,6,FALSE)-VLOOKUP(D82,'Primas Netas Y Reservas'!$D$4:$I$33,5,FALSE))*(E82/12))/1000)</f>
        <v>0.26686357369554303</v>
      </c>
      <c r="O82">
        <f t="shared" si="36"/>
        <v>-0.61579247259548708</v>
      </c>
      <c r="P82">
        <f>VLOOKUP(D82,Hipotesis!$D$9:$S$38,15,FALSE)*N82</f>
        <v>0.17346132290210298</v>
      </c>
      <c r="Q82">
        <f t="shared" si="23"/>
        <v>0.45858577984274168</v>
      </c>
      <c r="R82">
        <f t="shared" si="24"/>
        <v>0</v>
      </c>
      <c r="S82">
        <f t="shared" si="25"/>
        <v>0.45858577984274168</v>
      </c>
      <c r="T82">
        <f>G82*(VLOOKUP(D82,Hipotesis!$D$9:$N$38,9,FALSE)+VLOOKUP(D82,Hipotesis!$D$9:$N$38,10,FALSE)+VLOOKUP(D82,Hipotesis!$D$9:$N$38,11,FALSE))</f>
        <v>0</v>
      </c>
      <c r="U82">
        <v>0</v>
      </c>
      <c r="V82">
        <f>G82*VLOOKUP(D82,Hipotesis!$D$9:$S$38,16,FALSE)+((VLOOKUP(D82,Hipotesis!$D$9:$T$38,17,FALSE)/$B$4)*M81)/12</f>
        <v>1.0968410596910351E-2</v>
      </c>
      <c r="W82">
        <f>(1+VLOOKUP(D82,Hipotesis!$D$9:$P$38,13,FALSE))^(1/12)-1</f>
        <v>0</v>
      </c>
      <c r="X82">
        <f t="shared" si="37"/>
        <v>0</v>
      </c>
      <c r="Y82">
        <f t="shared" si="26"/>
        <v>0.43578947690645631</v>
      </c>
      <c r="Z82">
        <f>(1+VLOOKUP(D82,Hipotesis!$D$9:$O$38,12,))^(1/12)-1</f>
        <v>3.7504894993418691E-3</v>
      </c>
      <c r="AA82">
        <f t="shared" si="38"/>
        <v>0.43852521613318207</v>
      </c>
      <c r="AB82">
        <f t="shared" si="39"/>
        <v>-2.7357392267257532E-3</v>
      </c>
      <c r="AC82" s="68">
        <f t="shared" si="27"/>
        <v>-1.0968410596910351E-2</v>
      </c>
      <c r="AD82">
        <f t="shared" si="28"/>
        <v>-0.714337438091873</v>
      </c>
      <c r="AE82" s="67">
        <f t="shared" si="29"/>
        <v>0.32627610081316</v>
      </c>
      <c r="AF82" s="67">
        <f t="shared" si="30"/>
        <v>9.7882830243947991E-2</v>
      </c>
      <c r="AG82" s="67">
        <f t="shared" si="31"/>
        <v>0.22839327056921199</v>
      </c>
    </row>
    <row r="83" spans="4:33" x14ac:dyDescent="0.2">
      <c r="D83" s="50">
        <v>7</v>
      </c>
      <c r="E83">
        <v>9</v>
      </c>
      <c r="F83">
        <f t="shared" si="22"/>
        <v>56</v>
      </c>
      <c r="G83">
        <f t="shared" si="32"/>
        <v>0</v>
      </c>
      <c r="H83" s="64">
        <f>IF(E83="Anual",VLOOKUP(F83,Hipotesis!$E$9:$J$38,6,FALSE),1-(1-VLOOKUP(F83,Hipotesis!$E$9:$J$38,6,FALSE))^(1/12))</f>
        <v>5.8292779976976128E-4</v>
      </c>
      <c r="I83">
        <f t="shared" si="33"/>
        <v>0.2540614668395883</v>
      </c>
      <c r="J83">
        <v>0</v>
      </c>
      <c r="K83">
        <f>1-(1-VLOOKUP(D83,Hipotesis!$D$9:$K$38,8,FALSE))^(1/12)</f>
        <v>6.0293080661268927E-3</v>
      </c>
      <c r="L83">
        <f t="shared" si="34"/>
        <v>2.6262633459095617</v>
      </c>
      <c r="M83">
        <f t="shared" si="35"/>
        <v>432.95661235157007</v>
      </c>
      <c r="N83">
        <f>IF(D83=1,(VLOOKUP(D83,'Primas Netas Y Reservas'!$D$4:$I$33,5,FALSE)+(VLOOKUP(D83,'Primas Netas Y Reservas'!$D$4:$I$33,6,FALSE)-VLOOKUP(D83,'Primas Netas Y Reservas'!$D$4:$I$33,5,FALSE))*(E83/12))/1000,((VLOOKUP(D83-1,'Primas Netas Y Reservas'!$D$4:$I$33,6,FALSE)+VLOOKUP(D83,'Primas Netas Y Reservas'!$D$4:$I$33,5,FALSE))+(VLOOKUP(D83,'Primas Netas Y Reservas'!$D$4:$I$33,6,FALSE)-VLOOKUP(D83-1,'Primas Netas Y Reservas'!$D$4:$I$33,6,FALSE)-VLOOKUP(D83,'Primas Netas Y Reservas'!$D$4:$I$33,5,FALSE))*(E83/12))/1000)</f>
        <v>0.26722364161942569</v>
      </c>
      <c r="O83">
        <f t="shared" si="36"/>
        <v>-0.61275998439347745</v>
      </c>
      <c r="P83">
        <f>VLOOKUP(D83,Hipotesis!$D$9:$S$38,15,FALSE)*N83</f>
        <v>0.1736953670526267</v>
      </c>
      <c r="Q83">
        <f t="shared" si="23"/>
        <v>0.45616977584462082</v>
      </c>
      <c r="R83">
        <f t="shared" si="24"/>
        <v>0</v>
      </c>
      <c r="S83">
        <f t="shared" si="25"/>
        <v>0.45616977584462082</v>
      </c>
      <c r="T83">
        <f>G83*(VLOOKUP(D83,Hipotesis!$D$9:$N$38,9,FALSE)+VLOOKUP(D83,Hipotesis!$D$9:$N$38,10,FALSE)+VLOOKUP(D83,Hipotesis!$D$9:$N$38,11,FALSE))</f>
        <v>0</v>
      </c>
      <c r="U83">
        <v>0</v>
      </c>
      <c r="V83">
        <f>G83*VLOOKUP(D83,Hipotesis!$D$9:$S$38,16,FALSE)+((VLOOKUP(D83,Hipotesis!$D$9:$T$38,17,FALSE)/$B$4)*M82)/12</f>
        <v>1.0895923429107978E-2</v>
      </c>
      <c r="W83">
        <f>(1+VLOOKUP(D83,Hipotesis!$D$9:$P$38,13,FALSE))^(1/12)-1</f>
        <v>0</v>
      </c>
      <c r="X83">
        <f t="shared" si="37"/>
        <v>0</v>
      </c>
      <c r="Y83">
        <f t="shared" si="26"/>
        <v>0.43349571282398214</v>
      </c>
      <c r="Z83">
        <f>(1+VLOOKUP(D83,Hipotesis!$D$9:$O$38,12,))^(1/12)-1</f>
        <v>3.7504894993418691E-3</v>
      </c>
      <c r="AA83">
        <f t="shared" si="38"/>
        <v>0.43621569293093898</v>
      </c>
      <c r="AB83">
        <f t="shared" si="39"/>
        <v>-2.7199801069568447E-3</v>
      </c>
      <c r="AC83" s="68">
        <f t="shared" si="27"/>
        <v>-1.0895923429107978E-2</v>
      </c>
      <c r="AD83">
        <f t="shared" si="28"/>
        <v>-0.71023124268420912</v>
      </c>
      <c r="AE83" s="67">
        <f t="shared" si="29"/>
        <v>0.32512853110414247</v>
      </c>
      <c r="AF83" s="67">
        <f t="shared" si="30"/>
        <v>9.7538559331242738E-2</v>
      </c>
      <c r="AG83" s="67">
        <f t="shared" si="31"/>
        <v>0.22758997177289975</v>
      </c>
    </row>
    <row r="84" spans="4:33" x14ac:dyDescent="0.2">
      <c r="D84" s="50">
        <v>7</v>
      </c>
      <c r="E84">
        <v>10</v>
      </c>
      <c r="F84">
        <f t="shared" si="22"/>
        <v>56</v>
      </c>
      <c r="G84">
        <f t="shared" si="32"/>
        <v>0</v>
      </c>
      <c r="H84" s="64">
        <f>IF(E84="Anual",VLOOKUP(F84,Hipotesis!$E$9:$J$38,6,FALSE),1-(1-VLOOKUP(F84,Hipotesis!$E$9:$J$38,6,FALSE))^(1/12))</f>
        <v>5.8292779976976128E-4</v>
      </c>
      <c r="I84">
        <f t="shared" si="33"/>
        <v>0.25238244543387017</v>
      </c>
      <c r="J84">
        <v>0</v>
      </c>
      <c r="K84">
        <f>1-(1-VLOOKUP(D84,Hipotesis!$D$9:$K$38,8,FALSE))^(1/12)</f>
        <v>6.0293080661268927E-3</v>
      </c>
      <c r="L84">
        <f t="shared" si="34"/>
        <v>2.6089071036202927</v>
      </c>
      <c r="M84">
        <f t="shared" si="35"/>
        <v>430.09532280251591</v>
      </c>
      <c r="N84">
        <f>IF(D84=1,(VLOOKUP(D84,'Primas Netas Y Reservas'!$D$4:$I$33,5,FALSE)+(VLOOKUP(D84,'Primas Netas Y Reservas'!$D$4:$I$33,6,FALSE)-VLOOKUP(D84,'Primas Netas Y Reservas'!$D$4:$I$33,5,FALSE))*(E84/12))/1000,((VLOOKUP(D84-1,'Primas Netas Y Reservas'!$D$4:$I$33,6,FALSE)+VLOOKUP(D84,'Primas Netas Y Reservas'!$D$4:$I$33,5,FALSE))+(VLOOKUP(D84,'Primas Netas Y Reservas'!$D$4:$I$33,6,FALSE)-VLOOKUP(D84-1,'Primas Netas Y Reservas'!$D$4:$I$33,6,FALSE)-VLOOKUP(D84,'Primas Netas Y Reservas'!$D$4:$I$33,5,FALSE))*(E84/12))/1000)</f>
        <v>0.26758370954330823</v>
      </c>
      <c r="O84">
        <f t="shared" si="36"/>
        <v>-0.60974068307277207</v>
      </c>
      <c r="P84">
        <f>VLOOKUP(D84,Hipotesis!$D$9:$S$38,15,FALSE)*N84</f>
        <v>0.17392941120315036</v>
      </c>
      <c r="Q84">
        <f t="shared" si="23"/>
        <v>0.45376567641639387</v>
      </c>
      <c r="R84">
        <f t="shared" si="24"/>
        <v>0</v>
      </c>
      <c r="S84">
        <f t="shared" si="25"/>
        <v>0.45376567641639387</v>
      </c>
      <c r="T84">
        <f>G84*(VLOOKUP(D84,Hipotesis!$D$9:$N$38,9,FALSE)+VLOOKUP(D84,Hipotesis!$D$9:$N$38,10,FALSE)+VLOOKUP(D84,Hipotesis!$D$9:$N$38,11,FALSE))</f>
        <v>0</v>
      </c>
      <c r="U84">
        <v>0</v>
      </c>
      <c r="V84">
        <f>G84*VLOOKUP(D84,Hipotesis!$D$9:$S$38,16,FALSE)+((VLOOKUP(D84,Hipotesis!$D$9:$T$38,17,FALSE)/$B$4)*M83)/12</f>
        <v>1.0823915308789249E-2</v>
      </c>
      <c r="W84">
        <f>(1+VLOOKUP(D84,Hipotesis!$D$9:$P$38,13,FALSE))^(1/12)-1</f>
        <v>0</v>
      </c>
      <c r="X84">
        <f t="shared" si="37"/>
        <v>0</v>
      </c>
      <c r="Y84">
        <f t="shared" si="26"/>
        <v>0.43121323324535532</v>
      </c>
      <c r="Z84">
        <f>(1+VLOOKUP(D84,Hipotesis!$D$9:$O$38,12,))^(1/12)-1</f>
        <v>3.7504894993418691E-3</v>
      </c>
      <c r="AA84">
        <f t="shared" si="38"/>
        <v>0.43391754304385433</v>
      </c>
      <c r="AB84">
        <f t="shared" si="39"/>
        <v>-2.7043097984990327E-3</v>
      </c>
      <c r="AC84" s="68">
        <f t="shared" si="27"/>
        <v>-1.0823915308789249E-2</v>
      </c>
      <c r="AD84">
        <f t="shared" si="28"/>
        <v>-0.7061481218502641</v>
      </c>
      <c r="AE84" s="67">
        <f t="shared" si="29"/>
        <v>0.32398187915907412</v>
      </c>
      <c r="AF84" s="67">
        <f t="shared" si="30"/>
        <v>9.7194563747722229E-2</v>
      </c>
      <c r="AG84" s="67">
        <f t="shared" si="31"/>
        <v>0.22678731541135189</v>
      </c>
    </row>
    <row r="85" spans="4:33" x14ac:dyDescent="0.2">
      <c r="D85" s="50">
        <v>7</v>
      </c>
      <c r="E85">
        <v>11</v>
      </c>
      <c r="F85">
        <f t="shared" si="22"/>
        <v>56</v>
      </c>
      <c r="G85">
        <f t="shared" si="32"/>
        <v>0</v>
      </c>
      <c r="H85" s="64">
        <f>IF(E85="Anual",VLOOKUP(F85,Hipotesis!$E$9:$J$38,6,FALSE),1-(1-VLOOKUP(F85,Hipotesis!$E$9:$J$38,6,FALSE))^(1/12))</f>
        <v>5.8292779976976128E-4</v>
      </c>
      <c r="I85">
        <f t="shared" si="33"/>
        <v>0.25071452021253582</v>
      </c>
      <c r="J85">
        <v>0</v>
      </c>
      <c r="K85">
        <f>1-(1-VLOOKUP(D85,Hipotesis!$D$9:$K$38,8,FALSE))^(1/12)</f>
        <v>6.0293080661268927E-3</v>
      </c>
      <c r="L85">
        <f t="shared" si="34"/>
        <v>2.5916655638976462</v>
      </c>
      <c r="M85">
        <f t="shared" si="35"/>
        <v>427.25294271840573</v>
      </c>
      <c r="N85">
        <f>IF(D85=1,(VLOOKUP(D85,'Primas Netas Y Reservas'!$D$4:$I$33,5,FALSE)+(VLOOKUP(D85,'Primas Netas Y Reservas'!$D$4:$I$33,6,FALSE)-VLOOKUP(D85,'Primas Netas Y Reservas'!$D$4:$I$33,5,FALSE))*(E85/12))/1000,((VLOOKUP(D85-1,'Primas Netas Y Reservas'!$D$4:$I$33,6,FALSE)+VLOOKUP(D85,'Primas Netas Y Reservas'!$D$4:$I$33,5,FALSE))+(VLOOKUP(D85,'Primas Netas Y Reservas'!$D$4:$I$33,6,FALSE)-VLOOKUP(D85-1,'Primas Netas Y Reservas'!$D$4:$I$33,6,FALSE)-VLOOKUP(D85,'Primas Netas Y Reservas'!$D$4:$I$33,5,FALSE))*(E85/12))/1000)</f>
        <v>0.26794377746719089</v>
      </c>
      <c r="O85">
        <f t="shared" si="36"/>
        <v>-0.60673452678084061</v>
      </c>
      <c r="P85">
        <f>VLOOKUP(D85,Hipotesis!$D$9:$S$38,15,FALSE)*N85</f>
        <v>0.17416345535367408</v>
      </c>
      <c r="Q85">
        <f t="shared" si="23"/>
        <v>0.45137342972954231</v>
      </c>
      <c r="R85">
        <f t="shared" si="24"/>
        <v>0</v>
      </c>
      <c r="S85">
        <f t="shared" si="25"/>
        <v>0.45137342972954231</v>
      </c>
      <c r="T85">
        <f>G85*(VLOOKUP(D85,Hipotesis!$D$9:$N$38,9,FALSE)+VLOOKUP(D85,Hipotesis!$D$9:$N$38,10,FALSE)+VLOOKUP(D85,Hipotesis!$D$9:$N$38,11,FALSE))</f>
        <v>0</v>
      </c>
      <c r="U85">
        <v>0</v>
      </c>
      <c r="V85">
        <f>G85*VLOOKUP(D85,Hipotesis!$D$9:$S$38,16,FALSE)+((VLOOKUP(D85,Hipotesis!$D$9:$T$38,17,FALSE)/$B$4)*M84)/12</f>
        <v>1.0752383070062897E-2</v>
      </c>
      <c r="W85">
        <f>(1+VLOOKUP(D85,Hipotesis!$D$9:$P$38,13,FALSE))^(1/12)-1</f>
        <v>0</v>
      </c>
      <c r="X85">
        <f t="shared" si="37"/>
        <v>0</v>
      </c>
      <c r="Y85">
        <f t="shared" si="26"/>
        <v>0.42894198919889182</v>
      </c>
      <c r="Z85">
        <f>(1+VLOOKUP(D85,Hipotesis!$D$9:$O$38,12,))^(1/12)-1</f>
        <v>3.7504894993418691E-3</v>
      </c>
      <c r="AA85">
        <f t="shared" si="38"/>
        <v>0.43163071701466837</v>
      </c>
      <c r="AB85">
        <f t="shared" si="39"/>
        <v>-2.6887278157765701E-3</v>
      </c>
      <c r="AC85" s="68">
        <f t="shared" si="27"/>
        <v>-1.0752383070062897E-2</v>
      </c>
      <c r="AD85">
        <f t="shared" si="28"/>
        <v>-0.70208794994207813</v>
      </c>
      <c r="AE85" s="67">
        <f t="shared" si="29"/>
        <v>0.32283618296759142</v>
      </c>
      <c r="AF85" s="67">
        <f t="shared" si="30"/>
        <v>9.6850854890277421E-2</v>
      </c>
      <c r="AG85" s="67">
        <f t="shared" si="31"/>
        <v>0.225985328077314</v>
      </c>
    </row>
    <row r="86" spans="4:33" x14ac:dyDescent="0.2">
      <c r="D86" s="50">
        <v>7</v>
      </c>
      <c r="E86">
        <v>12</v>
      </c>
      <c r="F86">
        <f t="shared" si="22"/>
        <v>56</v>
      </c>
      <c r="G86">
        <f t="shared" si="32"/>
        <v>0</v>
      </c>
      <c r="H86" s="64">
        <f>IF(E86="Anual",VLOOKUP(F86,Hipotesis!$E$9:$J$38,6,FALSE),1-(1-VLOOKUP(F86,Hipotesis!$E$9:$J$38,6,FALSE))^(1/12))</f>
        <v>5.8292779976976128E-4</v>
      </c>
      <c r="I86">
        <f t="shared" si="33"/>
        <v>0.2490576178439961</v>
      </c>
      <c r="J86">
        <v>0</v>
      </c>
      <c r="K86">
        <f>1-(1-VLOOKUP(D86,Hipotesis!$D$9:$K$38,8,FALSE))^(1/12)</f>
        <v>6.0293080661268927E-3</v>
      </c>
      <c r="L86">
        <f t="shared" si="34"/>
        <v>2.5745379687043375</v>
      </c>
      <c r="M86">
        <f t="shared" si="35"/>
        <v>424.42934713185736</v>
      </c>
      <c r="N86">
        <f>IF(D86=1,(VLOOKUP(D86,'Primas Netas Y Reservas'!$D$4:$I$33,5,FALSE)+(VLOOKUP(D86,'Primas Netas Y Reservas'!$D$4:$I$33,6,FALSE)-VLOOKUP(D86,'Primas Netas Y Reservas'!$D$4:$I$33,5,FALSE))*(E86/12))/1000,((VLOOKUP(D86-1,'Primas Netas Y Reservas'!$D$4:$I$33,6,FALSE)+VLOOKUP(D86,'Primas Netas Y Reservas'!$D$4:$I$33,5,FALSE))+(VLOOKUP(D86,'Primas Netas Y Reservas'!$D$4:$I$33,6,FALSE)-VLOOKUP(D86-1,'Primas Netas Y Reservas'!$D$4:$I$33,6,FALSE)-VLOOKUP(D86,'Primas Netas Y Reservas'!$D$4:$I$33,5,FALSE))*(E86/12))/1000)</f>
        <v>0.26830384539107355</v>
      </c>
      <c r="O86">
        <f t="shared" si="36"/>
        <v>-0.60374147364282749</v>
      </c>
      <c r="P86">
        <f>VLOOKUP(D86,Hipotesis!$D$9:$S$38,15,FALSE)*N86</f>
        <v>0.17439749950419781</v>
      </c>
      <c r="Q86">
        <f t="shared" si="23"/>
        <v>0.44899298412065314</v>
      </c>
      <c r="R86">
        <f t="shared" si="24"/>
        <v>0</v>
      </c>
      <c r="S86">
        <f t="shared" si="25"/>
        <v>0.44899298412065314</v>
      </c>
      <c r="T86">
        <f>G86*(VLOOKUP(D86,Hipotesis!$D$9:$N$38,9,FALSE)+VLOOKUP(D86,Hipotesis!$D$9:$N$38,10,FALSE)+VLOOKUP(D86,Hipotesis!$D$9:$N$38,11,FALSE))</f>
        <v>0</v>
      </c>
      <c r="U86">
        <v>0</v>
      </c>
      <c r="V86">
        <f>G86*VLOOKUP(D86,Hipotesis!$D$9:$S$38,16,FALSE)+((VLOOKUP(D86,Hipotesis!$D$9:$T$38,17,FALSE)/$B$4)*M85)/12</f>
        <v>1.0681323567960142E-2</v>
      </c>
      <c r="W86">
        <f>(1+VLOOKUP(D86,Hipotesis!$D$9:$P$38,13,FALSE))^(1/12)-1</f>
        <v>0</v>
      </c>
      <c r="X86">
        <f t="shared" si="37"/>
        <v>0</v>
      </c>
      <c r="Y86">
        <f t="shared" si="26"/>
        <v>0.42668193186733572</v>
      </c>
      <c r="Z86">
        <f>(1+VLOOKUP(D86,Hipotesis!$D$9:$O$38,12,))^(1/12)-1</f>
        <v>3.7504894993418691E-3</v>
      </c>
      <c r="AA86">
        <f t="shared" si="38"/>
        <v>0.42935516554308867</v>
      </c>
      <c r="AB86">
        <f t="shared" si="39"/>
        <v>-2.6732336757529312E-3</v>
      </c>
      <c r="AC86" s="68">
        <f t="shared" si="27"/>
        <v>-1.0681323567960142E-2</v>
      </c>
      <c r="AD86">
        <f t="shared" si="28"/>
        <v>-0.6980506019646493</v>
      </c>
      <c r="AE86" s="67">
        <f t="shared" si="29"/>
        <v>0.32169147997755382</v>
      </c>
      <c r="AF86" s="67">
        <f t="shared" si="30"/>
        <v>9.6507443993266148E-2</v>
      </c>
      <c r="AG86" s="67">
        <f t="shared" si="31"/>
        <v>0.22518403598428766</v>
      </c>
    </row>
    <row r="87" spans="4:33" x14ac:dyDescent="0.2">
      <c r="D87" s="50">
        <v>8</v>
      </c>
      <c r="E87">
        <v>1</v>
      </c>
      <c r="F87">
        <f t="shared" si="22"/>
        <v>57</v>
      </c>
      <c r="G87">
        <f t="shared" si="32"/>
        <v>20.792311744923794</v>
      </c>
      <c r="H87" s="64">
        <f>IF(E87="Anual",VLOOKUP(F87,Hipotesis!$E$9:$J$38,6,FALSE),1-(1-VLOOKUP(F87,Hipotesis!$E$9:$J$38,6,FALSE))^(1/12))</f>
        <v>6.2760561269625814E-4</v>
      </c>
      <c r="I87">
        <f t="shared" si="33"/>
        <v>0.26637424045296215</v>
      </c>
      <c r="J87">
        <v>0</v>
      </c>
      <c r="K87">
        <f>1-(1-VLOOKUP(D87,Hipotesis!$D$9:$K$38,8,FALSE))^(1/12)</f>
        <v>5.1430128318229462E-3</v>
      </c>
      <c r="L87">
        <f t="shared" si="34"/>
        <v>2.181475612364661</v>
      </c>
      <c r="M87">
        <f t="shared" si="35"/>
        <v>421.98149727903973</v>
      </c>
      <c r="N87">
        <f>IF(D87=1,(VLOOKUP(D87,'Primas Netas Y Reservas'!$D$4:$I$33,5,FALSE)+(VLOOKUP(D87,'Primas Netas Y Reservas'!$D$4:$I$33,6,FALSE)-VLOOKUP(D87,'Primas Netas Y Reservas'!$D$4:$I$33,5,FALSE))*(E87/12))/1000,((VLOOKUP(D87-1,'Primas Netas Y Reservas'!$D$4:$I$33,6,FALSE)+VLOOKUP(D87,'Primas Netas Y Reservas'!$D$4:$I$33,5,FALSE))+(VLOOKUP(D87,'Primas Netas Y Reservas'!$D$4:$I$33,6,FALSE)-VLOOKUP(D87-1,'Primas Netas Y Reservas'!$D$4:$I$33,6,FALSE)-VLOOKUP(D87,'Primas Netas Y Reservas'!$D$4:$I$33,5,FALSE))*(E87/12))/1000)</f>
        <v>0.3140097205351261</v>
      </c>
      <c r="O87">
        <f t="shared" si="36"/>
        <v>18.630266099285194</v>
      </c>
      <c r="P87">
        <f>VLOOKUP(D87,Hipotesis!$D$9:$S$38,15,FALSE)*N87</f>
        <v>0.22608699878529079</v>
      </c>
      <c r="Q87">
        <f t="shared" si="23"/>
        <v>0.4932032741228306</v>
      </c>
      <c r="R87">
        <f t="shared" si="24"/>
        <v>0</v>
      </c>
      <c r="S87">
        <f t="shared" si="25"/>
        <v>0.4932032741228306</v>
      </c>
      <c r="T87">
        <f>G87*(VLOOKUP(D87,Hipotesis!$D$9:$N$38,9,FALSE)+VLOOKUP(D87,Hipotesis!$D$9:$N$38,10,FALSE)+VLOOKUP(D87,Hipotesis!$D$9:$N$38,11,FALSE))</f>
        <v>1.6633849395939035</v>
      </c>
      <c r="U87">
        <v>0</v>
      </c>
      <c r="V87">
        <f>G87*VLOOKUP(D87,Hipotesis!$D$9:$S$38,16,FALSE)+((VLOOKUP(D87,Hipotesis!$D$9:$T$38,17,FALSE)/$B$4)*M86)/12</f>
        <v>0.9462647621998671</v>
      </c>
      <c r="W87">
        <f>(1+VLOOKUP(D87,Hipotesis!$D$9:$P$38,13,FALSE))^(1/12)-1</f>
        <v>0</v>
      </c>
      <c r="X87">
        <f t="shared" si="37"/>
        <v>0</v>
      </c>
      <c r="Y87">
        <f t="shared" si="26"/>
        <v>0.46525719687070149</v>
      </c>
      <c r="Z87">
        <f>(1+VLOOKUP(D87,Hipotesis!$D$9:$O$38,12,))^(1/12)-1</f>
        <v>3.5418311464792129E-3</v>
      </c>
      <c r="AA87">
        <f t="shared" si="38"/>
        <v>0.40332965548429517</v>
      </c>
      <c r="AB87">
        <f t="shared" si="39"/>
        <v>6.1927541386406319E-2</v>
      </c>
      <c r="AC87" s="68">
        <f t="shared" si="27"/>
        <v>18.182662043130023</v>
      </c>
      <c r="AD87">
        <f t="shared" si="28"/>
        <v>-0.75957751457579281</v>
      </c>
      <c r="AE87" s="67">
        <f t="shared" si="29"/>
        <v>-0.74192437386026089</v>
      </c>
      <c r="AF87" s="67">
        <f t="shared" si="30"/>
        <v>-0.22257731215807827</v>
      </c>
      <c r="AG87" s="67">
        <f t="shared" si="31"/>
        <v>-0.51934706170218259</v>
      </c>
    </row>
    <row r="88" spans="4:33" x14ac:dyDescent="0.2">
      <c r="D88" s="50">
        <v>8</v>
      </c>
      <c r="E88">
        <v>2</v>
      </c>
      <c r="F88">
        <f t="shared" si="22"/>
        <v>57</v>
      </c>
      <c r="G88">
        <f t="shared" si="32"/>
        <v>0</v>
      </c>
      <c r="H88" s="64">
        <f>IF(E88="Anual",VLOOKUP(F88,Hipotesis!$E$9:$J$38,6,FALSE),1-(1-VLOOKUP(F88,Hipotesis!$E$9:$J$38,6,FALSE))^(1/12))</f>
        <v>6.2760561269625814E-4</v>
      </c>
      <c r="I88">
        <f t="shared" si="33"/>
        <v>0.26483795614629613</v>
      </c>
      <c r="J88">
        <v>0</v>
      </c>
      <c r="K88">
        <f>1-(1-VLOOKUP(D88,Hipotesis!$D$9:$K$38,8,FALSE))^(1/12)</f>
        <v>5.1430128318229462E-3</v>
      </c>
      <c r="L88">
        <f t="shared" si="34"/>
        <v>2.1688941902911467</v>
      </c>
      <c r="M88">
        <f t="shared" si="35"/>
        <v>419.54776513260225</v>
      </c>
      <c r="N88">
        <f>IF(D88=1,(VLOOKUP(D88,'Primas Netas Y Reservas'!$D$4:$I$33,5,FALSE)+(VLOOKUP(D88,'Primas Netas Y Reservas'!$D$4:$I$33,6,FALSE)-VLOOKUP(D88,'Primas Netas Y Reservas'!$D$4:$I$33,5,FALSE))*(E88/12))/1000,((VLOOKUP(D88-1,'Primas Netas Y Reservas'!$D$4:$I$33,6,FALSE)+VLOOKUP(D88,'Primas Netas Y Reservas'!$D$4:$I$33,5,FALSE))+(VLOOKUP(D88,'Primas Netas Y Reservas'!$D$4:$I$33,6,FALSE)-VLOOKUP(D88-1,'Primas Netas Y Reservas'!$D$4:$I$33,6,FALSE)-VLOOKUP(D88,'Primas Netas Y Reservas'!$D$4:$I$33,5,FALSE))*(E88/12))/1000)</f>
        <v>0.3145551436704494</v>
      </c>
      <c r="O88">
        <f t="shared" si="36"/>
        <v>-0.53538449368366514</v>
      </c>
      <c r="P88">
        <f>VLOOKUP(D88,Hipotesis!$D$9:$S$38,15,FALSE)*N88</f>
        <v>0.22647970344272356</v>
      </c>
      <c r="Q88">
        <f t="shared" si="23"/>
        <v>0.49121051301578494</v>
      </c>
      <c r="R88">
        <f t="shared" si="24"/>
        <v>0</v>
      </c>
      <c r="S88">
        <f t="shared" si="25"/>
        <v>0.49121051301578494</v>
      </c>
      <c r="T88">
        <f>G88*(VLOOKUP(D88,Hipotesis!$D$9:$N$38,9,FALSE)+VLOOKUP(D88,Hipotesis!$D$9:$N$38,10,FALSE)+VLOOKUP(D88,Hipotesis!$D$9:$N$38,11,FALSE))</f>
        <v>0</v>
      </c>
      <c r="U88">
        <v>0</v>
      </c>
      <c r="V88">
        <f>G88*VLOOKUP(D88,Hipotesis!$D$9:$S$38,16,FALSE)+((VLOOKUP(D88,Hipotesis!$D$9:$T$38,17,FALSE)/$B$4)*M87)/12</f>
        <v>1.0549537431975993E-2</v>
      </c>
      <c r="W88">
        <f>(1+VLOOKUP(D88,Hipotesis!$D$9:$P$38,13,FALSE))^(1/12)-1</f>
        <v>0</v>
      </c>
      <c r="X88">
        <f t="shared" si="37"/>
        <v>0</v>
      </c>
      <c r="Y88">
        <f t="shared" si="26"/>
        <v>0.46658725224239195</v>
      </c>
      <c r="Z88">
        <f>(1+VLOOKUP(D88,Hipotesis!$D$9:$O$38,12,))^(1/12)-1</f>
        <v>3.5418311464792129E-3</v>
      </c>
      <c r="AA88">
        <f t="shared" si="38"/>
        <v>0.46931491222193927</v>
      </c>
      <c r="AB88">
        <f t="shared" si="39"/>
        <v>-2.727659979547332E-3</v>
      </c>
      <c r="AC88" s="68">
        <f t="shared" si="27"/>
        <v>-1.0549537431975993E-2</v>
      </c>
      <c r="AD88">
        <f t="shared" si="28"/>
        <v>-0.75604846916208102</v>
      </c>
      <c r="AE88" s="67">
        <f t="shared" si="29"/>
        <v>0.23537373933200004</v>
      </c>
      <c r="AF88" s="67">
        <f t="shared" si="30"/>
        <v>7.0612121799600011E-2</v>
      </c>
      <c r="AG88" s="67">
        <f t="shared" si="31"/>
        <v>0.16476161753240004</v>
      </c>
    </row>
    <row r="89" spans="4:33" x14ac:dyDescent="0.2">
      <c r="D89" s="50">
        <v>8</v>
      </c>
      <c r="E89">
        <v>3</v>
      </c>
      <c r="F89">
        <f t="shared" si="22"/>
        <v>57</v>
      </c>
      <c r="G89">
        <f t="shared" si="32"/>
        <v>0</v>
      </c>
      <c r="H89" s="64">
        <f>IF(E89="Anual",VLOOKUP(F89,Hipotesis!$E$9:$J$38,6,FALSE),1-(1-VLOOKUP(F89,Hipotesis!$E$9:$J$38,6,FALSE))^(1/12))</f>
        <v>6.2760561269625814E-4</v>
      </c>
      <c r="I89">
        <f t="shared" si="33"/>
        <v>0.26331053219139261</v>
      </c>
      <c r="J89">
        <v>0</v>
      </c>
      <c r="K89">
        <f>1-(1-VLOOKUP(D89,Hipotesis!$D$9:$K$38,8,FALSE))^(1/12)</f>
        <v>5.1430128318229462E-3</v>
      </c>
      <c r="L89">
        <f t="shared" si="34"/>
        <v>2.1563853301937987</v>
      </c>
      <c r="M89">
        <f t="shared" si="35"/>
        <v>417.12806927021705</v>
      </c>
      <c r="N89">
        <f>IF(D89=1,(VLOOKUP(D89,'Primas Netas Y Reservas'!$D$4:$I$33,5,FALSE)+(VLOOKUP(D89,'Primas Netas Y Reservas'!$D$4:$I$33,6,FALSE)-VLOOKUP(D89,'Primas Netas Y Reservas'!$D$4:$I$33,5,FALSE))*(E89/12))/1000,((VLOOKUP(D89-1,'Primas Netas Y Reservas'!$D$4:$I$33,6,FALSE)+VLOOKUP(D89,'Primas Netas Y Reservas'!$D$4:$I$33,5,FALSE))+(VLOOKUP(D89,'Primas Netas Y Reservas'!$D$4:$I$33,6,FALSE)-VLOOKUP(D89-1,'Primas Netas Y Reservas'!$D$4:$I$33,6,FALSE)-VLOOKUP(D89,'Primas Netas Y Reservas'!$D$4:$I$33,5,FALSE))*(E89/12))/1000)</f>
        <v>0.3151005668057727</v>
      </c>
      <c r="O89">
        <f t="shared" si="36"/>
        <v>-0.53361648025864383</v>
      </c>
      <c r="P89">
        <f>VLOOKUP(D89,Hipotesis!$D$9:$S$38,15,FALSE)*N89</f>
        <v>0.22687240810015633</v>
      </c>
      <c r="Q89">
        <f t="shared" si="23"/>
        <v>0.48922433265291787</v>
      </c>
      <c r="R89">
        <f t="shared" si="24"/>
        <v>0</v>
      </c>
      <c r="S89">
        <f t="shared" si="25"/>
        <v>0.48922433265291787</v>
      </c>
      <c r="T89">
        <f>G89*(VLOOKUP(D89,Hipotesis!$D$9:$N$38,9,FALSE)+VLOOKUP(D89,Hipotesis!$D$9:$N$38,10,FALSE)+VLOOKUP(D89,Hipotesis!$D$9:$N$38,11,FALSE))</f>
        <v>0</v>
      </c>
      <c r="U89">
        <v>0</v>
      </c>
      <c r="V89">
        <f>G89*VLOOKUP(D89,Hipotesis!$D$9:$S$38,16,FALSE)+((VLOOKUP(D89,Hipotesis!$D$9:$T$38,17,FALSE)/$B$4)*M88)/12</f>
        <v>1.0488694128315055E-2</v>
      </c>
      <c r="W89">
        <f>(1+VLOOKUP(D89,Hipotesis!$D$9:$P$38,13,FALSE))^(1/12)-1</f>
        <v>0</v>
      </c>
      <c r="X89">
        <f t="shared" si="37"/>
        <v>0</v>
      </c>
      <c r="Y89">
        <f t="shared" si="26"/>
        <v>0.46470372554699274</v>
      </c>
      <c r="Z89">
        <f>(1+VLOOKUP(D89,Hipotesis!$D$9:$O$38,12,))^(1/12)-1</f>
        <v>3.5418311464792129E-3</v>
      </c>
      <c r="AA89">
        <f t="shared" si="38"/>
        <v>0.46741867074686849</v>
      </c>
      <c r="AB89">
        <f t="shared" si="39"/>
        <v>-2.7149451998757473E-3</v>
      </c>
      <c r="AC89" s="68">
        <f t="shared" si="27"/>
        <v>-1.0488694128315055E-2</v>
      </c>
      <c r="AD89">
        <f t="shared" si="28"/>
        <v>-0.75253486484431042</v>
      </c>
      <c r="AE89" s="67">
        <f t="shared" si="29"/>
        <v>0.23529664683301105</v>
      </c>
      <c r="AF89" s="67">
        <f t="shared" si="30"/>
        <v>7.0588994049903306E-2</v>
      </c>
      <c r="AG89" s="67">
        <f t="shared" si="31"/>
        <v>0.16470765278310773</v>
      </c>
    </row>
    <row r="90" spans="4:33" x14ac:dyDescent="0.2">
      <c r="D90" s="50">
        <v>8</v>
      </c>
      <c r="E90">
        <v>4</v>
      </c>
      <c r="F90">
        <f t="shared" si="22"/>
        <v>57</v>
      </c>
      <c r="G90">
        <f t="shared" si="32"/>
        <v>0</v>
      </c>
      <c r="H90" s="64">
        <f>IF(E90="Anual",VLOOKUP(F90,Hipotesis!$E$9:$J$38,6,FALSE),1-(1-VLOOKUP(F90,Hipotesis!$E$9:$J$38,6,FALSE))^(1/12))</f>
        <v>6.2760561269625814E-4</v>
      </c>
      <c r="I90">
        <f t="shared" si="33"/>
        <v>0.26179191748714181</v>
      </c>
      <c r="J90">
        <v>0</v>
      </c>
      <c r="K90">
        <f>1-(1-VLOOKUP(D90,Hipotesis!$D$9:$K$38,8,FALSE))^(1/12)</f>
        <v>5.1430128318229462E-3</v>
      </c>
      <c r="L90">
        <f t="shared" si="34"/>
        <v>2.1439486135793531</v>
      </c>
      <c r="M90">
        <f t="shared" si="35"/>
        <v>414.72232873915056</v>
      </c>
      <c r="N90">
        <f>IF(D90=1,(VLOOKUP(D90,'Primas Netas Y Reservas'!$D$4:$I$33,5,FALSE)+(VLOOKUP(D90,'Primas Netas Y Reservas'!$D$4:$I$33,6,FALSE)-VLOOKUP(D90,'Primas Netas Y Reservas'!$D$4:$I$33,5,FALSE))*(E90/12))/1000,((VLOOKUP(D90-1,'Primas Netas Y Reservas'!$D$4:$I$33,6,FALSE)+VLOOKUP(D90,'Primas Netas Y Reservas'!$D$4:$I$33,5,FALSE))+(VLOOKUP(D90,'Primas Netas Y Reservas'!$D$4:$I$33,6,FALSE)-VLOOKUP(D90-1,'Primas Netas Y Reservas'!$D$4:$I$33,6,FALSE)-VLOOKUP(D90,'Primas Netas Y Reservas'!$D$4:$I$33,5,FALSE))*(E90/12))/1000)</f>
        <v>0.31564598994109599</v>
      </c>
      <c r="O90">
        <f t="shared" si="36"/>
        <v>-0.53185105209720973</v>
      </c>
      <c r="P90">
        <f>VLOOKUP(D90,Hipotesis!$D$9:$S$38,15,FALSE)*N90</f>
        <v>0.22726511275758909</v>
      </c>
      <c r="Q90">
        <f t="shared" si="23"/>
        <v>0.48724472341158848</v>
      </c>
      <c r="R90">
        <f t="shared" si="24"/>
        <v>0</v>
      </c>
      <c r="S90">
        <f t="shared" si="25"/>
        <v>0.48724472341158848</v>
      </c>
      <c r="T90">
        <f>G90*(VLOOKUP(D90,Hipotesis!$D$9:$N$38,9,FALSE)+VLOOKUP(D90,Hipotesis!$D$9:$N$38,10,FALSE)+VLOOKUP(D90,Hipotesis!$D$9:$N$38,11,FALSE))</f>
        <v>0</v>
      </c>
      <c r="U90">
        <v>0</v>
      </c>
      <c r="V90">
        <f>G90*VLOOKUP(D90,Hipotesis!$D$9:$S$38,16,FALSE)+((VLOOKUP(D90,Hipotesis!$D$9:$T$38,17,FALSE)/$B$4)*M89)/12</f>
        <v>1.0428201731755425E-2</v>
      </c>
      <c r="W90">
        <f>(1+VLOOKUP(D90,Hipotesis!$D$9:$P$38,13,FALSE))^(1/12)-1</f>
        <v>0</v>
      </c>
      <c r="X90">
        <f t="shared" si="37"/>
        <v>0</v>
      </c>
      <c r="Y90">
        <f t="shared" si="26"/>
        <v>0.4628264049240014</v>
      </c>
      <c r="Z90">
        <f>(1+VLOOKUP(D90,Hipotesis!$D$9:$O$38,12,))^(1/12)-1</f>
        <v>3.5418311464792129E-3</v>
      </c>
      <c r="AA90">
        <f t="shared" si="38"/>
        <v>0.46552869127681379</v>
      </c>
      <c r="AB90">
        <f t="shared" si="39"/>
        <v>-2.7022863528124033E-3</v>
      </c>
      <c r="AC90" s="68">
        <f t="shared" si="27"/>
        <v>-1.0428201731755425E-2</v>
      </c>
      <c r="AD90">
        <f t="shared" si="28"/>
        <v>-0.74903664089873034</v>
      </c>
      <c r="AE90" s="67">
        <f t="shared" si="29"/>
        <v>0.23521261439072541</v>
      </c>
      <c r="AF90" s="67">
        <f t="shared" si="30"/>
        <v>7.0563784317217618E-2</v>
      </c>
      <c r="AG90" s="67">
        <f t="shared" si="31"/>
        <v>0.16464883007350778</v>
      </c>
    </row>
    <row r="91" spans="4:33" x14ac:dyDescent="0.2">
      <c r="D91" s="50">
        <v>8</v>
      </c>
      <c r="E91">
        <v>5</v>
      </c>
      <c r="F91">
        <f t="shared" si="22"/>
        <v>57</v>
      </c>
      <c r="G91">
        <f t="shared" si="32"/>
        <v>0</v>
      </c>
      <c r="H91" s="64">
        <f>IF(E91="Anual",VLOOKUP(F91,Hipotesis!$E$9:$J$38,6,FALSE),1-(1-VLOOKUP(F91,Hipotesis!$E$9:$J$38,6,FALSE))^(1/12))</f>
        <v>6.2760561269625814E-4</v>
      </c>
      <c r="I91">
        <f t="shared" si="33"/>
        <v>0.26028206122715358</v>
      </c>
      <c r="J91">
        <v>0</v>
      </c>
      <c r="K91">
        <f>1-(1-VLOOKUP(D91,Hipotesis!$D$9:$K$38,8,FALSE))^(1/12)</f>
        <v>5.1430128318229462E-3</v>
      </c>
      <c r="L91">
        <f t="shared" si="34"/>
        <v>2.1315836243681612</v>
      </c>
      <c r="M91">
        <f t="shared" si="35"/>
        <v>412.33046305355526</v>
      </c>
      <c r="N91">
        <f>IF(D91=1,(VLOOKUP(D91,'Primas Netas Y Reservas'!$D$4:$I$33,5,FALSE)+(VLOOKUP(D91,'Primas Netas Y Reservas'!$D$4:$I$33,6,FALSE)-VLOOKUP(D91,'Primas Netas Y Reservas'!$D$4:$I$33,5,FALSE))*(E91/12))/1000,((VLOOKUP(D91-1,'Primas Netas Y Reservas'!$D$4:$I$33,6,FALSE)+VLOOKUP(D91,'Primas Netas Y Reservas'!$D$4:$I$33,5,FALSE))+(VLOOKUP(D91,'Primas Netas Y Reservas'!$D$4:$I$33,6,FALSE)-VLOOKUP(D91-1,'Primas Netas Y Reservas'!$D$4:$I$33,6,FALSE)-VLOOKUP(D91,'Primas Netas Y Reservas'!$D$4:$I$33,5,FALSE))*(E91/12))/1000)</f>
        <v>0.31619141307641929</v>
      </c>
      <c r="O91">
        <f t="shared" si="36"/>
        <v>-0.53008823818788642</v>
      </c>
      <c r="P91">
        <f>VLOOKUP(D91,Hipotesis!$D$9:$S$38,15,FALSE)*N91</f>
        <v>0.22765781741502189</v>
      </c>
      <c r="Q91">
        <f t="shared" si="23"/>
        <v>0.48527167556125744</v>
      </c>
      <c r="R91">
        <f t="shared" si="24"/>
        <v>0</v>
      </c>
      <c r="S91">
        <f t="shared" si="25"/>
        <v>0.48527167556125744</v>
      </c>
      <c r="T91">
        <f>G91*(VLOOKUP(D91,Hipotesis!$D$9:$N$38,9,FALSE)+VLOOKUP(D91,Hipotesis!$D$9:$N$38,10,FALSE)+VLOOKUP(D91,Hipotesis!$D$9:$N$38,11,FALSE))</f>
        <v>0</v>
      </c>
      <c r="U91">
        <v>0</v>
      </c>
      <c r="V91">
        <f>G91*VLOOKUP(D91,Hipotesis!$D$9:$S$38,16,FALSE)+((VLOOKUP(D91,Hipotesis!$D$9:$T$38,17,FALSE)/$B$4)*M90)/12</f>
        <v>1.0368058218478764E-2</v>
      </c>
      <c r="W91">
        <f>(1+VLOOKUP(D91,Hipotesis!$D$9:$P$38,13,FALSE))^(1/12)-1</f>
        <v>0</v>
      </c>
      <c r="X91">
        <f t="shared" si="37"/>
        <v>0</v>
      </c>
      <c r="Y91">
        <f t="shared" si="26"/>
        <v>0.46095528143909215</v>
      </c>
      <c r="Z91">
        <f>(1+VLOOKUP(D91,Hipotesis!$D$9:$O$38,12,))^(1/12)-1</f>
        <v>3.5418311464792129E-3</v>
      </c>
      <c r="AA91">
        <f t="shared" si="38"/>
        <v>0.46364496465520816</v>
      </c>
      <c r="AB91">
        <f t="shared" si="39"/>
        <v>-2.6896832161160066E-3</v>
      </c>
      <c r="AC91" s="68">
        <f t="shared" si="27"/>
        <v>-1.0368058218478764E-2</v>
      </c>
      <c r="AD91">
        <f t="shared" si="28"/>
        <v>-0.74555373678841108</v>
      </c>
      <c r="AE91" s="67">
        <f t="shared" si="29"/>
        <v>0.23512172462008876</v>
      </c>
      <c r="AF91" s="67">
        <f t="shared" si="30"/>
        <v>7.053651738602662E-2</v>
      </c>
      <c r="AG91" s="67">
        <f t="shared" si="31"/>
        <v>0.16458520723406214</v>
      </c>
    </row>
    <row r="92" spans="4:33" x14ac:dyDescent="0.2">
      <c r="D92" s="50">
        <v>8</v>
      </c>
      <c r="E92">
        <v>6</v>
      </c>
      <c r="F92">
        <f t="shared" si="22"/>
        <v>57</v>
      </c>
      <c r="G92">
        <f t="shared" si="32"/>
        <v>0</v>
      </c>
      <c r="H92" s="64">
        <f>IF(E92="Anual",VLOOKUP(F92,Hipotesis!$E$9:$J$38,6,FALSE),1-(1-VLOOKUP(F92,Hipotesis!$E$9:$J$38,6,FALSE))^(1/12))</f>
        <v>6.2760561269625814E-4</v>
      </c>
      <c r="I92">
        <f t="shared" si="33"/>
        <v>0.25878091289805838</v>
      </c>
      <c r="J92">
        <v>0</v>
      </c>
      <c r="K92">
        <f>1-(1-VLOOKUP(D92,Hipotesis!$D$9:$K$38,8,FALSE))^(1/12)</f>
        <v>5.1430128318229462E-3</v>
      </c>
      <c r="L92">
        <f t="shared" si="34"/>
        <v>2.1192899488802666</v>
      </c>
      <c r="M92">
        <f t="shared" si="35"/>
        <v>409.95239219177694</v>
      </c>
      <c r="N92">
        <f>IF(D92=1,(VLOOKUP(D92,'Primas Netas Y Reservas'!$D$4:$I$33,5,FALSE)+(VLOOKUP(D92,'Primas Netas Y Reservas'!$D$4:$I$33,6,FALSE)-VLOOKUP(D92,'Primas Netas Y Reservas'!$D$4:$I$33,5,FALSE))*(E92/12))/1000,((VLOOKUP(D92-1,'Primas Netas Y Reservas'!$D$4:$I$33,6,FALSE)+VLOOKUP(D92,'Primas Netas Y Reservas'!$D$4:$I$33,5,FALSE))+(VLOOKUP(D92,'Primas Netas Y Reservas'!$D$4:$I$33,6,FALSE)-VLOOKUP(D92-1,'Primas Netas Y Reservas'!$D$4:$I$33,6,FALSE)-VLOOKUP(D92,'Primas Netas Y Reservas'!$D$4:$I$33,5,FALSE))*(E92/12))/1000)</f>
        <v>0.31673683621174259</v>
      </c>
      <c r="O92">
        <f t="shared" si="36"/>
        <v>-0.52832806709901092</v>
      </c>
      <c r="P92">
        <f>VLOOKUP(D92,Hipotesis!$D$9:$S$38,15,FALSE)*N92</f>
        <v>0.22805052207245466</v>
      </c>
      <c r="Q92">
        <f t="shared" si="23"/>
        <v>0.48330517926505051</v>
      </c>
      <c r="R92">
        <f t="shared" si="24"/>
        <v>0</v>
      </c>
      <c r="S92">
        <f t="shared" si="25"/>
        <v>0.48330517926505051</v>
      </c>
      <c r="T92">
        <f>G92*(VLOOKUP(D92,Hipotesis!$D$9:$N$38,9,FALSE)+VLOOKUP(D92,Hipotesis!$D$9:$N$38,10,FALSE)+VLOOKUP(D92,Hipotesis!$D$9:$N$38,11,FALSE))</f>
        <v>0</v>
      </c>
      <c r="U92">
        <v>0</v>
      </c>
      <c r="V92">
        <f>G92*VLOOKUP(D92,Hipotesis!$D$9:$S$38,16,FALSE)+((VLOOKUP(D92,Hipotesis!$D$9:$T$38,17,FALSE)/$B$4)*M91)/12</f>
        <v>1.030826157633888E-2</v>
      </c>
      <c r="W92">
        <f>(1+VLOOKUP(D92,Hipotesis!$D$9:$P$38,13,FALSE))^(1/12)-1</f>
        <v>0</v>
      </c>
      <c r="X92">
        <f t="shared" si="37"/>
        <v>0</v>
      </c>
      <c r="Y92">
        <f t="shared" si="26"/>
        <v>0.45909034605456372</v>
      </c>
      <c r="Z92">
        <f>(1+VLOOKUP(D92,Hipotesis!$D$9:$O$38,12,))^(1/12)-1</f>
        <v>3.5418311464792129E-3</v>
      </c>
      <c r="AA92">
        <f t="shared" si="38"/>
        <v>0.461767481622812</v>
      </c>
      <c r="AB92">
        <f t="shared" si="39"/>
        <v>-2.6771355682482915E-3</v>
      </c>
      <c r="AC92" s="68">
        <f t="shared" si="27"/>
        <v>-1.030826157633888E-2</v>
      </c>
      <c r="AD92">
        <f t="shared" si="28"/>
        <v>-0.74208609216310895</v>
      </c>
      <c r="AE92" s="67">
        <f t="shared" si="29"/>
        <v>0.23502405941412688</v>
      </c>
      <c r="AF92" s="67">
        <f t="shared" si="30"/>
        <v>7.0507217824238064E-2</v>
      </c>
      <c r="AG92" s="67">
        <f t="shared" si="31"/>
        <v>0.16451684158988883</v>
      </c>
    </row>
    <row r="93" spans="4:33" x14ac:dyDescent="0.2">
      <c r="D93" s="50">
        <v>8</v>
      </c>
      <c r="E93">
        <v>7</v>
      </c>
      <c r="F93">
        <f t="shared" si="22"/>
        <v>57</v>
      </c>
      <c r="G93">
        <f t="shared" si="32"/>
        <v>0</v>
      </c>
      <c r="H93" s="64">
        <f>IF(E93="Anual",VLOOKUP(F93,Hipotesis!$E$9:$J$38,6,FALSE),1-(1-VLOOKUP(F93,Hipotesis!$E$9:$J$38,6,FALSE))^(1/12))</f>
        <v>6.2760561269625814E-4</v>
      </c>
      <c r="I93">
        <f t="shared" si="33"/>
        <v>0.2572884222778169</v>
      </c>
      <c r="J93">
        <v>0</v>
      </c>
      <c r="K93">
        <f>1-(1-VLOOKUP(D93,Hipotesis!$D$9:$K$38,8,FALSE))^(1/12)</f>
        <v>5.1430128318229462E-3</v>
      </c>
      <c r="L93">
        <f t="shared" si="34"/>
        <v>2.1070671758215673</v>
      </c>
      <c r="M93">
        <f t="shared" si="35"/>
        <v>407.58803659367754</v>
      </c>
      <c r="N93">
        <f>IF(D93=1,(VLOOKUP(D93,'Primas Netas Y Reservas'!$D$4:$I$33,5,FALSE)+(VLOOKUP(D93,'Primas Netas Y Reservas'!$D$4:$I$33,6,FALSE)-VLOOKUP(D93,'Primas Netas Y Reservas'!$D$4:$I$33,5,FALSE))*(E93/12))/1000,((VLOOKUP(D93-1,'Primas Netas Y Reservas'!$D$4:$I$33,6,FALSE)+VLOOKUP(D93,'Primas Netas Y Reservas'!$D$4:$I$33,5,FALSE))+(VLOOKUP(D93,'Primas Netas Y Reservas'!$D$4:$I$33,6,FALSE)-VLOOKUP(D93-1,'Primas Netas Y Reservas'!$D$4:$I$33,6,FALSE)-VLOOKUP(D93,'Primas Netas Y Reservas'!$D$4:$I$33,5,FALSE))*(E93/12))/1000)</f>
        <v>0.31728225934706589</v>
      </c>
      <c r="O93">
        <f t="shared" si="36"/>
        <v>-0.52657056698234328</v>
      </c>
      <c r="P93">
        <f>VLOOKUP(D93,Hipotesis!$D$9:$S$38,15,FALSE)*N93</f>
        <v>0.22844322672988743</v>
      </c>
      <c r="Q93">
        <f t="shared" si="23"/>
        <v>0.48134522458130991</v>
      </c>
      <c r="R93">
        <f t="shared" si="24"/>
        <v>0</v>
      </c>
      <c r="S93">
        <f t="shared" si="25"/>
        <v>0.48134522458130991</v>
      </c>
      <c r="T93">
        <f>G93*(VLOOKUP(D93,Hipotesis!$D$9:$N$38,9,FALSE)+VLOOKUP(D93,Hipotesis!$D$9:$N$38,10,FALSE)+VLOOKUP(D93,Hipotesis!$D$9:$N$38,11,FALSE))</f>
        <v>0</v>
      </c>
      <c r="U93">
        <v>0</v>
      </c>
      <c r="V93">
        <f>G93*VLOOKUP(D93,Hipotesis!$D$9:$S$38,16,FALSE)+((VLOOKUP(D93,Hipotesis!$D$9:$T$38,17,FALSE)/$B$4)*M92)/12</f>
        <v>1.0248809804794421E-2</v>
      </c>
      <c r="W93">
        <f>(1+VLOOKUP(D93,Hipotesis!$D$9:$P$38,13,FALSE))^(1/12)-1</f>
        <v>0</v>
      </c>
      <c r="X93">
        <f t="shared" si="37"/>
        <v>0</v>
      </c>
      <c r="Y93">
        <f t="shared" si="26"/>
        <v>0.45723158963082827</v>
      </c>
      <c r="Z93">
        <f>(1+VLOOKUP(D93,Hipotesis!$D$9:$O$38,12,))^(1/12)-1</f>
        <v>3.5418311464792129E-3</v>
      </c>
      <c r="AA93">
        <f t="shared" si="38"/>
        <v>0.45989623281920156</v>
      </c>
      <c r="AB93">
        <f t="shared" si="39"/>
        <v>-2.6646431883733052E-3</v>
      </c>
      <c r="AC93" s="68">
        <f t="shared" si="27"/>
        <v>-1.0248809804794421E-2</v>
      </c>
      <c r="AD93">
        <f t="shared" si="28"/>
        <v>-0.7386336468591268</v>
      </c>
      <c r="AE93" s="67">
        <f t="shared" si="29"/>
        <v>0.23491969994925033</v>
      </c>
      <c r="AF93" s="67">
        <f t="shared" si="30"/>
        <v>7.0475909984775098E-2</v>
      </c>
      <c r="AG93" s="67">
        <f t="shared" si="31"/>
        <v>0.16444378996447523</v>
      </c>
    </row>
    <row r="94" spans="4:33" x14ac:dyDescent="0.2">
      <c r="D94" s="50">
        <v>8</v>
      </c>
      <c r="E94">
        <v>8</v>
      </c>
      <c r="F94">
        <f t="shared" si="22"/>
        <v>57</v>
      </c>
      <c r="G94">
        <f t="shared" si="32"/>
        <v>0</v>
      </c>
      <c r="H94" s="64">
        <f>IF(E94="Anual",VLOOKUP(F94,Hipotesis!$E$9:$J$38,6,FALSE),1-(1-VLOOKUP(F94,Hipotesis!$E$9:$J$38,6,FALSE))^(1/12))</f>
        <v>6.2760561269625814E-4</v>
      </c>
      <c r="I94">
        <f t="shared" si="33"/>
        <v>0.25580453943403986</v>
      </c>
      <c r="J94">
        <v>0</v>
      </c>
      <c r="K94">
        <f>1-(1-VLOOKUP(D94,Hipotesis!$D$9:$K$38,8,FALSE))^(1/12)</f>
        <v>5.1430128318229462E-3</v>
      </c>
      <c r="L94">
        <f t="shared" si="34"/>
        <v>2.0949148962700561</v>
      </c>
      <c r="M94">
        <f t="shared" si="35"/>
        <v>405.23731715797345</v>
      </c>
      <c r="N94">
        <f>IF(D94=1,(VLOOKUP(D94,'Primas Netas Y Reservas'!$D$4:$I$33,5,FALSE)+(VLOOKUP(D94,'Primas Netas Y Reservas'!$D$4:$I$33,6,FALSE)-VLOOKUP(D94,'Primas Netas Y Reservas'!$D$4:$I$33,5,FALSE))*(E94/12))/1000,((VLOOKUP(D94-1,'Primas Netas Y Reservas'!$D$4:$I$33,6,FALSE)+VLOOKUP(D94,'Primas Netas Y Reservas'!$D$4:$I$33,5,FALSE))+(VLOOKUP(D94,'Primas Netas Y Reservas'!$D$4:$I$33,6,FALSE)-VLOOKUP(D94-1,'Primas Netas Y Reservas'!$D$4:$I$33,6,FALSE)-VLOOKUP(D94,'Primas Netas Y Reservas'!$D$4:$I$33,5,FALSE))*(E94/12))/1000)</f>
        <v>0.31782768248238913</v>
      </c>
      <c r="O94">
        <f t="shared" si="36"/>
        <v>-0.5248157655769603</v>
      </c>
      <c r="P94">
        <f>VLOOKUP(D94,Hipotesis!$D$9:$S$38,15,FALSE)*N94</f>
        <v>0.22883593138732017</v>
      </c>
      <c r="Q94">
        <f t="shared" si="23"/>
        <v>0.4793918014651295</v>
      </c>
      <c r="R94">
        <f t="shared" si="24"/>
        <v>0</v>
      </c>
      <c r="S94">
        <f t="shared" si="25"/>
        <v>0.4793918014651295</v>
      </c>
      <c r="T94">
        <f>G94*(VLOOKUP(D94,Hipotesis!$D$9:$N$38,9,FALSE)+VLOOKUP(D94,Hipotesis!$D$9:$N$38,10,FALSE)+VLOOKUP(D94,Hipotesis!$D$9:$N$38,11,FALSE))</f>
        <v>0</v>
      </c>
      <c r="U94">
        <v>0</v>
      </c>
      <c r="V94">
        <f>G94*VLOOKUP(D94,Hipotesis!$D$9:$S$38,16,FALSE)+((VLOOKUP(D94,Hipotesis!$D$9:$T$38,17,FALSE)/$B$4)*M93)/12</f>
        <v>1.0189700914841938E-2</v>
      </c>
      <c r="W94">
        <f>(1+VLOOKUP(D94,Hipotesis!$D$9:$P$38,13,FALSE))^(1/12)-1</f>
        <v>0</v>
      </c>
      <c r="X94">
        <f t="shared" si="37"/>
        <v>0</v>
      </c>
      <c r="Y94">
        <f t="shared" si="26"/>
        <v>0.45537900292788763</v>
      </c>
      <c r="Z94">
        <f>(1+VLOOKUP(D94,Hipotesis!$D$9:$O$38,12,))^(1/12)-1</f>
        <v>3.5418311464792129E-3</v>
      </c>
      <c r="AA94">
        <f t="shared" si="38"/>
        <v>0.4580312087842443</v>
      </c>
      <c r="AB94">
        <f t="shared" si="39"/>
        <v>-2.6522058563566782E-3</v>
      </c>
      <c r="AC94" s="68">
        <f t="shared" si="27"/>
        <v>-1.0189700914841938E-2</v>
      </c>
      <c r="AD94">
        <f t="shared" si="28"/>
        <v>-0.7351963408991693</v>
      </c>
      <c r="AE94" s="67">
        <f t="shared" si="29"/>
        <v>0.23480872669083663</v>
      </c>
      <c r="AF94" s="67">
        <f t="shared" si="30"/>
        <v>7.044261800725099E-2</v>
      </c>
      <c r="AG94" s="67">
        <f t="shared" si="31"/>
        <v>0.16436610868358564</v>
      </c>
    </row>
    <row r="95" spans="4:33" x14ac:dyDescent="0.2">
      <c r="D95" s="50">
        <v>8</v>
      </c>
      <c r="E95">
        <v>9</v>
      </c>
      <c r="F95">
        <f t="shared" si="22"/>
        <v>57</v>
      </c>
      <c r="G95">
        <f t="shared" si="32"/>
        <v>0</v>
      </c>
      <c r="H95" s="64">
        <f>IF(E95="Anual",VLOOKUP(F95,Hipotesis!$E$9:$J$38,6,FALSE),1-(1-VLOOKUP(F95,Hipotesis!$E$9:$J$38,6,FALSE))^(1/12))</f>
        <v>6.2760561269625814E-4</v>
      </c>
      <c r="I95">
        <f t="shared" si="33"/>
        <v>0.25432921472231779</v>
      </c>
      <c r="J95">
        <v>0</v>
      </c>
      <c r="K95">
        <f>1-(1-VLOOKUP(D95,Hipotesis!$D$9:$K$38,8,FALSE))^(1/12)</f>
        <v>5.1430128318229462E-3</v>
      </c>
      <c r="L95">
        <f t="shared" si="34"/>
        <v>2.0828327036621381</v>
      </c>
      <c r="M95">
        <f t="shared" si="35"/>
        <v>402.90015523958903</v>
      </c>
      <c r="N95">
        <f>IF(D95=1,(VLOOKUP(D95,'Primas Netas Y Reservas'!$D$4:$I$33,5,FALSE)+(VLOOKUP(D95,'Primas Netas Y Reservas'!$D$4:$I$33,6,FALSE)-VLOOKUP(D95,'Primas Netas Y Reservas'!$D$4:$I$33,5,FALSE))*(E95/12))/1000,((VLOOKUP(D95-1,'Primas Netas Y Reservas'!$D$4:$I$33,6,FALSE)+VLOOKUP(D95,'Primas Netas Y Reservas'!$D$4:$I$33,5,FALSE))+(VLOOKUP(D95,'Primas Netas Y Reservas'!$D$4:$I$33,6,FALSE)-VLOOKUP(D95-1,'Primas Netas Y Reservas'!$D$4:$I$33,6,FALSE)-VLOOKUP(D95,'Primas Netas Y Reservas'!$D$4:$I$33,5,FALSE))*(E95/12))/1000)</f>
        <v>0.31837310561771237</v>
      </c>
      <c r="O95">
        <f t="shared" si="36"/>
        <v>-0.52306369021323462</v>
      </c>
      <c r="P95">
        <f>VLOOKUP(D95,Hipotesis!$D$9:$S$38,15,FALSE)*N95</f>
        <v>0.22922863604475291</v>
      </c>
      <c r="Q95">
        <f t="shared" si="23"/>
        <v>0.47744489976987697</v>
      </c>
      <c r="R95">
        <f t="shared" si="24"/>
        <v>0</v>
      </c>
      <c r="S95">
        <f t="shared" si="25"/>
        <v>0.47744489976987697</v>
      </c>
      <c r="T95">
        <f>G95*(VLOOKUP(D95,Hipotesis!$D$9:$N$38,9,FALSE)+VLOOKUP(D95,Hipotesis!$D$9:$N$38,10,FALSE)+VLOOKUP(D95,Hipotesis!$D$9:$N$38,11,FALSE))</f>
        <v>0</v>
      </c>
      <c r="U95">
        <v>0</v>
      </c>
      <c r="V95">
        <f>G95*VLOOKUP(D95,Hipotesis!$D$9:$S$38,16,FALSE)+((VLOOKUP(D95,Hipotesis!$D$9:$T$38,17,FALSE)/$B$4)*M94)/12</f>
        <v>1.0130932928949335E-2</v>
      </c>
      <c r="W95">
        <f>(1+VLOOKUP(D95,Hipotesis!$D$9:$P$38,13,FALSE))^(1/12)-1</f>
        <v>0</v>
      </c>
      <c r="X95">
        <f t="shared" si="37"/>
        <v>0</v>
      </c>
      <c r="Y95">
        <f t="shared" si="26"/>
        <v>0.45353257660679563</v>
      </c>
      <c r="Z95">
        <f>(1+VLOOKUP(D95,Hipotesis!$D$9:$O$38,12,))^(1/12)-1</f>
        <v>3.5418311464792129E-3</v>
      </c>
      <c r="AA95">
        <f t="shared" si="38"/>
        <v>0.45617239995956049</v>
      </c>
      <c r="AB95">
        <f t="shared" si="39"/>
        <v>-2.6398233527648715E-3</v>
      </c>
      <c r="AC95" s="68">
        <f t="shared" si="27"/>
        <v>-1.0130932928949335E-2</v>
      </c>
      <c r="AD95">
        <f t="shared" si="28"/>
        <v>-0.73177411449219476</v>
      </c>
      <c r="AE95" s="67">
        <f t="shared" si="29"/>
        <v>0.23469121939888615</v>
      </c>
      <c r="AF95" s="67">
        <f t="shared" si="30"/>
        <v>7.0407365819665849E-2</v>
      </c>
      <c r="AG95" s="67">
        <f t="shared" si="31"/>
        <v>0.16428385357922032</v>
      </c>
    </row>
    <row r="96" spans="4:33" x14ac:dyDescent="0.2">
      <c r="D96" s="50">
        <v>8</v>
      </c>
      <c r="E96">
        <v>10</v>
      </c>
      <c r="F96">
        <f t="shared" si="22"/>
        <v>57</v>
      </c>
      <c r="G96">
        <f t="shared" si="32"/>
        <v>0</v>
      </c>
      <c r="H96" s="64">
        <f>IF(E96="Anual",VLOOKUP(F96,Hipotesis!$E$9:$J$38,6,FALSE),1-(1-VLOOKUP(F96,Hipotesis!$E$9:$J$38,6,FALSE))^(1/12))</f>
        <v>6.2760561269625814E-4</v>
      </c>
      <c r="I96">
        <f t="shared" si="33"/>
        <v>0.25286239878455979</v>
      </c>
      <c r="J96">
        <v>0</v>
      </c>
      <c r="K96">
        <f>1-(1-VLOOKUP(D96,Hipotesis!$D$9:$K$38,8,FALSE))^(1/12)</f>
        <v>5.1430128318229462E-3</v>
      </c>
      <c r="L96">
        <f t="shared" si="34"/>
        <v>2.0708201937790292</v>
      </c>
      <c r="M96">
        <f t="shared" si="35"/>
        <v>400.57647264702547</v>
      </c>
      <c r="N96">
        <f>IF(D96=1,(VLOOKUP(D96,'Primas Netas Y Reservas'!$D$4:$I$33,5,FALSE)+(VLOOKUP(D96,'Primas Netas Y Reservas'!$D$4:$I$33,6,FALSE)-VLOOKUP(D96,'Primas Netas Y Reservas'!$D$4:$I$33,5,FALSE))*(E96/12))/1000,((VLOOKUP(D96-1,'Primas Netas Y Reservas'!$D$4:$I$33,6,FALSE)+VLOOKUP(D96,'Primas Netas Y Reservas'!$D$4:$I$33,5,FALSE))+(VLOOKUP(D96,'Primas Netas Y Reservas'!$D$4:$I$33,6,FALSE)-VLOOKUP(D96-1,'Primas Netas Y Reservas'!$D$4:$I$33,6,FALSE)-VLOOKUP(D96,'Primas Netas Y Reservas'!$D$4:$I$33,5,FALSE))*(E96/12))/1000)</f>
        <v>0.31891852875303567</v>
      </c>
      <c r="O96">
        <f t="shared" si="36"/>
        <v>-0.52131436781637319</v>
      </c>
      <c r="P96">
        <f>VLOOKUP(D96,Hipotesis!$D$9:$S$38,15,FALSE)*N96</f>
        <v>0.22962134070218568</v>
      </c>
      <c r="Q96">
        <f t="shared" si="23"/>
        <v>0.47550450924870064</v>
      </c>
      <c r="R96">
        <f t="shared" si="24"/>
        <v>0</v>
      </c>
      <c r="S96">
        <f t="shared" si="25"/>
        <v>0.47550450924870064</v>
      </c>
      <c r="T96">
        <f>G96*(VLOOKUP(D96,Hipotesis!$D$9:$N$38,9,FALSE)+VLOOKUP(D96,Hipotesis!$D$9:$N$38,10,FALSE)+VLOOKUP(D96,Hipotesis!$D$9:$N$38,11,FALSE))</f>
        <v>0</v>
      </c>
      <c r="U96">
        <v>0</v>
      </c>
      <c r="V96">
        <f>G96*VLOOKUP(D96,Hipotesis!$D$9:$S$38,16,FALSE)+((VLOOKUP(D96,Hipotesis!$D$9:$T$38,17,FALSE)/$B$4)*M95)/12</f>
        <v>1.0072503880989724E-2</v>
      </c>
      <c r="W96">
        <f>(1+VLOOKUP(D96,Hipotesis!$D$9:$P$38,13,FALSE))^(1/12)-1</f>
        <v>0</v>
      </c>
      <c r="X96">
        <f t="shared" si="37"/>
        <v>0</v>
      </c>
      <c r="Y96">
        <f t="shared" si="26"/>
        <v>0.45169230123110649</v>
      </c>
      <c r="Z96">
        <f>(1+VLOOKUP(D96,Hipotesis!$D$9:$O$38,12,))^(1/12)-1</f>
        <v>3.5418311464792129E-3</v>
      </c>
      <c r="AA96">
        <f t="shared" si="38"/>
        <v>0.45431979668997091</v>
      </c>
      <c r="AB96">
        <f t="shared" si="39"/>
        <v>-2.6274954588644231E-3</v>
      </c>
      <c r="AC96" s="68">
        <f t="shared" si="27"/>
        <v>-1.0072503880989724E-2</v>
      </c>
      <c r="AD96">
        <f t="shared" si="28"/>
        <v>-0.72836690803326043</v>
      </c>
      <c r="AE96" s="67">
        <f t="shared" si="29"/>
        <v>0.23456725713322951</v>
      </c>
      <c r="AF96" s="67">
        <f t="shared" si="30"/>
        <v>7.0370177139968848E-2</v>
      </c>
      <c r="AG96" s="67">
        <f t="shared" si="31"/>
        <v>0.16419707999326066</v>
      </c>
    </row>
    <row r="97" spans="4:33" x14ac:dyDescent="0.2">
      <c r="D97" s="50">
        <v>8</v>
      </c>
      <c r="E97">
        <v>11</v>
      </c>
      <c r="F97">
        <f t="shared" si="22"/>
        <v>57</v>
      </c>
      <c r="G97">
        <f t="shared" si="32"/>
        <v>0</v>
      </c>
      <c r="H97" s="64">
        <f>IF(E97="Anual",VLOOKUP(F97,Hipotesis!$E$9:$J$38,6,FALSE),1-(1-VLOOKUP(F97,Hipotesis!$E$9:$J$38,6,FALSE))^(1/12))</f>
        <v>6.2760561269625814E-4</v>
      </c>
      <c r="I97">
        <f t="shared" si="33"/>
        <v>0.25140404254734228</v>
      </c>
      <c r="J97">
        <v>0</v>
      </c>
      <c r="K97">
        <f>1-(1-VLOOKUP(D97,Hipotesis!$D$9:$K$38,8,FALSE))^(1/12)</f>
        <v>5.1430128318229462E-3</v>
      </c>
      <c r="L97">
        <f t="shared" si="34"/>
        <v>2.0588769647332321</v>
      </c>
      <c r="M97">
        <f t="shared" si="35"/>
        <v>398.26619163974487</v>
      </c>
      <c r="N97">
        <f>IF(D97=1,(VLOOKUP(D97,'Primas Netas Y Reservas'!$D$4:$I$33,5,FALSE)+(VLOOKUP(D97,'Primas Netas Y Reservas'!$D$4:$I$33,6,FALSE)-VLOOKUP(D97,'Primas Netas Y Reservas'!$D$4:$I$33,5,FALSE))*(E97/12))/1000,((VLOOKUP(D97-1,'Primas Netas Y Reservas'!$D$4:$I$33,6,FALSE)+VLOOKUP(D97,'Primas Netas Y Reservas'!$D$4:$I$33,5,FALSE))+(VLOOKUP(D97,'Primas Netas Y Reservas'!$D$4:$I$33,6,FALSE)-VLOOKUP(D97-1,'Primas Netas Y Reservas'!$D$4:$I$33,6,FALSE)-VLOOKUP(D97,'Primas Netas Y Reservas'!$D$4:$I$33,5,FALSE))*(E97/12))/1000)</f>
        <v>0.31946395188835897</v>
      </c>
      <c r="O97">
        <f t="shared" si="36"/>
        <v>-0.51956782491059528</v>
      </c>
      <c r="P97">
        <f>VLOOKUP(D97,Hipotesis!$D$9:$S$38,15,FALSE)*N97</f>
        <v>0.23001404535961845</v>
      </c>
      <c r="Q97">
        <f t="shared" si="23"/>
        <v>0.4735706195560232</v>
      </c>
      <c r="R97">
        <f t="shared" si="24"/>
        <v>0</v>
      </c>
      <c r="S97">
        <f t="shared" si="25"/>
        <v>0.4735706195560232</v>
      </c>
      <c r="T97">
        <f>G97*(VLOOKUP(D97,Hipotesis!$D$9:$N$38,9,FALSE)+VLOOKUP(D97,Hipotesis!$D$9:$N$38,10,FALSE)+VLOOKUP(D97,Hipotesis!$D$9:$N$38,11,FALSE))</f>
        <v>0</v>
      </c>
      <c r="U97">
        <v>0</v>
      </c>
      <c r="V97">
        <f>G97*VLOOKUP(D97,Hipotesis!$D$9:$S$38,16,FALSE)+((VLOOKUP(D97,Hipotesis!$D$9:$T$38,17,FALSE)/$B$4)*M96)/12</f>
        <v>1.0014411816175637E-2</v>
      </c>
      <c r="W97">
        <f>(1+VLOOKUP(D97,Hipotesis!$D$9:$P$38,13,FALSE))^(1/12)-1</f>
        <v>0</v>
      </c>
      <c r="X97">
        <f t="shared" si="37"/>
        <v>0</v>
      </c>
      <c r="Y97">
        <f t="shared" si="26"/>
        <v>0.44985816726831057</v>
      </c>
      <c r="Z97">
        <f>(1+VLOOKUP(D97,Hipotesis!$D$9:$O$38,12,))^(1/12)-1</f>
        <v>3.5418311464792129E-3</v>
      </c>
      <c r="AA97">
        <f t="shared" si="38"/>
        <v>0.45247338922493174</v>
      </c>
      <c r="AB97">
        <f t="shared" si="39"/>
        <v>-2.6152219566211625E-3</v>
      </c>
      <c r="AC97" s="68">
        <f t="shared" si="27"/>
        <v>-1.0014411816175637E-2</v>
      </c>
      <c r="AD97">
        <f t="shared" si="28"/>
        <v>-0.72497466210336547</v>
      </c>
      <c r="AE97" s="67">
        <f t="shared" si="29"/>
        <v>0.23443691825936475</v>
      </c>
      <c r="AF97" s="67">
        <f t="shared" si="30"/>
        <v>7.0331075477809424E-2</v>
      </c>
      <c r="AG97" s="67">
        <f t="shared" si="31"/>
        <v>0.16410584278155532</v>
      </c>
    </row>
    <row r="98" spans="4:33" x14ac:dyDescent="0.2">
      <c r="D98" s="50">
        <v>8</v>
      </c>
      <c r="E98">
        <v>12</v>
      </c>
      <c r="F98">
        <f t="shared" si="22"/>
        <v>57</v>
      </c>
      <c r="G98">
        <f t="shared" si="32"/>
        <v>0</v>
      </c>
      <c r="H98" s="64">
        <f>IF(E98="Anual",VLOOKUP(F98,Hipotesis!$E$9:$J$38,6,FALSE),1-(1-VLOOKUP(F98,Hipotesis!$E$9:$J$38,6,FALSE))^(1/12))</f>
        <v>6.2760561269625814E-4</v>
      </c>
      <c r="I98">
        <f t="shared" si="33"/>
        <v>0.24995409722026743</v>
      </c>
      <c r="J98">
        <v>0</v>
      </c>
      <c r="K98">
        <f>1-(1-VLOOKUP(D98,Hipotesis!$D$9:$K$38,8,FALSE))^(1/12)</f>
        <v>5.1430128318229462E-3</v>
      </c>
      <c r="L98">
        <f t="shared" si="34"/>
        <v>2.0470026169550941</v>
      </c>
      <c r="M98">
        <f t="shared" si="35"/>
        <v>395.96923492556954</v>
      </c>
      <c r="N98">
        <f>IF(D98=1,(VLOOKUP(D98,'Primas Netas Y Reservas'!$D$4:$I$33,5,FALSE)+(VLOOKUP(D98,'Primas Netas Y Reservas'!$D$4:$I$33,6,FALSE)-VLOOKUP(D98,'Primas Netas Y Reservas'!$D$4:$I$33,5,FALSE))*(E98/12))/1000,((VLOOKUP(D98-1,'Primas Netas Y Reservas'!$D$4:$I$33,6,FALSE)+VLOOKUP(D98,'Primas Netas Y Reservas'!$D$4:$I$33,5,FALSE))+(VLOOKUP(D98,'Primas Netas Y Reservas'!$D$4:$I$33,6,FALSE)-VLOOKUP(D98-1,'Primas Netas Y Reservas'!$D$4:$I$33,6,FALSE)-VLOOKUP(D98,'Primas Netas Y Reservas'!$D$4:$I$33,5,FALSE))*(E98/12))/1000)</f>
        <v>0.32000937502368226</v>
      </c>
      <c r="O98">
        <f t="shared" si="36"/>
        <v>-0.51782408762228727</v>
      </c>
      <c r="P98">
        <f>VLOOKUP(D98,Hipotesis!$D$9:$S$38,15,FALSE)*N98</f>
        <v>0.23040675001705122</v>
      </c>
      <c r="Q98">
        <f t="shared" si="23"/>
        <v>0.471643220249022</v>
      </c>
      <c r="R98">
        <f t="shared" si="24"/>
        <v>0</v>
      </c>
      <c r="S98">
        <f t="shared" si="25"/>
        <v>0.471643220249022</v>
      </c>
      <c r="T98">
        <f>G98*(VLOOKUP(D98,Hipotesis!$D$9:$N$38,9,FALSE)+VLOOKUP(D98,Hipotesis!$D$9:$N$38,10,FALSE)+VLOOKUP(D98,Hipotesis!$D$9:$N$38,11,FALSE))</f>
        <v>0</v>
      </c>
      <c r="U98">
        <v>0</v>
      </c>
      <c r="V98">
        <f>G98*VLOOKUP(D98,Hipotesis!$D$9:$S$38,16,FALSE)+((VLOOKUP(D98,Hipotesis!$D$9:$T$38,17,FALSE)/$B$4)*M97)/12</f>
        <v>9.9566547909936218E-3</v>
      </c>
      <c r="W98">
        <f>(1+VLOOKUP(D98,Hipotesis!$D$9:$P$38,13,FALSE))^(1/12)-1</f>
        <v>0</v>
      </c>
      <c r="X98">
        <f t="shared" si="37"/>
        <v>0</v>
      </c>
      <c r="Y98">
        <f t="shared" si="26"/>
        <v>0.44803016509125548</v>
      </c>
      <c r="Z98">
        <f>(1+VLOOKUP(D98,Hipotesis!$D$9:$O$38,12,))^(1/12)-1</f>
        <v>3.5418311464792129E-3</v>
      </c>
      <c r="AA98">
        <f t="shared" si="38"/>
        <v>0.45063316771995493</v>
      </c>
      <c r="AB98">
        <f t="shared" si="39"/>
        <v>-2.6030026286994255E-3</v>
      </c>
      <c r="AC98" s="68">
        <f t="shared" si="27"/>
        <v>-9.9566547909936218E-3</v>
      </c>
      <c r="AD98">
        <f t="shared" si="28"/>
        <v>-0.72159731746928946</v>
      </c>
      <c r="AE98" s="67">
        <f t="shared" si="29"/>
        <v>0.23430028045325968</v>
      </c>
      <c r="AF98" s="67">
        <f t="shared" si="30"/>
        <v>7.0290084135977898E-2</v>
      </c>
      <c r="AG98" s="67">
        <f t="shared" si="31"/>
        <v>0.16401019631728178</v>
      </c>
    </row>
    <row r="99" spans="4:33" x14ac:dyDescent="0.2">
      <c r="D99" s="50">
        <v>9</v>
      </c>
      <c r="E99">
        <v>1</v>
      </c>
      <c r="F99">
        <f t="shared" si="22"/>
        <v>58</v>
      </c>
      <c r="G99">
        <f t="shared" si="32"/>
        <v>19.398083166510229</v>
      </c>
      <c r="H99" s="64">
        <f>IF(E99="Anual",VLOOKUP(F99,Hipotesis!$E$9:$J$38,6,FALSE),1-(1-VLOOKUP(F99,Hipotesis!$E$9:$J$38,6,FALSE))^(1/12))</f>
        <v>6.756488615645706E-4</v>
      </c>
      <c r="I99">
        <f t="shared" si="33"/>
        <v>0.26753616279205505</v>
      </c>
      <c r="J99">
        <v>0</v>
      </c>
      <c r="K99">
        <f>1-(1-VLOOKUP(D99,Hipotesis!$D$9:$K$38,8,FALSE))^(1/12)</f>
        <v>5.1430128318229462E-3</v>
      </c>
      <c r="L99">
        <f t="shared" si="34"/>
        <v>2.0350989143111025</v>
      </c>
      <c r="M99">
        <f t="shared" si="35"/>
        <v>393.66659984846638</v>
      </c>
      <c r="N99">
        <f>IF(D99=1,(VLOOKUP(D99,'Primas Netas Y Reservas'!$D$4:$I$33,5,FALSE)+(VLOOKUP(D99,'Primas Netas Y Reservas'!$D$4:$I$33,6,FALSE)-VLOOKUP(D99,'Primas Netas Y Reservas'!$D$4:$I$33,5,FALSE))*(E99/12))/1000,((VLOOKUP(D99-1,'Primas Netas Y Reservas'!$D$4:$I$33,6,FALSE)+VLOOKUP(D99,'Primas Netas Y Reservas'!$D$4:$I$33,5,FALSE))+(VLOOKUP(D99,'Primas Netas Y Reservas'!$D$4:$I$33,6,FALSE)-VLOOKUP(D99-1,'Primas Netas Y Reservas'!$D$4:$I$33,6,FALSE)-VLOOKUP(D99,'Primas Netas Y Reservas'!$D$4:$I$33,5,FALSE))*(E99/12))/1000)</f>
        <v>0.3659150475476976</v>
      </c>
      <c r="O99">
        <f t="shared" si="36"/>
        <v>17.334665204354891</v>
      </c>
      <c r="P99">
        <f>VLOOKUP(D99,Hipotesis!$D$9:$S$38,15,FALSE)*N99</f>
        <v>0.29273203803815812</v>
      </c>
      <c r="Q99">
        <f t="shared" si="23"/>
        <v>0.59573865279553195</v>
      </c>
      <c r="R99">
        <f t="shared" si="24"/>
        <v>0</v>
      </c>
      <c r="S99">
        <f t="shared" si="25"/>
        <v>0.59573865279553195</v>
      </c>
      <c r="T99">
        <f>G99*(VLOOKUP(D99,Hipotesis!$D$9:$N$38,9,FALSE)+VLOOKUP(D99,Hipotesis!$D$9:$N$38,10,FALSE)+VLOOKUP(D99,Hipotesis!$D$9:$N$38,11,FALSE))</f>
        <v>1.5518466533208184</v>
      </c>
      <c r="U99">
        <v>0</v>
      </c>
      <c r="V99">
        <f>G99*VLOOKUP(D99,Hipotesis!$D$9:$S$38,16,FALSE)+((VLOOKUP(D99,Hipotesis!$D$9:$T$38,17,FALSE)/$B$4)*M98)/12</f>
        <v>0.88281297336609954</v>
      </c>
      <c r="W99">
        <f>(1+VLOOKUP(D99,Hipotesis!$D$9:$P$38,13,FALSE))^(1/12)-1</f>
        <v>0</v>
      </c>
      <c r="X99">
        <f t="shared" si="37"/>
        <v>0</v>
      </c>
      <c r="Y99">
        <f t="shared" si="26"/>
        <v>0.44312785284102629</v>
      </c>
      <c r="Z99">
        <f>(1+VLOOKUP(D99,Hipotesis!$D$9:$O$38,12,))^(1/12)-1</f>
        <v>3.0997565862644905E-3</v>
      </c>
      <c r="AA99">
        <f t="shared" si="38"/>
        <v>0.39278214503532111</v>
      </c>
      <c r="AB99">
        <f t="shared" si="39"/>
        <v>5.0345707805705187E-2</v>
      </c>
      <c r="AC99" s="68">
        <f t="shared" si="27"/>
        <v>16.96342353982331</v>
      </c>
      <c r="AD99">
        <f t="shared" si="28"/>
        <v>-0.86327481558758701</v>
      </c>
      <c r="AE99" s="67">
        <f t="shared" si="29"/>
        <v>-0.79138862727814063</v>
      </c>
      <c r="AF99" s="67">
        <f t="shared" si="30"/>
        <v>-0.23741658818344219</v>
      </c>
      <c r="AG99" s="67">
        <f t="shared" si="31"/>
        <v>-0.5539720390946985</v>
      </c>
    </row>
    <row r="100" spans="4:33" x14ac:dyDescent="0.2">
      <c r="D100" s="50">
        <v>9</v>
      </c>
      <c r="E100">
        <v>2</v>
      </c>
      <c r="F100">
        <f t="shared" si="22"/>
        <v>58</v>
      </c>
      <c r="G100">
        <f t="shared" si="32"/>
        <v>0</v>
      </c>
      <c r="H100" s="64">
        <f>IF(E100="Anual",VLOOKUP(F100,Hipotesis!$E$9:$J$38,6,FALSE),1-(1-VLOOKUP(F100,Hipotesis!$E$9:$J$38,6,FALSE))^(1/12))</f>
        <v>6.756488615645706E-4</v>
      </c>
      <c r="I100">
        <f t="shared" si="33"/>
        <v>0.26598039002361168</v>
      </c>
      <c r="J100">
        <v>0</v>
      </c>
      <c r="K100">
        <f>1-(1-VLOOKUP(D100,Hipotesis!$D$9:$K$38,8,FALSE))^(1/12)</f>
        <v>5.1430128318229462E-3</v>
      </c>
      <c r="L100">
        <f t="shared" si="34"/>
        <v>2.0232644339218671</v>
      </c>
      <c r="M100">
        <f t="shared" si="35"/>
        <v>391.37735502452085</v>
      </c>
      <c r="N100">
        <f>IF(D100=1,(VLOOKUP(D100,'Primas Netas Y Reservas'!$D$4:$I$33,5,FALSE)+(VLOOKUP(D100,'Primas Netas Y Reservas'!$D$4:$I$33,6,FALSE)-VLOOKUP(D100,'Primas Netas Y Reservas'!$D$4:$I$33,5,FALSE))*(E100/12))/1000,((VLOOKUP(D100-1,'Primas Netas Y Reservas'!$D$4:$I$33,6,FALSE)+VLOOKUP(D100,'Primas Netas Y Reservas'!$D$4:$I$33,5,FALSE))+(VLOOKUP(D100,'Primas Netas Y Reservas'!$D$4:$I$33,6,FALSE)-VLOOKUP(D100-1,'Primas Netas Y Reservas'!$D$4:$I$33,6,FALSE)-VLOOKUP(D100,'Primas Netas Y Reservas'!$D$4:$I$33,5,FALSE))*(E100/12))/1000)</f>
        <v>0.36666026806298363</v>
      </c>
      <c r="O100">
        <f t="shared" si="36"/>
        <v>-0.54600669441967398</v>
      </c>
      <c r="P100">
        <f>VLOOKUP(D100,Hipotesis!$D$9:$S$38,15,FALSE)*N100</f>
        <v>0.29332821445038693</v>
      </c>
      <c r="Q100">
        <f t="shared" si="23"/>
        <v>0.59348054376327408</v>
      </c>
      <c r="R100">
        <f t="shared" si="24"/>
        <v>0</v>
      </c>
      <c r="S100">
        <f t="shared" si="25"/>
        <v>0.59348054376327408</v>
      </c>
      <c r="T100">
        <f>G100*(VLOOKUP(D100,Hipotesis!$D$9:$N$38,9,FALSE)+VLOOKUP(D100,Hipotesis!$D$9:$N$38,10,FALSE)+VLOOKUP(D100,Hipotesis!$D$9:$N$38,11,FALSE))</f>
        <v>0</v>
      </c>
      <c r="U100">
        <v>0</v>
      </c>
      <c r="V100">
        <f>G100*VLOOKUP(D100,Hipotesis!$D$9:$S$38,16,FALSE)+((VLOOKUP(D100,Hipotesis!$D$9:$T$38,17,FALSE)/$B$4)*M99)/12</f>
        <v>9.8416649962116583E-3</v>
      </c>
      <c r="W100">
        <f>(1+VLOOKUP(D100,Hipotesis!$D$9:$P$38,13,FALSE))^(1/12)-1</f>
        <v>0</v>
      </c>
      <c r="X100">
        <f t="shared" si="37"/>
        <v>0</v>
      </c>
      <c r="Y100">
        <f t="shared" si="26"/>
        <v>0.4438089391119443</v>
      </c>
      <c r="Z100">
        <f>(1+VLOOKUP(D100,Hipotesis!$D$9:$O$38,12,))^(1/12)-1</f>
        <v>3.0997565862644905E-3</v>
      </c>
      <c r="AA100">
        <f t="shared" si="38"/>
        <v>0.44651538767321003</v>
      </c>
      <c r="AB100">
        <f t="shared" si="39"/>
        <v>-2.7064485612657021E-3</v>
      </c>
      <c r="AC100" s="68">
        <f t="shared" si="27"/>
        <v>-9.8416649962116583E-3</v>
      </c>
      <c r="AD100">
        <f t="shared" si="28"/>
        <v>-0.85946093378688571</v>
      </c>
      <c r="AE100" s="67">
        <f t="shared" si="29"/>
        <v>0.12051303474852086</v>
      </c>
      <c r="AF100" s="67">
        <f t="shared" si="30"/>
        <v>3.6153910424556256E-2</v>
      </c>
      <c r="AG100" s="67">
        <f t="shared" si="31"/>
        <v>8.4359124323964613E-2</v>
      </c>
    </row>
    <row r="101" spans="4:33" x14ac:dyDescent="0.2">
      <c r="D101" s="50">
        <v>9</v>
      </c>
      <c r="E101">
        <v>3</v>
      </c>
      <c r="F101">
        <f t="shared" si="22"/>
        <v>58</v>
      </c>
      <c r="G101">
        <f t="shared" si="32"/>
        <v>0</v>
      </c>
      <c r="H101" s="64">
        <f>IF(E101="Anual",VLOOKUP(F101,Hipotesis!$E$9:$J$38,6,FALSE),1-(1-VLOOKUP(F101,Hipotesis!$E$9:$J$38,6,FALSE))^(1/12))</f>
        <v>6.756488615645706E-4</v>
      </c>
      <c r="I101">
        <f t="shared" si="33"/>
        <v>0.2644336643644703</v>
      </c>
      <c r="J101">
        <v>0</v>
      </c>
      <c r="K101">
        <f>1-(1-VLOOKUP(D101,Hipotesis!$D$9:$K$38,8,FALSE))^(1/12)</f>
        <v>5.1430128318229462E-3</v>
      </c>
      <c r="L101">
        <f t="shared" si="34"/>
        <v>2.0114987732470433</v>
      </c>
      <c r="M101">
        <f t="shared" si="35"/>
        <v>389.10142258690934</v>
      </c>
      <c r="N101">
        <f>IF(D101=1,(VLOOKUP(D101,'Primas Netas Y Reservas'!$D$4:$I$33,5,FALSE)+(VLOOKUP(D101,'Primas Netas Y Reservas'!$D$4:$I$33,6,FALSE)-VLOOKUP(D101,'Primas Netas Y Reservas'!$D$4:$I$33,5,FALSE))*(E101/12))/1000,((VLOOKUP(D101-1,'Primas Netas Y Reservas'!$D$4:$I$33,6,FALSE)+VLOOKUP(D101,'Primas Netas Y Reservas'!$D$4:$I$33,5,FALSE))+(VLOOKUP(D101,'Primas Netas Y Reservas'!$D$4:$I$33,6,FALSE)-VLOOKUP(D101-1,'Primas Netas Y Reservas'!$D$4:$I$33,6,FALSE)-VLOOKUP(D101,'Primas Netas Y Reservas'!$D$4:$I$33,5,FALSE))*(E101/12))/1000)</f>
        <v>0.36740548857826966</v>
      </c>
      <c r="O101">
        <f t="shared" si="36"/>
        <v>-0.54452763502914081</v>
      </c>
      <c r="P101">
        <f>VLOOKUP(D101,Hipotesis!$D$9:$S$38,15,FALSE)*N101</f>
        <v>0.29392439086261574</v>
      </c>
      <c r="Q101">
        <f t="shared" si="23"/>
        <v>0.59122855164753596</v>
      </c>
      <c r="R101">
        <f t="shared" si="24"/>
        <v>0</v>
      </c>
      <c r="S101">
        <f t="shared" si="25"/>
        <v>0.59122855164753596</v>
      </c>
      <c r="T101">
        <f>G101*(VLOOKUP(D101,Hipotesis!$D$9:$N$38,9,FALSE)+VLOOKUP(D101,Hipotesis!$D$9:$N$38,10,FALSE)+VLOOKUP(D101,Hipotesis!$D$9:$N$38,11,FALSE))</f>
        <v>0</v>
      </c>
      <c r="U101">
        <v>0</v>
      </c>
      <c r="V101">
        <f>G101*VLOOKUP(D101,Hipotesis!$D$9:$S$38,16,FALSE)+((VLOOKUP(D101,Hipotesis!$D$9:$T$38,17,FALSE)/$B$4)*M100)/12</f>
        <v>9.78443387561302E-3</v>
      </c>
      <c r="W101">
        <f>(1+VLOOKUP(D101,Hipotesis!$D$9:$P$38,13,FALSE))^(1/12)-1</f>
        <v>0</v>
      </c>
      <c r="X101">
        <f t="shared" si="37"/>
        <v>0</v>
      </c>
      <c r="Y101">
        <f t="shared" si="26"/>
        <v>0.44212845077254642</v>
      </c>
      <c r="Z101">
        <f>(1+VLOOKUP(D101,Hipotesis!$D$9:$O$38,12,))^(1/12)-1</f>
        <v>3.0997565862644905E-3</v>
      </c>
      <c r="AA101">
        <f t="shared" si="38"/>
        <v>0.44482289982603818</v>
      </c>
      <c r="AB101">
        <f t="shared" si="39"/>
        <v>-2.6944490534917291E-3</v>
      </c>
      <c r="AC101" s="68">
        <f t="shared" si="27"/>
        <v>-9.78443387561302E-3</v>
      </c>
      <c r="AD101">
        <f t="shared" si="28"/>
        <v>-0.8556622160120062</v>
      </c>
      <c r="AE101" s="67">
        <f t="shared" si="29"/>
        <v>0.12120943591406795</v>
      </c>
      <c r="AF101" s="67">
        <f t="shared" si="30"/>
        <v>3.6362830774220381E-2</v>
      </c>
      <c r="AG101" s="67">
        <f t="shared" si="31"/>
        <v>8.484660513984757E-2</v>
      </c>
    </row>
    <row r="102" spans="4:33" x14ac:dyDescent="0.2">
      <c r="D102" s="50">
        <v>9</v>
      </c>
      <c r="E102">
        <v>4</v>
      </c>
      <c r="F102">
        <f t="shared" si="22"/>
        <v>58</v>
      </c>
      <c r="G102">
        <f t="shared" si="32"/>
        <v>0</v>
      </c>
      <c r="H102" s="64">
        <f>IF(E102="Anual",VLOOKUP(F102,Hipotesis!$E$9:$J$38,6,FALSE),1-(1-VLOOKUP(F102,Hipotesis!$E$9:$J$38,6,FALSE))^(1/12))</f>
        <v>6.756488615645706E-4</v>
      </c>
      <c r="I102">
        <f t="shared" si="33"/>
        <v>0.26289593320400018</v>
      </c>
      <c r="J102">
        <v>0</v>
      </c>
      <c r="K102">
        <f>1-(1-VLOOKUP(D102,Hipotesis!$D$9:$K$38,8,FALSE))^(1/12)</f>
        <v>5.1430128318229462E-3</v>
      </c>
      <c r="L102">
        <f t="shared" si="34"/>
        <v>1.9998015320871352</v>
      </c>
      <c r="M102">
        <f t="shared" si="35"/>
        <v>386.83872512161821</v>
      </c>
      <c r="N102">
        <f>IF(D102=1,(VLOOKUP(D102,'Primas Netas Y Reservas'!$D$4:$I$33,5,FALSE)+(VLOOKUP(D102,'Primas Netas Y Reservas'!$D$4:$I$33,6,FALSE)-VLOOKUP(D102,'Primas Netas Y Reservas'!$D$4:$I$33,5,FALSE))*(E102/12))/1000,((VLOOKUP(D102-1,'Primas Netas Y Reservas'!$D$4:$I$33,6,FALSE)+VLOOKUP(D102,'Primas Netas Y Reservas'!$D$4:$I$33,5,FALSE))+(VLOOKUP(D102,'Primas Netas Y Reservas'!$D$4:$I$33,6,FALSE)-VLOOKUP(D102-1,'Primas Netas Y Reservas'!$D$4:$I$33,6,FALSE)-VLOOKUP(D102,'Primas Netas Y Reservas'!$D$4:$I$33,5,FALSE))*(E102/12))/1000)</f>
        <v>0.36815070909355568</v>
      </c>
      <c r="O102">
        <f t="shared" si="36"/>
        <v>-0.54304731367238901</v>
      </c>
      <c r="P102">
        <f>VLOOKUP(D102,Hipotesis!$D$9:$S$38,15,FALSE)*N102</f>
        <v>0.29452056727484455</v>
      </c>
      <c r="Q102">
        <f t="shared" si="23"/>
        <v>0.5889826816674063</v>
      </c>
      <c r="R102">
        <f t="shared" si="24"/>
        <v>0</v>
      </c>
      <c r="S102">
        <f t="shared" si="25"/>
        <v>0.5889826816674063</v>
      </c>
      <c r="T102">
        <f>G102*(VLOOKUP(D102,Hipotesis!$D$9:$N$38,9,FALSE)+VLOOKUP(D102,Hipotesis!$D$9:$N$38,10,FALSE)+VLOOKUP(D102,Hipotesis!$D$9:$N$38,11,FALSE))</f>
        <v>0</v>
      </c>
      <c r="U102">
        <v>0</v>
      </c>
      <c r="V102">
        <f>G102*VLOOKUP(D102,Hipotesis!$D$9:$S$38,16,FALSE)+((VLOOKUP(D102,Hipotesis!$D$9:$T$38,17,FALSE)/$B$4)*M101)/12</f>
        <v>9.7275355646727329E-3</v>
      </c>
      <c r="W102">
        <f>(1+VLOOKUP(D102,Hipotesis!$D$9:$P$38,13,FALSE))^(1/12)-1</f>
        <v>0</v>
      </c>
      <c r="X102">
        <f t="shared" si="37"/>
        <v>0</v>
      </c>
      <c r="Y102">
        <f t="shared" si="26"/>
        <v>0.44045249912081791</v>
      </c>
      <c r="Z102">
        <f>(1+VLOOKUP(D102,Hipotesis!$D$9:$O$38,12,))^(1/12)-1</f>
        <v>3.0997565862644905E-3</v>
      </c>
      <c r="AA102">
        <f t="shared" si="38"/>
        <v>0.44313499670295353</v>
      </c>
      <c r="AB102">
        <f t="shared" si="39"/>
        <v>-2.6824975821356017E-3</v>
      </c>
      <c r="AC102" s="68">
        <f t="shared" si="27"/>
        <v>-9.7275355646727329E-3</v>
      </c>
      <c r="AD102">
        <f t="shared" si="28"/>
        <v>-0.85187861487140648</v>
      </c>
      <c r="AE102" s="67">
        <f t="shared" si="29"/>
        <v>0.1218936623571277</v>
      </c>
      <c r="AF102" s="67">
        <f t="shared" si="30"/>
        <v>3.6568098707138307E-2</v>
      </c>
      <c r="AG102" s="67">
        <f t="shared" si="31"/>
        <v>8.5325563649989389E-2</v>
      </c>
    </row>
    <row r="103" spans="4:33" x14ac:dyDescent="0.2">
      <c r="D103" s="50">
        <v>9</v>
      </c>
      <c r="E103">
        <v>5</v>
      </c>
      <c r="F103">
        <f t="shared" si="22"/>
        <v>58</v>
      </c>
      <c r="G103">
        <f t="shared" si="32"/>
        <v>0</v>
      </c>
      <c r="H103" s="64">
        <f>IF(E103="Anual",VLOOKUP(F103,Hipotesis!$E$9:$J$38,6,FALSE),1-(1-VLOOKUP(F103,Hipotesis!$E$9:$J$38,6,FALSE))^(1/12))</f>
        <v>6.756488615645706E-4</v>
      </c>
      <c r="I103">
        <f t="shared" si="33"/>
        <v>0.26136714423751123</v>
      </c>
      <c r="J103">
        <v>0</v>
      </c>
      <c r="K103">
        <f>1-(1-VLOOKUP(D103,Hipotesis!$D$9:$K$38,8,FALSE))^(1/12)</f>
        <v>5.1430128318229462E-3</v>
      </c>
      <c r="L103">
        <f t="shared" si="34"/>
        <v>1.9881723125698816</v>
      </c>
      <c r="M103">
        <f t="shared" si="35"/>
        <v>384.58918566481083</v>
      </c>
      <c r="N103">
        <f>IF(D103=1,(VLOOKUP(D103,'Primas Netas Y Reservas'!$D$4:$I$33,5,FALSE)+(VLOOKUP(D103,'Primas Netas Y Reservas'!$D$4:$I$33,6,FALSE)-VLOOKUP(D103,'Primas Netas Y Reservas'!$D$4:$I$33,5,FALSE))*(E103/12))/1000,((VLOOKUP(D103-1,'Primas Netas Y Reservas'!$D$4:$I$33,6,FALSE)+VLOOKUP(D103,'Primas Netas Y Reservas'!$D$4:$I$33,5,FALSE))+(VLOOKUP(D103,'Primas Netas Y Reservas'!$D$4:$I$33,6,FALSE)-VLOOKUP(D103-1,'Primas Netas Y Reservas'!$D$4:$I$33,6,FALSE)-VLOOKUP(D103,'Primas Netas Y Reservas'!$D$4:$I$33,5,FALSE))*(E103/12))/1000)</f>
        <v>0.36889592960884177</v>
      </c>
      <c r="O103">
        <f t="shared" si="36"/>
        <v>-0.54156579504297042</v>
      </c>
      <c r="P103">
        <f>VLOOKUP(D103,Hipotesis!$D$9:$S$38,15,FALSE)*N103</f>
        <v>0.29511674368707341</v>
      </c>
      <c r="Q103">
        <f t="shared" si="23"/>
        <v>0.58674293877442174</v>
      </c>
      <c r="R103">
        <f t="shared" si="24"/>
        <v>0</v>
      </c>
      <c r="S103">
        <f t="shared" si="25"/>
        <v>0.58674293877442174</v>
      </c>
      <c r="T103">
        <f>G103*(VLOOKUP(D103,Hipotesis!$D$9:$N$38,9,FALSE)+VLOOKUP(D103,Hipotesis!$D$9:$N$38,10,FALSE)+VLOOKUP(D103,Hipotesis!$D$9:$N$38,11,FALSE))</f>
        <v>0</v>
      </c>
      <c r="U103">
        <v>0</v>
      </c>
      <c r="V103">
        <f>G103*VLOOKUP(D103,Hipotesis!$D$9:$S$38,16,FALSE)+((VLOOKUP(D103,Hipotesis!$D$9:$T$38,17,FALSE)/$B$4)*M102)/12</f>
        <v>9.6709681280404535E-3</v>
      </c>
      <c r="W103">
        <f>(1+VLOOKUP(D103,Hipotesis!$D$9:$P$38,13,FALSE))^(1/12)-1</f>
        <v>0</v>
      </c>
      <c r="X103">
        <f t="shared" si="37"/>
        <v>0</v>
      </c>
      <c r="Y103">
        <f t="shared" si="26"/>
        <v>0.43878108822144835</v>
      </c>
      <c r="Z103">
        <f>(1+VLOOKUP(D103,Hipotesis!$D$9:$O$38,12,))^(1/12)-1</f>
        <v>3.0997565862644905E-3</v>
      </c>
      <c r="AA103">
        <f t="shared" si="38"/>
        <v>0.44145168221574432</v>
      </c>
      <c r="AB103">
        <f t="shared" si="39"/>
        <v>-2.6705939942959609E-3</v>
      </c>
      <c r="AC103" s="68">
        <f t="shared" si="27"/>
        <v>-9.6709681280404535E-3</v>
      </c>
      <c r="AD103">
        <f t="shared" si="28"/>
        <v>-0.84811008301193302</v>
      </c>
      <c r="AE103" s="67">
        <f t="shared" si="29"/>
        <v>0.12256583212444534</v>
      </c>
      <c r="AF103" s="67">
        <f t="shared" si="30"/>
        <v>3.67697496373336E-2</v>
      </c>
      <c r="AG103" s="67">
        <f t="shared" si="31"/>
        <v>8.5796082487111736E-2</v>
      </c>
    </row>
    <row r="104" spans="4:33" x14ac:dyDescent="0.2">
      <c r="D104" s="50">
        <v>9</v>
      </c>
      <c r="E104">
        <v>6</v>
      </c>
      <c r="F104">
        <f t="shared" si="22"/>
        <v>58</v>
      </c>
      <c r="G104">
        <f t="shared" si="32"/>
        <v>0</v>
      </c>
      <c r="H104" s="64">
        <f>IF(E104="Anual",VLOOKUP(F104,Hipotesis!$E$9:$J$38,6,FALSE),1-(1-VLOOKUP(F104,Hipotesis!$E$9:$J$38,6,FALSE))^(1/12))</f>
        <v>6.756488615645706E-4</v>
      </c>
      <c r="I104">
        <f t="shared" si="33"/>
        <v>0.25984724546447469</v>
      </c>
      <c r="J104">
        <v>0</v>
      </c>
      <c r="K104">
        <f>1-(1-VLOOKUP(D104,Hipotesis!$D$9:$K$38,8,FALSE))^(1/12)</f>
        <v>5.1430128318229462E-3</v>
      </c>
      <c r="L104">
        <f t="shared" si="34"/>
        <v>1.9766107191367219</v>
      </c>
      <c r="M104">
        <f t="shared" si="35"/>
        <v>382.35272770020964</v>
      </c>
      <c r="N104">
        <f>IF(D104=1,(VLOOKUP(D104,'Primas Netas Y Reservas'!$D$4:$I$33,5,FALSE)+(VLOOKUP(D104,'Primas Netas Y Reservas'!$D$4:$I$33,6,FALSE)-VLOOKUP(D104,'Primas Netas Y Reservas'!$D$4:$I$33,5,FALSE))*(E104/12))/1000,((VLOOKUP(D104-1,'Primas Netas Y Reservas'!$D$4:$I$33,6,FALSE)+VLOOKUP(D104,'Primas Netas Y Reservas'!$D$4:$I$33,5,FALSE))+(VLOOKUP(D104,'Primas Netas Y Reservas'!$D$4:$I$33,6,FALSE)-VLOOKUP(D104-1,'Primas Netas Y Reservas'!$D$4:$I$33,6,FALSE)-VLOOKUP(D104,'Primas Netas Y Reservas'!$D$4:$I$33,5,FALSE))*(E104/12))/1000)</f>
        <v>0.36964115012412779</v>
      </c>
      <c r="O104">
        <f t="shared" si="36"/>
        <v>-0.54008314312488892</v>
      </c>
      <c r="P104">
        <f>VLOOKUP(D104,Hipotesis!$D$9:$S$38,15,FALSE)*N104</f>
        <v>0.29571292009930222</v>
      </c>
      <c r="Q104">
        <f t="shared" si="23"/>
        <v>0.58450932765550179</v>
      </c>
      <c r="R104">
        <f t="shared" si="24"/>
        <v>0</v>
      </c>
      <c r="S104">
        <f t="shared" si="25"/>
        <v>0.58450932765550179</v>
      </c>
      <c r="T104">
        <f>G104*(VLOOKUP(D104,Hipotesis!$D$9:$N$38,9,FALSE)+VLOOKUP(D104,Hipotesis!$D$9:$N$38,10,FALSE)+VLOOKUP(D104,Hipotesis!$D$9:$N$38,11,FALSE))</f>
        <v>0</v>
      </c>
      <c r="U104">
        <v>0</v>
      </c>
      <c r="V104">
        <f>G104*VLOOKUP(D104,Hipotesis!$D$9:$S$38,16,FALSE)+((VLOOKUP(D104,Hipotesis!$D$9:$T$38,17,FALSE)/$B$4)*M103)/12</f>
        <v>9.6147296416202697E-3</v>
      </c>
      <c r="W104">
        <f>(1+VLOOKUP(D104,Hipotesis!$D$9:$P$38,13,FALSE))^(1/12)-1</f>
        <v>0</v>
      </c>
      <c r="X104">
        <f t="shared" si="37"/>
        <v>0</v>
      </c>
      <c r="Y104">
        <f t="shared" si="26"/>
        <v>0.43711422193843896</v>
      </c>
      <c r="Z104">
        <f>(1+VLOOKUP(D104,Hipotesis!$D$9:$O$38,12,))^(1/12)-1</f>
        <v>3.0997565862644905E-3</v>
      </c>
      <c r="AA104">
        <f t="shared" si="38"/>
        <v>0.4397729600756643</v>
      </c>
      <c r="AB104">
        <f t="shared" si="39"/>
        <v>-2.6587381372253278E-3</v>
      </c>
      <c r="AC104" s="68">
        <f t="shared" si="27"/>
        <v>-9.6147296416202697E-3</v>
      </c>
      <c r="AD104">
        <f t="shared" si="28"/>
        <v>-0.84435657311997647</v>
      </c>
      <c r="AE104" s="67">
        <f t="shared" si="29"/>
        <v>0.12322606230173114</v>
      </c>
      <c r="AF104" s="67">
        <f t="shared" si="30"/>
        <v>3.6967818690519343E-2</v>
      </c>
      <c r="AG104" s="67">
        <f t="shared" si="31"/>
        <v>8.6258243611211788E-2</v>
      </c>
    </row>
    <row r="105" spans="4:33" x14ac:dyDescent="0.2">
      <c r="D105" s="50">
        <v>9</v>
      </c>
      <c r="E105">
        <v>7</v>
      </c>
      <c r="F105">
        <f t="shared" si="22"/>
        <v>58</v>
      </c>
      <c r="G105">
        <f t="shared" si="32"/>
        <v>0</v>
      </c>
      <c r="H105" s="64">
        <f>IF(E105="Anual",VLOOKUP(F105,Hipotesis!$E$9:$J$38,6,FALSE),1-(1-VLOOKUP(F105,Hipotesis!$E$9:$J$38,6,FALSE))^(1/12))</f>
        <v>6.756488615645706E-4</v>
      </c>
      <c r="I105">
        <f t="shared" si="33"/>
        <v>0.25833618518675489</v>
      </c>
      <c r="J105">
        <v>0</v>
      </c>
      <c r="K105">
        <f>1-(1-VLOOKUP(D105,Hipotesis!$D$9:$K$38,8,FALSE))^(1/12)</f>
        <v>5.1430128318229462E-3</v>
      </c>
      <c r="L105">
        <f t="shared" si="34"/>
        <v>1.9651163585293434</v>
      </c>
      <c r="M105">
        <f t="shared" si="35"/>
        <v>380.12927515649352</v>
      </c>
      <c r="N105">
        <f>IF(D105=1,(VLOOKUP(D105,'Primas Netas Y Reservas'!$D$4:$I$33,5,FALSE)+(VLOOKUP(D105,'Primas Netas Y Reservas'!$D$4:$I$33,6,FALSE)-VLOOKUP(D105,'Primas Netas Y Reservas'!$D$4:$I$33,5,FALSE))*(E105/12))/1000,((VLOOKUP(D105-1,'Primas Netas Y Reservas'!$D$4:$I$33,6,FALSE)+VLOOKUP(D105,'Primas Netas Y Reservas'!$D$4:$I$33,5,FALSE))+(VLOOKUP(D105,'Primas Netas Y Reservas'!$D$4:$I$33,6,FALSE)-VLOOKUP(D105-1,'Primas Netas Y Reservas'!$D$4:$I$33,6,FALSE)-VLOOKUP(D105,'Primas Netas Y Reservas'!$D$4:$I$33,5,FALSE))*(E105/12))/1000)</f>
        <v>0.37038637063941382</v>
      </c>
      <c r="O105">
        <f t="shared" si="36"/>
        <v>-0.5385994211982279</v>
      </c>
      <c r="P105">
        <f>VLOOKUP(D105,Hipotesis!$D$9:$S$38,15,FALSE)*N105</f>
        <v>0.29630909651153109</v>
      </c>
      <c r="Q105">
        <f t="shared" si="23"/>
        <v>0.58228185273585975</v>
      </c>
      <c r="R105">
        <f t="shared" si="24"/>
        <v>0</v>
      </c>
      <c r="S105">
        <f t="shared" si="25"/>
        <v>0.58228185273585975</v>
      </c>
      <c r="T105">
        <f>G105*(VLOOKUP(D105,Hipotesis!$D$9:$N$38,9,FALSE)+VLOOKUP(D105,Hipotesis!$D$9:$N$38,10,FALSE)+VLOOKUP(D105,Hipotesis!$D$9:$N$38,11,FALSE))</f>
        <v>0</v>
      </c>
      <c r="U105">
        <v>0</v>
      </c>
      <c r="V105">
        <f>G105*VLOOKUP(D105,Hipotesis!$D$9:$S$38,16,FALSE)+((VLOOKUP(D105,Hipotesis!$D$9:$T$38,17,FALSE)/$B$4)*M104)/12</f>
        <v>9.5588181925052394E-3</v>
      </c>
      <c r="W105">
        <f>(1+VLOOKUP(D105,Hipotesis!$D$9:$P$38,13,FALSE))^(1/12)-1</f>
        <v>0</v>
      </c>
      <c r="X105">
        <f t="shared" si="37"/>
        <v>0</v>
      </c>
      <c r="Y105">
        <f t="shared" si="26"/>
        <v>0.43545190393729905</v>
      </c>
      <c r="Z105">
        <f>(1+VLOOKUP(D105,Hipotesis!$D$9:$O$38,12,))^(1/12)-1</f>
        <v>3.0997565862644905E-3</v>
      </c>
      <c r="AA105">
        <f t="shared" si="38"/>
        <v>0.43809883379563253</v>
      </c>
      <c r="AB105">
        <f t="shared" si="39"/>
        <v>-2.6469298583334847E-3</v>
      </c>
      <c r="AC105" s="68">
        <f t="shared" si="27"/>
        <v>-9.5588181925052394E-3</v>
      </c>
      <c r="AD105">
        <f t="shared" si="28"/>
        <v>-0.84061803792261469</v>
      </c>
      <c r="AE105" s="67">
        <f t="shared" si="29"/>
        <v>0.12387446902040707</v>
      </c>
      <c r="AF105" s="67">
        <f t="shared" si="30"/>
        <v>3.7162340706122121E-2</v>
      </c>
      <c r="AG105" s="67">
        <f t="shared" si="31"/>
        <v>8.6712128314284945E-2</v>
      </c>
    </row>
    <row r="106" spans="4:33" x14ac:dyDescent="0.2">
      <c r="D106" s="50">
        <v>9</v>
      </c>
      <c r="E106">
        <v>8</v>
      </c>
      <c r="F106">
        <f t="shared" si="22"/>
        <v>58</v>
      </c>
      <c r="G106">
        <f t="shared" si="32"/>
        <v>0</v>
      </c>
      <c r="H106" s="64">
        <f>IF(E106="Anual",VLOOKUP(F106,Hipotesis!$E$9:$J$38,6,FALSE),1-(1-VLOOKUP(F106,Hipotesis!$E$9:$J$38,6,FALSE))^(1/12))</f>
        <v>6.756488615645706E-4</v>
      </c>
      <c r="I106">
        <f t="shared" si="33"/>
        <v>0.25683391200685024</v>
      </c>
      <c r="J106">
        <v>0</v>
      </c>
      <c r="K106">
        <f>1-(1-VLOOKUP(D106,Hipotesis!$D$9:$K$38,8,FALSE))^(1/12)</f>
        <v>5.1430128318229462E-3</v>
      </c>
      <c r="L106">
        <f t="shared" si="34"/>
        <v>1.953688839776303</v>
      </c>
      <c r="M106">
        <f t="shared" si="35"/>
        <v>377.91875240471035</v>
      </c>
      <c r="N106">
        <f>IF(D106=1,(VLOOKUP(D106,'Primas Netas Y Reservas'!$D$4:$I$33,5,FALSE)+(VLOOKUP(D106,'Primas Netas Y Reservas'!$D$4:$I$33,6,FALSE)-VLOOKUP(D106,'Primas Netas Y Reservas'!$D$4:$I$33,5,FALSE))*(E106/12))/1000,((VLOOKUP(D106-1,'Primas Netas Y Reservas'!$D$4:$I$33,6,FALSE)+VLOOKUP(D106,'Primas Netas Y Reservas'!$D$4:$I$33,5,FALSE))+(VLOOKUP(D106,'Primas Netas Y Reservas'!$D$4:$I$33,6,FALSE)-VLOOKUP(D106-1,'Primas Netas Y Reservas'!$D$4:$I$33,6,FALSE)-VLOOKUP(D106,'Primas Netas Y Reservas'!$D$4:$I$33,5,FALSE))*(E106/12))/1000)</f>
        <v>0.3711315911546999</v>
      </c>
      <c r="O106">
        <f t="shared" si="36"/>
        <v>-0.53711469184548832</v>
      </c>
      <c r="P106">
        <f>VLOOKUP(D106,Hipotesis!$D$9:$S$38,15,FALSE)*N106</f>
        <v>0.29690527292375996</v>
      </c>
      <c r="Q106">
        <f t="shared" si="23"/>
        <v>0.5800605181818872</v>
      </c>
      <c r="R106">
        <f t="shared" si="24"/>
        <v>0</v>
      </c>
      <c r="S106">
        <f t="shared" si="25"/>
        <v>0.5800605181818872</v>
      </c>
      <c r="T106">
        <f>G106*(VLOOKUP(D106,Hipotesis!$D$9:$N$38,9,FALSE)+VLOOKUP(D106,Hipotesis!$D$9:$N$38,10,FALSE)+VLOOKUP(D106,Hipotesis!$D$9:$N$38,11,FALSE))</f>
        <v>0</v>
      </c>
      <c r="U106">
        <v>0</v>
      </c>
      <c r="V106">
        <f>G106*VLOOKUP(D106,Hipotesis!$D$9:$S$38,16,FALSE)+((VLOOKUP(D106,Hipotesis!$D$9:$T$38,17,FALSE)/$B$4)*M105)/12</f>
        <v>9.5032318789123379E-3</v>
      </c>
      <c r="W106">
        <f>(1+VLOOKUP(D106,Hipotesis!$D$9:$P$38,13,FALSE))^(1/12)-1</f>
        <v>0</v>
      </c>
      <c r="X106">
        <f t="shared" si="37"/>
        <v>0</v>
      </c>
      <c r="Y106">
        <f t="shared" si="26"/>
        <v>0.43379413768722425</v>
      </c>
      <c r="Z106">
        <f>(1+VLOOKUP(D106,Hipotesis!$D$9:$O$38,12,))^(1/12)-1</f>
        <v>3.0997565862644905E-3</v>
      </c>
      <c r="AA106">
        <f t="shared" si="38"/>
        <v>0.43642930669241509</v>
      </c>
      <c r="AB106">
        <f t="shared" si="39"/>
        <v>-2.6351690051908154E-3</v>
      </c>
      <c r="AC106" s="68">
        <f t="shared" si="27"/>
        <v>-9.5032318789123379E-3</v>
      </c>
      <c r="AD106">
        <f t="shared" si="28"/>
        <v>-0.83689443018873744</v>
      </c>
      <c r="AE106" s="67">
        <f t="shared" si="29"/>
        <v>0.1245111674650628</v>
      </c>
      <c r="AF106" s="67">
        <f t="shared" si="30"/>
        <v>3.7353350239518836E-2</v>
      </c>
      <c r="AG106" s="67">
        <f t="shared" si="31"/>
        <v>8.7157817225543971E-2</v>
      </c>
    </row>
    <row r="107" spans="4:33" x14ac:dyDescent="0.2">
      <c r="D107" s="50">
        <v>9</v>
      </c>
      <c r="E107">
        <v>9</v>
      </c>
      <c r="F107">
        <f t="shared" si="22"/>
        <v>58</v>
      </c>
      <c r="G107">
        <f t="shared" si="32"/>
        <v>0</v>
      </c>
      <c r="H107" s="64">
        <f>IF(E107="Anual",VLOOKUP(F107,Hipotesis!$E$9:$J$38,6,FALSE),1-(1-VLOOKUP(F107,Hipotesis!$E$9:$J$38,6,FALSE))^(1/12))</f>
        <v>6.756488615645706E-4</v>
      </c>
      <c r="I107">
        <f t="shared" si="33"/>
        <v>0.25534037482614536</v>
      </c>
      <c r="J107">
        <v>0</v>
      </c>
      <c r="K107">
        <f>1-(1-VLOOKUP(D107,Hipotesis!$D$9:$K$38,8,FALSE))^(1/12)</f>
        <v>5.1430128318229462E-3</v>
      </c>
      <c r="L107">
        <f t="shared" si="34"/>
        <v>1.9423277741797311</v>
      </c>
      <c r="M107">
        <f t="shared" si="35"/>
        <v>375.72108425570451</v>
      </c>
      <c r="N107">
        <f>IF(D107=1,(VLOOKUP(D107,'Primas Netas Y Reservas'!$D$4:$I$33,5,FALSE)+(VLOOKUP(D107,'Primas Netas Y Reservas'!$D$4:$I$33,6,FALSE)-VLOOKUP(D107,'Primas Netas Y Reservas'!$D$4:$I$33,5,FALSE))*(E107/12))/1000,((VLOOKUP(D107-1,'Primas Netas Y Reservas'!$D$4:$I$33,6,FALSE)+VLOOKUP(D107,'Primas Netas Y Reservas'!$D$4:$I$33,5,FALSE))+(VLOOKUP(D107,'Primas Netas Y Reservas'!$D$4:$I$33,6,FALSE)-VLOOKUP(D107-1,'Primas Netas Y Reservas'!$D$4:$I$33,6,FALSE)-VLOOKUP(D107,'Primas Netas Y Reservas'!$D$4:$I$33,5,FALSE))*(E107/12))/1000)</f>
        <v>0.37187681166998587</v>
      </c>
      <c r="O107">
        <f t="shared" si="36"/>
        <v>-0.53562901695769938</v>
      </c>
      <c r="P107">
        <f>VLOOKUP(D107,Hipotesis!$D$9:$S$38,15,FALSE)*N107</f>
        <v>0.29750144933598871</v>
      </c>
      <c r="Q107">
        <f t="shared" si="23"/>
        <v>0.57784532790401499</v>
      </c>
      <c r="R107">
        <f t="shared" si="24"/>
        <v>0</v>
      </c>
      <c r="S107">
        <f t="shared" si="25"/>
        <v>0.57784532790401499</v>
      </c>
      <c r="T107">
        <f>G107*(VLOOKUP(D107,Hipotesis!$D$9:$N$38,9,FALSE)+VLOOKUP(D107,Hipotesis!$D$9:$N$38,10,FALSE)+VLOOKUP(D107,Hipotesis!$D$9:$N$38,11,FALSE))</f>
        <v>0</v>
      </c>
      <c r="U107">
        <v>0</v>
      </c>
      <c r="V107">
        <f>G107*VLOOKUP(D107,Hipotesis!$D$9:$S$38,16,FALSE)+((VLOOKUP(D107,Hipotesis!$D$9:$T$38,17,FALSE)/$B$4)*M106)/12</f>
        <v>9.4479688101177569E-3</v>
      </c>
      <c r="W107">
        <f>(1+VLOOKUP(D107,Hipotesis!$D$9:$P$38,13,FALSE))^(1/12)-1</f>
        <v>0</v>
      </c>
      <c r="X107">
        <f t="shared" si="37"/>
        <v>0</v>
      </c>
      <c r="Y107">
        <f t="shared" si="26"/>
        <v>0.43214092646325597</v>
      </c>
      <c r="Z107">
        <f>(1+VLOOKUP(D107,Hipotesis!$D$9:$O$38,12,))^(1/12)-1</f>
        <v>3.0997565862644905E-3</v>
      </c>
      <c r="AA107">
        <f t="shared" si="38"/>
        <v>0.43476438188878758</v>
      </c>
      <c r="AB107">
        <f t="shared" si="39"/>
        <v>-2.6234554255315907E-3</v>
      </c>
      <c r="AC107" s="68">
        <f t="shared" si="27"/>
        <v>-9.4479688101177569E-3</v>
      </c>
      <c r="AD107">
        <f t="shared" si="28"/>
        <v>-0.83318570273016035</v>
      </c>
      <c r="AE107" s="67">
        <f t="shared" si="29"/>
        <v>0.12513627188067725</v>
      </c>
      <c r="AF107" s="67">
        <f t="shared" si="30"/>
        <v>3.7540881564203175E-2</v>
      </c>
      <c r="AG107" s="67">
        <f t="shared" si="31"/>
        <v>8.7595390316474064E-2</v>
      </c>
    </row>
    <row r="108" spans="4:33" x14ac:dyDescent="0.2">
      <c r="D108" s="50">
        <v>9</v>
      </c>
      <c r="E108">
        <v>10</v>
      </c>
      <c r="F108">
        <f t="shared" si="22"/>
        <v>58</v>
      </c>
      <c r="G108">
        <f t="shared" si="32"/>
        <v>0</v>
      </c>
      <c r="H108" s="64">
        <f>IF(E108="Anual",VLOOKUP(F108,Hipotesis!$E$9:$J$38,6,FALSE),1-(1-VLOOKUP(F108,Hipotesis!$E$9:$J$38,6,FALSE))^(1/12))</f>
        <v>6.756488615645706E-4</v>
      </c>
      <c r="I108">
        <f t="shared" si="33"/>
        <v>0.25385552284317286</v>
      </c>
      <c r="J108">
        <v>0</v>
      </c>
      <c r="K108">
        <f>1-(1-VLOOKUP(D108,Hipotesis!$D$9:$K$38,8,FALSE))^(1/12)</f>
        <v>5.1430128318229462E-3</v>
      </c>
      <c r="L108">
        <f t="shared" si="34"/>
        <v>1.931032775302107</v>
      </c>
      <c r="M108">
        <f t="shared" si="35"/>
        <v>373.53619595755919</v>
      </c>
      <c r="N108">
        <f>IF(D108=1,(VLOOKUP(D108,'Primas Netas Y Reservas'!$D$4:$I$33,5,FALSE)+(VLOOKUP(D108,'Primas Netas Y Reservas'!$D$4:$I$33,6,FALSE)-VLOOKUP(D108,'Primas Netas Y Reservas'!$D$4:$I$33,5,FALSE))*(E108/12))/1000,((VLOOKUP(D108-1,'Primas Netas Y Reservas'!$D$4:$I$33,6,FALSE)+VLOOKUP(D108,'Primas Netas Y Reservas'!$D$4:$I$33,5,FALSE))+(VLOOKUP(D108,'Primas Netas Y Reservas'!$D$4:$I$33,6,FALSE)-VLOOKUP(D108-1,'Primas Netas Y Reservas'!$D$4:$I$33,6,FALSE)-VLOOKUP(D108,'Primas Netas Y Reservas'!$D$4:$I$33,5,FALSE))*(E108/12))/1000)</f>
        <v>0.37262203218527196</v>
      </c>
      <c r="O108">
        <f t="shared" si="36"/>
        <v>-0.53414245773987545</v>
      </c>
      <c r="P108">
        <f>VLOOKUP(D108,Hipotesis!$D$9:$S$38,15,FALSE)*N108</f>
        <v>0.29809762574821758</v>
      </c>
      <c r="Q108">
        <f t="shared" si="23"/>
        <v>0.57563628555954938</v>
      </c>
      <c r="R108">
        <f t="shared" si="24"/>
        <v>0</v>
      </c>
      <c r="S108">
        <f t="shared" si="25"/>
        <v>0.57563628555954938</v>
      </c>
      <c r="T108">
        <f>G108*(VLOOKUP(D108,Hipotesis!$D$9:$N$38,9,FALSE)+VLOOKUP(D108,Hipotesis!$D$9:$N$38,10,FALSE)+VLOOKUP(D108,Hipotesis!$D$9:$N$38,11,FALSE))</f>
        <v>0</v>
      </c>
      <c r="U108">
        <v>0</v>
      </c>
      <c r="V108">
        <f>G108*VLOOKUP(D108,Hipotesis!$D$9:$S$38,16,FALSE)+((VLOOKUP(D108,Hipotesis!$D$9:$T$38,17,FALSE)/$B$4)*M107)/12</f>
        <v>9.3930271063926117E-3</v>
      </c>
      <c r="W108">
        <f>(1+VLOOKUP(D108,Hipotesis!$D$9:$P$38,13,FALSE))^(1/12)-1</f>
        <v>0</v>
      </c>
      <c r="X108">
        <f t="shared" si="37"/>
        <v>0</v>
      </c>
      <c r="Y108">
        <f t="shared" si="26"/>
        <v>0.43049227334842138</v>
      </c>
      <c r="Z108">
        <f>(1+VLOOKUP(D108,Hipotesis!$D$9:$O$38,12,))^(1/12)-1</f>
        <v>3.0997565862644905E-3</v>
      </c>
      <c r="AA108">
        <f t="shared" si="38"/>
        <v>0.43310406231567861</v>
      </c>
      <c r="AB108">
        <f t="shared" si="39"/>
        <v>-2.6117889672572238E-3</v>
      </c>
      <c r="AC108" s="68">
        <f t="shared" si="27"/>
        <v>-9.3930271063926117E-3</v>
      </c>
      <c r="AD108">
        <f t="shared" si="28"/>
        <v>-0.8294918084027223</v>
      </c>
      <c r="AE108" s="67">
        <f t="shared" si="29"/>
        <v>0.12574989557918198</v>
      </c>
      <c r="AF108" s="67">
        <f t="shared" si="30"/>
        <v>3.7724968673754591E-2</v>
      </c>
      <c r="AG108" s="67">
        <f t="shared" si="31"/>
        <v>8.8024926905427389E-2</v>
      </c>
    </row>
    <row r="109" spans="4:33" x14ac:dyDescent="0.2">
      <c r="D109" s="50">
        <v>9</v>
      </c>
      <c r="E109">
        <v>11</v>
      </c>
      <c r="F109">
        <f t="shared" si="22"/>
        <v>58</v>
      </c>
      <c r="G109">
        <f t="shared" si="32"/>
        <v>0</v>
      </c>
      <c r="H109" s="64">
        <f>IF(E109="Anual",VLOOKUP(F109,Hipotesis!$E$9:$J$38,6,FALSE),1-(1-VLOOKUP(F109,Hipotesis!$E$9:$J$38,6,FALSE))^(1/12))</f>
        <v>6.756488615645706E-4</v>
      </c>
      <c r="I109">
        <f t="shared" si="33"/>
        <v>0.25237930555188526</v>
      </c>
      <c r="J109">
        <v>0</v>
      </c>
      <c r="K109">
        <f>1-(1-VLOOKUP(D109,Hipotesis!$D$9:$K$38,8,FALSE))^(1/12)</f>
        <v>5.1430128318229462E-3</v>
      </c>
      <c r="L109">
        <f t="shared" si="34"/>
        <v>1.9198034589531177</v>
      </c>
      <c r="M109">
        <f t="shared" si="35"/>
        <v>371.36401319305418</v>
      </c>
      <c r="N109">
        <f>IF(D109=1,(VLOOKUP(D109,'Primas Netas Y Reservas'!$D$4:$I$33,5,FALSE)+(VLOOKUP(D109,'Primas Netas Y Reservas'!$D$4:$I$33,6,FALSE)-VLOOKUP(D109,'Primas Netas Y Reservas'!$D$4:$I$33,5,FALSE))*(E109/12))/1000,((VLOOKUP(D109-1,'Primas Netas Y Reservas'!$D$4:$I$33,6,FALSE)+VLOOKUP(D109,'Primas Netas Y Reservas'!$D$4:$I$33,5,FALSE))+(VLOOKUP(D109,'Primas Netas Y Reservas'!$D$4:$I$33,6,FALSE)-VLOOKUP(D109-1,'Primas Netas Y Reservas'!$D$4:$I$33,6,FALSE)-VLOOKUP(D109,'Primas Netas Y Reservas'!$D$4:$I$33,5,FALSE))*(E109/12))/1000)</f>
        <v>0.37336725270055804</v>
      </c>
      <c r="O109">
        <f t="shared" si="36"/>
        <v>-0.5326550747172405</v>
      </c>
      <c r="P109">
        <f>VLOOKUP(D109,Hipotesis!$D$9:$S$38,15,FALSE)*N109</f>
        <v>0.29869380216044644</v>
      </c>
      <c r="Q109">
        <f t="shared" si="23"/>
        <v>0.57343339455548326</v>
      </c>
      <c r="R109">
        <f t="shared" si="24"/>
        <v>0</v>
      </c>
      <c r="S109">
        <f t="shared" si="25"/>
        <v>0.57343339455548326</v>
      </c>
      <c r="T109">
        <f>G109*(VLOOKUP(D109,Hipotesis!$D$9:$N$38,9,FALSE)+VLOOKUP(D109,Hipotesis!$D$9:$N$38,10,FALSE)+VLOOKUP(D109,Hipotesis!$D$9:$N$38,11,FALSE))</f>
        <v>0</v>
      </c>
      <c r="U109">
        <v>0</v>
      </c>
      <c r="V109">
        <f>G109*VLOOKUP(D109,Hipotesis!$D$9:$S$38,16,FALSE)+((VLOOKUP(D109,Hipotesis!$D$9:$T$38,17,FALSE)/$B$4)*M108)/12</f>
        <v>9.3384048989389786E-3</v>
      </c>
      <c r="W109">
        <f>(1+VLOOKUP(D109,Hipotesis!$D$9:$P$38,13,FALSE))^(1/12)-1</f>
        <v>0</v>
      </c>
      <c r="X109">
        <f t="shared" si="37"/>
        <v>0</v>
      </c>
      <c r="Y109">
        <f t="shared" si="26"/>
        <v>0.42884818123585638</v>
      </c>
      <c r="Z109">
        <f>(1+VLOOKUP(D109,Hipotesis!$D$9:$O$38,12,))^(1/12)-1</f>
        <v>3.0997565862644905E-3</v>
      </c>
      <c r="AA109">
        <f t="shared" si="38"/>
        <v>0.43144835071429588</v>
      </c>
      <c r="AB109">
        <f t="shared" si="39"/>
        <v>-2.6001694784394719E-3</v>
      </c>
      <c r="AC109" s="68">
        <f t="shared" si="27"/>
        <v>-9.3384048989389786E-3</v>
      </c>
      <c r="AD109">
        <f t="shared" si="28"/>
        <v>-0.82581270010736851</v>
      </c>
      <c r="AE109" s="67">
        <f t="shared" si="29"/>
        <v>0.12635215094678939</v>
      </c>
      <c r="AF109" s="67">
        <f t="shared" si="30"/>
        <v>3.7905645284036817E-2</v>
      </c>
      <c r="AG109" s="67">
        <f t="shared" si="31"/>
        <v>8.8446505662752584E-2</v>
      </c>
    </row>
    <row r="110" spans="4:33" x14ac:dyDescent="0.2">
      <c r="D110" s="50">
        <v>9</v>
      </c>
      <c r="E110">
        <v>12</v>
      </c>
      <c r="F110">
        <f t="shared" si="22"/>
        <v>58</v>
      </c>
      <c r="G110">
        <f t="shared" si="32"/>
        <v>0</v>
      </c>
      <c r="H110" s="64">
        <f>IF(E110="Anual",VLOOKUP(F110,Hipotesis!$E$9:$J$38,6,FALSE),1-(1-VLOOKUP(F110,Hipotesis!$E$9:$J$38,6,FALSE))^(1/12))</f>
        <v>6.756488615645706E-4</v>
      </c>
      <c r="I110">
        <f t="shared" si="33"/>
        <v>0.25091167273993725</v>
      </c>
      <c r="J110">
        <v>0</v>
      </c>
      <c r="K110">
        <f>1-(1-VLOOKUP(D110,Hipotesis!$D$9:$K$38,8,FALSE))^(1/12)</f>
        <v>5.1430128318229462E-3</v>
      </c>
      <c r="L110">
        <f t="shared" si="34"/>
        <v>1.9086394431765878</v>
      </c>
      <c r="M110">
        <f t="shared" si="35"/>
        <v>369.20446207713763</v>
      </c>
      <c r="N110">
        <f>IF(D110=1,(VLOOKUP(D110,'Primas Netas Y Reservas'!$D$4:$I$33,5,FALSE)+(VLOOKUP(D110,'Primas Netas Y Reservas'!$D$4:$I$33,6,FALSE)-VLOOKUP(D110,'Primas Netas Y Reservas'!$D$4:$I$33,5,FALSE))*(E110/12))/1000,((VLOOKUP(D110-1,'Primas Netas Y Reservas'!$D$4:$I$33,6,FALSE)+VLOOKUP(D110,'Primas Netas Y Reservas'!$D$4:$I$33,5,FALSE))+(VLOOKUP(D110,'Primas Netas Y Reservas'!$D$4:$I$33,6,FALSE)-VLOOKUP(D110-1,'Primas Netas Y Reservas'!$D$4:$I$33,6,FALSE)-VLOOKUP(D110,'Primas Netas Y Reservas'!$D$4:$I$33,5,FALSE))*(E110/12))/1000)</f>
        <v>0.37411247321584401</v>
      </c>
      <c r="O110">
        <f t="shared" si="36"/>
        <v>-0.53116692774116814</v>
      </c>
      <c r="P110">
        <f>VLOOKUP(D110,Hipotesis!$D$9:$S$38,15,FALSE)*N110</f>
        <v>0.2992899785726752</v>
      </c>
      <c r="Q110">
        <f t="shared" si="23"/>
        <v>0.57123665805128365</v>
      </c>
      <c r="R110">
        <f t="shared" si="24"/>
        <v>0</v>
      </c>
      <c r="S110">
        <f t="shared" si="25"/>
        <v>0.57123665805128365</v>
      </c>
      <c r="T110">
        <f>G110*(VLOOKUP(D110,Hipotesis!$D$9:$N$38,9,FALSE)+VLOOKUP(D110,Hipotesis!$D$9:$N$38,10,FALSE)+VLOOKUP(D110,Hipotesis!$D$9:$N$38,11,FALSE))</f>
        <v>0</v>
      </c>
      <c r="U110">
        <v>0</v>
      </c>
      <c r="V110">
        <f>G110*VLOOKUP(D110,Hipotesis!$D$9:$S$38,16,FALSE)+((VLOOKUP(D110,Hipotesis!$D$9:$T$38,17,FALSE)/$B$4)*M109)/12</f>
        <v>9.2841003298263537E-3</v>
      </c>
      <c r="W110">
        <f>(1+VLOOKUP(D110,Hipotesis!$D$9:$P$38,13,FALSE))^(1/12)-1</f>
        <v>0</v>
      </c>
      <c r="X110">
        <f t="shared" si="37"/>
        <v>0</v>
      </c>
      <c r="Y110">
        <f t="shared" si="26"/>
        <v>0.42720865283091036</v>
      </c>
      <c r="Z110">
        <f>(1+VLOOKUP(D110,Hipotesis!$D$9:$O$38,12,))^(1/12)-1</f>
        <v>3.0997565862644905E-3</v>
      </c>
      <c r="AA110">
        <f t="shared" si="38"/>
        <v>0.42979724963823396</v>
      </c>
      <c r="AB110">
        <f t="shared" si="39"/>
        <v>-2.5885968073235976E-3</v>
      </c>
      <c r="AC110" s="68">
        <f t="shared" si="27"/>
        <v>-9.2841003298263537E-3</v>
      </c>
      <c r="AD110">
        <f t="shared" si="28"/>
        <v>-0.82214833079122096</v>
      </c>
      <c r="AE110" s="67">
        <f t="shared" si="29"/>
        <v>0.12694314945103125</v>
      </c>
      <c r="AF110" s="67">
        <f t="shared" si="30"/>
        <v>3.8082944835309371E-2</v>
      </c>
      <c r="AG110" s="67">
        <f t="shared" si="31"/>
        <v>8.8860204615721874E-2</v>
      </c>
    </row>
    <row r="111" spans="4:33" x14ac:dyDescent="0.2">
      <c r="D111" s="50">
        <v>10</v>
      </c>
      <c r="E111">
        <v>1</v>
      </c>
      <c r="F111">
        <f t="shared" si="22"/>
        <v>59</v>
      </c>
      <c r="G111">
        <f t="shared" si="32"/>
        <v>18.086907338054193</v>
      </c>
      <c r="H111" s="64">
        <f>IF(E111="Anual",VLOOKUP(F111,Hipotesis!$E$9:$J$38,6,FALSE),1-(1-VLOOKUP(F111,Hipotesis!$E$9:$J$38,6,FALSE))^(1/12))</f>
        <v>7.2734638726568157E-4</v>
      </c>
      <c r="I111">
        <f t="shared" si="33"/>
        <v>0.26853953165417538</v>
      </c>
      <c r="J111">
        <v>0</v>
      </c>
      <c r="K111">
        <f>1-(1-VLOOKUP(D111,Hipotesis!$D$9:$K$38,8,FALSE))^(1/12)</f>
        <v>5.1430128318229462E-3</v>
      </c>
      <c r="L111">
        <f t="shared" si="34"/>
        <v>1.8974421837718578</v>
      </c>
      <c r="M111">
        <f t="shared" si="35"/>
        <v>367.03848036171161</v>
      </c>
      <c r="N111">
        <f>IF(D111=1,(VLOOKUP(D111,'Primas Netas Y Reservas'!$D$4:$I$33,5,FALSE)+(VLOOKUP(D111,'Primas Netas Y Reservas'!$D$4:$I$33,6,FALSE)-VLOOKUP(D111,'Primas Netas Y Reservas'!$D$4:$I$33,5,FALSE))*(E111/12))/1000,((VLOOKUP(D111-1,'Primas Netas Y Reservas'!$D$4:$I$33,6,FALSE)+VLOOKUP(D111,'Primas Netas Y Reservas'!$D$4:$I$33,5,FALSE))+(VLOOKUP(D111,'Primas Netas Y Reservas'!$D$4:$I$33,6,FALSE)-VLOOKUP(D111-1,'Primas Netas Y Reservas'!$D$4:$I$33,6,FALSE)-VLOOKUP(D111,'Primas Netas Y Reservas'!$D$4:$I$33,5,FALSE))*(E111/12))/1000)</f>
        <v>0.42023431510138626</v>
      </c>
      <c r="O111">
        <f t="shared" si="36"/>
        <v>16.118169980654244</v>
      </c>
      <c r="P111">
        <f>VLOOKUP(D111,Hipotesis!$D$9:$S$38,15,FALSE)*N111</f>
        <v>0.37821088359124766</v>
      </c>
      <c r="Q111">
        <f t="shared" si="23"/>
        <v>0.71763328488766087</v>
      </c>
      <c r="R111">
        <f t="shared" si="24"/>
        <v>0</v>
      </c>
      <c r="S111">
        <f t="shared" si="25"/>
        <v>0.71763328488766087</v>
      </c>
      <c r="T111">
        <f>G111*(VLOOKUP(D111,Hipotesis!$D$9:$N$38,9,FALSE)+VLOOKUP(D111,Hipotesis!$D$9:$N$38,10,FALSE)+VLOOKUP(D111,Hipotesis!$D$9:$N$38,11,FALSE))</f>
        <v>1.4469525870443354</v>
      </c>
      <c r="U111">
        <v>0</v>
      </c>
      <c r="V111">
        <f>G111*VLOOKUP(D111,Hipotesis!$D$9:$S$38,16,FALSE)+((VLOOKUP(D111,Hipotesis!$D$9:$T$38,17,FALSE)/$B$4)*M110)/12</f>
        <v>0.82314094176436703</v>
      </c>
      <c r="W111">
        <f>(1+VLOOKUP(D111,Hipotesis!$D$9:$P$38,13,FALSE))^(1/12)-1</f>
        <v>0</v>
      </c>
      <c r="X111">
        <f t="shared" si="37"/>
        <v>0</v>
      </c>
      <c r="Y111">
        <f t="shared" si="26"/>
        <v>0.43290343562763978</v>
      </c>
      <c r="Z111">
        <f>(1+VLOOKUP(D111,Hipotesis!$D$9:$O$38,12,))^(1/12)-1</f>
        <v>2.8272415385979244E-3</v>
      </c>
      <c r="AA111">
        <f t="shared" si="38"/>
        <v>0.39050989452957352</v>
      </c>
      <c r="AB111">
        <f t="shared" si="39"/>
        <v>4.2393541098066229E-2</v>
      </c>
      <c r="AC111" s="68">
        <f t="shared" si="27"/>
        <v>15.81681380924549</v>
      </c>
      <c r="AD111">
        <f t="shared" si="28"/>
        <v>-0.98617281654183619</v>
      </c>
      <c r="AE111" s="67">
        <f t="shared" si="29"/>
        <v>-0.85462555232294835</v>
      </c>
      <c r="AF111" s="67">
        <f t="shared" si="30"/>
        <v>-0.25638766569688448</v>
      </c>
      <c r="AG111" s="67">
        <f t="shared" si="31"/>
        <v>-0.59823788662606381</v>
      </c>
    </row>
    <row r="112" spans="4:33" x14ac:dyDescent="0.2">
      <c r="D112" s="50">
        <v>10</v>
      </c>
      <c r="E112">
        <v>2</v>
      </c>
      <c r="F112">
        <f t="shared" si="22"/>
        <v>59</v>
      </c>
      <c r="G112">
        <f t="shared" si="32"/>
        <v>0</v>
      </c>
      <c r="H112" s="64">
        <f>IF(E112="Anual",VLOOKUP(F112,Hipotesis!$E$9:$J$38,6,FALSE),1-(1-VLOOKUP(F112,Hipotesis!$E$9:$J$38,6,FALSE))^(1/12))</f>
        <v>7.2734638726568157E-4</v>
      </c>
      <c r="I112">
        <f t="shared" si="33"/>
        <v>0.26696411267857673</v>
      </c>
      <c r="J112">
        <v>0</v>
      </c>
      <c r="K112">
        <f>1-(1-VLOOKUP(D112,Hipotesis!$D$9:$K$38,8,FALSE))^(1/12)</f>
        <v>5.1430128318229462E-3</v>
      </c>
      <c r="L112">
        <f t="shared" si="34"/>
        <v>1.8863106144159352</v>
      </c>
      <c r="M112">
        <f t="shared" si="35"/>
        <v>364.88520563461708</v>
      </c>
      <c r="N112">
        <f>IF(D112=1,(VLOOKUP(D112,'Primas Netas Y Reservas'!$D$4:$I$33,5,FALSE)+(VLOOKUP(D112,'Primas Netas Y Reservas'!$D$4:$I$33,6,FALSE)-VLOOKUP(D112,'Primas Netas Y Reservas'!$D$4:$I$33,5,FALSE))*(E112/12))/1000,((VLOOKUP(D112-1,'Primas Netas Y Reservas'!$D$4:$I$33,6,FALSE)+VLOOKUP(D112,'Primas Netas Y Reservas'!$D$4:$I$33,5,FALSE))+(VLOOKUP(D112,'Primas Netas Y Reservas'!$D$4:$I$33,6,FALSE)-VLOOKUP(D112-1,'Primas Netas Y Reservas'!$D$4:$I$33,6,FALSE)-VLOOKUP(D112,'Primas Netas Y Reservas'!$D$4:$I$33,5,FALSE))*(E112/12))/1000)</f>
        <v>0.42119570497819908</v>
      </c>
      <c r="O112">
        <f t="shared" si="36"/>
        <v>-0.55408298726982252</v>
      </c>
      <c r="P112">
        <f>VLOOKUP(D112,Hipotesis!$D$9:$S$38,15,FALSE)*N112</f>
        <v>0.37907613448037919</v>
      </c>
      <c r="Q112">
        <f t="shared" si="23"/>
        <v>0.71505533614210171</v>
      </c>
      <c r="R112">
        <f t="shared" si="24"/>
        <v>0</v>
      </c>
      <c r="S112">
        <f t="shared" si="25"/>
        <v>0.71505533614210171</v>
      </c>
      <c r="T112">
        <f>G112*(VLOOKUP(D112,Hipotesis!$D$9:$N$38,9,FALSE)+VLOOKUP(D112,Hipotesis!$D$9:$N$38,10,FALSE)+VLOOKUP(D112,Hipotesis!$D$9:$N$38,11,FALSE))</f>
        <v>0</v>
      </c>
      <c r="U112">
        <v>0</v>
      </c>
      <c r="V112">
        <f>G112*VLOOKUP(D112,Hipotesis!$D$9:$S$38,16,FALSE)+((VLOOKUP(D112,Hipotesis!$D$9:$T$38,17,FALSE)/$B$4)*M111)/12</f>
        <v>9.1759620090427884E-3</v>
      </c>
      <c r="W112">
        <f>(1+VLOOKUP(D112,Hipotesis!$D$9:$P$38,13,FALSE))^(1/12)-1</f>
        <v>0</v>
      </c>
      <c r="X112">
        <f t="shared" si="37"/>
        <v>0</v>
      </c>
      <c r="Y112">
        <f t="shared" si="26"/>
        <v>0.43326576281294954</v>
      </c>
      <c r="Z112">
        <f>(1+VLOOKUP(D112,Hipotesis!$D$9:$O$38,12,))^(1/12)-1</f>
        <v>2.8272415385979244E-3</v>
      </c>
      <c r="AA112">
        <f t="shared" si="38"/>
        <v>0.43607985422506129</v>
      </c>
      <c r="AB112">
        <f t="shared" si="39"/>
        <v>-2.8140914121117517E-3</v>
      </c>
      <c r="AC112" s="68">
        <f t="shared" si="27"/>
        <v>-9.1759620090427884E-3</v>
      </c>
      <c r="AD112">
        <f t="shared" si="28"/>
        <v>-0.98201944882067838</v>
      </c>
      <c r="AE112" s="67">
        <f t="shared" si="29"/>
        <v>-3.8466607469491553E-3</v>
      </c>
      <c r="AF112" s="67">
        <f t="shared" si="30"/>
        <v>-1.1539982240847465E-3</v>
      </c>
      <c r="AG112" s="67">
        <f t="shared" si="31"/>
        <v>-2.6926625228644091E-3</v>
      </c>
    </row>
    <row r="113" spans="4:33" x14ac:dyDescent="0.2">
      <c r="D113" s="50">
        <v>10</v>
      </c>
      <c r="E113">
        <v>3</v>
      </c>
      <c r="F113">
        <f t="shared" si="22"/>
        <v>59</v>
      </c>
      <c r="G113">
        <f t="shared" si="32"/>
        <v>0</v>
      </c>
      <c r="H113" s="64">
        <f>IF(E113="Anual",VLOOKUP(F113,Hipotesis!$E$9:$J$38,6,FALSE),1-(1-VLOOKUP(F113,Hipotesis!$E$9:$J$38,6,FALSE))^(1/12))</f>
        <v>7.2734638726568157E-4</v>
      </c>
      <c r="I113">
        <f t="shared" si="33"/>
        <v>0.26539793608503404</v>
      </c>
      <c r="J113">
        <v>0</v>
      </c>
      <c r="K113">
        <f>1-(1-VLOOKUP(D113,Hipotesis!$D$9:$K$38,8,FALSE))^(1/12)</f>
        <v>5.1430128318229462E-3</v>
      </c>
      <c r="L113">
        <f t="shared" si="34"/>
        <v>1.8752443497303655</v>
      </c>
      <c r="M113">
        <f t="shared" si="35"/>
        <v>362.74456334880171</v>
      </c>
      <c r="N113">
        <f>IF(D113=1,(VLOOKUP(D113,'Primas Netas Y Reservas'!$D$4:$I$33,5,FALSE)+(VLOOKUP(D113,'Primas Netas Y Reservas'!$D$4:$I$33,6,FALSE)-VLOOKUP(D113,'Primas Netas Y Reservas'!$D$4:$I$33,5,FALSE))*(E113/12))/1000,((VLOOKUP(D113-1,'Primas Netas Y Reservas'!$D$4:$I$33,6,FALSE)+VLOOKUP(D113,'Primas Netas Y Reservas'!$D$4:$I$33,5,FALSE))+(VLOOKUP(D113,'Primas Netas Y Reservas'!$D$4:$I$33,6,FALSE)-VLOOKUP(D113-1,'Primas Netas Y Reservas'!$D$4:$I$33,6,FALSE)-VLOOKUP(D113,'Primas Netas Y Reservas'!$D$4:$I$33,5,FALSE))*(E113/12))/1000)</f>
        <v>0.42215709485501202</v>
      </c>
      <c r="O113">
        <f t="shared" si="36"/>
        <v>-0.55289038560766812</v>
      </c>
      <c r="P113">
        <f>VLOOKUP(D113,Hipotesis!$D$9:$S$38,15,FALSE)*N113</f>
        <v>0.37994138536951083</v>
      </c>
      <c r="Q113">
        <f t="shared" si="23"/>
        <v>0.71248293614290248</v>
      </c>
      <c r="R113">
        <f t="shared" si="24"/>
        <v>0</v>
      </c>
      <c r="S113">
        <f t="shared" si="25"/>
        <v>0.71248293614290248</v>
      </c>
      <c r="T113">
        <f>G113*(VLOOKUP(D113,Hipotesis!$D$9:$N$38,9,FALSE)+VLOOKUP(D113,Hipotesis!$D$9:$N$38,10,FALSE)+VLOOKUP(D113,Hipotesis!$D$9:$N$38,11,FALSE))</f>
        <v>0</v>
      </c>
      <c r="U113">
        <v>0</v>
      </c>
      <c r="V113">
        <f>G113*VLOOKUP(D113,Hipotesis!$D$9:$S$38,16,FALSE)+((VLOOKUP(D113,Hipotesis!$D$9:$T$38,17,FALSE)/$B$4)*M112)/12</f>
        <v>9.1221301408654261E-3</v>
      </c>
      <c r="W113">
        <f>(1+VLOOKUP(D113,Hipotesis!$D$9:$P$38,13,FALSE))^(1/12)-1</f>
        <v>0</v>
      </c>
      <c r="X113">
        <f t="shared" si="37"/>
        <v>0</v>
      </c>
      <c r="Y113">
        <f t="shared" si="26"/>
        <v>0.43171113114495002</v>
      </c>
      <c r="Z113">
        <f>(1+VLOOKUP(D113,Hipotesis!$D$9:$O$38,12,))^(1/12)-1</f>
        <v>2.8272415385979244E-3</v>
      </c>
      <c r="AA113">
        <f t="shared" si="38"/>
        <v>0.43451332778762164</v>
      </c>
      <c r="AB113">
        <f t="shared" si="39"/>
        <v>-2.8021966426716111E-3</v>
      </c>
      <c r="AC113" s="68">
        <f t="shared" si="27"/>
        <v>-9.1221301408654261E-3</v>
      </c>
      <c r="AD113">
        <f t="shared" si="28"/>
        <v>-0.97788087222793652</v>
      </c>
      <c r="AE113" s="67">
        <f t="shared" si="29"/>
        <v>-2.4014856161837413E-3</v>
      </c>
      <c r="AF113" s="67">
        <f t="shared" si="30"/>
        <v>-7.2044568485512238E-4</v>
      </c>
      <c r="AG113" s="67">
        <f t="shared" si="31"/>
        <v>-1.6810399313286189E-3</v>
      </c>
    </row>
    <row r="114" spans="4:33" x14ac:dyDescent="0.2">
      <c r="D114" s="50">
        <v>10</v>
      </c>
      <c r="E114">
        <v>4</v>
      </c>
      <c r="F114">
        <f t="shared" si="22"/>
        <v>59</v>
      </c>
      <c r="G114">
        <f t="shared" si="32"/>
        <v>0</v>
      </c>
      <c r="H114" s="64">
        <f>IF(E114="Anual",VLOOKUP(F114,Hipotesis!$E$9:$J$38,6,FALSE),1-(1-VLOOKUP(F114,Hipotesis!$E$9:$J$38,6,FALSE))^(1/12))</f>
        <v>7.2734638726568157E-4</v>
      </c>
      <c r="I114">
        <f t="shared" si="33"/>
        <v>0.2638409476520181</v>
      </c>
      <c r="J114">
        <v>0</v>
      </c>
      <c r="K114">
        <f>1-(1-VLOOKUP(D114,Hipotesis!$D$9:$K$38,8,FALSE))^(1/12)</f>
        <v>5.1430128318229462E-3</v>
      </c>
      <c r="L114">
        <f t="shared" si="34"/>
        <v>1.8642430065975641</v>
      </c>
      <c r="M114">
        <f t="shared" si="35"/>
        <v>360.61647939455213</v>
      </c>
      <c r="N114">
        <f>IF(D114=1,(VLOOKUP(D114,'Primas Netas Y Reservas'!$D$4:$I$33,5,FALSE)+(VLOOKUP(D114,'Primas Netas Y Reservas'!$D$4:$I$33,6,FALSE)-VLOOKUP(D114,'Primas Netas Y Reservas'!$D$4:$I$33,5,FALSE))*(E114/12))/1000,((VLOOKUP(D114-1,'Primas Netas Y Reservas'!$D$4:$I$33,6,FALSE)+VLOOKUP(D114,'Primas Netas Y Reservas'!$D$4:$I$33,5,FALSE))+(VLOOKUP(D114,'Primas Netas Y Reservas'!$D$4:$I$33,6,FALSE)-VLOOKUP(D114-1,'Primas Netas Y Reservas'!$D$4:$I$33,6,FALSE)-VLOOKUP(D114,'Primas Netas Y Reservas'!$D$4:$I$33,5,FALSE))*(E114/12))/1000)</f>
        <v>0.4231184847318249</v>
      </c>
      <c r="O114">
        <f t="shared" si="36"/>
        <v>-0.55169270703174789</v>
      </c>
      <c r="P114">
        <f>VLOOKUP(D114,Hipotesis!$D$9:$S$38,15,FALSE)*N114</f>
        <v>0.38080663625864242</v>
      </c>
      <c r="Q114">
        <f t="shared" si="23"/>
        <v>0.70991610851111653</v>
      </c>
      <c r="R114">
        <f t="shared" si="24"/>
        <v>0</v>
      </c>
      <c r="S114">
        <f t="shared" si="25"/>
        <v>0.70991610851111653</v>
      </c>
      <c r="T114">
        <f>G114*(VLOOKUP(D114,Hipotesis!$D$9:$N$38,9,FALSE)+VLOOKUP(D114,Hipotesis!$D$9:$N$38,10,FALSE)+VLOOKUP(D114,Hipotesis!$D$9:$N$38,11,FALSE))</f>
        <v>0</v>
      </c>
      <c r="U114">
        <v>0</v>
      </c>
      <c r="V114">
        <f>G114*VLOOKUP(D114,Hipotesis!$D$9:$S$38,16,FALSE)+((VLOOKUP(D114,Hipotesis!$D$9:$T$38,17,FALSE)/$B$4)*M113)/12</f>
        <v>9.0686140837200422E-3</v>
      </c>
      <c r="W114">
        <f>(1+VLOOKUP(D114,Hipotesis!$D$9:$P$38,13,FALSE))^(1/12)-1</f>
        <v>0</v>
      </c>
      <c r="X114">
        <f t="shared" si="37"/>
        <v>0</v>
      </c>
      <c r="Y114">
        <f t="shared" si="26"/>
        <v>0.43015982853894202</v>
      </c>
      <c r="Z114">
        <f>(1+VLOOKUP(D114,Hipotesis!$D$9:$O$38,12,))^(1/12)-1</f>
        <v>2.8272415385979244E-3</v>
      </c>
      <c r="AA114">
        <f t="shared" si="38"/>
        <v>0.43295017312314021</v>
      </c>
      <c r="AB114">
        <f t="shared" si="39"/>
        <v>-2.7903445841981991E-3</v>
      </c>
      <c r="AC114" s="68">
        <f t="shared" si="27"/>
        <v>-9.0686140837200422E-3</v>
      </c>
      <c r="AD114">
        <f t="shared" si="28"/>
        <v>-0.97375705616313457</v>
      </c>
      <c r="AE114" s="67">
        <f t="shared" si="29"/>
        <v>-9.7313467616475836E-4</v>
      </c>
      <c r="AF114" s="67">
        <f t="shared" si="30"/>
        <v>-2.9194040284942751E-4</v>
      </c>
      <c r="AG114" s="67">
        <f t="shared" si="31"/>
        <v>-6.8119427331533085E-4</v>
      </c>
    </row>
    <row r="115" spans="4:33" x14ac:dyDescent="0.2">
      <c r="D115" s="50">
        <v>10</v>
      </c>
      <c r="E115">
        <v>5</v>
      </c>
      <c r="F115">
        <f t="shared" si="22"/>
        <v>59</v>
      </c>
      <c r="G115">
        <f t="shared" si="32"/>
        <v>0</v>
      </c>
      <c r="H115" s="64">
        <f>IF(E115="Anual",VLOOKUP(F115,Hipotesis!$E$9:$J$38,6,FALSE),1-(1-VLOOKUP(F115,Hipotesis!$E$9:$J$38,6,FALSE))^(1/12))</f>
        <v>7.2734638726568157E-4</v>
      </c>
      <c r="I115">
        <f t="shared" si="33"/>
        <v>0.26229309347609658</v>
      </c>
      <c r="J115">
        <v>0</v>
      </c>
      <c r="K115">
        <f>1-(1-VLOOKUP(D115,Hipotesis!$D$9:$K$38,8,FALSE))^(1/12)</f>
        <v>5.1430128318229462E-3</v>
      </c>
      <c r="L115">
        <f t="shared" si="34"/>
        <v>1.8533062041475505</v>
      </c>
      <c r="M115">
        <f t="shared" si="35"/>
        <v>358.50088009692848</v>
      </c>
      <c r="N115">
        <f>IF(D115=1,(VLOOKUP(D115,'Primas Netas Y Reservas'!$D$4:$I$33,5,FALSE)+(VLOOKUP(D115,'Primas Netas Y Reservas'!$D$4:$I$33,6,FALSE)-VLOOKUP(D115,'Primas Netas Y Reservas'!$D$4:$I$33,5,FALSE))*(E115/12))/1000,((VLOOKUP(D115-1,'Primas Netas Y Reservas'!$D$4:$I$33,6,FALSE)+VLOOKUP(D115,'Primas Netas Y Reservas'!$D$4:$I$33,5,FALSE))+(VLOOKUP(D115,'Primas Netas Y Reservas'!$D$4:$I$33,6,FALSE)-VLOOKUP(D115-1,'Primas Netas Y Reservas'!$D$4:$I$33,6,FALSE)-VLOOKUP(D115,'Primas Netas Y Reservas'!$D$4:$I$33,5,FALSE))*(E115/12))/1000)</f>
        <v>0.42407987460863777</v>
      </c>
      <c r="O115">
        <f t="shared" si="36"/>
        <v>-0.55049005215653324</v>
      </c>
      <c r="P115">
        <f>VLOOKUP(D115,Hipotesis!$D$9:$S$38,15,FALSE)*N115</f>
        <v>0.381671887147774</v>
      </c>
      <c r="Q115">
        <f t="shared" si="23"/>
        <v>0.70735487639967332</v>
      </c>
      <c r="R115">
        <f t="shared" si="24"/>
        <v>0</v>
      </c>
      <c r="S115">
        <f t="shared" si="25"/>
        <v>0.70735487639967332</v>
      </c>
      <c r="T115">
        <f>G115*(VLOOKUP(D115,Hipotesis!$D$9:$N$38,9,FALSE)+VLOOKUP(D115,Hipotesis!$D$9:$N$38,10,FALSE)+VLOOKUP(D115,Hipotesis!$D$9:$N$38,11,FALSE))</f>
        <v>0</v>
      </c>
      <c r="U115">
        <v>0</v>
      </c>
      <c r="V115">
        <f>G115*VLOOKUP(D115,Hipotesis!$D$9:$S$38,16,FALSE)+((VLOOKUP(D115,Hipotesis!$D$9:$T$38,17,FALSE)/$B$4)*M114)/12</f>
        <v>9.0154119848638026E-3</v>
      </c>
      <c r="W115">
        <f>(1+VLOOKUP(D115,Hipotesis!$D$9:$P$38,13,FALSE))^(1/12)-1</f>
        <v>0</v>
      </c>
      <c r="X115">
        <f t="shared" si="37"/>
        <v>0</v>
      </c>
      <c r="Y115">
        <f t="shared" si="26"/>
        <v>0.42861186944034008</v>
      </c>
      <c r="Z115">
        <f>(1+VLOOKUP(D115,Hipotesis!$D$9:$O$38,12,))^(1/12)-1</f>
        <v>2.8272415385979244E-3</v>
      </c>
      <c r="AA115">
        <f t="shared" si="38"/>
        <v>0.4313904045852785</v>
      </c>
      <c r="AB115">
        <f t="shared" si="39"/>
        <v>-2.7785351449384267E-3</v>
      </c>
      <c r="AC115" s="68">
        <f t="shared" si="27"/>
        <v>-9.0154119848638026E-3</v>
      </c>
      <c r="AD115">
        <f t="shared" si="28"/>
        <v>-0.96964796987576984</v>
      </c>
      <c r="AE115" s="67">
        <f t="shared" si="29"/>
        <v>4.3853973623961262E-4</v>
      </c>
      <c r="AF115" s="67">
        <f t="shared" si="30"/>
        <v>1.3156192087188378E-4</v>
      </c>
      <c r="AG115" s="67">
        <f t="shared" si="31"/>
        <v>3.0697781536772885E-4</v>
      </c>
    </row>
    <row r="116" spans="4:33" x14ac:dyDescent="0.2">
      <c r="D116" s="50">
        <v>10</v>
      </c>
      <c r="E116">
        <v>6</v>
      </c>
      <c r="F116">
        <f t="shared" si="22"/>
        <v>59</v>
      </c>
      <c r="G116">
        <f t="shared" si="32"/>
        <v>0</v>
      </c>
      <c r="H116" s="64">
        <f>IF(E116="Anual",VLOOKUP(F116,Hipotesis!$E$9:$J$38,6,FALSE),1-(1-VLOOKUP(F116,Hipotesis!$E$9:$J$38,6,FALSE))^(1/12))</f>
        <v>7.2734638726568157E-4</v>
      </c>
      <c r="I116">
        <f t="shared" si="33"/>
        <v>0.2607543199700682</v>
      </c>
      <c r="J116">
        <v>0</v>
      </c>
      <c r="K116">
        <f>1-(1-VLOOKUP(D116,Hipotesis!$D$9:$K$38,8,FALSE))^(1/12)</f>
        <v>5.1430128318229462E-3</v>
      </c>
      <c r="L116">
        <f t="shared" si="34"/>
        <v>1.8424335637447633</v>
      </c>
      <c r="M116">
        <f t="shared" si="35"/>
        <v>356.39769221321365</v>
      </c>
      <c r="N116">
        <f>IF(D116=1,(VLOOKUP(D116,'Primas Netas Y Reservas'!$D$4:$I$33,5,FALSE)+(VLOOKUP(D116,'Primas Netas Y Reservas'!$D$4:$I$33,6,FALSE)-VLOOKUP(D116,'Primas Netas Y Reservas'!$D$4:$I$33,5,FALSE))*(E116/12))/1000,((VLOOKUP(D116-1,'Primas Netas Y Reservas'!$D$4:$I$33,6,FALSE)+VLOOKUP(D116,'Primas Netas Y Reservas'!$D$4:$I$33,5,FALSE))+(VLOOKUP(D116,'Primas Netas Y Reservas'!$D$4:$I$33,6,FALSE)-VLOOKUP(D116-1,'Primas Netas Y Reservas'!$D$4:$I$33,6,FALSE)-VLOOKUP(D116,'Primas Netas Y Reservas'!$D$4:$I$33,5,FALSE))*(E116/12))/1000)</f>
        <v>0.42504126448545065</v>
      </c>
      <c r="O116">
        <f t="shared" si="36"/>
        <v>-0.54928252059093552</v>
      </c>
      <c r="P116">
        <f>VLOOKUP(D116,Hipotesis!$D$9:$S$38,15,FALSE)*N116</f>
        <v>0.38253713803690559</v>
      </c>
      <c r="Q116">
        <f t="shared" si="23"/>
        <v>0.70479926249805847</v>
      </c>
      <c r="R116">
        <f t="shared" si="24"/>
        <v>0</v>
      </c>
      <c r="S116">
        <f t="shared" si="25"/>
        <v>0.70479926249805847</v>
      </c>
      <c r="T116">
        <f>G116*(VLOOKUP(D116,Hipotesis!$D$9:$N$38,9,FALSE)+VLOOKUP(D116,Hipotesis!$D$9:$N$38,10,FALSE)+VLOOKUP(D116,Hipotesis!$D$9:$N$38,11,FALSE))</f>
        <v>0</v>
      </c>
      <c r="U116">
        <v>0</v>
      </c>
      <c r="V116">
        <f>G116*VLOOKUP(D116,Hipotesis!$D$9:$S$38,16,FALSE)+((VLOOKUP(D116,Hipotesis!$D$9:$T$38,17,FALSE)/$B$4)*M115)/12</f>
        <v>8.9625220024232115E-3</v>
      </c>
      <c r="W116">
        <f>(1+VLOOKUP(D116,Hipotesis!$D$9:$P$38,13,FALSE))^(1/12)-1</f>
        <v>0</v>
      </c>
      <c r="X116">
        <f t="shared" si="37"/>
        <v>0</v>
      </c>
      <c r="Y116">
        <f t="shared" si="26"/>
        <v>0.42706726801049083</v>
      </c>
      <c r="Z116">
        <f>(1+VLOOKUP(D116,Hipotesis!$D$9:$O$38,12,))^(1/12)-1</f>
        <v>2.8272415385979244E-3</v>
      </c>
      <c r="AA116">
        <f t="shared" si="38"/>
        <v>0.42983403624323663</v>
      </c>
      <c r="AB116">
        <f t="shared" si="39"/>
        <v>-2.7667682327457742E-3</v>
      </c>
      <c r="AC116" s="68">
        <f t="shared" si="27"/>
        <v>-8.9625220024232115E-3</v>
      </c>
      <c r="AD116">
        <f t="shared" si="28"/>
        <v>-0.96555358246812673</v>
      </c>
      <c r="AE116" s="67">
        <f t="shared" si="29"/>
        <v>1.833684130876468E-3</v>
      </c>
      <c r="AF116" s="67">
        <f t="shared" si="30"/>
        <v>5.5010523926294036E-4</v>
      </c>
      <c r="AG116" s="67">
        <f t="shared" si="31"/>
        <v>1.2835788916135276E-3</v>
      </c>
    </row>
    <row r="117" spans="4:33" x14ac:dyDescent="0.2">
      <c r="D117" s="50">
        <v>10</v>
      </c>
      <c r="E117">
        <v>7</v>
      </c>
      <c r="F117">
        <f t="shared" si="22"/>
        <v>59</v>
      </c>
      <c r="G117">
        <f t="shared" si="32"/>
        <v>0</v>
      </c>
      <c r="H117" s="64">
        <f>IF(E117="Anual",VLOOKUP(F117,Hipotesis!$E$9:$J$38,6,FALSE),1-(1-VLOOKUP(F117,Hipotesis!$E$9:$J$38,6,FALSE))^(1/12))</f>
        <v>7.2734638726568157E-4</v>
      </c>
      <c r="I117">
        <f t="shared" si="33"/>
        <v>0.25922457386110731</v>
      </c>
      <c r="J117">
        <v>0</v>
      </c>
      <c r="K117">
        <f>1-(1-VLOOKUP(D117,Hipotesis!$D$9:$K$38,8,FALSE))^(1/12)</f>
        <v>5.1430128318229462E-3</v>
      </c>
      <c r="L117">
        <f t="shared" si="34"/>
        <v>1.8316247089749511</v>
      </c>
      <c r="M117">
        <f t="shared" si="35"/>
        <v>354.30684293037757</v>
      </c>
      <c r="N117">
        <f>IF(D117=1,(VLOOKUP(D117,'Primas Netas Y Reservas'!$D$4:$I$33,5,FALSE)+(VLOOKUP(D117,'Primas Netas Y Reservas'!$D$4:$I$33,6,FALSE)-VLOOKUP(D117,'Primas Netas Y Reservas'!$D$4:$I$33,5,FALSE))*(E117/12))/1000,((VLOOKUP(D117-1,'Primas Netas Y Reservas'!$D$4:$I$33,6,FALSE)+VLOOKUP(D117,'Primas Netas Y Reservas'!$D$4:$I$33,5,FALSE))+(VLOOKUP(D117,'Primas Netas Y Reservas'!$D$4:$I$33,6,FALSE)-VLOOKUP(D117-1,'Primas Netas Y Reservas'!$D$4:$I$33,6,FALSE)-VLOOKUP(D117,'Primas Netas Y Reservas'!$D$4:$I$33,5,FALSE))*(E117/12))/1000)</f>
        <v>0.42600265436226359</v>
      </c>
      <c r="O117">
        <f t="shared" si="36"/>
        <v>-0.54807021094634933</v>
      </c>
      <c r="P117">
        <f>VLOOKUP(D117,Hipotesis!$D$9:$S$38,15,FALSE)*N117</f>
        <v>0.38340238892603723</v>
      </c>
      <c r="Q117">
        <f t="shared" si="23"/>
        <v>0.70224928903695394</v>
      </c>
      <c r="R117">
        <f t="shared" si="24"/>
        <v>0</v>
      </c>
      <c r="S117">
        <f t="shared" si="25"/>
        <v>0.70224928903695394</v>
      </c>
      <c r="T117">
        <f>G117*(VLOOKUP(D117,Hipotesis!$D$9:$N$38,9,FALSE)+VLOOKUP(D117,Hipotesis!$D$9:$N$38,10,FALSE)+VLOOKUP(D117,Hipotesis!$D$9:$N$38,11,FALSE))</f>
        <v>0</v>
      </c>
      <c r="U117">
        <v>0</v>
      </c>
      <c r="V117">
        <f>G117*VLOOKUP(D117,Hipotesis!$D$9:$S$38,16,FALSE)+((VLOOKUP(D117,Hipotesis!$D$9:$T$38,17,FALSE)/$B$4)*M116)/12</f>
        <v>8.9099423053303397E-3</v>
      </c>
      <c r="W117">
        <f>(1+VLOOKUP(D117,Hipotesis!$D$9:$P$38,13,FALSE))^(1/12)-1</f>
        <v>0</v>
      </c>
      <c r="X117">
        <f t="shared" si="37"/>
        <v>0</v>
      </c>
      <c r="Y117">
        <f t="shared" si="26"/>
        <v>0.42552603812950812</v>
      </c>
      <c r="Z117">
        <f>(1+VLOOKUP(D117,Hipotesis!$D$9:$O$38,12,))^(1/12)-1</f>
        <v>2.8272415385979244E-3</v>
      </c>
      <c r="AA117">
        <f t="shared" si="38"/>
        <v>0.42828108188459618</v>
      </c>
      <c r="AB117">
        <f t="shared" si="39"/>
        <v>-2.7550437550880654E-3</v>
      </c>
      <c r="AC117" s="68">
        <f t="shared" si="27"/>
        <v>-8.9099423053303397E-3</v>
      </c>
      <c r="AD117">
        <f t="shared" si="28"/>
        <v>-0.96147386289806125</v>
      </c>
      <c r="AE117" s="67">
        <f t="shared" si="29"/>
        <v>3.212443872465812E-3</v>
      </c>
      <c r="AF117" s="67">
        <f t="shared" si="30"/>
        <v>9.637331617397436E-4</v>
      </c>
      <c r="AG117" s="67">
        <f t="shared" si="31"/>
        <v>2.2487107107260684E-3</v>
      </c>
    </row>
    <row r="118" spans="4:33" x14ac:dyDescent="0.2">
      <c r="D118" s="50">
        <v>10</v>
      </c>
      <c r="E118">
        <v>8</v>
      </c>
      <c r="F118">
        <f t="shared" si="22"/>
        <v>59</v>
      </c>
      <c r="G118">
        <f t="shared" si="32"/>
        <v>0</v>
      </c>
      <c r="H118" s="64">
        <f>IF(E118="Anual",VLOOKUP(F118,Hipotesis!$E$9:$J$38,6,FALSE),1-(1-VLOOKUP(F118,Hipotesis!$E$9:$J$38,6,FALSE))^(1/12))</f>
        <v>7.2734638726568157E-4</v>
      </c>
      <c r="I118">
        <f t="shared" si="33"/>
        <v>0.25770380218891942</v>
      </c>
      <c r="J118">
        <v>0</v>
      </c>
      <c r="K118">
        <f>1-(1-VLOOKUP(D118,Hipotesis!$D$9:$K$38,8,FALSE))^(1/12)</f>
        <v>5.1430128318229462E-3</v>
      </c>
      <c r="L118">
        <f t="shared" si="34"/>
        <v>1.8208792656321418</v>
      </c>
      <c r="M118">
        <f t="shared" si="35"/>
        <v>352.22825986255651</v>
      </c>
      <c r="N118">
        <f>IF(D118=1,(VLOOKUP(D118,'Primas Netas Y Reservas'!$D$4:$I$33,5,FALSE)+(VLOOKUP(D118,'Primas Netas Y Reservas'!$D$4:$I$33,6,FALSE)-VLOOKUP(D118,'Primas Netas Y Reservas'!$D$4:$I$33,5,FALSE))*(E118/12))/1000,((VLOOKUP(D118-1,'Primas Netas Y Reservas'!$D$4:$I$33,6,FALSE)+VLOOKUP(D118,'Primas Netas Y Reservas'!$D$4:$I$33,5,FALSE))+(VLOOKUP(D118,'Primas Netas Y Reservas'!$D$4:$I$33,6,FALSE)-VLOOKUP(D118-1,'Primas Netas Y Reservas'!$D$4:$I$33,6,FALSE)-VLOOKUP(D118,'Primas Netas Y Reservas'!$D$4:$I$33,5,FALSE))*(E118/12))/1000)</f>
        <v>0.42696404423907641</v>
      </c>
      <c r="O118">
        <f t="shared" si="36"/>
        <v>-0.54685322084495169</v>
      </c>
      <c r="P118">
        <f>VLOOKUP(D118,Hipotesis!$D$9:$S$38,15,FALSE)*N118</f>
        <v>0.38426763981516876</v>
      </c>
      <c r="Q118">
        <f t="shared" si="23"/>
        <v>0.6997049777928408</v>
      </c>
      <c r="R118">
        <f t="shared" si="24"/>
        <v>0</v>
      </c>
      <c r="S118">
        <f t="shared" si="25"/>
        <v>0.6997049777928408</v>
      </c>
      <c r="T118">
        <f>G118*(VLOOKUP(D118,Hipotesis!$D$9:$N$38,9,FALSE)+VLOOKUP(D118,Hipotesis!$D$9:$N$38,10,FALSE)+VLOOKUP(D118,Hipotesis!$D$9:$N$38,11,FALSE))</f>
        <v>0</v>
      </c>
      <c r="U118">
        <v>0</v>
      </c>
      <c r="V118">
        <f>G118*VLOOKUP(D118,Hipotesis!$D$9:$S$38,16,FALSE)+((VLOOKUP(D118,Hipotesis!$D$9:$T$38,17,FALSE)/$B$4)*M117)/12</f>
        <v>8.8576710732594394E-3</v>
      </c>
      <c r="W118">
        <f>(1+VLOOKUP(D118,Hipotesis!$D$9:$P$38,13,FALSE))^(1/12)-1</f>
        <v>0</v>
      </c>
      <c r="X118">
        <f t="shared" si="37"/>
        <v>0</v>
      </c>
      <c r="Y118">
        <f t="shared" si="26"/>
        <v>0.42398819339908539</v>
      </c>
      <c r="Z118">
        <f>(1+VLOOKUP(D118,Hipotesis!$D$9:$O$38,12,))^(1/12)-1</f>
        <v>2.8272415385979244E-3</v>
      </c>
      <c r="AA118">
        <f t="shared" si="38"/>
        <v>0.42673155501814053</v>
      </c>
      <c r="AB118">
        <f t="shared" si="39"/>
        <v>-2.7433616190551606E-3</v>
      </c>
      <c r="AC118" s="68">
        <f t="shared" si="27"/>
        <v>-8.8576710732594394E-3</v>
      </c>
      <c r="AD118">
        <f t="shared" si="28"/>
        <v>-0.95740877998176022</v>
      </c>
      <c r="AE118" s="67">
        <f t="shared" si="29"/>
        <v>4.5749631890173708E-3</v>
      </c>
      <c r="AF118" s="67">
        <f t="shared" si="30"/>
        <v>1.3724889567052112E-3</v>
      </c>
      <c r="AG118" s="67">
        <f t="shared" si="31"/>
        <v>3.2024742323121594E-3</v>
      </c>
    </row>
    <row r="119" spans="4:33" x14ac:dyDescent="0.2">
      <c r="D119" s="50">
        <v>10</v>
      </c>
      <c r="E119">
        <v>9</v>
      </c>
      <c r="F119">
        <f t="shared" si="22"/>
        <v>59</v>
      </c>
      <c r="G119">
        <f t="shared" si="32"/>
        <v>0</v>
      </c>
      <c r="H119" s="64">
        <f>IF(E119="Anual",VLOOKUP(F119,Hipotesis!$E$9:$J$38,6,FALSE),1-(1-VLOOKUP(F119,Hipotesis!$E$9:$J$38,6,FALSE))^(1/12))</f>
        <v>7.2734638726568157E-4</v>
      </c>
      <c r="I119">
        <f t="shared" si="33"/>
        <v>0.25619195230390818</v>
      </c>
      <c r="J119">
        <v>0</v>
      </c>
      <c r="K119">
        <f>1-(1-VLOOKUP(D119,Hipotesis!$D$9:$K$38,8,FALSE))^(1/12)</f>
        <v>5.1430128318229462E-3</v>
      </c>
      <c r="L119">
        <f t="shared" si="34"/>
        <v>1.8101968617056865</v>
      </c>
      <c r="M119">
        <f t="shared" si="35"/>
        <v>350.16187104854691</v>
      </c>
      <c r="N119">
        <f>IF(D119=1,(VLOOKUP(D119,'Primas Netas Y Reservas'!$D$4:$I$33,5,FALSE)+(VLOOKUP(D119,'Primas Netas Y Reservas'!$D$4:$I$33,6,FALSE)-VLOOKUP(D119,'Primas Netas Y Reservas'!$D$4:$I$33,5,FALSE))*(E119/12))/1000,((VLOOKUP(D119-1,'Primas Netas Y Reservas'!$D$4:$I$33,6,FALSE)+VLOOKUP(D119,'Primas Netas Y Reservas'!$D$4:$I$33,5,FALSE))+(VLOOKUP(D119,'Primas Netas Y Reservas'!$D$4:$I$33,6,FALSE)-VLOOKUP(D119-1,'Primas Netas Y Reservas'!$D$4:$I$33,6,FALSE)-VLOOKUP(D119,'Primas Netas Y Reservas'!$D$4:$I$33,5,FALSE))*(E119/12))/1000)</f>
        <v>0.42792543411588935</v>
      </c>
      <c r="O119">
        <f t="shared" si="36"/>
        <v>-0.54563164692797272</v>
      </c>
      <c r="P119">
        <f>VLOOKUP(D119,Hipotesis!$D$9:$S$38,15,FALSE)*N119</f>
        <v>0.3851328907043004</v>
      </c>
      <c r="Q119">
        <f t="shared" si="23"/>
        <v>0.69716635009256378</v>
      </c>
      <c r="R119">
        <f t="shared" si="24"/>
        <v>0</v>
      </c>
      <c r="S119">
        <f t="shared" si="25"/>
        <v>0.69716635009256378</v>
      </c>
      <c r="T119">
        <f>G119*(VLOOKUP(D119,Hipotesis!$D$9:$N$38,9,FALSE)+VLOOKUP(D119,Hipotesis!$D$9:$N$38,10,FALSE)+VLOOKUP(D119,Hipotesis!$D$9:$N$38,11,FALSE))</f>
        <v>0</v>
      </c>
      <c r="U119">
        <v>0</v>
      </c>
      <c r="V119">
        <f>G119*VLOOKUP(D119,Hipotesis!$D$9:$S$38,16,FALSE)+((VLOOKUP(D119,Hipotesis!$D$9:$T$38,17,FALSE)/$B$4)*M118)/12</f>
        <v>8.8057064965639132E-3</v>
      </c>
      <c r="W119">
        <f>(1+VLOOKUP(D119,Hipotesis!$D$9:$P$38,13,FALSE))^(1/12)-1</f>
        <v>0</v>
      </c>
      <c r="X119">
        <f t="shared" si="37"/>
        <v>0</v>
      </c>
      <c r="Y119">
        <f t="shared" si="26"/>
        <v>0.422453747145285</v>
      </c>
      <c r="Z119">
        <f>(1+VLOOKUP(D119,Hipotesis!$D$9:$O$38,12,))^(1/12)-1</f>
        <v>2.8272415385979244E-3</v>
      </c>
      <c r="AA119">
        <f t="shared" si="38"/>
        <v>0.4251854688766516</v>
      </c>
      <c r="AB119">
        <f t="shared" si="39"/>
        <v>-2.7317217313665805E-3</v>
      </c>
      <c r="AC119" s="68">
        <f t="shared" si="27"/>
        <v>-8.8057064965639132E-3</v>
      </c>
      <c r="AD119">
        <f t="shared" si="28"/>
        <v>-0.95335830239647201</v>
      </c>
      <c r="AE119" s="67">
        <f t="shared" si="29"/>
        <v>5.9213851802218508E-3</v>
      </c>
      <c r="AF119" s="67">
        <f t="shared" si="30"/>
        <v>1.7764155540665552E-3</v>
      </c>
      <c r="AG119" s="67">
        <f t="shared" si="31"/>
        <v>4.1449696261552961E-3</v>
      </c>
    </row>
    <row r="120" spans="4:33" x14ac:dyDescent="0.2">
      <c r="D120" s="50">
        <v>10</v>
      </c>
      <c r="E120">
        <v>10</v>
      </c>
      <c r="F120">
        <f t="shared" si="22"/>
        <v>59</v>
      </c>
      <c r="G120">
        <f t="shared" si="32"/>
        <v>0</v>
      </c>
      <c r="H120" s="64">
        <f>IF(E120="Anual",VLOOKUP(F120,Hipotesis!$E$9:$J$38,6,FALSE),1-(1-VLOOKUP(F120,Hipotesis!$E$9:$J$38,6,FALSE))^(1/12))</f>
        <v>7.2734638726568157E-4</v>
      </c>
      <c r="I120">
        <f t="shared" si="33"/>
        <v>0.25468897186535205</v>
      </c>
      <c r="J120">
        <v>0</v>
      </c>
      <c r="K120">
        <f>1-(1-VLOOKUP(D120,Hipotesis!$D$9:$K$38,8,FALSE))^(1/12)</f>
        <v>5.1430128318229462E-3</v>
      </c>
      <c r="L120">
        <f t="shared" si="34"/>
        <v>1.7995771273673813</v>
      </c>
      <c r="M120">
        <f t="shared" si="35"/>
        <v>348.10760494931418</v>
      </c>
      <c r="N120">
        <f>IF(D120=1,(VLOOKUP(D120,'Primas Netas Y Reservas'!$D$4:$I$33,5,FALSE)+(VLOOKUP(D120,'Primas Netas Y Reservas'!$D$4:$I$33,6,FALSE)-VLOOKUP(D120,'Primas Netas Y Reservas'!$D$4:$I$33,5,FALSE))*(E120/12))/1000,((VLOOKUP(D120-1,'Primas Netas Y Reservas'!$D$4:$I$33,6,FALSE)+VLOOKUP(D120,'Primas Netas Y Reservas'!$D$4:$I$33,5,FALSE))+(VLOOKUP(D120,'Primas Netas Y Reservas'!$D$4:$I$33,6,FALSE)-VLOOKUP(D120-1,'Primas Netas Y Reservas'!$D$4:$I$33,6,FALSE)-VLOOKUP(D120,'Primas Netas Y Reservas'!$D$4:$I$33,5,FALSE))*(E120/12))/1000)</f>
        <v>0.42888682399270223</v>
      </c>
      <c r="O120">
        <f t="shared" si="36"/>
        <v>-0.54440558486388113</v>
      </c>
      <c r="P120">
        <f>VLOOKUP(D120,Hipotesis!$D$9:$S$38,15,FALSE)*N120</f>
        <v>0.38599814159343199</v>
      </c>
      <c r="Q120">
        <f t="shared" si="23"/>
        <v>0.694633426817856</v>
      </c>
      <c r="R120">
        <f t="shared" si="24"/>
        <v>0</v>
      </c>
      <c r="S120">
        <f t="shared" si="25"/>
        <v>0.694633426817856</v>
      </c>
      <c r="T120">
        <f>G120*(VLOOKUP(D120,Hipotesis!$D$9:$N$38,9,FALSE)+VLOOKUP(D120,Hipotesis!$D$9:$N$38,10,FALSE)+VLOOKUP(D120,Hipotesis!$D$9:$N$38,11,FALSE))</f>
        <v>0</v>
      </c>
      <c r="U120">
        <v>0</v>
      </c>
      <c r="V120">
        <f>G120*VLOOKUP(D120,Hipotesis!$D$9:$S$38,16,FALSE)+((VLOOKUP(D120,Hipotesis!$D$9:$T$38,17,FALSE)/$B$4)*M119)/12</f>
        <v>8.7540467762136729E-3</v>
      </c>
      <c r="W120">
        <f>(1+VLOOKUP(D120,Hipotesis!$D$9:$P$38,13,FALSE))^(1/12)-1</f>
        <v>0</v>
      </c>
      <c r="X120">
        <f t="shared" si="37"/>
        <v>0</v>
      </c>
      <c r="Y120">
        <f t="shared" si="26"/>
        <v>0.42092271242130419</v>
      </c>
      <c r="Z120">
        <f>(1+VLOOKUP(D120,Hipotesis!$D$9:$O$38,12,))^(1/12)-1</f>
        <v>2.8272415385979244E-3</v>
      </c>
      <c r="AA120">
        <f t="shared" si="38"/>
        <v>0.42364283641968326</v>
      </c>
      <c r="AB120">
        <f t="shared" si="39"/>
        <v>-2.7201239983790475E-3</v>
      </c>
      <c r="AC120" s="68">
        <f t="shared" si="27"/>
        <v>-8.7540467762136729E-3</v>
      </c>
      <c r="AD120">
        <f t="shared" si="28"/>
        <v>-0.949322398683208</v>
      </c>
      <c r="AE120" s="67">
        <f t="shared" si="29"/>
        <v>7.2518518257636468E-3</v>
      </c>
      <c r="AF120" s="67">
        <f t="shared" si="30"/>
        <v>2.1755555477290939E-3</v>
      </c>
      <c r="AG120" s="67">
        <f t="shared" si="31"/>
        <v>5.076296278034553E-3</v>
      </c>
    </row>
    <row r="121" spans="4:33" x14ac:dyDescent="0.2">
      <c r="D121" s="50">
        <v>10</v>
      </c>
      <c r="E121">
        <v>11</v>
      </c>
      <c r="F121">
        <f t="shared" si="22"/>
        <v>59</v>
      </c>
      <c r="G121">
        <f t="shared" si="32"/>
        <v>0</v>
      </c>
      <c r="H121" s="64">
        <f>IF(E121="Anual",VLOOKUP(F121,Hipotesis!$E$9:$J$38,6,FALSE),1-(1-VLOOKUP(F121,Hipotesis!$E$9:$J$38,6,FALSE))^(1/12))</f>
        <v>7.2734638726568157E-4</v>
      </c>
      <c r="I121">
        <f t="shared" si="33"/>
        <v>0.25319480883959278</v>
      </c>
      <c r="J121">
        <v>0</v>
      </c>
      <c r="K121">
        <f>1-(1-VLOOKUP(D121,Hipotesis!$D$9:$K$38,8,FALSE))^(1/12)</f>
        <v>5.1430128318229462E-3</v>
      </c>
      <c r="L121">
        <f t="shared" si="34"/>
        <v>1.789019694958663</v>
      </c>
      <c r="M121">
        <f t="shared" si="35"/>
        <v>346.06539044551596</v>
      </c>
      <c r="N121">
        <f>IF(D121=1,(VLOOKUP(D121,'Primas Netas Y Reservas'!$D$4:$I$33,5,FALSE)+(VLOOKUP(D121,'Primas Netas Y Reservas'!$D$4:$I$33,6,FALSE)-VLOOKUP(D121,'Primas Netas Y Reservas'!$D$4:$I$33,5,FALSE))*(E121/12))/1000,((VLOOKUP(D121-1,'Primas Netas Y Reservas'!$D$4:$I$33,6,FALSE)+VLOOKUP(D121,'Primas Netas Y Reservas'!$D$4:$I$33,5,FALSE))+(VLOOKUP(D121,'Primas Netas Y Reservas'!$D$4:$I$33,6,FALSE)-VLOOKUP(D121-1,'Primas Netas Y Reservas'!$D$4:$I$33,6,FALSE)-VLOOKUP(D121,'Primas Netas Y Reservas'!$D$4:$I$33,5,FALSE))*(E121/12))/1000)</f>
        <v>0.42984821386951511</v>
      </c>
      <c r="O121">
        <f t="shared" si="36"/>
        <v>-0.54317512935622858</v>
      </c>
      <c r="P121">
        <f>VLOOKUP(D121,Hipotesis!$D$9:$S$38,15,FALSE)*N121</f>
        <v>0.38686339248256363</v>
      </c>
      <c r="Q121">
        <f t="shared" si="23"/>
        <v>0.69210622840982949</v>
      </c>
      <c r="R121">
        <f t="shared" si="24"/>
        <v>0</v>
      </c>
      <c r="S121">
        <f t="shared" si="25"/>
        <v>0.69210622840982949</v>
      </c>
      <c r="T121">
        <f>G121*(VLOOKUP(D121,Hipotesis!$D$9:$N$38,9,FALSE)+VLOOKUP(D121,Hipotesis!$D$9:$N$38,10,FALSE)+VLOOKUP(D121,Hipotesis!$D$9:$N$38,11,FALSE))</f>
        <v>0</v>
      </c>
      <c r="U121">
        <v>0</v>
      </c>
      <c r="V121">
        <f>G121*VLOOKUP(D121,Hipotesis!$D$9:$S$38,16,FALSE)+((VLOOKUP(D121,Hipotesis!$D$9:$T$38,17,FALSE)/$B$4)*M120)/12</f>
        <v>8.7026901237328546E-3</v>
      </c>
      <c r="W121">
        <f>(1+VLOOKUP(D121,Hipotesis!$D$9:$P$38,13,FALSE))^(1/12)-1</f>
        <v>0</v>
      </c>
      <c r="X121">
        <f t="shared" si="37"/>
        <v>0</v>
      </c>
      <c r="Y121">
        <f t="shared" si="26"/>
        <v>0.41939510201021746</v>
      </c>
      <c r="Z121">
        <f>(1+VLOOKUP(D121,Hipotesis!$D$9:$O$38,12,))^(1/12)-1</f>
        <v>2.8272415385979244E-3</v>
      </c>
      <c r="AA121">
        <f t="shared" si="38"/>
        <v>0.42210367033631141</v>
      </c>
      <c r="AB121">
        <f t="shared" si="39"/>
        <v>-2.7085683260939485E-3</v>
      </c>
      <c r="AC121" s="68">
        <f t="shared" si="27"/>
        <v>-8.7026901237328546E-3</v>
      </c>
      <c r="AD121">
        <f t="shared" si="28"/>
        <v>-0.94530103724942227</v>
      </c>
      <c r="AE121" s="67">
        <f t="shared" si="29"/>
        <v>8.5665039932909127E-3</v>
      </c>
      <c r="AF121" s="67">
        <f t="shared" si="30"/>
        <v>2.5699511979872737E-3</v>
      </c>
      <c r="AG121" s="67">
        <f t="shared" si="31"/>
        <v>5.9965527953036394E-3</v>
      </c>
    </row>
    <row r="122" spans="4:33" x14ac:dyDescent="0.2">
      <c r="D122" s="50">
        <v>10</v>
      </c>
      <c r="E122">
        <v>12</v>
      </c>
      <c r="F122">
        <f t="shared" si="22"/>
        <v>59</v>
      </c>
      <c r="G122">
        <f t="shared" si="32"/>
        <v>0</v>
      </c>
      <c r="H122" s="64">
        <f>IF(E122="Anual",VLOOKUP(F122,Hipotesis!$E$9:$J$38,6,FALSE),1-(1-VLOOKUP(F122,Hipotesis!$E$9:$J$38,6,FALSE))^(1/12))</f>
        <v>7.2734638726568157E-4</v>
      </c>
      <c r="I122">
        <f t="shared" si="33"/>
        <v>0.25170941149823356</v>
      </c>
      <c r="J122">
        <v>0</v>
      </c>
      <c r="K122">
        <f>1-(1-VLOOKUP(D122,Hipotesis!$D$9:$K$38,8,FALSE))^(1/12)</f>
        <v>5.1430128318229462E-3</v>
      </c>
      <c r="L122">
        <f t="shared" si="34"/>
        <v>1.7785241989778806</v>
      </c>
      <c r="M122">
        <f t="shared" si="35"/>
        <v>344.03515683503986</v>
      </c>
      <c r="N122">
        <f>IF(D122=1,(VLOOKUP(D122,'Primas Netas Y Reservas'!$D$4:$I$33,5,FALSE)+(VLOOKUP(D122,'Primas Netas Y Reservas'!$D$4:$I$33,6,FALSE)-VLOOKUP(D122,'Primas Netas Y Reservas'!$D$4:$I$33,5,FALSE))*(E122/12))/1000,((VLOOKUP(D122-1,'Primas Netas Y Reservas'!$D$4:$I$33,6,FALSE)+VLOOKUP(D122,'Primas Netas Y Reservas'!$D$4:$I$33,5,FALSE))+(VLOOKUP(D122,'Primas Netas Y Reservas'!$D$4:$I$33,6,FALSE)-VLOOKUP(D122-1,'Primas Netas Y Reservas'!$D$4:$I$33,6,FALSE)-VLOOKUP(D122,'Primas Netas Y Reservas'!$D$4:$I$33,5,FALSE))*(E122/12))/1000)</f>
        <v>0.43080960374632798</v>
      </c>
      <c r="O122">
        <f t="shared" si="36"/>
        <v>-0.54194037415209095</v>
      </c>
      <c r="P122">
        <f>VLOOKUP(D122,Hipotesis!$D$9:$S$38,15,FALSE)*N122</f>
        <v>0.38772864337169521</v>
      </c>
      <c r="Q122">
        <f t="shared" si="23"/>
        <v>0.68958477487342462</v>
      </c>
      <c r="R122">
        <f t="shared" si="24"/>
        <v>0</v>
      </c>
      <c r="S122">
        <f t="shared" si="25"/>
        <v>0.68958477487342462</v>
      </c>
      <c r="T122">
        <f>G122*(VLOOKUP(D122,Hipotesis!$D$9:$N$38,9,FALSE)+VLOOKUP(D122,Hipotesis!$D$9:$N$38,10,FALSE)+VLOOKUP(D122,Hipotesis!$D$9:$N$38,11,FALSE))</f>
        <v>0</v>
      </c>
      <c r="U122">
        <v>0</v>
      </c>
      <c r="V122">
        <f>G122*VLOOKUP(D122,Hipotesis!$D$9:$S$38,16,FALSE)+((VLOOKUP(D122,Hipotesis!$D$9:$T$38,17,FALSE)/$B$4)*M121)/12</f>
        <v>8.6516347611378993E-3</v>
      </c>
      <c r="W122">
        <f>(1+VLOOKUP(D122,Hipotesis!$D$9:$P$38,13,FALSE))^(1/12)-1</f>
        <v>0</v>
      </c>
      <c r="X122">
        <f t="shared" si="37"/>
        <v>0</v>
      </c>
      <c r="Y122">
        <f t="shared" si="26"/>
        <v>0.41787092842769741</v>
      </c>
      <c r="Z122">
        <f>(1+VLOOKUP(D122,Hipotesis!$D$9:$O$38,12,))^(1/12)-1</f>
        <v>2.8272415385979244E-3</v>
      </c>
      <c r="AA122">
        <f t="shared" si="38"/>
        <v>0.42056798304786214</v>
      </c>
      <c r="AB122">
        <f t="shared" si="39"/>
        <v>-2.6970546201647372E-3</v>
      </c>
      <c r="AC122" s="68">
        <f t="shared" si="27"/>
        <v>-8.6516347611378993E-3</v>
      </c>
      <c r="AD122">
        <f t="shared" si="28"/>
        <v>-0.94129418637165818</v>
      </c>
      <c r="AE122" s="67">
        <f t="shared" si="29"/>
        <v>9.8654814469922251E-3</v>
      </c>
      <c r="AF122" s="67">
        <f t="shared" si="30"/>
        <v>2.9596444340976675E-3</v>
      </c>
      <c r="AG122" s="67">
        <f t="shared" si="31"/>
        <v>6.9058370128945576E-3</v>
      </c>
    </row>
    <row r="123" spans="4:33" x14ac:dyDescent="0.2">
      <c r="D123" s="50">
        <v>11</v>
      </c>
      <c r="E123">
        <v>1</v>
      </c>
      <c r="F123">
        <f t="shared" ref="F123:F181" si="40">$B$5+D123-1</f>
        <v>60</v>
      </c>
      <c r="G123">
        <f t="shared" si="32"/>
        <v>0</v>
      </c>
      <c r="H123" s="64">
        <f>IF(E123="Anual",VLOOKUP(F123,Hipotesis!$E$9:$J$38,6,FALSE),1-(1-VLOOKUP(F123,Hipotesis!$E$9:$J$38,6,FALSE))^(1/12))</f>
        <v>7.8298810201671287E-4</v>
      </c>
      <c r="I123">
        <f t="shared" si="33"/>
        <v>0.26937543447729001</v>
      </c>
      <c r="J123">
        <v>0</v>
      </c>
      <c r="K123">
        <f>1-(1-VLOOKUP(D123,Hipotesis!$D$9:$K$38,8,FALSE))^(1/12)</f>
        <v>2.5350486138366879E-3</v>
      </c>
      <c r="L123">
        <f t="shared" si="34"/>
        <v>0.87146296762398201</v>
      </c>
      <c r="M123">
        <f t="shared" si="35"/>
        <v>342.89431843293858</v>
      </c>
      <c r="N123">
        <f>IF(D123=1,(VLOOKUP(D123,'Primas Netas Y Reservas'!$D$4:$I$33,5,FALSE)+(VLOOKUP(D123,'Primas Netas Y Reservas'!$D$4:$I$33,6,FALSE)-VLOOKUP(D123,'Primas Netas Y Reservas'!$D$4:$I$33,5,FALSE))*(E123/12))/1000,((VLOOKUP(D123-1,'Primas Netas Y Reservas'!$D$4:$I$33,6,FALSE)+VLOOKUP(D123,'Primas Netas Y Reservas'!$D$4:$I$33,5,FALSE))+(VLOOKUP(D123,'Primas Netas Y Reservas'!$D$4:$I$33,6,FALSE)-VLOOKUP(D123-1,'Primas Netas Y Reservas'!$D$4:$I$33,6,FALSE)-VLOOKUP(D123,'Primas Netas Y Reservas'!$D$4:$I$33,5,FALSE))*(E123/12))/1000)</f>
        <v>0.43178119105277102</v>
      </c>
      <c r="O123">
        <f t="shared" si="36"/>
        <v>-0.15833237270695122</v>
      </c>
      <c r="P123">
        <f>VLOOKUP(D123,Hipotesis!$D$9:$S$38,15,FALSE)*N123</f>
        <v>0.43178119105277102</v>
      </c>
      <c r="Q123">
        <f t="shared" si="23"/>
        <v>0.3762813181190654</v>
      </c>
      <c r="R123">
        <f t="shared" si="24"/>
        <v>0</v>
      </c>
      <c r="S123">
        <f t="shared" si="25"/>
        <v>0.3762813181190654</v>
      </c>
      <c r="T123">
        <f>G123*(VLOOKUP(D123,Hipotesis!$D$9:$N$38,9,FALSE)+VLOOKUP(D123,Hipotesis!$D$9:$N$38,10,FALSE)+VLOOKUP(D123,Hipotesis!$D$9:$N$38,11,FALSE))</f>
        <v>0</v>
      </c>
      <c r="U123">
        <v>0</v>
      </c>
      <c r="V123">
        <f>G123*VLOOKUP(D123,Hipotesis!$D$9:$S$38,16,FALSE)+((VLOOKUP(D123,Hipotesis!$D$9:$T$38,17,FALSE)/$B$4)*M122)/12</f>
        <v>1.2901318381313994E-2</v>
      </c>
      <c r="W123">
        <f>(1+VLOOKUP(D123,Hipotesis!$D$9:$P$38,13,FALSE))^(1/12)-1</f>
        <v>0</v>
      </c>
      <c r="X123">
        <f t="shared" si="37"/>
        <v>0</v>
      </c>
      <c r="Y123">
        <f t="shared" si="26"/>
        <v>0.4335514847202625</v>
      </c>
      <c r="Z123">
        <f>(1+VLOOKUP(D123,Hipotesis!$D$9:$O$38,12,))^(1/12)-1</f>
        <v>2.94413345079092E-3</v>
      </c>
      <c r="AA123">
        <f t="shared" si="38"/>
        <v>0.43636076362440007</v>
      </c>
      <c r="AB123">
        <f t="shared" si="39"/>
        <v>-2.8092789041375518E-3</v>
      </c>
      <c r="AC123" s="68">
        <f t="shared" si="27"/>
        <v>-1.2901318381313994E-2</v>
      </c>
      <c r="AD123">
        <f t="shared" si="28"/>
        <v>-0.64565675259635547</v>
      </c>
      <c r="AE123" s="67">
        <f t="shared" si="29"/>
        <v>-6.6674213550455677E-2</v>
      </c>
      <c r="AF123" s="67">
        <f t="shared" si="30"/>
        <v>-2.0002264065136704E-2</v>
      </c>
      <c r="AG123" s="67">
        <f t="shared" si="31"/>
        <v>-4.667194948531897E-2</v>
      </c>
    </row>
    <row r="124" spans="4:33" x14ac:dyDescent="0.2">
      <c r="D124" s="50">
        <v>11</v>
      </c>
      <c r="E124">
        <v>2</v>
      </c>
      <c r="F124">
        <f t="shared" si="40"/>
        <v>60</v>
      </c>
      <c r="G124">
        <f t="shared" si="32"/>
        <v>0</v>
      </c>
      <c r="H124" s="64">
        <f>IF(E124="Anual",VLOOKUP(F124,Hipotesis!$E$9:$J$38,6,FALSE),1-(1-VLOOKUP(F124,Hipotesis!$E$9:$J$38,6,FALSE))^(1/12))</f>
        <v>7.8298810201671287E-4</v>
      </c>
      <c r="I124">
        <f t="shared" si="33"/>
        <v>0.2684821715821209</v>
      </c>
      <c r="J124">
        <v>0</v>
      </c>
      <c r="K124">
        <f>1-(1-VLOOKUP(D124,Hipotesis!$D$9:$K$38,8,FALSE))^(1/12)</f>
        <v>2.5350486138366879E-3</v>
      </c>
      <c r="L124">
        <f t="shared" si="34"/>
        <v>0.86857315127898771</v>
      </c>
      <c r="M124">
        <f t="shared" si="35"/>
        <v>341.75726311007747</v>
      </c>
      <c r="N124">
        <f>IF(D124=1,(VLOOKUP(D124,'Primas Netas Y Reservas'!$D$4:$I$33,5,FALSE)+(VLOOKUP(D124,'Primas Netas Y Reservas'!$D$4:$I$33,6,FALSE)-VLOOKUP(D124,'Primas Netas Y Reservas'!$D$4:$I$33,5,FALSE))*(E124/12))/1000,((VLOOKUP(D124-1,'Primas Netas Y Reservas'!$D$4:$I$33,6,FALSE)+VLOOKUP(D124,'Primas Netas Y Reservas'!$D$4:$I$33,5,FALSE))+(VLOOKUP(D124,'Primas Netas Y Reservas'!$D$4:$I$33,6,FALSE)-VLOOKUP(D124-1,'Primas Netas Y Reservas'!$D$4:$I$33,6,FALSE)-VLOOKUP(D124,'Primas Netas Y Reservas'!$D$4:$I$33,5,FALSE))*(E124/12))/1000)</f>
        <v>0.43275277835921405</v>
      </c>
      <c r="O124">
        <f t="shared" si="36"/>
        <v>-0.15891208287541758</v>
      </c>
      <c r="P124">
        <f>VLOOKUP(D124,Hipotesis!$D$9:$S$38,15,FALSE)*N124</f>
        <v>0.43275277835921405</v>
      </c>
      <c r="Q124">
        <f t="shared" si="23"/>
        <v>0.37587744442419985</v>
      </c>
      <c r="R124">
        <f t="shared" si="24"/>
        <v>0</v>
      </c>
      <c r="S124">
        <f t="shared" si="25"/>
        <v>0.37587744442419985</v>
      </c>
      <c r="T124">
        <f>G124*(VLOOKUP(D124,Hipotesis!$D$9:$N$38,9,FALSE)+VLOOKUP(D124,Hipotesis!$D$9:$N$38,10,FALSE)+VLOOKUP(D124,Hipotesis!$D$9:$N$38,11,FALSE))</f>
        <v>0</v>
      </c>
      <c r="U124">
        <v>0</v>
      </c>
      <c r="V124">
        <f>G124*VLOOKUP(D124,Hipotesis!$D$9:$S$38,16,FALSE)+((VLOOKUP(D124,Hipotesis!$D$9:$T$38,17,FALSE)/$B$4)*M123)/12</f>
        <v>1.2858536941235196E-2</v>
      </c>
      <c r="W124">
        <f>(1+VLOOKUP(D124,Hipotesis!$D$9:$P$38,13,FALSE))^(1/12)-1</f>
        <v>0</v>
      </c>
      <c r="X124">
        <f t="shared" si="37"/>
        <v>0</v>
      </c>
      <c r="Y124">
        <f t="shared" si="26"/>
        <v>0.4339558550977855</v>
      </c>
      <c r="Z124">
        <f>(1+VLOOKUP(D124,Hipotesis!$D$9:$O$38,12,))^(1/12)-1</f>
        <v>2.94413345079092E-3</v>
      </c>
      <c r="AA124">
        <f t="shared" si="38"/>
        <v>0.43589461198957041</v>
      </c>
      <c r="AB124">
        <f t="shared" si="39"/>
        <v>-1.9387568917848886E-3</v>
      </c>
      <c r="AC124" s="68">
        <f t="shared" si="27"/>
        <v>-1.2858536941235196E-2</v>
      </c>
      <c r="AD124">
        <f t="shared" si="28"/>
        <v>-0.64435961600632075</v>
      </c>
      <c r="AE124" s="67">
        <f t="shared" si="29"/>
        <v>-6.4350214974352851E-2</v>
      </c>
      <c r="AF124" s="67">
        <f t="shared" si="30"/>
        <v>-1.9305064492305856E-2</v>
      </c>
      <c r="AG124" s="67">
        <f t="shared" si="31"/>
        <v>-4.5045150482046992E-2</v>
      </c>
    </row>
    <row r="125" spans="4:33" x14ac:dyDescent="0.2">
      <c r="D125" s="50">
        <v>11</v>
      </c>
      <c r="E125">
        <v>3</v>
      </c>
      <c r="F125">
        <f t="shared" si="40"/>
        <v>60</v>
      </c>
      <c r="G125">
        <f t="shared" si="32"/>
        <v>0</v>
      </c>
      <c r="H125" s="64">
        <f>IF(E125="Anual",VLOOKUP(F125,Hipotesis!$E$9:$J$38,6,FALSE),1-(1-VLOOKUP(F125,Hipotesis!$E$9:$J$38,6,FALSE))^(1/12))</f>
        <v>7.8298810201671287E-4</v>
      </c>
      <c r="I125">
        <f t="shared" si="33"/>
        <v>0.26759187079298591</v>
      </c>
      <c r="J125">
        <v>0</v>
      </c>
      <c r="K125">
        <f>1-(1-VLOOKUP(D125,Hipotesis!$D$9:$K$38,8,FALSE))^(1/12)</f>
        <v>2.5350486138366879E-3</v>
      </c>
      <c r="L125">
        <f t="shared" si="34"/>
        <v>0.86569291771469437</v>
      </c>
      <c r="M125">
        <f t="shared" si="35"/>
        <v>340.62397832156978</v>
      </c>
      <c r="N125">
        <f>IF(D125=1,(VLOOKUP(D125,'Primas Netas Y Reservas'!$D$4:$I$33,5,FALSE)+(VLOOKUP(D125,'Primas Netas Y Reservas'!$D$4:$I$33,6,FALSE)-VLOOKUP(D125,'Primas Netas Y Reservas'!$D$4:$I$33,5,FALSE))*(E125/12))/1000,((VLOOKUP(D125-1,'Primas Netas Y Reservas'!$D$4:$I$33,6,FALSE)+VLOOKUP(D125,'Primas Netas Y Reservas'!$D$4:$I$33,5,FALSE))+(VLOOKUP(D125,'Primas Netas Y Reservas'!$D$4:$I$33,6,FALSE)-VLOOKUP(D125-1,'Primas Netas Y Reservas'!$D$4:$I$33,6,FALSE)-VLOOKUP(D125,'Primas Netas Y Reservas'!$D$4:$I$33,5,FALSE))*(E125/12))/1000)</f>
        <v>0.43372436566565709</v>
      </c>
      <c r="O125">
        <f t="shared" si="36"/>
        <v>-0.1594862072915646</v>
      </c>
      <c r="P125">
        <f>VLOOKUP(D125,Hipotesis!$D$9:$S$38,15,FALSE)*N125</f>
        <v>0.43372436566565709</v>
      </c>
      <c r="Q125">
        <f t="shared" si="23"/>
        <v>0.37547211159705768</v>
      </c>
      <c r="R125">
        <f t="shared" si="24"/>
        <v>0</v>
      </c>
      <c r="S125">
        <f t="shared" si="25"/>
        <v>0.37547211159705768</v>
      </c>
      <c r="T125">
        <f>G125*(VLOOKUP(D125,Hipotesis!$D$9:$N$38,9,FALSE)+VLOOKUP(D125,Hipotesis!$D$9:$N$38,10,FALSE)+VLOOKUP(D125,Hipotesis!$D$9:$N$38,11,FALSE))</f>
        <v>0</v>
      </c>
      <c r="U125">
        <v>0</v>
      </c>
      <c r="V125">
        <f>G125*VLOOKUP(D125,Hipotesis!$D$9:$S$38,16,FALSE)+((VLOOKUP(D125,Hipotesis!$D$9:$T$38,17,FALSE)/$B$4)*M124)/12</f>
        <v>1.2815897366627907E-2</v>
      </c>
      <c r="W125">
        <f>(1+VLOOKUP(D125,Hipotesis!$D$9:$P$38,13,FALSE))^(1/12)-1</f>
        <v>0</v>
      </c>
      <c r="X125">
        <f t="shared" si="37"/>
        <v>0</v>
      </c>
      <c r="Y125">
        <f t="shared" si="26"/>
        <v>0.43349194119868006</v>
      </c>
      <c r="Z125">
        <f>(1+VLOOKUP(D125,Hipotesis!$D$9:$O$38,12,))^(1/12)-1</f>
        <v>2.94413345079092E-3</v>
      </c>
      <c r="AA125">
        <f t="shared" si="38"/>
        <v>0.43542675361064204</v>
      </c>
      <c r="AB125">
        <f t="shared" si="39"/>
        <v>-1.9348124119619938E-3</v>
      </c>
      <c r="AC125" s="68">
        <f t="shared" si="27"/>
        <v>-1.2815897366627907E-2</v>
      </c>
      <c r="AD125">
        <f t="shared" si="28"/>
        <v>-0.64306398239004359</v>
      </c>
      <c r="AE125" s="67">
        <f t="shared" si="29"/>
        <v>-6.2901731266426827E-2</v>
      </c>
      <c r="AF125" s="67">
        <f t="shared" si="30"/>
        <v>-1.8870519379928046E-2</v>
      </c>
      <c r="AG125" s="67">
        <f t="shared" si="31"/>
        <v>-4.4031211886498778E-2</v>
      </c>
    </row>
    <row r="126" spans="4:33" x14ac:dyDescent="0.2">
      <c r="D126" s="50">
        <v>11</v>
      </c>
      <c r="E126">
        <v>4</v>
      </c>
      <c r="F126">
        <f t="shared" si="40"/>
        <v>60</v>
      </c>
      <c r="G126">
        <f t="shared" si="32"/>
        <v>0</v>
      </c>
      <c r="H126" s="64">
        <f>IF(E126="Anual",VLOOKUP(F126,Hipotesis!$E$9:$J$38,6,FALSE),1-(1-VLOOKUP(F126,Hipotesis!$E$9:$J$38,6,FALSE))^(1/12))</f>
        <v>7.8298810201671287E-4</v>
      </c>
      <c r="I126">
        <f t="shared" si="33"/>
        <v>0.26670452228738784</v>
      </c>
      <c r="J126">
        <v>0</v>
      </c>
      <c r="K126">
        <f>1-(1-VLOOKUP(D126,Hipotesis!$D$9:$K$38,8,FALSE))^(1/12)</f>
        <v>2.5350486138366879E-3</v>
      </c>
      <c r="L126">
        <f t="shared" si="34"/>
        <v>0.86282223515410483</v>
      </c>
      <c r="M126">
        <f t="shared" si="35"/>
        <v>339.49445156412827</v>
      </c>
      <c r="N126">
        <f>IF(D126=1,(VLOOKUP(D126,'Primas Netas Y Reservas'!$D$4:$I$33,5,FALSE)+(VLOOKUP(D126,'Primas Netas Y Reservas'!$D$4:$I$33,6,FALSE)-VLOOKUP(D126,'Primas Netas Y Reservas'!$D$4:$I$33,5,FALSE))*(E126/12))/1000,((VLOOKUP(D126-1,'Primas Netas Y Reservas'!$D$4:$I$33,6,FALSE)+VLOOKUP(D126,'Primas Netas Y Reservas'!$D$4:$I$33,5,FALSE))+(VLOOKUP(D126,'Primas Netas Y Reservas'!$D$4:$I$33,6,FALSE)-VLOOKUP(D126-1,'Primas Netas Y Reservas'!$D$4:$I$33,6,FALSE)-VLOOKUP(D126,'Primas Netas Y Reservas'!$D$4:$I$33,5,FALSE))*(E126/12))/1000)</f>
        <v>0.43469595297210012</v>
      </c>
      <c r="O126">
        <f t="shared" si="36"/>
        <v>-0.1600547766261684</v>
      </c>
      <c r="P126">
        <f>VLOOKUP(D126,Hipotesis!$D$9:$S$38,15,FALSE)*N126</f>
        <v>0.43469595297210012</v>
      </c>
      <c r="Q126">
        <f t="shared" si="23"/>
        <v>0.37506533375583107</v>
      </c>
      <c r="R126">
        <f t="shared" si="24"/>
        <v>0</v>
      </c>
      <c r="S126">
        <f t="shared" si="25"/>
        <v>0.37506533375583107</v>
      </c>
      <c r="T126">
        <f>G126*(VLOOKUP(D126,Hipotesis!$D$9:$N$38,9,FALSE)+VLOOKUP(D126,Hipotesis!$D$9:$N$38,10,FALSE)+VLOOKUP(D126,Hipotesis!$D$9:$N$38,11,FALSE))</f>
        <v>0</v>
      </c>
      <c r="U126">
        <v>0</v>
      </c>
      <c r="V126">
        <f>G126*VLOOKUP(D126,Hipotesis!$D$9:$S$38,16,FALSE)+((VLOOKUP(D126,Hipotesis!$D$9:$T$38,17,FALSE)/$B$4)*M125)/12</f>
        <v>1.2773399187058866E-2</v>
      </c>
      <c r="W126">
        <f>(1+VLOOKUP(D126,Hipotesis!$D$9:$P$38,13,FALSE))^(1/12)-1</f>
        <v>0</v>
      </c>
      <c r="X126">
        <f t="shared" si="37"/>
        <v>0</v>
      </c>
      <c r="Y126">
        <f t="shared" si="26"/>
        <v>0.43302633215943492</v>
      </c>
      <c r="Z126">
        <f>(1+VLOOKUP(D126,Hipotesis!$D$9:$O$38,12,))^(1/12)-1</f>
        <v>2.94413345079092E-3</v>
      </c>
      <c r="AA126">
        <f t="shared" si="38"/>
        <v>0.4349572049328152</v>
      </c>
      <c r="AB126">
        <f t="shared" si="39"/>
        <v>-1.930872773380276E-3</v>
      </c>
      <c r="AC126" s="68">
        <f t="shared" si="27"/>
        <v>-1.2773399187058866E-2</v>
      </c>
      <c r="AD126">
        <f t="shared" si="28"/>
        <v>-0.6417698560432189</v>
      </c>
      <c r="AE126" s="67">
        <f t="shared" si="29"/>
        <v>-6.1462146444674438E-2</v>
      </c>
      <c r="AF126" s="67">
        <f t="shared" si="30"/>
        <v>-1.8438643933402332E-2</v>
      </c>
      <c r="AG126" s="67">
        <f t="shared" si="31"/>
        <v>-4.3023502511272106E-2</v>
      </c>
    </row>
    <row r="127" spans="4:33" x14ac:dyDescent="0.2">
      <c r="D127" s="50">
        <v>11</v>
      </c>
      <c r="E127">
        <v>5</v>
      </c>
      <c r="F127">
        <f t="shared" si="40"/>
        <v>60</v>
      </c>
      <c r="G127">
        <f t="shared" si="32"/>
        <v>0</v>
      </c>
      <c r="H127" s="64">
        <f>IF(E127="Anual",VLOOKUP(F127,Hipotesis!$E$9:$J$38,6,FALSE),1-(1-VLOOKUP(F127,Hipotesis!$E$9:$J$38,6,FALSE))^(1/12))</f>
        <v>7.8298810201671287E-4</v>
      </c>
      <c r="I127">
        <f t="shared" si="33"/>
        <v>0.26582011627540164</v>
      </c>
      <c r="J127">
        <v>0</v>
      </c>
      <c r="K127">
        <f>1-(1-VLOOKUP(D127,Hipotesis!$D$9:$K$38,8,FALSE))^(1/12)</f>
        <v>2.5350486138366879E-3</v>
      </c>
      <c r="L127">
        <f t="shared" si="34"/>
        <v>0.85996107192559612</v>
      </c>
      <c r="M127">
        <f t="shared" si="35"/>
        <v>338.36867037592731</v>
      </c>
      <c r="N127">
        <f>IF(D127=1,(VLOOKUP(D127,'Primas Netas Y Reservas'!$D$4:$I$33,5,FALSE)+(VLOOKUP(D127,'Primas Netas Y Reservas'!$D$4:$I$33,6,FALSE)-VLOOKUP(D127,'Primas Netas Y Reservas'!$D$4:$I$33,5,FALSE))*(E127/12))/1000,((VLOOKUP(D127-1,'Primas Netas Y Reservas'!$D$4:$I$33,6,FALSE)+VLOOKUP(D127,'Primas Netas Y Reservas'!$D$4:$I$33,5,FALSE))+(VLOOKUP(D127,'Primas Netas Y Reservas'!$D$4:$I$33,6,FALSE)-VLOOKUP(D127-1,'Primas Netas Y Reservas'!$D$4:$I$33,6,FALSE)-VLOOKUP(D127,'Primas Netas Y Reservas'!$D$4:$I$33,5,FALSE))*(E127/12))/1000)</f>
        <v>0.43566754027854321</v>
      </c>
      <c r="O127">
        <f t="shared" si="36"/>
        <v>-0.16061782140778291</v>
      </c>
      <c r="P127">
        <f>VLOOKUP(D127,Hipotesis!$D$9:$S$38,15,FALSE)*N127</f>
        <v>0.43566754027854321</v>
      </c>
      <c r="Q127">
        <f t="shared" si="23"/>
        <v>0.37465712494112385</v>
      </c>
      <c r="R127">
        <f t="shared" si="24"/>
        <v>0</v>
      </c>
      <c r="S127">
        <f t="shared" si="25"/>
        <v>0.37465712494112385</v>
      </c>
      <c r="T127">
        <f>G127*(VLOOKUP(D127,Hipotesis!$D$9:$N$38,9,FALSE)+VLOOKUP(D127,Hipotesis!$D$9:$N$38,10,FALSE)+VLOOKUP(D127,Hipotesis!$D$9:$N$38,11,FALSE))</f>
        <v>0</v>
      </c>
      <c r="U127">
        <v>0</v>
      </c>
      <c r="V127">
        <f>G127*VLOOKUP(D127,Hipotesis!$D$9:$S$38,16,FALSE)+((VLOOKUP(D127,Hipotesis!$D$9:$T$38,17,FALSE)/$B$4)*M126)/12</f>
        <v>1.273104193365481E-2</v>
      </c>
      <c r="W127">
        <f>(1+VLOOKUP(D127,Hipotesis!$D$9:$P$38,13,FALSE))^(1/12)-1</f>
        <v>0</v>
      </c>
      <c r="X127">
        <f t="shared" si="37"/>
        <v>0</v>
      </c>
      <c r="Y127">
        <f t="shared" si="26"/>
        <v>0.4325590443236848</v>
      </c>
      <c r="Z127">
        <f>(1+VLOOKUP(D127,Hipotesis!$D$9:$O$38,12,))^(1/12)-1</f>
        <v>2.94413345079092E-3</v>
      </c>
      <c r="AA127">
        <f t="shared" si="38"/>
        <v>0.43448598231099123</v>
      </c>
      <c r="AB127">
        <f t="shared" si="39"/>
        <v>-1.926937987306409E-3</v>
      </c>
      <c r="AC127" s="68">
        <f t="shared" si="27"/>
        <v>-1.273104193365481E-2</v>
      </c>
      <c r="AD127">
        <f t="shared" si="28"/>
        <v>-0.64047724121652549</v>
      </c>
      <c r="AE127" s="67">
        <f t="shared" si="29"/>
        <v>-6.0031417418712589E-2</v>
      </c>
      <c r="AF127" s="67">
        <f t="shared" si="30"/>
        <v>-1.8009425225613777E-2</v>
      </c>
      <c r="AG127" s="67">
        <f t="shared" si="31"/>
        <v>-4.2021992193098809E-2</v>
      </c>
    </row>
    <row r="128" spans="4:33" x14ac:dyDescent="0.2">
      <c r="D128" s="50">
        <v>11</v>
      </c>
      <c r="E128">
        <v>6</v>
      </c>
      <c r="F128">
        <f t="shared" si="40"/>
        <v>60</v>
      </c>
      <c r="G128">
        <f t="shared" si="32"/>
        <v>0</v>
      </c>
      <c r="H128" s="64">
        <f>IF(E128="Anual",VLOOKUP(F128,Hipotesis!$E$9:$J$38,6,FALSE),1-(1-VLOOKUP(F128,Hipotesis!$E$9:$J$38,6,FALSE))^(1/12))</f>
        <v>7.8298810201671287E-4</v>
      </c>
      <c r="I128">
        <f t="shared" si="33"/>
        <v>0.2649386429995661</v>
      </c>
      <c r="J128">
        <v>0</v>
      </c>
      <c r="K128">
        <f>1-(1-VLOOKUP(D128,Hipotesis!$D$9:$K$38,8,FALSE))^(1/12)</f>
        <v>2.5350486138366879E-3</v>
      </c>
      <c r="L128">
        <f t="shared" si="34"/>
        <v>0.85710939646256989</v>
      </c>
      <c r="M128">
        <f t="shared" si="35"/>
        <v>337.24662233646518</v>
      </c>
      <c r="N128">
        <f>IF(D128=1,(VLOOKUP(D128,'Primas Netas Y Reservas'!$D$4:$I$33,5,FALSE)+(VLOOKUP(D128,'Primas Netas Y Reservas'!$D$4:$I$33,6,FALSE)-VLOOKUP(D128,'Primas Netas Y Reservas'!$D$4:$I$33,5,FALSE))*(E128/12))/1000,((VLOOKUP(D128-1,'Primas Netas Y Reservas'!$D$4:$I$33,6,FALSE)+VLOOKUP(D128,'Primas Netas Y Reservas'!$D$4:$I$33,5,FALSE))+(VLOOKUP(D128,'Primas Netas Y Reservas'!$D$4:$I$33,6,FALSE)-VLOOKUP(D128-1,'Primas Netas Y Reservas'!$D$4:$I$33,6,FALSE)-VLOOKUP(D128,'Primas Netas Y Reservas'!$D$4:$I$33,5,FALSE))*(E128/12))/1000)</f>
        <v>0.43663912758498624</v>
      </c>
      <c r="O128">
        <f t="shared" si="36"/>
        <v>-0.16117537202393351</v>
      </c>
      <c r="P128">
        <f>VLOOKUP(D128,Hipotesis!$D$9:$S$38,15,FALSE)*N128</f>
        <v>0.43663912758498624</v>
      </c>
      <c r="Q128">
        <f t="shared" si="23"/>
        <v>0.37424749911631061</v>
      </c>
      <c r="R128">
        <f t="shared" si="24"/>
        <v>0</v>
      </c>
      <c r="S128">
        <f t="shared" si="25"/>
        <v>0.37424749911631061</v>
      </c>
      <c r="T128">
        <f>G128*(VLOOKUP(D128,Hipotesis!$D$9:$N$38,9,FALSE)+VLOOKUP(D128,Hipotesis!$D$9:$N$38,10,FALSE)+VLOOKUP(D128,Hipotesis!$D$9:$N$38,11,FALSE))</f>
        <v>0</v>
      </c>
      <c r="U128">
        <v>0</v>
      </c>
      <c r="V128">
        <f>G128*VLOOKUP(D128,Hipotesis!$D$9:$S$38,16,FALSE)+((VLOOKUP(D128,Hipotesis!$D$9:$T$38,17,FALSE)/$B$4)*M127)/12</f>
        <v>1.2688825139097274E-2</v>
      </c>
      <c r="W128">
        <f>(1+VLOOKUP(D128,Hipotesis!$D$9:$P$38,13,FALSE))^(1/12)-1</f>
        <v>0</v>
      </c>
      <c r="X128">
        <f t="shared" si="37"/>
        <v>0</v>
      </c>
      <c r="Y128">
        <f t="shared" si="26"/>
        <v>0.43209009394531228</v>
      </c>
      <c r="Z128">
        <f>(1+VLOOKUP(D128,Hipotesis!$D$9:$O$38,12,))^(1/12)-1</f>
        <v>2.94413345079092E-3</v>
      </c>
      <c r="AA128">
        <f t="shared" si="38"/>
        <v>0.43401310201019139</v>
      </c>
      <c r="AB128">
        <f t="shared" si="39"/>
        <v>-1.9230080648791109E-3</v>
      </c>
      <c r="AC128" s="68">
        <f t="shared" si="27"/>
        <v>-1.2688825139097274E-2</v>
      </c>
      <c r="AD128">
        <f t="shared" si="28"/>
        <v>-0.63918614211587665</v>
      </c>
      <c r="AE128" s="67">
        <f t="shared" si="29"/>
        <v>-5.8609501285728199E-2</v>
      </c>
      <c r="AF128" s="67">
        <f t="shared" si="30"/>
        <v>-1.7582850385718458E-2</v>
      </c>
      <c r="AG128" s="67">
        <f t="shared" si="31"/>
        <v>-4.1026650900009745E-2</v>
      </c>
    </row>
    <row r="129" spans="4:33" x14ac:dyDescent="0.2">
      <c r="D129" s="50">
        <v>11</v>
      </c>
      <c r="E129">
        <v>7</v>
      </c>
      <c r="F129">
        <f t="shared" si="40"/>
        <v>60</v>
      </c>
      <c r="G129">
        <f t="shared" si="32"/>
        <v>0</v>
      </c>
      <c r="H129" s="64">
        <f>IF(E129="Anual",VLOOKUP(F129,Hipotesis!$E$9:$J$38,6,FALSE),1-(1-VLOOKUP(F129,Hipotesis!$E$9:$J$38,6,FALSE))^(1/12))</f>
        <v>7.8298810201671287E-4</v>
      </c>
      <c r="I129">
        <f t="shared" si="33"/>
        <v>0.26406009273477604</v>
      </c>
      <c r="J129">
        <v>0</v>
      </c>
      <c r="K129">
        <f>1-(1-VLOOKUP(D129,Hipotesis!$D$9:$K$38,8,FALSE))^(1/12)</f>
        <v>2.5350486138366879E-3</v>
      </c>
      <c r="L129">
        <f t="shared" si="34"/>
        <v>0.8542671773031042</v>
      </c>
      <c r="M129">
        <f t="shared" si="35"/>
        <v>336.12829506642731</v>
      </c>
      <c r="N129">
        <f>IF(D129=1,(VLOOKUP(D129,'Primas Netas Y Reservas'!$D$4:$I$33,5,FALSE)+(VLOOKUP(D129,'Primas Netas Y Reservas'!$D$4:$I$33,6,FALSE)-VLOOKUP(D129,'Primas Netas Y Reservas'!$D$4:$I$33,5,FALSE))*(E129/12))/1000,((VLOOKUP(D129-1,'Primas Netas Y Reservas'!$D$4:$I$33,6,FALSE)+VLOOKUP(D129,'Primas Netas Y Reservas'!$D$4:$I$33,5,FALSE))+(VLOOKUP(D129,'Primas Netas Y Reservas'!$D$4:$I$33,6,FALSE)-VLOOKUP(D129-1,'Primas Netas Y Reservas'!$D$4:$I$33,6,FALSE)-VLOOKUP(D129,'Primas Netas Y Reservas'!$D$4:$I$33,5,FALSE))*(E129/12))/1000)</f>
        <v>0.43761071489142922</v>
      </c>
      <c r="O129">
        <f t="shared" si="36"/>
        <v>-0.16172745872097494</v>
      </c>
      <c r="P129">
        <f>VLOOKUP(D129,Hipotesis!$D$9:$S$38,15,FALSE)*N129</f>
        <v>0.43761071489142922</v>
      </c>
      <c r="Q129">
        <f t="shared" si="23"/>
        <v>0.37383647016789473</v>
      </c>
      <c r="R129">
        <f t="shared" si="24"/>
        <v>0</v>
      </c>
      <c r="S129">
        <f t="shared" si="25"/>
        <v>0.37383647016789473</v>
      </c>
      <c r="T129">
        <f>G129*(VLOOKUP(D129,Hipotesis!$D$9:$N$38,9,FALSE)+VLOOKUP(D129,Hipotesis!$D$9:$N$38,10,FALSE)+VLOOKUP(D129,Hipotesis!$D$9:$N$38,11,FALSE))</f>
        <v>0</v>
      </c>
      <c r="U129">
        <v>0</v>
      </c>
      <c r="V129">
        <f>G129*VLOOKUP(D129,Hipotesis!$D$9:$S$38,16,FALSE)+((VLOOKUP(D129,Hipotesis!$D$9:$T$38,17,FALSE)/$B$4)*M128)/12</f>
        <v>1.2646748337617445E-2</v>
      </c>
      <c r="W129">
        <f>(1+VLOOKUP(D129,Hipotesis!$D$9:$P$38,13,FALSE))^(1/12)-1</f>
        <v>0</v>
      </c>
      <c r="X129">
        <f t="shared" si="37"/>
        <v>0</v>
      </c>
      <c r="Y129">
        <f t="shared" si="26"/>
        <v>0.43161949718886222</v>
      </c>
      <c r="Z129">
        <f>(1+VLOOKUP(D129,Hipotesis!$D$9:$O$38,12,))^(1/12)-1</f>
        <v>2.94413345079092E-3</v>
      </c>
      <c r="AA129">
        <f t="shared" si="38"/>
        <v>0.43353858020597208</v>
      </c>
      <c r="AB129">
        <f t="shared" si="39"/>
        <v>-1.9190830171098654E-3</v>
      </c>
      <c r="AC129" s="68">
        <f t="shared" si="27"/>
        <v>-1.2646748337617445E-2</v>
      </c>
      <c r="AD129">
        <f t="shared" si="28"/>
        <v>-0.63789656290267072</v>
      </c>
      <c r="AE129" s="67">
        <f t="shared" si="29"/>
        <v>-5.719635533045106E-2</v>
      </c>
      <c r="AF129" s="67">
        <f t="shared" si="30"/>
        <v>-1.7158906599135316E-2</v>
      </c>
      <c r="AG129" s="67">
        <f t="shared" si="31"/>
        <v>-4.0037448731315747E-2</v>
      </c>
    </row>
    <row r="130" spans="4:33" x14ac:dyDescent="0.2">
      <c r="D130" s="50">
        <v>11</v>
      </c>
      <c r="E130">
        <v>8</v>
      </c>
      <c r="F130">
        <f t="shared" si="40"/>
        <v>60</v>
      </c>
      <c r="G130">
        <f t="shared" si="32"/>
        <v>0</v>
      </c>
      <c r="H130" s="64">
        <f>IF(E130="Anual",VLOOKUP(F130,Hipotesis!$E$9:$J$38,6,FALSE),1-(1-VLOOKUP(F130,Hipotesis!$E$9:$J$38,6,FALSE))^(1/12))</f>
        <v>7.8298810201671287E-4</v>
      </c>
      <c r="I130">
        <f t="shared" si="33"/>
        <v>0.26318445578817556</v>
      </c>
      <c r="J130">
        <v>0</v>
      </c>
      <c r="K130">
        <f>1-(1-VLOOKUP(D130,Hipotesis!$D$9:$K$38,8,FALSE))^(1/12)</f>
        <v>2.5350486138366879E-3</v>
      </c>
      <c r="L130">
        <f t="shared" si="34"/>
        <v>0.85143438308960662</v>
      </c>
      <c r="M130">
        <f t="shared" si="35"/>
        <v>335.01367622754952</v>
      </c>
      <c r="N130">
        <f>IF(D130=1,(VLOOKUP(D130,'Primas Netas Y Reservas'!$D$4:$I$33,5,FALSE)+(VLOOKUP(D130,'Primas Netas Y Reservas'!$D$4:$I$33,6,FALSE)-VLOOKUP(D130,'Primas Netas Y Reservas'!$D$4:$I$33,5,FALSE))*(E130/12))/1000,((VLOOKUP(D130-1,'Primas Netas Y Reservas'!$D$4:$I$33,6,FALSE)+VLOOKUP(D130,'Primas Netas Y Reservas'!$D$4:$I$33,5,FALSE))+(VLOOKUP(D130,'Primas Netas Y Reservas'!$D$4:$I$33,6,FALSE)-VLOOKUP(D130-1,'Primas Netas Y Reservas'!$D$4:$I$33,6,FALSE)-VLOOKUP(D130,'Primas Netas Y Reservas'!$D$4:$I$33,5,FALSE))*(E130/12))/1000)</f>
        <v>0.43858230219787225</v>
      </c>
      <c r="O130">
        <f t="shared" si="36"/>
        <v>-0.16227411160525662</v>
      </c>
      <c r="P130">
        <f>VLOOKUP(D130,Hipotesis!$D$9:$S$38,15,FALSE)*N130</f>
        <v>0.43858230219787225</v>
      </c>
      <c r="Q130">
        <f t="shared" si="23"/>
        <v>0.37342405190586481</v>
      </c>
      <c r="R130">
        <f t="shared" si="24"/>
        <v>0</v>
      </c>
      <c r="S130">
        <f t="shared" si="25"/>
        <v>0.37342405190586481</v>
      </c>
      <c r="T130">
        <f>G130*(VLOOKUP(D130,Hipotesis!$D$9:$N$38,9,FALSE)+VLOOKUP(D130,Hipotesis!$D$9:$N$38,10,FALSE)+VLOOKUP(D130,Hipotesis!$D$9:$N$38,11,FALSE))</f>
        <v>0</v>
      </c>
      <c r="U130">
        <v>0</v>
      </c>
      <c r="V130">
        <f>G130*VLOOKUP(D130,Hipotesis!$D$9:$S$38,16,FALSE)+((VLOOKUP(D130,Hipotesis!$D$9:$T$38,17,FALSE)/$B$4)*M129)/12</f>
        <v>1.2604811064991025E-2</v>
      </c>
      <c r="W130">
        <f>(1+VLOOKUP(D130,Hipotesis!$D$9:$P$38,13,FALSE))^(1/12)-1</f>
        <v>0</v>
      </c>
      <c r="X130">
        <f t="shared" si="37"/>
        <v>0</v>
      </c>
      <c r="Y130">
        <f t="shared" si="26"/>
        <v>0.43114727012995663</v>
      </c>
      <c r="Z130">
        <f>(1+VLOOKUP(D130,Hipotesis!$D$9:$O$38,12,))^(1/12)-1</f>
        <v>2.94413345079092E-3</v>
      </c>
      <c r="AA130">
        <f t="shared" si="38"/>
        <v>0.43306243298484026</v>
      </c>
      <c r="AB130">
        <f t="shared" si="39"/>
        <v>-1.9151628548836467E-3</v>
      </c>
      <c r="AC130" s="68">
        <f t="shared" si="27"/>
        <v>-1.2604811064991025E-2</v>
      </c>
      <c r="AD130">
        <f t="shared" si="28"/>
        <v>-0.63660850769404043</v>
      </c>
      <c r="AE130" s="67">
        <f t="shared" si="29"/>
        <v>-5.5791937023818149E-2</v>
      </c>
      <c r="AF130" s="67">
        <f t="shared" si="30"/>
        <v>-1.6737581107145443E-2</v>
      </c>
      <c r="AG130" s="67">
        <f t="shared" si="31"/>
        <v>-3.9054355916672709E-2</v>
      </c>
    </row>
    <row r="131" spans="4:33" x14ac:dyDescent="0.2">
      <c r="D131" s="50">
        <v>11</v>
      </c>
      <c r="E131">
        <v>9</v>
      </c>
      <c r="F131">
        <f t="shared" si="40"/>
        <v>60</v>
      </c>
      <c r="G131">
        <f t="shared" si="32"/>
        <v>0</v>
      </c>
      <c r="H131" s="64">
        <f>IF(E131="Anual",VLOOKUP(F131,Hipotesis!$E$9:$J$38,6,FALSE),1-(1-VLOOKUP(F131,Hipotesis!$E$9:$J$38,6,FALSE))^(1/12))</f>
        <v>7.8298810201671287E-4</v>
      </c>
      <c r="I131">
        <f t="shared" si="33"/>
        <v>0.26231172249905055</v>
      </c>
      <c r="J131">
        <v>0</v>
      </c>
      <c r="K131">
        <f>1-(1-VLOOKUP(D131,Hipotesis!$D$9:$K$38,8,FALSE))^(1/12)</f>
        <v>2.5350486138366879E-3</v>
      </c>
      <c r="L131">
        <f t="shared" si="34"/>
        <v>0.84861098256846801</v>
      </c>
      <c r="M131">
        <f t="shared" si="35"/>
        <v>333.90275352248199</v>
      </c>
      <c r="N131">
        <f>IF(D131=1,(VLOOKUP(D131,'Primas Netas Y Reservas'!$D$4:$I$33,5,FALSE)+(VLOOKUP(D131,'Primas Netas Y Reservas'!$D$4:$I$33,6,FALSE)-VLOOKUP(D131,'Primas Netas Y Reservas'!$D$4:$I$33,5,FALSE))*(E131/12))/1000,((VLOOKUP(D131-1,'Primas Netas Y Reservas'!$D$4:$I$33,6,FALSE)+VLOOKUP(D131,'Primas Netas Y Reservas'!$D$4:$I$33,5,FALSE))+(VLOOKUP(D131,'Primas Netas Y Reservas'!$D$4:$I$33,6,FALSE)-VLOOKUP(D131-1,'Primas Netas Y Reservas'!$D$4:$I$33,6,FALSE)-VLOOKUP(D131,'Primas Netas Y Reservas'!$D$4:$I$33,5,FALSE))*(E131/12))/1000)</f>
        <v>0.43955388950431529</v>
      </c>
      <c r="O131">
        <f t="shared" si="36"/>
        <v>-0.1628153606436058</v>
      </c>
      <c r="P131">
        <f>VLOOKUP(D131,Hipotesis!$D$9:$S$38,15,FALSE)*N131</f>
        <v>0.43955388950431529</v>
      </c>
      <c r="Q131">
        <f t="shared" si="23"/>
        <v>0.37301025806404881</v>
      </c>
      <c r="R131">
        <f t="shared" si="24"/>
        <v>0</v>
      </c>
      <c r="S131">
        <f t="shared" si="25"/>
        <v>0.37301025806404881</v>
      </c>
      <c r="T131">
        <f>G131*(VLOOKUP(D131,Hipotesis!$D$9:$N$38,9,FALSE)+VLOOKUP(D131,Hipotesis!$D$9:$N$38,10,FALSE)+VLOOKUP(D131,Hipotesis!$D$9:$N$38,11,FALSE))</f>
        <v>0</v>
      </c>
      <c r="U131">
        <v>0</v>
      </c>
      <c r="V131">
        <f>G131*VLOOKUP(D131,Hipotesis!$D$9:$S$38,16,FALSE)+((VLOOKUP(D131,Hipotesis!$D$9:$T$38,17,FALSE)/$B$4)*M130)/12</f>
        <v>1.2563012858533106E-2</v>
      </c>
      <c r="W131">
        <f>(1+VLOOKUP(D131,Hipotesis!$D$9:$P$38,13,FALSE))^(1/12)-1</f>
        <v>0</v>
      </c>
      <c r="X131">
        <f t="shared" si="37"/>
        <v>0</v>
      </c>
      <c r="Y131">
        <f t="shared" si="26"/>
        <v>0.43067342875570619</v>
      </c>
      <c r="Z131">
        <f>(1+VLOOKUP(D131,Hipotesis!$D$9:$O$38,12,))^(1/12)-1</f>
        <v>2.94413345079092E-3</v>
      </c>
      <c r="AA131">
        <f t="shared" si="38"/>
        <v>0.43258467634466585</v>
      </c>
      <c r="AB131">
        <f t="shared" si="39"/>
        <v>-1.911247588959637E-3</v>
      </c>
      <c r="AC131" s="68">
        <f t="shared" si="27"/>
        <v>-1.2563012858533106E-2</v>
      </c>
      <c r="AD131">
        <f t="shared" si="28"/>
        <v>-0.63532198056309941</v>
      </c>
      <c r="AE131" s="67">
        <f t="shared" si="29"/>
        <v>-5.4396204022320468E-2</v>
      </c>
      <c r="AF131" s="67">
        <f t="shared" si="30"/>
        <v>-1.631886120669614E-2</v>
      </c>
      <c r="AG131" s="67">
        <f t="shared" si="31"/>
        <v>-3.8077342815624332E-2</v>
      </c>
    </row>
    <row r="132" spans="4:33" x14ac:dyDescent="0.2">
      <c r="D132" s="50">
        <v>11</v>
      </c>
      <c r="E132">
        <v>10</v>
      </c>
      <c r="F132">
        <f t="shared" si="40"/>
        <v>60</v>
      </c>
      <c r="G132">
        <f t="shared" si="32"/>
        <v>0</v>
      </c>
      <c r="H132" s="64">
        <f>IF(E132="Anual",VLOOKUP(F132,Hipotesis!$E$9:$J$38,6,FALSE),1-(1-VLOOKUP(F132,Hipotesis!$E$9:$J$38,6,FALSE))^(1/12))</f>
        <v>7.8298810201671287E-4</v>
      </c>
      <c r="I132">
        <f t="shared" si="33"/>
        <v>0.26144188323872247</v>
      </c>
      <c r="J132">
        <v>0</v>
      </c>
      <c r="K132">
        <f>1-(1-VLOOKUP(D132,Hipotesis!$D$9:$K$38,8,FALSE))^(1/12)</f>
        <v>2.5350486138366879E-3</v>
      </c>
      <c r="L132">
        <f t="shared" si="34"/>
        <v>0.8457969445897181</v>
      </c>
      <c r="M132">
        <f t="shared" si="35"/>
        <v>332.79551469465355</v>
      </c>
      <c r="N132">
        <f>IF(D132=1,(VLOOKUP(D132,'Primas Netas Y Reservas'!$D$4:$I$33,5,FALSE)+(VLOOKUP(D132,'Primas Netas Y Reservas'!$D$4:$I$33,6,FALSE)-VLOOKUP(D132,'Primas Netas Y Reservas'!$D$4:$I$33,5,FALSE))*(E132/12))/1000,((VLOOKUP(D132-1,'Primas Netas Y Reservas'!$D$4:$I$33,6,FALSE)+VLOOKUP(D132,'Primas Netas Y Reservas'!$D$4:$I$33,5,FALSE))+(VLOOKUP(D132,'Primas Netas Y Reservas'!$D$4:$I$33,6,FALSE)-VLOOKUP(D132-1,'Primas Netas Y Reservas'!$D$4:$I$33,6,FALSE)-VLOOKUP(D132,'Primas Netas Y Reservas'!$D$4:$I$33,5,FALSE))*(E132/12))/1000)</f>
        <v>0.44052547681075832</v>
      </c>
      <c r="O132">
        <f t="shared" si="36"/>
        <v>-0.1633512356636686</v>
      </c>
      <c r="P132">
        <f>VLOOKUP(D132,Hipotesis!$D$9:$S$38,15,FALSE)*N132</f>
        <v>0.44052547681075832</v>
      </c>
      <c r="Q132">
        <f t="shared" ref="Q132:Q195" si="41">L132*P132</f>
        <v>0.37259510230046811</v>
      </c>
      <c r="R132">
        <f t="shared" ref="R132:R195" si="42">J132*N132</f>
        <v>0</v>
      </c>
      <c r="S132">
        <f t="shared" ref="S132:S195" si="43">L132*P132+J132*N132</f>
        <v>0.37259510230046811</v>
      </c>
      <c r="T132">
        <f>G132*(VLOOKUP(D132,Hipotesis!$D$9:$N$38,9,FALSE)+VLOOKUP(D132,Hipotesis!$D$9:$N$38,10,FALSE)+VLOOKUP(D132,Hipotesis!$D$9:$N$38,11,FALSE))</f>
        <v>0</v>
      </c>
      <c r="U132">
        <v>0</v>
      </c>
      <c r="V132">
        <f>G132*VLOOKUP(D132,Hipotesis!$D$9:$S$38,16,FALSE)+((VLOOKUP(D132,Hipotesis!$D$9:$T$38,17,FALSE)/$B$4)*M131)/12</f>
        <v>1.2521353257093075E-2</v>
      </c>
      <c r="W132">
        <f>(1+VLOOKUP(D132,Hipotesis!$D$9:$P$38,13,FALSE))^(1/12)-1</f>
        <v>0</v>
      </c>
      <c r="X132">
        <f t="shared" si="37"/>
        <v>0</v>
      </c>
      <c r="Y132">
        <f t="shared" ref="Y132:Y195" si="44">AA132+AB132</f>
        <v>0.43019798896512046</v>
      </c>
      <c r="Z132">
        <f>(1+VLOOKUP(D132,Hipotesis!$D$9:$O$38,12,))^(1/12)-1</f>
        <v>2.94413345079092E-3</v>
      </c>
      <c r="AA132">
        <f t="shared" si="38"/>
        <v>0.4321053261950924</v>
      </c>
      <c r="AB132">
        <f t="shared" si="39"/>
        <v>-1.9073372299719372E-3</v>
      </c>
      <c r="AC132" s="68">
        <f t="shared" ref="AC132:AC195" si="45">G132-T132-U132-V132</f>
        <v>-1.2521353257093075E-2</v>
      </c>
      <c r="AD132">
        <f t="shared" ref="AD132:AD195" si="46">-(I132+S132)</f>
        <v>-0.63403698553919052</v>
      </c>
      <c r="AE132" s="67">
        <f t="shared" ref="AE132:AE195" si="47">G132+Y132-I132-S132-O132-T132-U132-V132</f>
        <v>-5.3009114167494591E-2</v>
      </c>
      <c r="AF132" s="67">
        <f t="shared" ref="AF132:AF195" si="48">(30%)*AE132</f>
        <v>-1.5902734250248376E-2</v>
      </c>
      <c r="AG132" s="67">
        <f t="shared" ref="AG132:AG195" si="49">AE132-AF132</f>
        <v>-3.7106379917246218E-2</v>
      </c>
    </row>
    <row r="133" spans="4:33" x14ac:dyDescent="0.2">
      <c r="D133" s="50">
        <v>11</v>
      </c>
      <c r="E133">
        <v>11</v>
      </c>
      <c r="F133">
        <f t="shared" si="40"/>
        <v>60</v>
      </c>
      <c r="G133">
        <f t="shared" ref="G133:G196" si="50">IF(E133=1,IF(D133&lt;=$B$7,($B$1+($B$3/$B$4*1000))*M132/$B$2,0),0)</f>
        <v>0</v>
      </c>
      <c r="H133" s="64">
        <f>IF(E133="Anual",VLOOKUP(F133,Hipotesis!$E$9:$J$38,6,FALSE),1-(1-VLOOKUP(F133,Hipotesis!$E$9:$J$38,6,FALSE))^(1/12))</f>
        <v>7.8298810201671287E-4</v>
      </c>
      <c r="I133">
        <f t="shared" ref="I133:I196" si="51">H133*1000*(M132/$B$2)</f>
        <v>0.26057492841044189</v>
      </c>
      <c r="J133">
        <v>0</v>
      </c>
      <c r="K133">
        <f>1-(1-VLOOKUP(D133,Hipotesis!$D$9:$K$38,8,FALSE))^(1/12)</f>
        <v>2.5350486138366879E-3</v>
      </c>
      <c r="L133">
        <f t="shared" ref="L133:L196" si="52">(M132-I133-J133)*K133</f>
        <v>0.84299223810668111</v>
      </c>
      <c r="M133">
        <f t="shared" ref="M133:M196" si="53">M132-I133-L133-J133</f>
        <v>331.69194752813644</v>
      </c>
      <c r="N133">
        <f>IF(D133=1,(VLOOKUP(D133,'Primas Netas Y Reservas'!$D$4:$I$33,5,FALSE)+(VLOOKUP(D133,'Primas Netas Y Reservas'!$D$4:$I$33,6,FALSE)-VLOOKUP(D133,'Primas Netas Y Reservas'!$D$4:$I$33,5,FALSE))*(E133/12))/1000,((VLOOKUP(D133-1,'Primas Netas Y Reservas'!$D$4:$I$33,6,FALSE)+VLOOKUP(D133,'Primas Netas Y Reservas'!$D$4:$I$33,5,FALSE))+(VLOOKUP(D133,'Primas Netas Y Reservas'!$D$4:$I$33,6,FALSE)-VLOOKUP(D133-1,'Primas Netas Y Reservas'!$D$4:$I$33,6,FALSE)-VLOOKUP(D133,'Primas Netas Y Reservas'!$D$4:$I$33,5,FALSE))*(E133/12))/1000)</f>
        <v>0.44149706411720135</v>
      </c>
      <c r="O133">
        <f t="shared" ref="O133:O196" si="54">(M133*N133-M132*N132)</f>
        <v>-0.16388176635496166</v>
      </c>
      <c r="P133">
        <f>VLOOKUP(D133,Hipotesis!$D$9:$S$38,15,FALSE)*N133</f>
        <v>0.44149706411720135</v>
      </c>
      <c r="Q133">
        <f t="shared" si="41"/>
        <v>0.37217859819768845</v>
      </c>
      <c r="R133">
        <f t="shared" si="42"/>
        <v>0</v>
      </c>
      <c r="S133">
        <f t="shared" si="43"/>
        <v>0.37217859819768845</v>
      </c>
      <c r="T133">
        <f>G133*(VLOOKUP(D133,Hipotesis!$D$9:$N$38,9,FALSE)+VLOOKUP(D133,Hipotesis!$D$9:$N$38,10,FALSE)+VLOOKUP(D133,Hipotesis!$D$9:$N$38,11,FALSE))</f>
        <v>0</v>
      </c>
      <c r="U133">
        <v>0</v>
      </c>
      <c r="V133">
        <f>G133*VLOOKUP(D133,Hipotesis!$D$9:$S$38,16,FALSE)+((VLOOKUP(D133,Hipotesis!$D$9:$T$38,17,FALSE)/$B$4)*M132)/12</f>
        <v>1.2479831801049508E-2</v>
      </c>
      <c r="W133">
        <f>(1+VLOOKUP(D133,Hipotesis!$D$9:$P$38,13,FALSE))^(1/12)-1</f>
        <v>0</v>
      </c>
      <c r="X133">
        <f t="shared" ref="X133:X196" si="55">(1+X132)*(1+W133)-1</f>
        <v>0</v>
      </c>
      <c r="Y133">
        <f t="shared" si="44"/>
        <v>0.42972096656951669</v>
      </c>
      <c r="Z133">
        <f>(1+VLOOKUP(D133,Hipotesis!$D$9:$O$38,12,))^(1/12)-1</f>
        <v>2.94413345079092E-3</v>
      </c>
      <c r="AA133">
        <f t="shared" ref="AA133:AA196" si="56">N132*M132*Z133</f>
        <v>0.43162439835794697</v>
      </c>
      <c r="AB133">
        <f t="shared" ref="AB133:AB196" si="57">(AD132+AC133)*Z133</f>
        <v>-1.9034317884302839E-3</v>
      </c>
      <c r="AC133" s="68">
        <f t="shared" si="45"/>
        <v>-1.2479831801049508E-2</v>
      </c>
      <c r="AD133">
        <f t="shared" si="46"/>
        <v>-0.63275352660813033</v>
      </c>
      <c r="AE133" s="67">
        <f t="shared" si="47"/>
        <v>-5.1630625484701494E-2</v>
      </c>
      <c r="AF133" s="67">
        <f t="shared" si="48"/>
        <v>-1.5489187645410447E-2</v>
      </c>
      <c r="AG133" s="67">
        <f t="shared" si="49"/>
        <v>-3.6141437839291045E-2</v>
      </c>
    </row>
    <row r="134" spans="4:33" x14ac:dyDescent="0.2">
      <c r="D134" s="50">
        <v>11</v>
      </c>
      <c r="E134">
        <v>12</v>
      </c>
      <c r="F134">
        <f t="shared" si="40"/>
        <v>60</v>
      </c>
      <c r="G134">
        <f t="shared" si="50"/>
        <v>0</v>
      </c>
      <c r="H134" s="64">
        <f>IF(E134="Anual",VLOOKUP(F134,Hipotesis!$E$9:$J$38,6,FALSE),1-(1-VLOOKUP(F134,Hipotesis!$E$9:$J$38,6,FALSE))^(1/12))</f>
        <v>7.8298810201671287E-4</v>
      </c>
      <c r="I134">
        <f t="shared" si="51"/>
        <v>0.25971084844928266</v>
      </c>
      <c r="J134">
        <v>0</v>
      </c>
      <c r="K134">
        <f>1-(1-VLOOKUP(D134,Hipotesis!$D$9:$K$38,8,FALSE))^(1/12)</f>
        <v>2.5350486138366879E-3</v>
      </c>
      <c r="L134">
        <f t="shared" si="52"/>
        <v>0.84019683217563401</v>
      </c>
      <c r="M134">
        <f t="shared" si="53"/>
        <v>330.5920398475115</v>
      </c>
      <c r="N134">
        <f>IF(D134=1,(VLOOKUP(D134,'Primas Netas Y Reservas'!$D$4:$I$33,5,FALSE)+(VLOOKUP(D134,'Primas Netas Y Reservas'!$D$4:$I$33,6,FALSE)-VLOOKUP(D134,'Primas Netas Y Reservas'!$D$4:$I$33,5,FALSE))*(E134/12))/1000,((VLOOKUP(D134-1,'Primas Netas Y Reservas'!$D$4:$I$33,6,FALSE)+VLOOKUP(D134,'Primas Netas Y Reservas'!$D$4:$I$33,5,FALSE))+(VLOOKUP(D134,'Primas Netas Y Reservas'!$D$4:$I$33,6,FALSE)-VLOOKUP(D134-1,'Primas Netas Y Reservas'!$D$4:$I$33,6,FALSE)-VLOOKUP(D134,'Primas Netas Y Reservas'!$D$4:$I$33,5,FALSE))*(E134/12))/1000)</f>
        <v>0.44246865142364444</v>
      </c>
      <c r="O134">
        <f t="shared" si="54"/>
        <v>-0.16440698226890049</v>
      </c>
      <c r="P134">
        <f>VLOOKUP(D134,Hipotesis!$D$9:$S$38,15,FALSE)*N134</f>
        <v>0.44246865142364444</v>
      </c>
      <c r="Q134">
        <f t="shared" si="41"/>
        <v>0.37176075926317087</v>
      </c>
      <c r="R134">
        <f t="shared" si="42"/>
        <v>0</v>
      </c>
      <c r="S134">
        <f t="shared" si="43"/>
        <v>0.37176075926317087</v>
      </c>
      <c r="T134">
        <f>G134*(VLOOKUP(D134,Hipotesis!$D$9:$N$38,9,FALSE)+VLOOKUP(D134,Hipotesis!$D$9:$N$38,10,FALSE)+VLOOKUP(D134,Hipotesis!$D$9:$N$38,11,FALSE))</f>
        <v>0</v>
      </c>
      <c r="U134">
        <v>0</v>
      </c>
      <c r="V134">
        <f>G134*VLOOKUP(D134,Hipotesis!$D$9:$S$38,16,FALSE)+((VLOOKUP(D134,Hipotesis!$D$9:$T$38,17,FALSE)/$B$4)*M133)/12</f>
        <v>1.2438448032305116E-2</v>
      </c>
      <c r="W134">
        <f>(1+VLOOKUP(D134,Hipotesis!$D$9:$P$38,13,FALSE))^(1/12)-1</f>
        <v>0</v>
      </c>
      <c r="X134">
        <f t="shared" si="55"/>
        <v>0</v>
      </c>
      <c r="Y134">
        <f t="shared" si="44"/>
        <v>0.42924237729292586</v>
      </c>
      <c r="Z134">
        <f>(1+VLOOKUP(D134,Hipotesis!$D$9:$O$38,12,))^(1/12)-1</f>
        <v>2.94413345079092E-3</v>
      </c>
      <c r="AA134">
        <f t="shared" si="56"/>
        <v>0.43114190856764661</v>
      </c>
      <c r="AB134">
        <f t="shared" si="57"/>
        <v>-1.899531274720753E-3</v>
      </c>
      <c r="AC134" s="68">
        <f t="shared" si="45"/>
        <v>-1.2438448032305116E-2</v>
      </c>
      <c r="AD134">
        <f t="shared" si="46"/>
        <v>-0.63147160771245359</v>
      </c>
      <c r="AE134" s="67">
        <f t="shared" si="47"/>
        <v>-5.0260696182932295E-2</v>
      </c>
      <c r="AF134" s="67">
        <f t="shared" si="48"/>
        <v>-1.5078208854879687E-2</v>
      </c>
      <c r="AG134" s="67">
        <f t="shared" si="49"/>
        <v>-3.5182487328052611E-2</v>
      </c>
    </row>
    <row r="135" spans="4:33" x14ac:dyDescent="0.2">
      <c r="D135" s="50">
        <v>12</v>
      </c>
      <c r="E135">
        <v>1</v>
      </c>
      <c r="F135">
        <f t="shared" si="40"/>
        <v>61</v>
      </c>
      <c r="G135">
        <f t="shared" si="50"/>
        <v>0</v>
      </c>
      <c r="H135" s="64">
        <f>IF(E135="Anual",VLOOKUP(F135,Hipotesis!$E$9:$J$38,6,FALSE),1-(1-VLOOKUP(F135,Hipotesis!$E$9:$J$38,6,FALSE))^(1/12))</f>
        <v>8.4280833761118945E-4</v>
      </c>
      <c r="I135">
        <f t="shared" si="51"/>
        <v>0.27862572753137327</v>
      </c>
      <c r="J135">
        <v>0</v>
      </c>
      <c r="K135">
        <f>1-(1-VLOOKUP(D135,Hipotesis!$D$9:$K$38,8,FALSE))^(1/12)</f>
        <v>2.5350486138366879E-3</v>
      </c>
      <c r="L135">
        <f t="shared" si="52"/>
        <v>0.83736056259651948</v>
      </c>
      <c r="M135">
        <f t="shared" si="53"/>
        <v>329.47605355738358</v>
      </c>
      <c r="N135">
        <f>IF(D135=1,(VLOOKUP(D135,'Primas Netas Y Reservas'!$D$4:$I$33,5,FALSE)+(VLOOKUP(D135,'Primas Netas Y Reservas'!$D$4:$I$33,6,FALSE)-VLOOKUP(D135,'Primas Netas Y Reservas'!$D$4:$I$33,5,FALSE))*(E135/12))/1000,((VLOOKUP(D135-1,'Primas Netas Y Reservas'!$D$4:$I$33,6,FALSE)+VLOOKUP(D135,'Primas Netas Y Reservas'!$D$4:$I$33,5,FALSE))+(VLOOKUP(D135,'Primas Netas Y Reservas'!$D$4:$I$33,6,FALSE)-VLOOKUP(D135-1,'Primas Netas Y Reservas'!$D$4:$I$33,6,FALSE)-VLOOKUP(D135,'Primas Netas Y Reservas'!$D$4:$I$33,5,FALSE))*(E135/12))/1000)</f>
        <v>0.44344962049482167</v>
      </c>
      <c r="O135">
        <f t="shared" si="54"/>
        <v>-0.1705831305668255</v>
      </c>
      <c r="P135">
        <f>VLOOKUP(D135,Hipotesis!$D$9:$S$38,15,FALSE)*N135</f>
        <v>0.44344962049482167</v>
      </c>
      <c r="Q135">
        <f t="shared" si="41"/>
        <v>0.37132722370075694</v>
      </c>
      <c r="R135">
        <f t="shared" si="42"/>
        <v>0</v>
      </c>
      <c r="S135">
        <f t="shared" si="43"/>
        <v>0.37132722370075694</v>
      </c>
      <c r="T135">
        <f>G135*(VLOOKUP(D135,Hipotesis!$D$9:$N$38,9,FALSE)+VLOOKUP(D135,Hipotesis!$D$9:$N$38,10,FALSE)+VLOOKUP(D135,Hipotesis!$D$9:$N$38,11,FALSE))</f>
        <v>0</v>
      </c>
      <c r="U135">
        <v>0</v>
      </c>
      <c r="V135">
        <f>G135*VLOOKUP(D135,Hipotesis!$D$9:$S$38,16,FALSE)+((VLOOKUP(D135,Hipotesis!$D$9:$T$38,17,FALSE)/$B$4)*M134)/12</f>
        <v>1.2397201494281682E-2</v>
      </c>
      <c r="W135">
        <f>(1+VLOOKUP(D135,Hipotesis!$D$9:$P$38,13,FALSE))^(1/12)-1</f>
        <v>0</v>
      </c>
      <c r="X135">
        <f t="shared" si="55"/>
        <v>0</v>
      </c>
      <c r="Y135">
        <f t="shared" si="44"/>
        <v>0.41400998017001589</v>
      </c>
      <c r="Z135">
        <f>(1+VLOOKUP(D135,Hipotesis!$D$9:$O$38,12,))^(1/12)-1</f>
        <v>2.8428357887930744E-3</v>
      </c>
      <c r="AA135">
        <f t="shared" si="56"/>
        <v>0.41584039346411639</v>
      </c>
      <c r="AB135">
        <f t="shared" si="57"/>
        <v>-1.8304132941004867E-3</v>
      </c>
      <c r="AC135" s="68">
        <f t="shared" si="45"/>
        <v>-1.2397201494281682E-2</v>
      </c>
      <c r="AD135">
        <f t="shared" si="46"/>
        <v>-0.64995295123213026</v>
      </c>
      <c r="AE135" s="67">
        <f t="shared" si="47"/>
        <v>-7.7757041989570494E-2</v>
      </c>
      <c r="AF135" s="67">
        <f t="shared" si="48"/>
        <v>-2.3327112596871147E-2</v>
      </c>
      <c r="AG135" s="67">
        <f t="shared" si="49"/>
        <v>-5.4429929392699347E-2</v>
      </c>
    </row>
    <row r="136" spans="4:33" x14ac:dyDescent="0.2">
      <c r="D136" s="50">
        <v>12</v>
      </c>
      <c r="E136">
        <v>2</v>
      </c>
      <c r="F136">
        <f t="shared" si="40"/>
        <v>61</v>
      </c>
      <c r="G136">
        <f t="shared" si="50"/>
        <v>0</v>
      </c>
      <c r="H136" s="64">
        <f>IF(E136="Anual",VLOOKUP(F136,Hipotesis!$E$9:$J$38,6,FALSE),1-(1-VLOOKUP(F136,Hipotesis!$E$9:$J$38,6,FALSE))^(1/12))</f>
        <v>8.4280833761118945E-4</v>
      </c>
      <c r="I136">
        <f t="shared" si="51"/>
        <v>0.27768516498139367</v>
      </c>
      <c r="J136">
        <v>0</v>
      </c>
      <c r="K136">
        <f>1-(1-VLOOKUP(D136,Hipotesis!$D$9:$K$38,8,FALSE))^(1/12)</f>
        <v>2.5350486138366879E-3</v>
      </c>
      <c r="L136">
        <f t="shared" si="52"/>
        <v>0.83453386747045855</v>
      </c>
      <c r="M136">
        <f t="shared" si="53"/>
        <v>328.36383452493175</v>
      </c>
      <c r="N136">
        <f>IF(D136=1,(VLOOKUP(D136,'Primas Netas Y Reservas'!$D$4:$I$33,5,FALSE)+(VLOOKUP(D136,'Primas Netas Y Reservas'!$D$4:$I$33,6,FALSE)-VLOOKUP(D136,'Primas Netas Y Reservas'!$D$4:$I$33,5,FALSE))*(E136/12))/1000,((VLOOKUP(D136-1,'Primas Netas Y Reservas'!$D$4:$I$33,6,FALSE)+VLOOKUP(D136,'Primas Netas Y Reservas'!$D$4:$I$33,5,FALSE))+(VLOOKUP(D136,'Primas Netas Y Reservas'!$D$4:$I$33,6,FALSE)-VLOOKUP(D136-1,'Primas Netas Y Reservas'!$D$4:$I$33,6,FALSE)-VLOOKUP(D136,'Primas Netas Y Reservas'!$D$4:$I$33,5,FALSE))*(E136/12))/1000)</f>
        <v>0.44443058956599885</v>
      </c>
      <c r="O136">
        <f t="shared" si="54"/>
        <v>-0.17109834208579855</v>
      </c>
      <c r="P136">
        <f>VLOOKUP(D136,Hipotesis!$D$9:$S$38,15,FALSE)*N136</f>
        <v>0.44443058956599885</v>
      </c>
      <c r="Q136">
        <f t="shared" si="41"/>
        <v>0.37089237873268904</v>
      </c>
      <c r="R136">
        <f t="shared" si="42"/>
        <v>0</v>
      </c>
      <c r="S136">
        <f t="shared" si="43"/>
        <v>0.37089237873268904</v>
      </c>
      <c r="T136">
        <f>G136*(VLOOKUP(D136,Hipotesis!$D$9:$N$38,9,FALSE)+VLOOKUP(D136,Hipotesis!$D$9:$N$38,10,FALSE)+VLOOKUP(D136,Hipotesis!$D$9:$N$38,11,FALSE))</f>
        <v>0</v>
      </c>
      <c r="U136">
        <v>0</v>
      </c>
      <c r="V136">
        <f>G136*VLOOKUP(D136,Hipotesis!$D$9:$S$38,16,FALSE)+((VLOOKUP(D136,Hipotesis!$D$9:$T$38,17,FALSE)/$B$4)*M135)/12</f>
        <v>1.2355352008401883E-2</v>
      </c>
      <c r="W136">
        <f>(1+VLOOKUP(D136,Hipotesis!$D$9:$P$38,13,FALSE))^(1/12)-1</f>
        <v>0</v>
      </c>
      <c r="X136">
        <f t="shared" si="55"/>
        <v>0</v>
      </c>
      <c r="Y136">
        <f t="shared" si="44"/>
        <v>0.41347261988790962</v>
      </c>
      <c r="Z136">
        <f>(1+VLOOKUP(D136,Hipotesis!$D$9:$O$38,12,))^(1/12)-1</f>
        <v>2.8428357887930744E-3</v>
      </c>
      <c r="AA136">
        <f t="shared" si="56"/>
        <v>0.41535545363557663</v>
      </c>
      <c r="AB136">
        <f t="shared" si="57"/>
        <v>-1.882833747667001E-3</v>
      </c>
      <c r="AC136" s="68">
        <f t="shared" si="45"/>
        <v>-1.2355352008401883E-2</v>
      </c>
      <c r="AD136">
        <f t="shared" si="46"/>
        <v>-0.64857754371408272</v>
      </c>
      <c r="AE136" s="67">
        <f t="shared" si="47"/>
        <v>-7.6361933748776423E-2</v>
      </c>
      <c r="AF136" s="67">
        <f t="shared" si="48"/>
        <v>-2.2908580124632927E-2</v>
      </c>
      <c r="AG136" s="67">
        <f t="shared" si="49"/>
        <v>-5.3453353624143496E-2</v>
      </c>
    </row>
    <row r="137" spans="4:33" x14ac:dyDescent="0.2">
      <c r="D137" s="50">
        <v>12</v>
      </c>
      <c r="E137">
        <v>3</v>
      </c>
      <c r="F137">
        <f t="shared" si="40"/>
        <v>61</v>
      </c>
      <c r="G137">
        <f t="shared" si="50"/>
        <v>0</v>
      </c>
      <c r="H137" s="64">
        <f>IF(E137="Anual",VLOOKUP(F137,Hipotesis!$E$9:$J$38,6,FALSE),1-(1-VLOOKUP(F137,Hipotesis!$E$9:$J$38,6,FALSE))^(1/12))</f>
        <v>8.4280833761118945E-4</v>
      </c>
      <c r="I137">
        <f t="shared" si="51"/>
        <v>0.27674777750759338</v>
      </c>
      <c r="J137">
        <v>0</v>
      </c>
      <c r="K137">
        <f>1-(1-VLOOKUP(D137,Hipotesis!$D$9:$K$38,8,FALSE))^(1/12)</f>
        <v>2.5350486138366879E-3</v>
      </c>
      <c r="L137">
        <f t="shared" si="52"/>
        <v>0.83171671447677475</v>
      </c>
      <c r="M137">
        <f t="shared" si="53"/>
        <v>327.25537003294738</v>
      </c>
      <c r="N137">
        <f>IF(D137=1,(VLOOKUP(D137,'Primas Netas Y Reservas'!$D$4:$I$33,5,FALSE)+(VLOOKUP(D137,'Primas Netas Y Reservas'!$D$4:$I$33,6,FALSE)-VLOOKUP(D137,'Primas Netas Y Reservas'!$D$4:$I$33,5,FALSE))*(E137/12))/1000,((VLOOKUP(D137-1,'Primas Netas Y Reservas'!$D$4:$I$33,6,FALSE)+VLOOKUP(D137,'Primas Netas Y Reservas'!$D$4:$I$33,5,FALSE))+(VLOOKUP(D137,'Primas Netas Y Reservas'!$D$4:$I$33,6,FALSE)-VLOOKUP(D137-1,'Primas Netas Y Reservas'!$D$4:$I$33,6,FALSE)-VLOOKUP(D137,'Primas Netas Y Reservas'!$D$4:$I$33,5,FALSE))*(E137/12))/1000)</f>
        <v>0.44541155863717607</v>
      </c>
      <c r="O137">
        <f t="shared" si="54"/>
        <v>-0.17160813130661268</v>
      </c>
      <c r="P137">
        <f>VLOOKUP(D137,Hipotesis!$D$9:$S$38,15,FALSE)*N137</f>
        <v>0.44541155863717607</v>
      </c>
      <c r="Q137">
        <f t="shared" si="41"/>
        <v>0.37045623813969136</v>
      </c>
      <c r="R137">
        <f t="shared" si="42"/>
        <v>0</v>
      </c>
      <c r="S137">
        <f t="shared" si="43"/>
        <v>0.37045623813969136</v>
      </c>
      <c r="T137">
        <f>G137*(VLOOKUP(D137,Hipotesis!$D$9:$N$38,9,FALSE)+VLOOKUP(D137,Hipotesis!$D$9:$N$38,10,FALSE)+VLOOKUP(D137,Hipotesis!$D$9:$N$38,11,FALSE))</f>
        <v>0</v>
      </c>
      <c r="U137">
        <v>0</v>
      </c>
      <c r="V137">
        <f>G137*VLOOKUP(D137,Hipotesis!$D$9:$S$38,16,FALSE)+((VLOOKUP(D137,Hipotesis!$D$9:$T$38,17,FALSE)/$B$4)*M136)/12</f>
        <v>1.231364379468494E-2</v>
      </c>
      <c r="W137">
        <f>(1+VLOOKUP(D137,Hipotesis!$D$9:$P$38,13,FALSE))^(1/12)-1</f>
        <v>0</v>
      </c>
      <c r="X137">
        <f t="shared" si="55"/>
        <v>0</v>
      </c>
      <c r="Y137">
        <f t="shared" si="44"/>
        <v>0.41299024402494411</v>
      </c>
      <c r="Z137">
        <f>(1+VLOOKUP(D137,Hipotesis!$D$9:$O$38,12,))^(1/12)-1</f>
        <v>2.8428357887930744E-3</v>
      </c>
      <c r="AA137">
        <f t="shared" si="56"/>
        <v>0.41486904914529199</v>
      </c>
      <c r="AB137">
        <f t="shared" si="57"/>
        <v>-1.8788051203478791E-3</v>
      </c>
      <c r="AC137" s="68">
        <f t="shared" si="45"/>
        <v>-1.231364379468494E-2</v>
      </c>
      <c r="AD137">
        <f t="shared" si="46"/>
        <v>-0.64720401564728469</v>
      </c>
      <c r="AE137" s="67">
        <f t="shared" si="47"/>
        <v>-7.4919284110412904E-2</v>
      </c>
      <c r="AF137" s="67">
        <f t="shared" si="48"/>
        <v>-2.2475785233123869E-2</v>
      </c>
      <c r="AG137" s="67">
        <f t="shared" si="49"/>
        <v>-5.2443498877289038E-2</v>
      </c>
    </row>
    <row r="138" spans="4:33" x14ac:dyDescent="0.2">
      <c r="D138" s="50">
        <v>12</v>
      </c>
      <c r="E138">
        <v>4</v>
      </c>
      <c r="F138">
        <f t="shared" si="40"/>
        <v>61</v>
      </c>
      <c r="G138">
        <f t="shared" si="50"/>
        <v>0</v>
      </c>
      <c r="H138" s="64">
        <f>IF(E138="Anual",VLOOKUP(F138,Hipotesis!$E$9:$J$38,6,FALSE),1-(1-VLOOKUP(F138,Hipotesis!$E$9:$J$38,6,FALSE))^(1/12))</f>
        <v>8.4280833761118945E-4</v>
      </c>
      <c r="I138">
        <f t="shared" si="51"/>
        <v>0.27581355439180305</v>
      </c>
      <c r="J138">
        <v>0</v>
      </c>
      <c r="K138">
        <f>1-(1-VLOOKUP(D138,Hipotesis!$D$9:$K$38,8,FALSE))^(1/12)</f>
        <v>2.5350486138366879E-3</v>
      </c>
      <c r="L138">
        <f t="shared" si="52"/>
        <v>0.82890907140389736</v>
      </c>
      <c r="M138">
        <f t="shared" si="53"/>
        <v>326.15064740715172</v>
      </c>
      <c r="N138">
        <f>IF(D138=1,(VLOOKUP(D138,'Primas Netas Y Reservas'!$D$4:$I$33,5,FALSE)+(VLOOKUP(D138,'Primas Netas Y Reservas'!$D$4:$I$33,6,FALSE)-VLOOKUP(D138,'Primas Netas Y Reservas'!$D$4:$I$33,5,FALSE))*(E138/12))/1000,((VLOOKUP(D138-1,'Primas Netas Y Reservas'!$D$4:$I$33,6,FALSE)+VLOOKUP(D138,'Primas Netas Y Reservas'!$D$4:$I$33,5,FALSE))+(VLOOKUP(D138,'Primas Netas Y Reservas'!$D$4:$I$33,6,FALSE)-VLOOKUP(D138-1,'Primas Netas Y Reservas'!$D$4:$I$33,6,FALSE)-VLOOKUP(D138,'Primas Netas Y Reservas'!$D$4:$I$33,5,FALSE))*(E138/12))/1000)</f>
        <v>0.4463925277083533</v>
      </c>
      <c r="O138">
        <f t="shared" si="54"/>
        <v>-0.17211252896655083</v>
      </c>
      <c r="P138">
        <f>VLOOKUP(D138,Hipotesis!$D$9:$S$38,15,FALSE)*N138</f>
        <v>0.4463925277083533</v>
      </c>
      <c r="Q138">
        <f t="shared" si="41"/>
        <v>0.37001881562436967</v>
      </c>
      <c r="R138">
        <f t="shared" si="42"/>
        <v>0</v>
      </c>
      <c r="S138">
        <f t="shared" si="43"/>
        <v>0.37001881562436967</v>
      </c>
      <c r="T138">
        <f>G138*(VLOOKUP(D138,Hipotesis!$D$9:$N$38,9,FALSE)+VLOOKUP(D138,Hipotesis!$D$9:$N$38,10,FALSE)+VLOOKUP(D138,Hipotesis!$D$9:$N$38,11,FALSE))</f>
        <v>0</v>
      </c>
      <c r="U138">
        <v>0</v>
      </c>
      <c r="V138">
        <f>G138*VLOOKUP(D138,Hipotesis!$D$9:$S$38,16,FALSE)+((VLOOKUP(D138,Hipotesis!$D$9:$T$38,17,FALSE)/$B$4)*M137)/12</f>
        <v>1.2272076376235527E-2</v>
      </c>
      <c r="W138">
        <f>(1+VLOOKUP(D138,Hipotesis!$D$9:$P$38,13,FALSE))^(1/12)-1</f>
        <v>0</v>
      </c>
      <c r="X138">
        <f t="shared" si="55"/>
        <v>0</v>
      </c>
      <c r="Y138">
        <f t="shared" si="44"/>
        <v>0.41250641317170778</v>
      </c>
      <c r="Z138">
        <f>(1+VLOOKUP(D138,Hipotesis!$D$9:$O$38,12,))^(1/12)-1</f>
        <v>2.8428357887930744E-3</v>
      </c>
      <c r="AA138">
        <f t="shared" si="56"/>
        <v>0.41438119540796564</v>
      </c>
      <c r="AB138">
        <f t="shared" si="57"/>
        <v>-1.8747822362578581E-3</v>
      </c>
      <c r="AC138" s="68">
        <f t="shared" si="45"/>
        <v>-1.2272076376235527E-2</v>
      </c>
      <c r="AD138">
        <f t="shared" si="46"/>
        <v>-0.64583237001617277</v>
      </c>
      <c r="AE138" s="67">
        <f t="shared" si="47"/>
        <v>-7.3485504254149639E-2</v>
      </c>
      <c r="AF138" s="67">
        <f t="shared" si="48"/>
        <v>-2.2045651276244891E-2</v>
      </c>
      <c r="AG138" s="67">
        <f t="shared" si="49"/>
        <v>-5.1439852977904751E-2</v>
      </c>
    </row>
    <row r="139" spans="4:33" x14ac:dyDescent="0.2">
      <c r="D139" s="50">
        <v>12</v>
      </c>
      <c r="E139">
        <v>5</v>
      </c>
      <c r="F139">
        <f t="shared" si="40"/>
        <v>61</v>
      </c>
      <c r="G139">
        <f t="shared" si="50"/>
        <v>0</v>
      </c>
      <c r="H139" s="64">
        <f>IF(E139="Anual",VLOOKUP(F139,Hipotesis!$E$9:$J$38,6,FALSE),1-(1-VLOOKUP(F139,Hipotesis!$E$9:$J$38,6,FALSE))^(1/12))</f>
        <v>8.4280833761118945E-4</v>
      </c>
      <c r="I139">
        <f t="shared" si="51"/>
        <v>0.27488248495203471</v>
      </c>
      <c r="J139">
        <v>0</v>
      </c>
      <c r="K139">
        <f>1-(1-VLOOKUP(D139,Hipotesis!$D$9:$K$38,8,FALSE))^(1/12)</f>
        <v>2.5350486138366879E-3</v>
      </c>
      <c r="L139">
        <f t="shared" si="52"/>
        <v>0.82611090614899263</v>
      </c>
      <c r="M139">
        <f t="shared" si="53"/>
        <v>325.04965401605068</v>
      </c>
      <c r="N139">
        <f>IF(D139=1,(VLOOKUP(D139,'Primas Netas Y Reservas'!$D$4:$I$33,5,FALSE)+(VLOOKUP(D139,'Primas Netas Y Reservas'!$D$4:$I$33,6,FALSE)-VLOOKUP(D139,'Primas Netas Y Reservas'!$D$4:$I$33,5,FALSE))*(E139/12))/1000,((VLOOKUP(D139-1,'Primas Netas Y Reservas'!$D$4:$I$33,6,FALSE)+VLOOKUP(D139,'Primas Netas Y Reservas'!$D$4:$I$33,5,FALSE))+(VLOOKUP(D139,'Primas Netas Y Reservas'!$D$4:$I$33,6,FALSE)-VLOOKUP(D139-1,'Primas Netas Y Reservas'!$D$4:$I$33,6,FALSE)-VLOOKUP(D139,'Primas Netas Y Reservas'!$D$4:$I$33,5,FALSE))*(E139/12))/1000)</f>
        <v>0.44737349677953059</v>
      </c>
      <c r="O139">
        <f t="shared" si="54"/>
        <v>-0.17261156565714941</v>
      </c>
      <c r="P139">
        <f>VLOOKUP(D139,Hipotesis!$D$9:$S$38,15,FALSE)*N139</f>
        <v>0.44737349677953059</v>
      </c>
      <c r="Q139">
        <f t="shared" si="41"/>
        <v>0.36958012481158142</v>
      </c>
      <c r="R139">
        <f t="shared" si="42"/>
        <v>0</v>
      </c>
      <c r="S139">
        <f t="shared" si="43"/>
        <v>0.36958012481158142</v>
      </c>
      <c r="T139">
        <f>G139*(VLOOKUP(D139,Hipotesis!$D$9:$N$38,9,FALSE)+VLOOKUP(D139,Hipotesis!$D$9:$N$38,10,FALSE)+VLOOKUP(D139,Hipotesis!$D$9:$N$38,11,FALSE))</f>
        <v>0</v>
      </c>
      <c r="U139">
        <v>0</v>
      </c>
      <c r="V139">
        <f>G139*VLOOKUP(D139,Hipotesis!$D$9:$S$38,16,FALSE)+((VLOOKUP(D139,Hipotesis!$D$9:$T$38,17,FALSE)/$B$4)*M138)/12</f>
        <v>1.2230649277768188E-2</v>
      </c>
      <c r="W139">
        <f>(1+VLOOKUP(D139,Hipotesis!$D$9:$P$38,13,FALSE))^(1/12)-1</f>
        <v>0</v>
      </c>
      <c r="X139">
        <f t="shared" si="55"/>
        <v>0</v>
      </c>
      <c r="Y139">
        <f t="shared" si="44"/>
        <v>0.41202114264838979</v>
      </c>
      <c r="Z139">
        <f>(1+VLOOKUP(D139,Hipotesis!$D$9:$O$38,12,))^(1/12)-1</f>
        <v>2.8428357887930744E-3</v>
      </c>
      <c r="AA139">
        <f t="shared" si="56"/>
        <v>0.41389190775091983</v>
      </c>
      <c r="AB139">
        <f t="shared" si="57"/>
        <v>-1.8707651025300428E-3</v>
      </c>
      <c r="AC139" s="68">
        <f t="shared" si="45"/>
        <v>-1.2230649277768188E-2</v>
      </c>
      <c r="AD139">
        <f t="shared" si="46"/>
        <v>-0.64446260976361613</v>
      </c>
      <c r="AE139" s="67">
        <f t="shared" si="47"/>
        <v>-7.2060550735845122E-2</v>
      </c>
      <c r="AF139" s="67">
        <f t="shared" si="48"/>
        <v>-2.1618165220753535E-2</v>
      </c>
      <c r="AG139" s="67">
        <f t="shared" si="49"/>
        <v>-5.0442385515091587E-2</v>
      </c>
    </row>
    <row r="140" spans="4:33" x14ac:dyDescent="0.2">
      <c r="D140" s="50">
        <v>12</v>
      </c>
      <c r="E140">
        <v>6</v>
      </c>
      <c r="F140">
        <f t="shared" si="40"/>
        <v>61</v>
      </c>
      <c r="G140">
        <f t="shared" si="50"/>
        <v>0</v>
      </c>
      <c r="H140" s="64">
        <f>IF(E140="Anual",VLOOKUP(F140,Hipotesis!$E$9:$J$38,6,FALSE),1-(1-VLOOKUP(F140,Hipotesis!$E$9:$J$38,6,FALSE))^(1/12))</f>
        <v>8.4280833761118945E-4</v>
      </c>
      <c r="I140">
        <f t="shared" si="51"/>
        <v>0.27395455854235995</v>
      </c>
      <c r="J140">
        <v>0</v>
      </c>
      <c r="K140">
        <f>1-(1-VLOOKUP(D140,Hipotesis!$D$9:$K$38,8,FALSE))^(1/12)</f>
        <v>2.5350486138366879E-3</v>
      </c>
      <c r="L140">
        <f t="shared" si="52"/>
        <v>0.82332218671759727</v>
      </c>
      <c r="M140">
        <f t="shared" si="53"/>
        <v>323.95237727079075</v>
      </c>
      <c r="N140">
        <f>IF(D140=1,(VLOOKUP(D140,'Primas Netas Y Reservas'!$D$4:$I$33,5,FALSE)+(VLOOKUP(D140,'Primas Netas Y Reservas'!$D$4:$I$33,6,FALSE)-VLOOKUP(D140,'Primas Netas Y Reservas'!$D$4:$I$33,5,FALSE))*(E140/12))/1000,((VLOOKUP(D140-1,'Primas Netas Y Reservas'!$D$4:$I$33,6,FALSE)+VLOOKUP(D140,'Primas Netas Y Reservas'!$D$4:$I$33,5,FALSE))+(VLOOKUP(D140,'Primas Netas Y Reservas'!$D$4:$I$33,6,FALSE)-VLOOKUP(D140-1,'Primas Netas Y Reservas'!$D$4:$I$33,6,FALSE)-VLOOKUP(D140,'Primas Netas Y Reservas'!$D$4:$I$33,5,FALSE))*(E140/12))/1000)</f>
        <v>0.44835446585070782</v>
      </c>
      <c r="O140">
        <f t="shared" si="54"/>
        <v>-0.1731052718248236</v>
      </c>
      <c r="P140">
        <f>VLOOKUP(D140,Hipotesis!$D$9:$S$38,15,FALSE)*N140</f>
        <v>0.44835446585070782</v>
      </c>
      <c r="Q140">
        <f t="shared" si="41"/>
        <v>0.36914017924880504</v>
      </c>
      <c r="R140">
        <f t="shared" si="42"/>
        <v>0</v>
      </c>
      <c r="S140">
        <f t="shared" si="43"/>
        <v>0.36914017924880504</v>
      </c>
      <c r="T140">
        <f>G140*(VLOOKUP(D140,Hipotesis!$D$9:$N$38,9,FALSE)+VLOOKUP(D140,Hipotesis!$D$9:$N$38,10,FALSE)+VLOOKUP(D140,Hipotesis!$D$9:$N$38,11,FALSE))</f>
        <v>0</v>
      </c>
      <c r="U140">
        <v>0</v>
      </c>
      <c r="V140">
        <f>G140*VLOOKUP(D140,Hipotesis!$D$9:$S$38,16,FALSE)+((VLOOKUP(D140,Hipotesis!$D$9:$T$38,17,FALSE)/$B$4)*M139)/12</f>
        <v>1.21893620256019E-2</v>
      </c>
      <c r="W140">
        <f>(1+VLOOKUP(D140,Hipotesis!$D$9:$P$38,13,FALSE))^(1/12)-1</f>
        <v>0</v>
      </c>
      <c r="X140">
        <f t="shared" si="55"/>
        <v>0</v>
      </c>
      <c r="Y140">
        <f t="shared" si="44"/>
        <v>0.41153444768832614</v>
      </c>
      <c r="Z140">
        <f>(1+VLOOKUP(D140,Hipotesis!$D$9:$O$38,12,))^(1/12)-1</f>
        <v>2.8428357887930744E-3</v>
      </c>
      <c r="AA140">
        <f t="shared" si="56"/>
        <v>0.41340120141451009</v>
      </c>
      <c r="AB140">
        <f t="shared" si="57"/>
        <v>-1.8667537261839295E-3</v>
      </c>
      <c r="AC140" s="68">
        <f t="shared" si="45"/>
        <v>-1.21893620256019E-2</v>
      </c>
      <c r="AD140">
        <f t="shared" si="46"/>
        <v>-0.64309473779116499</v>
      </c>
      <c r="AE140" s="67">
        <f t="shared" si="47"/>
        <v>-7.0644380303617152E-2</v>
      </c>
      <c r="AF140" s="67">
        <f t="shared" si="48"/>
        <v>-2.1193314091085144E-2</v>
      </c>
      <c r="AG140" s="67">
        <f t="shared" si="49"/>
        <v>-4.9451066212532008E-2</v>
      </c>
    </row>
    <row r="141" spans="4:33" x14ac:dyDescent="0.2">
      <c r="D141" s="50">
        <v>12</v>
      </c>
      <c r="E141">
        <v>7</v>
      </c>
      <c r="F141">
        <f t="shared" si="40"/>
        <v>61</v>
      </c>
      <c r="G141">
        <f t="shared" si="50"/>
        <v>0</v>
      </c>
      <c r="H141" s="64">
        <f>IF(E141="Anual",VLOOKUP(F141,Hipotesis!$E$9:$J$38,6,FALSE),1-(1-VLOOKUP(F141,Hipotesis!$E$9:$J$38,6,FALSE))^(1/12))</f>
        <v>8.4280833761118945E-4</v>
      </c>
      <c r="I141">
        <f t="shared" si="51"/>
        <v>0.27302976455278799</v>
      </c>
      <c r="J141">
        <v>0</v>
      </c>
      <c r="K141">
        <f>1-(1-VLOOKUP(D141,Hipotesis!$D$9:$K$38,8,FALSE))^(1/12)</f>
        <v>2.5350486138366879E-3</v>
      </c>
      <c r="L141">
        <f t="shared" si="52"/>
        <v>0.82054288122325214</v>
      </c>
      <c r="M141">
        <f t="shared" si="53"/>
        <v>322.85880462501467</v>
      </c>
      <c r="N141">
        <f>IF(D141=1,(VLOOKUP(D141,'Primas Netas Y Reservas'!$D$4:$I$33,5,FALSE)+(VLOOKUP(D141,'Primas Netas Y Reservas'!$D$4:$I$33,6,FALSE)-VLOOKUP(D141,'Primas Netas Y Reservas'!$D$4:$I$33,5,FALSE))*(E141/12))/1000,((VLOOKUP(D141-1,'Primas Netas Y Reservas'!$D$4:$I$33,6,FALSE)+VLOOKUP(D141,'Primas Netas Y Reservas'!$D$4:$I$33,5,FALSE))+(VLOOKUP(D141,'Primas Netas Y Reservas'!$D$4:$I$33,6,FALSE)-VLOOKUP(D141-1,'Primas Netas Y Reservas'!$D$4:$I$33,6,FALSE)-VLOOKUP(D141,'Primas Netas Y Reservas'!$D$4:$I$33,5,FALSE))*(E141/12))/1000)</f>
        <v>0.44933543492188499</v>
      </c>
      <c r="O141">
        <f t="shared" si="54"/>
        <v>-0.17359367777149259</v>
      </c>
      <c r="P141">
        <f>VLOOKUP(D141,Hipotesis!$D$9:$S$38,15,FALSE)*N141</f>
        <v>0.44933543492188499</v>
      </c>
      <c r="Q141">
        <f t="shared" si="41"/>
        <v>0.36869899240650661</v>
      </c>
      <c r="R141">
        <f t="shared" si="42"/>
        <v>0</v>
      </c>
      <c r="S141">
        <f t="shared" si="43"/>
        <v>0.36869899240650661</v>
      </c>
      <c r="T141">
        <f>G141*(VLOOKUP(D141,Hipotesis!$D$9:$N$38,9,FALSE)+VLOOKUP(D141,Hipotesis!$D$9:$N$38,10,FALSE)+VLOOKUP(D141,Hipotesis!$D$9:$N$38,11,FALSE))</f>
        <v>0</v>
      </c>
      <c r="U141">
        <v>0</v>
      </c>
      <c r="V141">
        <f>G141*VLOOKUP(D141,Hipotesis!$D$9:$S$38,16,FALSE)+((VLOOKUP(D141,Hipotesis!$D$9:$T$38,17,FALSE)/$B$4)*M140)/12</f>
        <v>1.2148214147654652E-2</v>
      </c>
      <c r="W141">
        <f>(1+VLOOKUP(D141,Hipotesis!$D$9:$P$38,13,FALSE))^(1/12)-1</f>
        <v>0</v>
      </c>
      <c r="X141">
        <f t="shared" si="55"/>
        <v>0</v>
      </c>
      <c r="Y141">
        <f t="shared" si="44"/>
        <v>0.41104634343841162</v>
      </c>
      <c r="Z141">
        <f>(1+VLOOKUP(D141,Hipotesis!$D$9:$O$38,12,))^(1/12)-1</f>
        <v>2.8428357887930744E-3</v>
      </c>
      <c r="AA141">
        <f t="shared" si="56"/>
        <v>0.41290909155253774</v>
      </c>
      <c r="AB141">
        <f t="shared" si="57"/>
        <v>-1.8627481141260968E-3</v>
      </c>
      <c r="AC141" s="68">
        <f t="shared" si="45"/>
        <v>-1.2148214147654652E-2</v>
      </c>
      <c r="AD141">
        <f t="shared" si="46"/>
        <v>-0.64172875695929466</v>
      </c>
      <c r="AE141" s="67">
        <f t="shared" si="47"/>
        <v>-6.9236949897045041E-2</v>
      </c>
      <c r="AF141" s="67">
        <f t="shared" si="48"/>
        <v>-2.077108496911351E-2</v>
      </c>
      <c r="AG141" s="67">
        <f t="shared" si="49"/>
        <v>-4.8465864927931535E-2</v>
      </c>
    </row>
    <row r="142" spans="4:33" x14ac:dyDescent="0.2">
      <c r="D142" s="50">
        <v>12</v>
      </c>
      <c r="E142">
        <v>8</v>
      </c>
      <c r="F142">
        <f t="shared" si="40"/>
        <v>61</v>
      </c>
      <c r="G142">
        <f t="shared" si="50"/>
        <v>0</v>
      </c>
      <c r="H142" s="64">
        <f>IF(E142="Anual",VLOOKUP(F142,Hipotesis!$E$9:$J$38,6,FALSE),1-(1-VLOOKUP(F142,Hipotesis!$E$9:$J$38,6,FALSE))^(1/12))</f>
        <v>8.4280833761118945E-4</v>
      </c>
      <c r="I142">
        <f t="shared" si="51"/>
        <v>0.27210809240914441</v>
      </c>
      <c r="J142">
        <v>0</v>
      </c>
      <c r="K142">
        <f>1-(1-VLOOKUP(D142,Hipotesis!$D$9:$K$38,8,FALSE))^(1/12)</f>
        <v>2.5350486138366879E-3</v>
      </c>
      <c r="L142">
        <f t="shared" si="52"/>
        <v>0.81777295788713789</v>
      </c>
      <c r="M142">
        <f t="shared" si="53"/>
        <v>321.76892357471837</v>
      </c>
      <c r="N142">
        <f>IF(D142=1,(VLOOKUP(D142,'Primas Netas Y Reservas'!$D$4:$I$33,5,FALSE)+(VLOOKUP(D142,'Primas Netas Y Reservas'!$D$4:$I$33,6,FALSE)-VLOOKUP(D142,'Primas Netas Y Reservas'!$D$4:$I$33,5,FALSE))*(E142/12))/1000,((VLOOKUP(D142-1,'Primas Netas Y Reservas'!$D$4:$I$33,6,FALSE)+VLOOKUP(D142,'Primas Netas Y Reservas'!$D$4:$I$33,5,FALSE))+(VLOOKUP(D142,'Primas Netas Y Reservas'!$D$4:$I$33,6,FALSE)-VLOOKUP(D142-1,'Primas Netas Y Reservas'!$D$4:$I$33,6,FALSE)-VLOOKUP(D142,'Primas Netas Y Reservas'!$D$4:$I$33,5,FALSE))*(E142/12))/1000)</f>
        <v>0.45031640399306222</v>
      </c>
      <c r="O142">
        <f t="shared" si="54"/>
        <v>-0.17407681365523331</v>
      </c>
      <c r="P142">
        <f>VLOOKUP(D142,Hipotesis!$D$9:$S$38,15,FALSE)*N142</f>
        <v>0.45031640399306222</v>
      </c>
      <c r="Q142">
        <f t="shared" si="41"/>
        <v>0.36825657767850584</v>
      </c>
      <c r="R142">
        <f t="shared" si="42"/>
        <v>0</v>
      </c>
      <c r="S142">
        <f t="shared" si="43"/>
        <v>0.36825657767850584</v>
      </c>
      <c r="T142">
        <f>G142*(VLOOKUP(D142,Hipotesis!$D$9:$N$38,9,FALSE)+VLOOKUP(D142,Hipotesis!$D$9:$N$38,10,FALSE)+VLOOKUP(D142,Hipotesis!$D$9:$N$38,11,FALSE))</f>
        <v>0</v>
      </c>
      <c r="U142">
        <v>0</v>
      </c>
      <c r="V142">
        <f>G142*VLOOKUP(D142,Hipotesis!$D$9:$S$38,16,FALSE)+((VLOOKUP(D142,Hipotesis!$D$9:$T$38,17,FALSE)/$B$4)*M141)/12</f>
        <v>1.210720517343805E-2</v>
      </c>
      <c r="W142">
        <f>(1+VLOOKUP(D142,Hipotesis!$D$9:$P$38,13,FALSE))^(1/12)-1</f>
        <v>0</v>
      </c>
      <c r="X142">
        <f t="shared" si="55"/>
        <v>0</v>
      </c>
      <c r="Y142">
        <f t="shared" si="44"/>
        <v>0.41055684495950978</v>
      </c>
      <c r="Z142">
        <f>(1+VLOOKUP(D142,Hipotesis!$D$9:$O$38,12,))^(1/12)-1</f>
        <v>2.8428357887930744E-3</v>
      </c>
      <c r="AA142">
        <f t="shared" si="56"/>
        <v>0.41241559323266069</v>
      </c>
      <c r="AB142">
        <f t="shared" si="57"/>
        <v>-1.8587482731508857E-3</v>
      </c>
      <c r="AC142" s="68">
        <f t="shared" si="45"/>
        <v>-1.210720517343805E-2</v>
      </c>
      <c r="AD142">
        <f t="shared" si="46"/>
        <v>-0.64036467008765019</v>
      </c>
      <c r="AE142" s="67">
        <f t="shared" si="47"/>
        <v>-6.7838216646345206E-2</v>
      </c>
      <c r="AF142" s="67">
        <f t="shared" si="48"/>
        <v>-2.035146499390356E-2</v>
      </c>
      <c r="AG142" s="67">
        <f t="shared" si="49"/>
        <v>-4.748675165244165E-2</v>
      </c>
    </row>
    <row r="143" spans="4:33" x14ac:dyDescent="0.2">
      <c r="D143" s="50">
        <v>12</v>
      </c>
      <c r="E143">
        <v>9</v>
      </c>
      <c r="F143">
        <f t="shared" si="40"/>
        <v>61</v>
      </c>
      <c r="G143">
        <f t="shared" si="50"/>
        <v>0</v>
      </c>
      <c r="H143" s="64">
        <f>IF(E143="Anual",VLOOKUP(F143,Hipotesis!$E$9:$J$38,6,FALSE),1-(1-VLOOKUP(F143,Hipotesis!$E$9:$J$38,6,FALSE))^(1/12))</f>
        <v>8.4280833761118945E-4</v>
      </c>
      <c r="I143">
        <f t="shared" si="51"/>
        <v>0.27118953157295028</v>
      </c>
      <c r="J143">
        <v>0</v>
      </c>
      <c r="K143">
        <f>1-(1-VLOOKUP(D143,Hipotesis!$D$9:$K$38,8,FALSE))^(1/12)</f>
        <v>2.5350486138366879E-3</v>
      </c>
      <c r="L143">
        <f t="shared" si="52"/>
        <v>0.81501238503771201</v>
      </c>
      <c r="M143">
        <f t="shared" si="53"/>
        <v>320.68272165810771</v>
      </c>
      <c r="N143">
        <f>IF(D143=1,(VLOOKUP(D143,'Primas Netas Y Reservas'!$D$4:$I$33,5,FALSE)+(VLOOKUP(D143,'Primas Netas Y Reservas'!$D$4:$I$33,6,FALSE)-VLOOKUP(D143,'Primas Netas Y Reservas'!$D$4:$I$33,5,FALSE))*(E143/12))/1000,((VLOOKUP(D143-1,'Primas Netas Y Reservas'!$D$4:$I$33,6,FALSE)+VLOOKUP(D143,'Primas Netas Y Reservas'!$D$4:$I$33,5,FALSE))+(VLOOKUP(D143,'Primas Netas Y Reservas'!$D$4:$I$33,6,FALSE)-VLOOKUP(D143-1,'Primas Netas Y Reservas'!$D$4:$I$33,6,FALSE)-VLOOKUP(D143,'Primas Netas Y Reservas'!$D$4:$I$33,5,FALSE))*(E143/12))/1000)</f>
        <v>0.4512973730642395</v>
      </c>
      <c r="O143">
        <f t="shared" si="54"/>
        <v>-0.1745547094909341</v>
      </c>
      <c r="P143">
        <f>VLOOKUP(D143,Hipotesis!$D$9:$S$38,15,FALSE)*N143</f>
        <v>0.4512973730642395</v>
      </c>
      <c r="Q143">
        <f t="shared" si="41"/>
        <v>0.36781294838233991</v>
      </c>
      <c r="R143">
        <f t="shared" si="42"/>
        <v>0</v>
      </c>
      <c r="S143">
        <f t="shared" si="43"/>
        <v>0.36781294838233991</v>
      </c>
      <c r="T143">
        <f>G143*(VLOOKUP(D143,Hipotesis!$D$9:$N$38,9,FALSE)+VLOOKUP(D143,Hipotesis!$D$9:$N$38,10,FALSE)+VLOOKUP(D143,Hipotesis!$D$9:$N$38,11,FALSE))</f>
        <v>0</v>
      </c>
      <c r="U143">
        <v>0</v>
      </c>
      <c r="V143">
        <f>G143*VLOOKUP(D143,Hipotesis!$D$9:$S$38,16,FALSE)+((VLOOKUP(D143,Hipotesis!$D$9:$T$38,17,FALSE)/$B$4)*M142)/12</f>
        <v>1.2066334634051939E-2</v>
      </c>
      <c r="W143">
        <f>(1+VLOOKUP(D143,Hipotesis!$D$9:$P$38,13,FALSE))^(1/12)-1</f>
        <v>0</v>
      </c>
      <c r="X143">
        <f t="shared" si="55"/>
        <v>0</v>
      </c>
      <c r="Y143">
        <f t="shared" si="44"/>
        <v>0.41006596722686145</v>
      </c>
      <c r="Z143">
        <f>(1+VLOOKUP(D143,Hipotesis!$D$9:$O$38,12,))^(1/12)-1</f>
        <v>2.8428357887930744E-3</v>
      </c>
      <c r="AA143">
        <f t="shared" si="56"/>
        <v>0.41192072143680253</v>
      </c>
      <c r="AB143">
        <f t="shared" si="57"/>
        <v>-1.8547542099410781E-3</v>
      </c>
      <c r="AC143" s="68">
        <f t="shared" si="45"/>
        <v>-1.2066334634051939E-2</v>
      </c>
      <c r="AD143">
        <f t="shared" si="46"/>
        <v>-0.63900247995529025</v>
      </c>
      <c r="AE143" s="67">
        <f t="shared" si="47"/>
        <v>-6.6448137871546575E-2</v>
      </c>
      <c r="AF143" s="67">
        <f t="shared" si="48"/>
        <v>-1.9934441361463971E-2</v>
      </c>
      <c r="AG143" s="67">
        <f t="shared" si="49"/>
        <v>-4.6513696510082608E-2</v>
      </c>
    </row>
    <row r="144" spans="4:33" x14ac:dyDescent="0.2">
      <c r="D144" s="50">
        <v>12</v>
      </c>
      <c r="E144">
        <v>10</v>
      </c>
      <c r="F144">
        <f t="shared" si="40"/>
        <v>61</v>
      </c>
      <c r="G144">
        <f t="shared" si="50"/>
        <v>0</v>
      </c>
      <c r="H144" s="64">
        <f>IF(E144="Anual",VLOOKUP(F144,Hipotesis!$E$9:$J$38,6,FALSE),1-(1-VLOOKUP(F144,Hipotesis!$E$9:$J$38,6,FALSE))^(1/12))</f>
        <v>8.4280833761118945E-4</v>
      </c>
      <c r="I144">
        <f t="shared" si="51"/>
        <v>0.27027407154130151</v>
      </c>
      <c r="J144">
        <v>0</v>
      </c>
      <c r="K144">
        <f>1-(1-VLOOKUP(D144,Hipotesis!$D$9:$K$38,8,FALSE))^(1/12)</f>
        <v>2.5350486138366879E-3</v>
      </c>
      <c r="L144">
        <f t="shared" si="52"/>
        <v>0.81226113111034559</v>
      </c>
      <c r="M144">
        <f t="shared" si="53"/>
        <v>319.60018645545608</v>
      </c>
      <c r="N144">
        <f>IF(D144=1,(VLOOKUP(D144,'Primas Netas Y Reservas'!$D$4:$I$33,5,FALSE)+(VLOOKUP(D144,'Primas Netas Y Reservas'!$D$4:$I$33,6,FALSE)-VLOOKUP(D144,'Primas Netas Y Reservas'!$D$4:$I$33,5,FALSE))*(E144/12))/1000,((VLOOKUP(D144-1,'Primas Netas Y Reservas'!$D$4:$I$33,6,FALSE)+VLOOKUP(D144,'Primas Netas Y Reservas'!$D$4:$I$33,5,FALSE))+(VLOOKUP(D144,'Primas Netas Y Reservas'!$D$4:$I$33,6,FALSE)-VLOOKUP(D144-1,'Primas Netas Y Reservas'!$D$4:$I$33,6,FALSE)-VLOOKUP(D144,'Primas Netas Y Reservas'!$D$4:$I$33,5,FALSE))*(E144/12))/1000)</f>
        <v>0.45227834213541668</v>
      </c>
      <c r="O144">
        <f t="shared" si="54"/>
        <v>-0.17502739515097687</v>
      </c>
      <c r="P144">
        <f>VLOOKUP(D144,Hipotesis!$D$9:$S$38,15,FALSE)*N144</f>
        <v>0.45227834213541668</v>
      </c>
      <c r="Q144">
        <f t="shared" si="41"/>
        <v>0.36736811775962541</v>
      </c>
      <c r="R144">
        <f t="shared" si="42"/>
        <v>0</v>
      </c>
      <c r="S144">
        <f t="shared" si="43"/>
        <v>0.36736811775962541</v>
      </c>
      <c r="T144">
        <f>G144*(VLOOKUP(D144,Hipotesis!$D$9:$N$38,9,FALSE)+VLOOKUP(D144,Hipotesis!$D$9:$N$38,10,FALSE)+VLOOKUP(D144,Hipotesis!$D$9:$N$38,11,FALSE))</f>
        <v>0</v>
      </c>
      <c r="U144">
        <v>0</v>
      </c>
      <c r="V144">
        <f>G144*VLOOKUP(D144,Hipotesis!$D$9:$S$38,16,FALSE)+((VLOOKUP(D144,Hipotesis!$D$9:$T$38,17,FALSE)/$B$4)*M143)/12</f>
        <v>1.2025602062179038E-2</v>
      </c>
      <c r="W144">
        <f>(1+VLOOKUP(D144,Hipotesis!$D$9:$P$38,13,FALSE))^(1/12)-1</f>
        <v>0</v>
      </c>
      <c r="X144">
        <f t="shared" si="55"/>
        <v>0</v>
      </c>
      <c r="Y144">
        <f t="shared" si="44"/>
        <v>0.40957372513049078</v>
      </c>
      <c r="Z144">
        <f>(1+VLOOKUP(D144,Hipotesis!$D$9:$O$38,12,))^(1/12)-1</f>
        <v>2.8428357887930744E-3</v>
      </c>
      <c r="AA144">
        <f t="shared" si="56"/>
        <v>0.41142449106155937</v>
      </c>
      <c r="AB144">
        <f t="shared" si="57"/>
        <v>-1.8507659310685748E-3</v>
      </c>
      <c r="AC144" s="68">
        <f t="shared" si="45"/>
        <v>-1.2025602062179038E-2</v>
      </c>
      <c r="AD144">
        <f t="shared" si="46"/>
        <v>-0.63764218930092698</v>
      </c>
      <c r="AE144" s="67">
        <f t="shared" si="47"/>
        <v>-6.50666710816383E-2</v>
      </c>
      <c r="AF144" s="67">
        <f t="shared" si="48"/>
        <v>-1.9520001324491488E-2</v>
      </c>
      <c r="AG144" s="67">
        <f t="shared" si="49"/>
        <v>-4.5546669757146815E-2</v>
      </c>
    </row>
    <row r="145" spans="4:33" x14ac:dyDescent="0.2">
      <c r="D145" s="50">
        <v>12</v>
      </c>
      <c r="E145">
        <v>11</v>
      </c>
      <c r="F145">
        <f t="shared" si="40"/>
        <v>61</v>
      </c>
      <c r="G145">
        <f t="shared" si="50"/>
        <v>0</v>
      </c>
      <c r="H145" s="64">
        <f>IF(E145="Anual",VLOOKUP(F145,Hipotesis!$E$9:$J$38,6,FALSE),1-(1-VLOOKUP(F145,Hipotesis!$E$9:$J$38,6,FALSE))^(1/12))</f>
        <v>8.4280833761118945E-4</v>
      </c>
      <c r="I145">
        <f t="shared" si="51"/>
        <v>0.26936170184674912</v>
      </c>
      <c r="J145">
        <v>0</v>
      </c>
      <c r="K145">
        <f>1-(1-VLOOKUP(D145,Hipotesis!$D$9:$K$38,8,FALSE))^(1/12)</f>
        <v>2.5350486138366879E-3</v>
      </c>
      <c r="L145">
        <f t="shared" si="52"/>
        <v>0.80951916464696361</v>
      </c>
      <c r="M145">
        <f t="shared" si="53"/>
        <v>318.52130558896232</v>
      </c>
      <c r="N145">
        <f>IF(D145=1,(VLOOKUP(D145,'Primas Netas Y Reservas'!$D$4:$I$33,5,FALSE)+(VLOOKUP(D145,'Primas Netas Y Reservas'!$D$4:$I$33,6,FALSE)-VLOOKUP(D145,'Primas Netas Y Reservas'!$D$4:$I$33,5,FALSE))*(E145/12))/1000,((VLOOKUP(D145-1,'Primas Netas Y Reservas'!$D$4:$I$33,6,FALSE)+VLOOKUP(D145,'Primas Netas Y Reservas'!$D$4:$I$33,5,FALSE))+(VLOOKUP(D145,'Primas Netas Y Reservas'!$D$4:$I$33,6,FALSE)-VLOOKUP(D145-1,'Primas Netas Y Reservas'!$D$4:$I$33,6,FALSE)-VLOOKUP(D145,'Primas Netas Y Reservas'!$D$4:$I$33,5,FALSE))*(E145/12))/1000)</f>
        <v>0.45325931120659391</v>
      </c>
      <c r="O145">
        <f t="shared" si="54"/>
        <v>-0.1754949003656634</v>
      </c>
      <c r="P145">
        <f>VLOOKUP(D145,Hipotesis!$D$9:$S$38,15,FALSE)*N145</f>
        <v>0.45325931120659391</v>
      </c>
      <c r="Q145">
        <f t="shared" si="41"/>
        <v>0.36692209897642003</v>
      </c>
      <c r="R145">
        <f t="shared" si="42"/>
        <v>0</v>
      </c>
      <c r="S145">
        <f t="shared" si="43"/>
        <v>0.36692209897642003</v>
      </c>
      <c r="T145">
        <f>G145*(VLOOKUP(D145,Hipotesis!$D$9:$N$38,9,FALSE)+VLOOKUP(D145,Hipotesis!$D$9:$N$38,10,FALSE)+VLOOKUP(D145,Hipotesis!$D$9:$N$38,11,FALSE))</f>
        <v>0</v>
      </c>
      <c r="U145">
        <v>0</v>
      </c>
      <c r="V145">
        <f>G145*VLOOKUP(D145,Hipotesis!$D$9:$S$38,16,FALSE)+((VLOOKUP(D145,Hipotesis!$D$9:$T$38,17,FALSE)/$B$4)*M144)/12</f>
        <v>1.1985006992079604E-2</v>
      </c>
      <c r="W145">
        <f>(1+VLOOKUP(D145,Hipotesis!$D$9:$P$38,13,FALSE))^(1/12)-1</f>
        <v>0</v>
      </c>
      <c r="X145">
        <f t="shared" si="55"/>
        <v>0</v>
      </c>
      <c r="Y145">
        <f t="shared" si="44"/>
        <v>0.4090801334756099</v>
      </c>
      <c r="Z145">
        <f>(1+VLOOKUP(D145,Hipotesis!$D$9:$O$38,12,))^(1/12)-1</f>
        <v>2.8428357887930744E-3</v>
      </c>
      <c r="AA145">
        <f t="shared" si="56"/>
        <v>0.41092691691860495</v>
      </c>
      <c r="AB145">
        <f t="shared" si="57"/>
        <v>-1.8467834429950628E-3</v>
      </c>
      <c r="AC145" s="68">
        <f t="shared" si="45"/>
        <v>-1.1985006992079604E-2</v>
      </c>
      <c r="AD145">
        <f t="shared" si="46"/>
        <v>-0.63628380082316915</v>
      </c>
      <c r="AE145" s="67">
        <f t="shared" si="47"/>
        <v>-6.3693773973975465E-2</v>
      </c>
      <c r="AF145" s="67">
        <f t="shared" si="48"/>
        <v>-1.910813219219264E-2</v>
      </c>
      <c r="AG145" s="67">
        <f t="shared" si="49"/>
        <v>-4.4585641781782828E-2</v>
      </c>
    </row>
    <row r="146" spans="4:33" x14ac:dyDescent="0.2">
      <c r="D146" s="50">
        <v>12</v>
      </c>
      <c r="E146">
        <v>12</v>
      </c>
      <c r="F146">
        <f t="shared" si="40"/>
        <v>61</v>
      </c>
      <c r="G146">
        <f t="shared" si="50"/>
        <v>0</v>
      </c>
      <c r="H146" s="64">
        <f>IF(E146="Anual",VLOOKUP(F146,Hipotesis!$E$9:$J$38,6,FALSE),1-(1-VLOOKUP(F146,Hipotesis!$E$9:$J$38,6,FALSE))^(1/12))</f>
        <v>8.4280833761118945E-4</v>
      </c>
      <c r="I146">
        <f t="shared" si="51"/>
        <v>0.26845241205717896</v>
      </c>
      <c r="J146">
        <v>0</v>
      </c>
      <c r="K146">
        <f>1-(1-VLOOKUP(D146,Hipotesis!$D$9:$K$38,8,FALSE))^(1/12)</f>
        <v>2.5350486138366879E-3</v>
      </c>
      <c r="L146">
        <f t="shared" si="52"/>
        <v>0.8067864542956843</v>
      </c>
      <c r="M146">
        <f t="shared" si="53"/>
        <v>317.44606672260949</v>
      </c>
      <c r="N146">
        <f>IF(D146=1,(VLOOKUP(D146,'Primas Netas Y Reservas'!$D$4:$I$33,5,FALSE)+(VLOOKUP(D146,'Primas Netas Y Reservas'!$D$4:$I$33,6,FALSE)-VLOOKUP(D146,'Primas Netas Y Reservas'!$D$4:$I$33,5,FALSE))*(E146/12))/1000,((VLOOKUP(D146-1,'Primas Netas Y Reservas'!$D$4:$I$33,6,FALSE)+VLOOKUP(D146,'Primas Netas Y Reservas'!$D$4:$I$33,5,FALSE))+(VLOOKUP(D146,'Primas Netas Y Reservas'!$D$4:$I$33,6,FALSE)-VLOOKUP(D146-1,'Primas Netas Y Reservas'!$D$4:$I$33,6,FALSE)-VLOOKUP(D146,'Primas Netas Y Reservas'!$D$4:$I$33,5,FALSE))*(E146/12))/1000)</f>
        <v>0.45424028027777114</v>
      </c>
      <c r="O146">
        <f t="shared" si="54"/>
        <v>-0.17595725472389745</v>
      </c>
      <c r="P146">
        <f>VLOOKUP(D146,Hipotesis!$D$9:$S$38,15,FALSE)*N146</f>
        <v>0.45424028027777114</v>
      </c>
      <c r="Q146">
        <f t="shared" si="41"/>
        <v>0.36647490512358083</v>
      </c>
      <c r="R146">
        <f t="shared" si="42"/>
        <v>0</v>
      </c>
      <c r="S146">
        <f t="shared" si="43"/>
        <v>0.36647490512358083</v>
      </c>
      <c r="T146">
        <f>G146*(VLOOKUP(D146,Hipotesis!$D$9:$N$38,9,FALSE)+VLOOKUP(D146,Hipotesis!$D$9:$N$38,10,FALSE)+VLOOKUP(D146,Hipotesis!$D$9:$N$38,11,FALSE))</f>
        <v>0</v>
      </c>
      <c r="U146">
        <v>0</v>
      </c>
      <c r="V146">
        <f>G146*VLOOKUP(D146,Hipotesis!$D$9:$S$38,16,FALSE)+((VLOOKUP(D146,Hipotesis!$D$9:$T$38,17,FALSE)/$B$4)*M145)/12</f>
        <v>1.1944548959586085E-2</v>
      </c>
      <c r="W146">
        <f>(1+VLOOKUP(D146,Hipotesis!$D$9:$P$38,13,FALSE))^(1/12)-1</f>
        <v>0</v>
      </c>
      <c r="X146">
        <f t="shared" si="55"/>
        <v>0</v>
      </c>
      <c r="Y146">
        <f t="shared" si="44"/>
        <v>0.40858520698302203</v>
      </c>
      <c r="Z146">
        <f>(1+VLOOKUP(D146,Hipotesis!$D$9:$O$38,12,))^(1/12)-1</f>
        <v>2.8428357887930744E-3</v>
      </c>
      <c r="AA146">
        <f t="shared" si="56"/>
        <v>0.41042801373509474</v>
      </c>
      <c r="AB146">
        <f t="shared" si="57"/>
        <v>-1.8428067520726919E-3</v>
      </c>
      <c r="AC146" s="68">
        <f t="shared" si="45"/>
        <v>-1.1944548959586085E-2</v>
      </c>
      <c r="AD146">
        <f t="shared" si="46"/>
        <v>-0.63492731718075979</v>
      </c>
      <c r="AE146" s="67">
        <f t="shared" si="47"/>
        <v>-6.232940443342639E-2</v>
      </c>
      <c r="AF146" s="67">
        <f t="shared" si="48"/>
        <v>-1.8698821330027916E-2</v>
      </c>
      <c r="AG146" s="67">
        <f t="shared" si="49"/>
        <v>-4.3630583103398471E-2</v>
      </c>
    </row>
    <row r="147" spans="4:33" x14ac:dyDescent="0.2">
      <c r="D147" s="50">
        <v>13</v>
      </c>
      <c r="E147">
        <v>1</v>
      </c>
      <c r="F147">
        <f t="shared" si="40"/>
        <v>62</v>
      </c>
      <c r="G147">
        <f t="shared" si="50"/>
        <v>0</v>
      </c>
      <c r="H147" s="64">
        <f>IF(E147="Anual",VLOOKUP(F147,Hipotesis!$E$9:$J$38,6,FALSE),1-(1-VLOOKUP(F147,Hipotesis!$E$9:$J$38,6,FALSE))^(1/12))</f>
        <v>9.0721303417029553E-4</v>
      </c>
      <c r="I147">
        <f t="shared" si="51"/>
        <v>0.28799120937684464</v>
      </c>
      <c r="J147">
        <v>0</v>
      </c>
      <c r="K147">
        <f>1-(1-VLOOKUP(D147,Hipotesis!$D$9:$K$38,8,FALSE))^(1/12)</f>
        <v>2.5350486138366879E-3</v>
      </c>
      <c r="L147">
        <f t="shared" si="52"/>
        <v>0.80401113969693194</v>
      </c>
      <c r="M147">
        <f t="shared" si="53"/>
        <v>316.35406437353572</v>
      </c>
      <c r="N147">
        <f>IF(D147=1,(VLOOKUP(D147,'Primas Netas Y Reservas'!$D$4:$I$33,5,FALSE)+(VLOOKUP(D147,'Primas Netas Y Reservas'!$D$4:$I$33,6,FALSE)-VLOOKUP(D147,'Primas Netas Y Reservas'!$D$4:$I$33,5,FALSE))*(E147/12))/1000,((VLOOKUP(D147-1,'Primas Netas Y Reservas'!$D$4:$I$33,6,FALSE)+VLOOKUP(D147,'Primas Netas Y Reservas'!$D$4:$I$33,5,FALSE))+(VLOOKUP(D147,'Primas Netas Y Reservas'!$D$4:$I$33,6,FALSE)-VLOOKUP(D147-1,'Primas Netas Y Reservas'!$D$4:$I$33,6,FALSE)-VLOOKUP(D147,'Primas Netas Y Reservas'!$D$4:$I$33,5,FALSE))*(E147/12))/1000)</f>
        <v>0.45522969682031234</v>
      </c>
      <c r="O147">
        <f t="shared" si="54"/>
        <v>-0.18302550851592514</v>
      </c>
      <c r="P147">
        <f>VLOOKUP(D147,Hipotesis!$D$9:$S$38,15,FALSE)*N147</f>
        <v>0.45522969682031234</v>
      </c>
      <c r="Q147">
        <f t="shared" si="41"/>
        <v>0.36600974736438813</v>
      </c>
      <c r="R147">
        <f t="shared" si="42"/>
        <v>0</v>
      </c>
      <c r="S147">
        <f t="shared" si="43"/>
        <v>0.36600974736438813</v>
      </c>
      <c r="T147">
        <f>G147*(VLOOKUP(D147,Hipotesis!$D$9:$N$38,9,FALSE)+VLOOKUP(D147,Hipotesis!$D$9:$N$38,10,FALSE)+VLOOKUP(D147,Hipotesis!$D$9:$N$38,11,FALSE))</f>
        <v>0</v>
      </c>
      <c r="U147">
        <v>0</v>
      </c>
      <c r="V147">
        <f>G147*VLOOKUP(D147,Hipotesis!$D$9:$S$38,16,FALSE)+((VLOOKUP(D147,Hipotesis!$D$9:$T$38,17,FALSE)/$B$4)*M146)/12</f>
        <v>1.1904227502097854E-2</v>
      </c>
      <c r="W147">
        <f>(1+VLOOKUP(D147,Hipotesis!$D$9:$P$38,13,FALSE))^(1/12)-1</f>
        <v>0</v>
      </c>
      <c r="X147">
        <f t="shared" si="55"/>
        <v>0</v>
      </c>
      <c r="Y147">
        <f t="shared" si="44"/>
        <v>0.37334826724063602</v>
      </c>
      <c r="Z147">
        <f>(1+VLOOKUP(D147,Hipotesis!$D$9:$O$38,12,))^(1/12)-1</f>
        <v>2.6008246217750219E-3</v>
      </c>
      <c r="AA147">
        <f t="shared" si="56"/>
        <v>0.37503056264818796</v>
      </c>
      <c r="AB147">
        <f t="shared" si="57"/>
        <v>-1.6822954075519465E-3</v>
      </c>
      <c r="AC147" s="68">
        <f t="shared" si="45"/>
        <v>-1.1904227502097854E-2</v>
      </c>
      <c r="AD147">
        <f t="shared" si="46"/>
        <v>-0.65400095674123282</v>
      </c>
      <c r="AE147" s="67">
        <f t="shared" si="47"/>
        <v>-0.10953140848676945</v>
      </c>
      <c r="AF147" s="67">
        <f t="shared" si="48"/>
        <v>-3.2859422546030838E-2</v>
      </c>
      <c r="AG147" s="67">
        <f t="shared" si="49"/>
        <v>-7.6671985940738624E-2</v>
      </c>
    </row>
    <row r="148" spans="4:33" x14ac:dyDescent="0.2">
      <c r="D148" s="50">
        <v>13</v>
      </c>
      <c r="E148">
        <v>2</v>
      </c>
      <c r="F148">
        <f t="shared" si="40"/>
        <v>62</v>
      </c>
      <c r="G148">
        <f t="shared" si="50"/>
        <v>0</v>
      </c>
      <c r="H148" s="64">
        <f>IF(E148="Anual",VLOOKUP(F148,Hipotesis!$E$9:$J$38,6,FALSE),1-(1-VLOOKUP(F148,Hipotesis!$E$9:$J$38,6,FALSE))^(1/12))</f>
        <v>9.0721303417029553E-4</v>
      </c>
      <c r="I148">
        <f t="shared" si="51"/>
        <v>0.28700053061242037</v>
      </c>
      <c r="J148">
        <v>0</v>
      </c>
      <c r="K148">
        <f>1-(1-VLOOKUP(D148,Hipotesis!$D$9:$K$38,8,FALSE))^(1/12)</f>
        <v>2.5350486138366879E-3</v>
      </c>
      <c r="L148">
        <f t="shared" si="52"/>
        <v>0.80124537207443458</v>
      </c>
      <c r="M148">
        <f t="shared" si="53"/>
        <v>315.26581847084884</v>
      </c>
      <c r="N148">
        <f>IF(D148=1,(VLOOKUP(D148,'Primas Netas Y Reservas'!$D$4:$I$33,5,FALSE)+(VLOOKUP(D148,'Primas Netas Y Reservas'!$D$4:$I$33,6,FALSE)-VLOOKUP(D148,'Primas Netas Y Reservas'!$D$4:$I$33,5,FALSE))*(E148/12))/1000,((VLOOKUP(D148-1,'Primas Netas Y Reservas'!$D$4:$I$33,6,FALSE)+VLOOKUP(D148,'Primas Netas Y Reservas'!$D$4:$I$33,5,FALSE))+(VLOOKUP(D148,'Primas Netas Y Reservas'!$D$4:$I$33,6,FALSE)-VLOOKUP(D148-1,'Primas Netas Y Reservas'!$D$4:$I$33,6,FALSE)-VLOOKUP(D148,'Primas Netas Y Reservas'!$D$4:$I$33,5,FALSE))*(E148/12))/1000)</f>
        <v>0.45621911336285342</v>
      </c>
      <c r="O148">
        <f t="shared" si="54"/>
        <v>-0.18347263625329902</v>
      </c>
      <c r="P148">
        <f>VLOOKUP(D148,Hipotesis!$D$9:$S$38,15,FALSE)*N148</f>
        <v>0.45621911336285342</v>
      </c>
      <c r="Q148">
        <f t="shared" si="41"/>
        <v>0.36554345323388815</v>
      </c>
      <c r="R148">
        <f t="shared" si="42"/>
        <v>0</v>
      </c>
      <c r="S148">
        <f t="shared" si="43"/>
        <v>0.36554345323388815</v>
      </c>
      <c r="T148">
        <f>G148*(VLOOKUP(D148,Hipotesis!$D$9:$N$38,9,FALSE)+VLOOKUP(D148,Hipotesis!$D$9:$N$38,10,FALSE)+VLOOKUP(D148,Hipotesis!$D$9:$N$38,11,FALSE))</f>
        <v>0</v>
      </c>
      <c r="U148">
        <v>0</v>
      </c>
      <c r="V148">
        <f>G148*VLOOKUP(D148,Hipotesis!$D$9:$S$38,16,FALSE)+((VLOOKUP(D148,Hipotesis!$D$9:$T$38,17,FALSE)/$B$4)*M147)/12</f>
        <v>1.1863277414007589E-2</v>
      </c>
      <c r="W148">
        <f>(1+VLOOKUP(D148,Hipotesis!$D$9:$P$38,13,FALSE))^(1/12)-1</f>
        <v>0</v>
      </c>
      <c r="X148">
        <f t="shared" si="55"/>
        <v>0</v>
      </c>
      <c r="Y148">
        <f t="shared" si="44"/>
        <v>0.3728227493042765</v>
      </c>
      <c r="Z148">
        <f>(1+VLOOKUP(D148,Hipotesis!$D$9:$O$38,12,))^(1/12)-1</f>
        <v>2.6008246217750219E-3</v>
      </c>
      <c r="AA148">
        <f t="shared" si="56"/>
        <v>0.37455454539922683</v>
      </c>
      <c r="AB148">
        <f t="shared" si="57"/>
        <v>-1.7317960949503179E-3</v>
      </c>
      <c r="AC148" s="68">
        <f t="shared" si="45"/>
        <v>-1.1863277414007589E-2</v>
      </c>
      <c r="AD148">
        <f t="shared" si="46"/>
        <v>-0.65254398384630852</v>
      </c>
      <c r="AE148" s="67">
        <f t="shared" si="47"/>
        <v>-0.10811187570274058</v>
      </c>
      <c r="AF148" s="67">
        <f t="shared" si="48"/>
        <v>-3.2433562710822171E-2</v>
      </c>
      <c r="AG148" s="67">
        <f t="shared" si="49"/>
        <v>-7.5678312991918406E-2</v>
      </c>
    </row>
    <row r="149" spans="4:33" x14ac:dyDescent="0.2">
      <c r="D149" s="50">
        <v>13</v>
      </c>
      <c r="E149">
        <v>3</v>
      </c>
      <c r="F149">
        <f t="shared" si="40"/>
        <v>62</v>
      </c>
      <c r="G149">
        <f t="shared" si="50"/>
        <v>0</v>
      </c>
      <c r="H149" s="64">
        <f>IF(E149="Anual",VLOOKUP(F149,Hipotesis!$E$9:$J$38,6,FALSE),1-(1-VLOOKUP(F149,Hipotesis!$E$9:$J$38,6,FALSE))^(1/12))</f>
        <v>9.0721303417029553E-4</v>
      </c>
      <c r="I149">
        <f t="shared" si="51"/>
        <v>0.28601325974512037</v>
      </c>
      <c r="J149">
        <v>0</v>
      </c>
      <c r="K149">
        <f>1-(1-VLOOKUP(D149,Hipotesis!$D$9:$K$38,8,FALSE))^(1/12)</f>
        <v>2.5350486138366879E-3</v>
      </c>
      <c r="L149">
        <f t="shared" si="52"/>
        <v>0.79848911858695848</v>
      </c>
      <c r="M149">
        <f t="shared" si="53"/>
        <v>314.18131609251674</v>
      </c>
      <c r="N149">
        <f>IF(D149=1,(VLOOKUP(D149,'Primas Netas Y Reservas'!$D$4:$I$33,5,FALSE)+(VLOOKUP(D149,'Primas Netas Y Reservas'!$D$4:$I$33,6,FALSE)-VLOOKUP(D149,'Primas Netas Y Reservas'!$D$4:$I$33,5,FALSE))*(E149/12))/1000,((VLOOKUP(D149-1,'Primas Netas Y Reservas'!$D$4:$I$33,6,FALSE)+VLOOKUP(D149,'Primas Netas Y Reservas'!$D$4:$I$33,5,FALSE))+(VLOOKUP(D149,'Primas Netas Y Reservas'!$D$4:$I$33,6,FALSE)-VLOOKUP(D149-1,'Primas Netas Y Reservas'!$D$4:$I$33,6,FALSE)-VLOOKUP(D149,'Primas Netas Y Reservas'!$D$4:$I$33,5,FALSE))*(E149/12))/1000)</f>
        <v>0.45720852990539457</v>
      </c>
      <c r="O149">
        <f t="shared" si="54"/>
        <v>-0.18391452198326874</v>
      </c>
      <c r="P149">
        <f>VLOOKUP(D149,Hipotesis!$D$9:$S$38,15,FALSE)*N149</f>
        <v>0.45720852990539457</v>
      </c>
      <c r="Q149">
        <f t="shared" si="41"/>
        <v>0.36507603605459754</v>
      </c>
      <c r="R149">
        <f t="shared" si="42"/>
        <v>0</v>
      </c>
      <c r="S149">
        <f t="shared" si="43"/>
        <v>0.36507603605459754</v>
      </c>
      <c r="T149">
        <f>G149*(VLOOKUP(D149,Hipotesis!$D$9:$N$38,9,FALSE)+VLOOKUP(D149,Hipotesis!$D$9:$N$38,10,FALSE)+VLOOKUP(D149,Hipotesis!$D$9:$N$38,11,FALSE))</f>
        <v>0</v>
      </c>
      <c r="U149">
        <v>0</v>
      </c>
      <c r="V149">
        <f>G149*VLOOKUP(D149,Hipotesis!$D$9:$S$38,16,FALSE)+((VLOOKUP(D149,Hipotesis!$D$9:$T$38,17,FALSE)/$B$4)*M148)/12</f>
        <v>1.1822468192656831E-2</v>
      </c>
      <c r="W149">
        <f>(1+VLOOKUP(D149,Hipotesis!$D$9:$P$38,13,FALSE))^(1/12)-1</f>
        <v>0</v>
      </c>
      <c r="X149">
        <f t="shared" si="55"/>
        <v>0</v>
      </c>
      <c r="Y149">
        <f t="shared" si="44"/>
        <v>0.37234946462309298</v>
      </c>
      <c r="Z149">
        <f>(1+VLOOKUP(D149,Hipotesis!$D$9:$O$38,12,))^(1/12)-1</f>
        <v>2.6008246217750219E-3</v>
      </c>
      <c r="AA149">
        <f t="shared" si="56"/>
        <v>0.37407736524943724</v>
      </c>
      <c r="AB149">
        <f t="shared" si="57"/>
        <v>-1.7279006263442554E-3</v>
      </c>
      <c r="AC149" s="68">
        <f t="shared" si="45"/>
        <v>-1.1822468192656831E-2</v>
      </c>
      <c r="AD149">
        <f t="shared" si="46"/>
        <v>-0.65108929579971786</v>
      </c>
      <c r="AE149" s="67">
        <f t="shared" si="47"/>
        <v>-0.10664777738601303</v>
      </c>
      <c r="AF149" s="67">
        <f t="shared" si="48"/>
        <v>-3.1994333215803909E-2</v>
      </c>
      <c r="AG149" s="67">
        <f t="shared" si="49"/>
        <v>-7.465344417020911E-2</v>
      </c>
    </row>
    <row r="150" spans="4:33" x14ac:dyDescent="0.2">
      <c r="D150" s="50">
        <v>13</v>
      </c>
      <c r="E150">
        <v>4</v>
      </c>
      <c r="F150">
        <f t="shared" si="40"/>
        <v>62</v>
      </c>
      <c r="G150">
        <f t="shared" si="50"/>
        <v>0</v>
      </c>
      <c r="H150" s="64">
        <f>IF(E150="Anual",VLOOKUP(F150,Hipotesis!$E$9:$J$38,6,FALSE),1-(1-VLOOKUP(F150,Hipotesis!$E$9:$J$38,6,FALSE))^(1/12))</f>
        <v>9.0721303417029553E-4</v>
      </c>
      <c r="I150">
        <f t="shared" si="51"/>
        <v>0.28502938505190883</v>
      </c>
      <c r="J150">
        <v>0</v>
      </c>
      <c r="K150">
        <f>1-(1-VLOOKUP(D150,Hipotesis!$D$9:$K$38,8,FALSE))^(1/12)</f>
        <v>2.5350486138366879E-3</v>
      </c>
      <c r="L150">
        <f t="shared" si="52"/>
        <v>0.7957423465062422</v>
      </c>
      <c r="M150">
        <f t="shared" si="53"/>
        <v>313.10054436095857</v>
      </c>
      <c r="N150">
        <f>IF(D150=1,(VLOOKUP(D150,'Primas Netas Y Reservas'!$D$4:$I$33,5,FALSE)+(VLOOKUP(D150,'Primas Netas Y Reservas'!$D$4:$I$33,6,FALSE)-VLOOKUP(D150,'Primas Netas Y Reservas'!$D$4:$I$33,5,FALSE))*(E150/12))/1000,((VLOOKUP(D150-1,'Primas Netas Y Reservas'!$D$4:$I$33,6,FALSE)+VLOOKUP(D150,'Primas Netas Y Reservas'!$D$4:$I$33,5,FALSE))+(VLOOKUP(D150,'Primas Netas Y Reservas'!$D$4:$I$33,6,FALSE)-VLOOKUP(D150-1,'Primas Netas Y Reservas'!$D$4:$I$33,6,FALSE)-VLOOKUP(D150,'Primas Netas Y Reservas'!$D$4:$I$33,5,FALSE))*(E150/12))/1000)</f>
        <v>0.45819794644793571</v>
      </c>
      <c r="O150">
        <f t="shared" si="54"/>
        <v>-0.18435119647966758</v>
      </c>
      <c r="P150">
        <f>VLOOKUP(D150,Hipotesis!$D$9:$S$38,15,FALSE)*N150</f>
        <v>0.45819794644793571</v>
      </c>
      <c r="Q150">
        <f t="shared" si="41"/>
        <v>0.36460750907082184</v>
      </c>
      <c r="R150">
        <f t="shared" si="42"/>
        <v>0</v>
      </c>
      <c r="S150">
        <f t="shared" si="43"/>
        <v>0.36460750907082184</v>
      </c>
      <c r="T150">
        <f>G150*(VLOOKUP(D150,Hipotesis!$D$9:$N$38,9,FALSE)+VLOOKUP(D150,Hipotesis!$D$9:$N$38,10,FALSE)+VLOOKUP(D150,Hipotesis!$D$9:$N$38,11,FALSE))</f>
        <v>0</v>
      </c>
      <c r="U150">
        <v>0</v>
      </c>
      <c r="V150">
        <f>G150*VLOOKUP(D150,Hipotesis!$D$9:$S$38,16,FALSE)+((VLOOKUP(D150,Hipotesis!$D$9:$T$38,17,FALSE)/$B$4)*M149)/12</f>
        <v>1.1781799353469376E-2</v>
      </c>
      <c r="W150">
        <f>(1+VLOOKUP(D150,Hipotesis!$D$9:$P$38,13,FALSE))^(1/12)-1</f>
        <v>0</v>
      </c>
      <c r="X150">
        <f t="shared" si="55"/>
        <v>0</v>
      </c>
      <c r="Y150">
        <f t="shared" si="44"/>
        <v>0.3718750243670238</v>
      </c>
      <c r="Z150">
        <f>(1+VLOOKUP(D150,Hipotesis!$D$9:$O$38,12,))^(1/12)-1</f>
        <v>2.6008246217750219E-3</v>
      </c>
      <c r="AA150">
        <f t="shared" si="56"/>
        <v>0.3735990358323612</v>
      </c>
      <c r="AB150">
        <f t="shared" si="57"/>
        <v>-1.7240114653373827E-3</v>
      </c>
      <c r="AC150" s="68">
        <f t="shared" si="45"/>
        <v>-1.1781799353469376E-2</v>
      </c>
      <c r="AD150">
        <f t="shared" si="46"/>
        <v>-0.64963689412273062</v>
      </c>
      <c r="AE150" s="67">
        <f t="shared" si="47"/>
        <v>-0.10519247262950868</v>
      </c>
      <c r="AF150" s="67">
        <f t="shared" si="48"/>
        <v>-3.1557741788852602E-2</v>
      </c>
      <c r="AG150" s="67">
        <f t="shared" si="49"/>
        <v>-7.3634730840656082E-2</v>
      </c>
    </row>
    <row r="151" spans="4:33" x14ac:dyDescent="0.2">
      <c r="D151" s="50">
        <v>13</v>
      </c>
      <c r="E151">
        <v>5</v>
      </c>
      <c r="F151">
        <f t="shared" si="40"/>
        <v>62</v>
      </c>
      <c r="G151">
        <f t="shared" si="50"/>
        <v>0</v>
      </c>
      <c r="H151" s="64">
        <f>IF(E151="Anual",VLOOKUP(F151,Hipotesis!$E$9:$J$38,6,FALSE),1-(1-VLOOKUP(F151,Hipotesis!$E$9:$J$38,6,FALSE))^(1/12))</f>
        <v>9.0721303417029553E-4</v>
      </c>
      <c r="I151">
        <f t="shared" si="51"/>
        <v>0.28404889485007645</v>
      </c>
      <c r="J151">
        <v>0</v>
      </c>
      <c r="K151">
        <f>1-(1-VLOOKUP(D151,Hipotesis!$D$9:$K$38,8,FALSE))^(1/12)</f>
        <v>2.5350486138366879E-3</v>
      </c>
      <c r="L151">
        <f t="shared" si="52"/>
        <v>0.79300502321660893</v>
      </c>
      <c r="M151">
        <f t="shared" si="53"/>
        <v>312.0234904428919</v>
      </c>
      <c r="N151">
        <f>IF(D151=1,(VLOOKUP(D151,'Primas Netas Y Reservas'!$D$4:$I$33,5,FALSE)+(VLOOKUP(D151,'Primas Netas Y Reservas'!$D$4:$I$33,6,FALSE)-VLOOKUP(D151,'Primas Netas Y Reservas'!$D$4:$I$33,5,FALSE))*(E151/12))/1000,((VLOOKUP(D151-1,'Primas Netas Y Reservas'!$D$4:$I$33,6,FALSE)+VLOOKUP(D151,'Primas Netas Y Reservas'!$D$4:$I$33,5,FALSE))+(VLOOKUP(D151,'Primas Netas Y Reservas'!$D$4:$I$33,6,FALSE)-VLOOKUP(D151-1,'Primas Netas Y Reservas'!$D$4:$I$33,6,FALSE)-VLOOKUP(D151,'Primas Netas Y Reservas'!$D$4:$I$33,5,FALSE))*(E151/12))/1000)</f>
        <v>0.45918736299047686</v>
      </c>
      <c r="O151">
        <f t="shared" si="54"/>
        <v>-0.18478269036623374</v>
      </c>
      <c r="P151">
        <f>VLOOKUP(D151,Hipotesis!$D$9:$S$38,15,FALSE)*N151</f>
        <v>0.45918736299047686</v>
      </c>
      <c r="Q151">
        <f t="shared" si="41"/>
        <v>0.36413788544903652</v>
      </c>
      <c r="R151">
        <f t="shared" si="42"/>
        <v>0</v>
      </c>
      <c r="S151">
        <f t="shared" si="43"/>
        <v>0.36413788544903652</v>
      </c>
      <c r="T151">
        <f>G151*(VLOOKUP(D151,Hipotesis!$D$9:$N$38,9,FALSE)+VLOOKUP(D151,Hipotesis!$D$9:$N$38,10,FALSE)+VLOOKUP(D151,Hipotesis!$D$9:$N$38,11,FALSE))</f>
        <v>0</v>
      </c>
      <c r="U151">
        <v>0</v>
      </c>
      <c r="V151">
        <f>G151*VLOOKUP(D151,Hipotesis!$D$9:$S$38,16,FALSE)+((VLOOKUP(D151,Hipotesis!$D$9:$T$38,17,FALSE)/$B$4)*M150)/12</f>
        <v>1.1741270413535947E-2</v>
      </c>
      <c r="W151">
        <f>(1+VLOOKUP(D151,Hipotesis!$D$9:$P$38,13,FALSE))^(1/12)-1</f>
        <v>0</v>
      </c>
      <c r="X151">
        <f t="shared" si="55"/>
        <v>0</v>
      </c>
      <c r="Y151">
        <f t="shared" si="44"/>
        <v>0.37139944208687292</v>
      </c>
      <c r="Z151">
        <f>(1+VLOOKUP(D151,Hipotesis!$D$9:$O$38,12,))^(1/12)-1</f>
        <v>2.6008246217750219E-3</v>
      </c>
      <c r="AA151">
        <f t="shared" si="56"/>
        <v>0.3731195707015032</v>
      </c>
      <c r="AB151">
        <f t="shared" si="57"/>
        <v>-1.7201286146302935E-3</v>
      </c>
      <c r="AC151" s="68">
        <f t="shared" si="45"/>
        <v>-1.1741270413535947E-2</v>
      </c>
      <c r="AD151">
        <f t="shared" si="46"/>
        <v>-0.64818678029911303</v>
      </c>
      <c r="AE151" s="67">
        <f t="shared" si="47"/>
        <v>-0.10374591825954227</v>
      </c>
      <c r="AF151" s="67">
        <f t="shared" si="48"/>
        <v>-3.1123775477862679E-2</v>
      </c>
      <c r="AG151" s="67">
        <f t="shared" si="49"/>
        <v>-7.2622142781679583E-2</v>
      </c>
    </row>
    <row r="152" spans="4:33" x14ac:dyDescent="0.2">
      <c r="D152" s="50">
        <v>13</v>
      </c>
      <c r="E152">
        <v>6</v>
      </c>
      <c r="F152">
        <f t="shared" si="40"/>
        <v>62</v>
      </c>
      <c r="G152">
        <f t="shared" si="50"/>
        <v>0</v>
      </c>
      <c r="H152" s="64">
        <f>IF(E152="Anual",VLOOKUP(F152,Hipotesis!$E$9:$J$38,6,FALSE),1-(1-VLOOKUP(F152,Hipotesis!$E$9:$J$38,6,FALSE))^(1/12))</f>
        <v>9.0721303417029553E-4</v>
      </c>
      <c r="I152">
        <f t="shared" si="51"/>
        <v>0.28307177749710216</v>
      </c>
      <c r="J152">
        <v>0</v>
      </c>
      <c r="K152">
        <f>1-(1-VLOOKUP(D152,Hipotesis!$D$9:$K$38,8,FALSE))^(1/12)</f>
        <v>2.5350486138366879E-3</v>
      </c>
      <c r="L152">
        <f t="shared" si="52"/>
        <v>0.79027711621457775</v>
      </c>
      <c r="M152">
        <f t="shared" si="53"/>
        <v>310.95014154918022</v>
      </c>
      <c r="N152">
        <f>IF(D152=1,(VLOOKUP(D152,'Primas Netas Y Reservas'!$D$4:$I$33,5,FALSE)+(VLOOKUP(D152,'Primas Netas Y Reservas'!$D$4:$I$33,6,FALSE)-VLOOKUP(D152,'Primas Netas Y Reservas'!$D$4:$I$33,5,FALSE))*(E152/12))/1000,((VLOOKUP(D152-1,'Primas Netas Y Reservas'!$D$4:$I$33,6,FALSE)+VLOOKUP(D152,'Primas Netas Y Reservas'!$D$4:$I$33,5,FALSE))+(VLOOKUP(D152,'Primas Netas Y Reservas'!$D$4:$I$33,6,FALSE)-VLOOKUP(D152-1,'Primas Netas Y Reservas'!$D$4:$I$33,6,FALSE)-VLOOKUP(D152,'Primas Netas Y Reservas'!$D$4:$I$33,5,FALSE))*(E152/12))/1000)</f>
        <v>0.460176779533018</v>
      </c>
      <c r="O152">
        <f t="shared" si="54"/>
        <v>-0.18520903411791778</v>
      </c>
      <c r="P152">
        <f>VLOOKUP(D152,Hipotesis!$D$9:$S$38,15,FALSE)*N152</f>
        <v>0.460176779533018</v>
      </c>
      <c r="Q152">
        <f t="shared" si="41"/>
        <v>0.363667178278265</v>
      </c>
      <c r="R152">
        <f t="shared" si="42"/>
        <v>0</v>
      </c>
      <c r="S152">
        <f t="shared" si="43"/>
        <v>0.363667178278265</v>
      </c>
      <c r="T152">
        <f>G152*(VLOOKUP(D152,Hipotesis!$D$9:$N$38,9,FALSE)+VLOOKUP(D152,Hipotesis!$D$9:$N$38,10,FALSE)+VLOOKUP(D152,Hipotesis!$D$9:$N$38,11,FALSE))</f>
        <v>0</v>
      </c>
      <c r="U152">
        <v>0</v>
      </c>
      <c r="V152">
        <f>G152*VLOOKUP(D152,Hipotesis!$D$9:$S$38,16,FALSE)+((VLOOKUP(D152,Hipotesis!$D$9:$T$38,17,FALSE)/$B$4)*M151)/12</f>
        <v>1.1700880891608445E-2</v>
      </c>
      <c r="W152">
        <f>(1+VLOOKUP(D152,Hipotesis!$D$9:$P$38,13,FALSE))^(1/12)-1</f>
        <v>0</v>
      </c>
      <c r="X152">
        <f t="shared" si="55"/>
        <v>0</v>
      </c>
      <c r="Y152">
        <f t="shared" si="44"/>
        <v>0.37092273125389053</v>
      </c>
      <c r="Z152">
        <f>(1+VLOOKUP(D152,Hipotesis!$D$9:$O$38,12,))^(1/12)-1</f>
        <v>2.6008246217750219E-3</v>
      </c>
      <c r="AA152">
        <f t="shared" si="56"/>
        <v>0.37263898333072087</v>
      </c>
      <c r="AB152">
        <f t="shared" si="57"/>
        <v>-1.7162520768303621E-3</v>
      </c>
      <c r="AC152" s="68">
        <f t="shared" si="45"/>
        <v>-1.1700880891608445E-2</v>
      </c>
      <c r="AD152">
        <f t="shared" si="46"/>
        <v>-0.64673895577536711</v>
      </c>
      <c r="AE152" s="67">
        <f t="shared" si="47"/>
        <v>-0.10230807129516731</v>
      </c>
      <c r="AF152" s="67">
        <f t="shared" si="48"/>
        <v>-3.069242138855019E-2</v>
      </c>
      <c r="AG152" s="67">
        <f t="shared" si="49"/>
        <v>-7.1615649906617118E-2</v>
      </c>
    </row>
    <row r="153" spans="4:33" x14ac:dyDescent="0.2">
      <c r="D153" s="50">
        <v>13</v>
      </c>
      <c r="E153">
        <v>7</v>
      </c>
      <c r="F153">
        <f t="shared" si="40"/>
        <v>62</v>
      </c>
      <c r="G153">
        <f t="shared" si="50"/>
        <v>0</v>
      </c>
      <c r="H153" s="64">
        <f>IF(E153="Anual",VLOOKUP(F153,Hipotesis!$E$9:$J$38,6,FALSE),1-(1-VLOOKUP(F153,Hipotesis!$E$9:$J$38,6,FALSE))^(1/12))</f>
        <v>9.0721303417029553E-4</v>
      </c>
      <c r="I153">
        <f t="shared" si="51"/>
        <v>0.28209802139051465</v>
      </c>
      <c r="J153">
        <v>0</v>
      </c>
      <c r="K153">
        <f>1-(1-VLOOKUP(D153,Hipotesis!$D$9:$K$38,8,FALSE))^(1/12)</f>
        <v>2.5350486138366879E-3</v>
      </c>
      <c r="L153">
        <f t="shared" si="52"/>
        <v>0.78755859310847909</v>
      </c>
      <c r="M153">
        <f t="shared" si="53"/>
        <v>309.88048493468119</v>
      </c>
      <c r="N153">
        <f>IF(D153=1,(VLOOKUP(D153,'Primas Netas Y Reservas'!$D$4:$I$33,5,FALSE)+(VLOOKUP(D153,'Primas Netas Y Reservas'!$D$4:$I$33,6,FALSE)-VLOOKUP(D153,'Primas Netas Y Reservas'!$D$4:$I$33,5,FALSE))*(E153/12))/1000,((VLOOKUP(D153-1,'Primas Netas Y Reservas'!$D$4:$I$33,6,FALSE)+VLOOKUP(D153,'Primas Netas Y Reservas'!$D$4:$I$33,5,FALSE))+(VLOOKUP(D153,'Primas Netas Y Reservas'!$D$4:$I$33,6,FALSE)-VLOOKUP(D153-1,'Primas Netas Y Reservas'!$D$4:$I$33,6,FALSE)-VLOOKUP(D153,'Primas Netas Y Reservas'!$D$4:$I$33,5,FALSE))*(E153/12))/1000)</f>
        <v>0.46116619607555914</v>
      </c>
      <c r="O153">
        <f t="shared" si="54"/>
        <v>-0.18563025806130895</v>
      </c>
      <c r="P153">
        <f>VLOOKUP(D153,Hipotesis!$D$9:$S$38,15,FALSE)*N153</f>
        <v>0.46116619607555914</v>
      </c>
      <c r="Q153">
        <f t="shared" si="41"/>
        <v>0.36319540057045635</v>
      </c>
      <c r="R153">
        <f t="shared" si="42"/>
        <v>0</v>
      </c>
      <c r="S153">
        <f t="shared" si="43"/>
        <v>0.36319540057045635</v>
      </c>
      <c r="T153">
        <f>G153*(VLOOKUP(D153,Hipotesis!$D$9:$N$38,9,FALSE)+VLOOKUP(D153,Hipotesis!$D$9:$N$38,10,FALSE)+VLOOKUP(D153,Hipotesis!$D$9:$N$38,11,FALSE))</f>
        <v>0</v>
      </c>
      <c r="U153">
        <v>0</v>
      </c>
      <c r="V153">
        <f>G153*VLOOKUP(D153,Hipotesis!$D$9:$S$38,16,FALSE)+((VLOOKUP(D153,Hipotesis!$D$9:$T$38,17,FALSE)/$B$4)*M152)/12</f>
        <v>1.1660630308094257E-2</v>
      </c>
      <c r="W153">
        <f>(1+VLOOKUP(D153,Hipotesis!$D$9:$P$38,13,FALSE))^(1/12)-1</f>
        <v>0</v>
      </c>
      <c r="X153">
        <f t="shared" si="55"/>
        <v>0</v>
      </c>
      <c r="Y153">
        <f t="shared" si="44"/>
        <v>0.3704449052601595</v>
      </c>
      <c r="Z153">
        <f>(1+VLOOKUP(D153,Hipotesis!$D$9:$O$38,12,))^(1/12)-1</f>
        <v>2.6008246217750219E-3</v>
      </c>
      <c r="AA153">
        <f t="shared" si="56"/>
        <v>0.37215728711461182</v>
      </c>
      <c r="AB153">
        <f t="shared" si="57"/>
        <v>-1.7123818544523494E-3</v>
      </c>
      <c r="AC153" s="68">
        <f t="shared" si="45"/>
        <v>-1.1660630308094257E-2</v>
      </c>
      <c r="AD153">
        <f t="shared" si="46"/>
        <v>-0.64529342196097095</v>
      </c>
      <c r="AE153" s="67">
        <f t="shared" si="47"/>
        <v>-0.10087888894759681</v>
      </c>
      <c r="AF153" s="67">
        <f t="shared" si="48"/>
        <v>-3.0263666684279041E-2</v>
      </c>
      <c r="AG153" s="67">
        <f t="shared" si="49"/>
        <v>-7.0615222263317762E-2</v>
      </c>
    </row>
    <row r="154" spans="4:33" x14ac:dyDescent="0.2">
      <c r="D154" s="50">
        <v>13</v>
      </c>
      <c r="E154">
        <v>8</v>
      </c>
      <c r="F154">
        <f t="shared" si="40"/>
        <v>62</v>
      </c>
      <c r="G154">
        <f t="shared" si="50"/>
        <v>0</v>
      </c>
      <c r="H154" s="64">
        <f>IF(E154="Anual",VLOOKUP(F154,Hipotesis!$E$9:$J$38,6,FALSE),1-(1-VLOOKUP(F154,Hipotesis!$E$9:$J$38,6,FALSE))^(1/12))</f>
        <v>9.0721303417029553E-4</v>
      </c>
      <c r="I154">
        <f t="shared" si="51"/>
        <v>0.28112761496775468</v>
      </c>
      <c r="J154">
        <v>0</v>
      </c>
      <c r="K154">
        <f>1-(1-VLOOKUP(D154,Hipotesis!$D$9:$K$38,8,FALSE))^(1/12)</f>
        <v>2.5350486138366879E-3</v>
      </c>
      <c r="L154">
        <f t="shared" si="52"/>
        <v>0.78484942161806892</v>
      </c>
      <c r="M154">
        <f t="shared" si="53"/>
        <v>308.81450789809537</v>
      </c>
      <c r="N154">
        <f>IF(D154=1,(VLOOKUP(D154,'Primas Netas Y Reservas'!$D$4:$I$33,5,FALSE)+(VLOOKUP(D154,'Primas Netas Y Reservas'!$D$4:$I$33,6,FALSE)-VLOOKUP(D154,'Primas Netas Y Reservas'!$D$4:$I$33,5,FALSE))*(E154/12))/1000,((VLOOKUP(D154-1,'Primas Netas Y Reservas'!$D$4:$I$33,6,FALSE)+VLOOKUP(D154,'Primas Netas Y Reservas'!$D$4:$I$33,5,FALSE))+(VLOOKUP(D154,'Primas Netas Y Reservas'!$D$4:$I$33,6,FALSE)-VLOOKUP(D154-1,'Primas Netas Y Reservas'!$D$4:$I$33,6,FALSE)-VLOOKUP(D154,'Primas Netas Y Reservas'!$D$4:$I$33,5,FALSE))*(E154/12))/1000)</f>
        <v>0.46215561261810029</v>
      </c>
      <c r="O154">
        <f t="shared" si="54"/>
        <v>-0.18604639237511833</v>
      </c>
      <c r="P154">
        <f>VLOOKUP(D154,Hipotesis!$D$9:$S$38,15,FALSE)*N154</f>
        <v>0.46215561261810029</v>
      </c>
      <c r="Q154">
        <f t="shared" si="41"/>
        <v>0.36272256526086033</v>
      </c>
      <c r="R154">
        <f t="shared" si="42"/>
        <v>0</v>
      </c>
      <c r="S154">
        <f t="shared" si="43"/>
        <v>0.36272256526086033</v>
      </c>
      <c r="T154">
        <f>G154*(VLOOKUP(D154,Hipotesis!$D$9:$N$38,9,FALSE)+VLOOKUP(D154,Hipotesis!$D$9:$N$38,10,FALSE)+VLOOKUP(D154,Hipotesis!$D$9:$N$38,11,FALSE))</f>
        <v>0</v>
      </c>
      <c r="U154">
        <v>0</v>
      </c>
      <c r="V154">
        <f>G154*VLOOKUP(D154,Hipotesis!$D$9:$S$38,16,FALSE)+((VLOOKUP(D154,Hipotesis!$D$9:$T$38,17,FALSE)/$B$4)*M153)/12</f>
        <v>1.1620518185050546E-2</v>
      </c>
      <c r="W154">
        <f>(1+VLOOKUP(D154,Hipotesis!$D$9:$P$38,13,FALSE))^(1/12)-1</f>
        <v>0</v>
      </c>
      <c r="X154">
        <f t="shared" si="55"/>
        <v>0</v>
      </c>
      <c r="Y154">
        <f t="shared" si="44"/>
        <v>0.36996597741898052</v>
      </c>
      <c r="Z154">
        <f>(1+VLOOKUP(D154,Hipotesis!$D$9:$O$38,12,))^(1/12)-1</f>
        <v>2.6008246217750219E-3</v>
      </c>
      <c r="AA154">
        <f t="shared" si="56"/>
        <v>0.37167449536889952</v>
      </c>
      <c r="AB154">
        <f t="shared" si="57"/>
        <v>-1.7085179499190157E-3</v>
      </c>
      <c r="AC154" s="68">
        <f t="shared" si="45"/>
        <v>-1.1620518185050546E-2</v>
      </c>
      <c r="AD154">
        <f t="shared" si="46"/>
        <v>-0.64385018022861495</v>
      </c>
      <c r="AE154" s="67">
        <f t="shared" si="47"/>
        <v>-9.9458328619566702E-2</v>
      </c>
      <c r="AF154" s="67">
        <f t="shared" si="48"/>
        <v>-2.9837498585870009E-2</v>
      </c>
      <c r="AG154" s="67">
        <f t="shared" si="49"/>
        <v>-6.9620830033696693E-2</v>
      </c>
    </row>
    <row r="155" spans="4:33" x14ac:dyDescent="0.2">
      <c r="D155" s="50">
        <v>13</v>
      </c>
      <c r="E155">
        <v>9</v>
      </c>
      <c r="F155">
        <f t="shared" si="40"/>
        <v>62</v>
      </c>
      <c r="G155">
        <f t="shared" si="50"/>
        <v>0</v>
      </c>
      <c r="H155" s="64">
        <f>IF(E155="Anual",VLOOKUP(F155,Hipotesis!$E$9:$J$38,6,FALSE),1-(1-VLOOKUP(F155,Hipotesis!$E$9:$J$38,6,FALSE))^(1/12))</f>
        <v>9.0721303417029553E-4</v>
      </c>
      <c r="I155">
        <f t="shared" si="51"/>
        <v>0.28016054670603779</v>
      </c>
      <c r="J155">
        <v>0</v>
      </c>
      <c r="K155">
        <f>1-(1-VLOOKUP(D155,Hipotesis!$D$9:$K$38,8,FALSE))^(1/12)</f>
        <v>2.5350486138366879E-3</v>
      </c>
      <c r="L155">
        <f t="shared" si="52"/>
        <v>0.78214956957414672</v>
      </c>
      <c r="M155">
        <f t="shared" si="53"/>
        <v>307.7521977818152</v>
      </c>
      <c r="N155">
        <f>IF(D155=1,(VLOOKUP(D155,'Primas Netas Y Reservas'!$D$4:$I$33,5,FALSE)+(VLOOKUP(D155,'Primas Netas Y Reservas'!$D$4:$I$33,6,FALSE)-VLOOKUP(D155,'Primas Netas Y Reservas'!$D$4:$I$33,5,FALSE))*(E155/12))/1000,((VLOOKUP(D155-1,'Primas Netas Y Reservas'!$D$4:$I$33,6,FALSE)+VLOOKUP(D155,'Primas Netas Y Reservas'!$D$4:$I$33,5,FALSE))+(VLOOKUP(D155,'Primas Netas Y Reservas'!$D$4:$I$33,6,FALSE)-VLOOKUP(D155-1,'Primas Netas Y Reservas'!$D$4:$I$33,6,FALSE)-VLOOKUP(D155,'Primas Netas Y Reservas'!$D$4:$I$33,5,FALSE))*(E155/12))/1000)</f>
        <v>0.46314502916064137</v>
      </c>
      <c r="O155">
        <f t="shared" si="54"/>
        <v>-0.18645746709114519</v>
      </c>
      <c r="P155">
        <f>VLOOKUP(D155,Hipotesis!$D$9:$S$38,15,FALSE)*N155</f>
        <v>0.46314502916064137</v>
      </c>
      <c r="Q155">
        <f t="shared" si="41"/>
        <v>0.36224868520840126</v>
      </c>
      <c r="R155">
        <f t="shared" si="42"/>
        <v>0</v>
      </c>
      <c r="S155">
        <f t="shared" si="43"/>
        <v>0.36224868520840126</v>
      </c>
      <c r="T155">
        <f>G155*(VLOOKUP(D155,Hipotesis!$D$9:$N$38,9,FALSE)+VLOOKUP(D155,Hipotesis!$D$9:$N$38,10,FALSE)+VLOOKUP(D155,Hipotesis!$D$9:$N$38,11,FALSE))</f>
        <v>0</v>
      </c>
      <c r="U155">
        <v>0</v>
      </c>
      <c r="V155">
        <f>G155*VLOOKUP(D155,Hipotesis!$D$9:$S$38,16,FALSE)+((VLOOKUP(D155,Hipotesis!$D$9:$T$38,17,FALSE)/$B$4)*M154)/12</f>
        <v>1.1580544046178575E-2</v>
      </c>
      <c r="W155">
        <f>(1+VLOOKUP(D155,Hipotesis!$D$9:$P$38,13,FALSE))^(1/12)-1</f>
        <v>0</v>
      </c>
      <c r="X155">
        <f t="shared" si="55"/>
        <v>0</v>
      </c>
      <c r="Y155">
        <f t="shared" si="44"/>
        <v>0.36948596096525615</v>
      </c>
      <c r="Z155">
        <f>(1+VLOOKUP(D155,Hipotesis!$D$9:$O$38,12,))^(1/12)-1</f>
        <v>2.6008246217750219E-3</v>
      </c>
      <c r="AA155">
        <f t="shared" si="56"/>
        <v>0.37119062133081787</v>
      </c>
      <c r="AB155">
        <f t="shared" si="57"/>
        <v>-1.7046603655617187E-3</v>
      </c>
      <c r="AC155" s="68">
        <f t="shared" si="45"/>
        <v>-1.1580544046178575E-2</v>
      </c>
      <c r="AD155">
        <f t="shared" si="46"/>
        <v>-0.64240923191443899</v>
      </c>
      <c r="AE155" s="67">
        <f t="shared" si="47"/>
        <v>-9.8046347904216277E-2</v>
      </c>
      <c r="AF155" s="67">
        <f t="shared" si="48"/>
        <v>-2.9413904371264881E-2</v>
      </c>
      <c r="AG155" s="67">
        <f t="shared" si="49"/>
        <v>-6.8632443532951393E-2</v>
      </c>
    </row>
    <row r="156" spans="4:33" x14ac:dyDescent="0.2">
      <c r="D156" s="50">
        <v>13</v>
      </c>
      <c r="E156">
        <v>10</v>
      </c>
      <c r="F156">
        <f t="shared" si="40"/>
        <v>62</v>
      </c>
      <c r="G156">
        <f t="shared" si="50"/>
        <v>0</v>
      </c>
      <c r="H156" s="64">
        <f>IF(E156="Anual",VLOOKUP(F156,Hipotesis!$E$9:$J$38,6,FALSE),1-(1-VLOOKUP(F156,Hipotesis!$E$9:$J$38,6,FALSE))^(1/12))</f>
        <v>9.0721303417029553E-4</v>
      </c>
      <c r="I156">
        <f t="shared" si="51"/>
        <v>0.27919680512221745</v>
      </c>
      <c r="J156">
        <v>0</v>
      </c>
      <c r="K156">
        <f>1-(1-VLOOKUP(D156,Hipotesis!$D$9:$K$38,8,FALSE))^(1/12)</f>
        <v>2.5350486138366879E-3</v>
      </c>
      <c r="L156">
        <f t="shared" si="52"/>
        <v>0.7794590049181721</v>
      </c>
      <c r="M156">
        <f t="shared" si="53"/>
        <v>306.69354197177478</v>
      </c>
      <c r="N156">
        <f>IF(D156=1,(VLOOKUP(D156,'Primas Netas Y Reservas'!$D$4:$I$33,5,FALSE)+(VLOOKUP(D156,'Primas Netas Y Reservas'!$D$4:$I$33,6,FALSE)-VLOOKUP(D156,'Primas Netas Y Reservas'!$D$4:$I$33,5,FALSE))*(E156/12))/1000,((VLOOKUP(D156-1,'Primas Netas Y Reservas'!$D$4:$I$33,6,FALSE)+VLOOKUP(D156,'Primas Netas Y Reservas'!$D$4:$I$33,5,FALSE))+(VLOOKUP(D156,'Primas Netas Y Reservas'!$D$4:$I$33,6,FALSE)-VLOOKUP(D156-1,'Primas Netas Y Reservas'!$D$4:$I$33,6,FALSE)-VLOOKUP(D156,'Primas Netas Y Reservas'!$D$4:$I$33,5,FALSE))*(E156/12))/1000)</f>
        <v>0.46413444570318257</v>
      </c>
      <c r="O156">
        <f t="shared" si="54"/>
        <v>-0.18686351209484542</v>
      </c>
      <c r="P156">
        <f>VLOOKUP(D156,Hipotesis!$D$9:$S$38,15,FALSE)*N156</f>
        <v>0.46413444570318257</v>
      </c>
      <c r="Q156">
        <f t="shared" si="41"/>
        <v>0.36177377319605009</v>
      </c>
      <c r="R156">
        <f t="shared" si="42"/>
        <v>0</v>
      </c>
      <c r="S156">
        <f t="shared" si="43"/>
        <v>0.36177377319605009</v>
      </c>
      <c r="T156">
        <f>G156*(VLOOKUP(D156,Hipotesis!$D$9:$N$38,9,FALSE)+VLOOKUP(D156,Hipotesis!$D$9:$N$38,10,FALSE)+VLOOKUP(D156,Hipotesis!$D$9:$N$38,11,FALSE))</f>
        <v>0</v>
      </c>
      <c r="U156">
        <v>0</v>
      </c>
      <c r="V156">
        <f>G156*VLOOKUP(D156,Hipotesis!$D$9:$S$38,16,FALSE)+((VLOOKUP(D156,Hipotesis!$D$9:$T$38,17,FALSE)/$B$4)*M155)/12</f>
        <v>1.154070741681807E-2</v>
      </c>
      <c r="W156">
        <f>(1+VLOOKUP(D156,Hipotesis!$D$9:$P$38,13,FALSE))^(1/12)-1</f>
        <v>0</v>
      </c>
      <c r="X156">
        <f t="shared" si="55"/>
        <v>0</v>
      </c>
      <c r="Y156">
        <f t="shared" si="44"/>
        <v>0.36900486905587243</v>
      </c>
      <c r="Z156">
        <f>(1+VLOOKUP(D156,Hipotesis!$D$9:$O$38,12,))^(1/12)-1</f>
        <v>2.6008246217750219E-3</v>
      </c>
      <c r="AA156">
        <f t="shared" si="56"/>
        <v>0.37070567815949346</v>
      </c>
      <c r="AB156">
        <f t="shared" si="57"/>
        <v>-1.7008091036210154E-3</v>
      </c>
      <c r="AC156" s="68">
        <f t="shared" si="45"/>
        <v>-1.154070741681807E-2</v>
      </c>
      <c r="AD156">
        <f t="shared" si="46"/>
        <v>-0.64097057831826754</v>
      </c>
      <c r="AE156" s="67">
        <f t="shared" si="47"/>
        <v>-9.664290458436775E-2</v>
      </c>
      <c r="AF156" s="67">
        <f t="shared" si="48"/>
        <v>-2.8992871375310324E-2</v>
      </c>
      <c r="AG156" s="67">
        <f t="shared" si="49"/>
        <v>-6.7650033209057422E-2</v>
      </c>
    </row>
    <row r="157" spans="4:33" x14ac:dyDescent="0.2">
      <c r="D157" s="50">
        <v>13</v>
      </c>
      <c r="E157">
        <v>11</v>
      </c>
      <c r="F157">
        <f t="shared" si="40"/>
        <v>62</v>
      </c>
      <c r="G157">
        <f t="shared" si="50"/>
        <v>0</v>
      </c>
      <c r="H157" s="64">
        <f>IF(E157="Anual",VLOOKUP(F157,Hipotesis!$E$9:$J$38,6,FALSE),1-(1-VLOOKUP(F157,Hipotesis!$E$9:$J$38,6,FALSE))^(1/12))</f>
        <v>9.0721303417029553E-4</v>
      </c>
      <c r="I157">
        <f t="shared" si="51"/>
        <v>0.27823637877264867</v>
      </c>
      <c r="J157">
        <v>0</v>
      </c>
      <c r="K157">
        <f>1-(1-VLOOKUP(D157,Hipotesis!$D$9:$K$38,8,FALSE))^(1/12)</f>
        <v>2.5350486138366879E-3</v>
      </c>
      <c r="L157">
        <f t="shared" si="52"/>
        <v>0.77677769570188515</v>
      </c>
      <c r="M157">
        <f t="shared" si="53"/>
        <v>305.63852789730026</v>
      </c>
      <c r="N157">
        <f>IF(D157=1,(VLOOKUP(D157,'Primas Netas Y Reservas'!$D$4:$I$33,5,FALSE)+(VLOOKUP(D157,'Primas Netas Y Reservas'!$D$4:$I$33,6,FALSE)-VLOOKUP(D157,'Primas Netas Y Reservas'!$D$4:$I$33,5,FALSE))*(E157/12))/1000,((VLOOKUP(D157-1,'Primas Netas Y Reservas'!$D$4:$I$33,6,FALSE)+VLOOKUP(D157,'Primas Netas Y Reservas'!$D$4:$I$33,5,FALSE))+(VLOOKUP(D157,'Primas Netas Y Reservas'!$D$4:$I$33,6,FALSE)-VLOOKUP(D157-1,'Primas Netas Y Reservas'!$D$4:$I$33,6,FALSE)-VLOOKUP(D157,'Primas Netas Y Reservas'!$D$4:$I$33,5,FALSE))*(E157/12))/1000)</f>
        <v>0.46512386224572366</v>
      </c>
      <c r="O157">
        <f t="shared" si="54"/>
        <v>-0.18726455712578627</v>
      </c>
      <c r="P157">
        <f>VLOOKUP(D157,Hipotesis!$D$9:$S$38,15,FALSE)*N157</f>
        <v>0.46512386224572366</v>
      </c>
      <c r="Q157">
        <f t="shared" si="41"/>
        <v>0.3612978419311943</v>
      </c>
      <c r="R157">
        <f t="shared" si="42"/>
        <v>0</v>
      </c>
      <c r="S157">
        <f t="shared" si="43"/>
        <v>0.3612978419311943</v>
      </c>
      <c r="T157">
        <f>G157*(VLOOKUP(D157,Hipotesis!$D$9:$N$38,9,FALSE)+VLOOKUP(D157,Hipotesis!$D$9:$N$38,10,FALSE)+VLOOKUP(D157,Hipotesis!$D$9:$N$38,11,FALSE))</f>
        <v>0</v>
      </c>
      <c r="U157">
        <v>0</v>
      </c>
      <c r="V157">
        <f>G157*VLOOKUP(D157,Hipotesis!$D$9:$S$38,16,FALSE)+((VLOOKUP(D157,Hipotesis!$D$9:$T$38,17,FALSE)/$B$4)*M156)/12</f>
        <v>1.1501007823941554E-2</v>
      </c>
      <c r="W157">
        <f>(1+VLOOKUP(D157,Hipotesis!$D$9:$P$38,13,FALSE))^(1/12)-1</f>
        <v>0</v>
      </c>
      <c r="X157">
        <f t="shared" si="55"/>
        <v>0</v>
      </c>
      <c r="Y157">
        <f t="shared" si="44"/>
        <v>0.36852271477007853</v>
      </c>
      <c r="Z157">
        <f>(1+VLOOKUP(D157,Hipotesis!$D$9:$O$38,12,))^(1/12)-1</f>
        <v>2.6008246217750219E-3</v>
      </c>
      <c r="AA157">
        <f t="shared" si="56"/>
        <v>0.37021967893632579</v>
      </c>
      <c r="AB157">
        <f t="shared" si="57"/>
        <v>-1.6969641662472597E-3</v>
      </c>
      <c r="AC157" s="68">
        <f t="shared" si="45"/>
        <v>-1.1501007823941554E-2</v>
      </c>
      <c r="AD157">
        <f t="shared" si="46"/>
        <v>-0.63953422070384303</v>
      </c>
      <c r="AE157" s="67">
        <f t="shared" si="47"/>
        <v>-9.5247956631919733E-2</v>
      </c>
      <c r="AF157" s="67">
        <f t="shared" si="48"/>
        <v>-2.8574386989575918E-2</v>
      </c>
      <c r="AG157" s="67">
        <f t="shared" si="49"/>
        <v>-6.6673569642343819E-2</v>
      </c>
    </row>
    <row r="158" spans="4:33" x14ac:dyDescent="0.2">
      <c r="D158" s="50">
        <v>13</v>
      </c>
      <c r="E158">
        <v>12</v>
      </c>
      <c r="F158">
        <f t="shared" si="40"/>
        <v>62</v>
      </c>
      <c r="G158">
        <f t="shared" si="50"/>
        <v>0</v>
      </c>
      <c r="H158" s="64">
        <f>IF(E158="Anual",VLOOKUP(F158,Hipotesis!$E$9:$J$38,6,FALSE),1-(1-VLOOKUP(F158,Hipotesis!$E$9:$J$38,6,FALSE))^(1/12))</f>
        <v>9.0721303417029553E-4</v>
      </c>
      <c r="I158">
        <f t="shared" si="51"/>
        <v>0.27727925625305233</v>
      </c>
      <c r="J158">
        <v>0</v>
      </c>
      <c r="K158">
        <f>1-(1-VLOOKUP(D158,Hipotesis!$D$9:$K$38,8,FALSE))^(1/12)</f>
        <v>2.5350486138366879E-3</v>
      </c>
      <c r="L158">
        <f t="shared" si="52"/>
        <v>0.77410561008692691</v>
      </c>
      <c r="M158">
        <f t="shared" si="53"/>
        <v>304.58714303096031</v>
      </c>
      <c r="N158">
        <f>IF(D158=1,(VLOOKUP(D158,'Primas Netas Y Reservas'!$D$4:$I$33,5,FALSE)+(VLOOKUP(D158,'Primas Netas Y Reservas'!$D$4:$I$33,6,FALSE)-VLOOKUP(D158,'Primas Netas Y Reservas'!$D$4:$I$33,5,FALSE))*(E158/12))/1000,((VLOOKUP(D158-1,'Primas Netas Y Reservas'!$D$4:$I$33,6,FALSE)+VLOOKUP(D158,'Primas Netas Y Reservas'!$D$4:$I$33,5,FALSE))+(VLOOKUP(D158,'Primas Netas Y Reservas'!$D$4:$I$33,6,FALSE)-VLOOKUP(D158-1,'Primas Netas Y Reservas'!$D$4:$I$33,6,FALSE)-VLOOKUP(D158,'Primas Netas Y Reservas'!$D$4:$I$33,5,FALSE))*(E158/12))/1000)</f>
        <v>0.46611327878826486</v>
      </c>
      <c r="O158">
        <f t="shared" si="54"/>
        <v>-0.18766063177855585</v>
      </c>
      <c r="P158">
        <f>VLOOKUP(D158,Hipotesis!$D$9:$S$38,15,FALSE)*N158</f>
        <v>0.46611327878826486</v>
      </c>
      <c r="Q158">
        <f t="shared" si="41"/>
        <v>0.36082090404600764</v>
      </c>
      <c r="R158">
        <f t="shared" si="42"/>
        <v>0</v>
      </c>
      <c r="S158">
        <f t="shared" si="43"/>
        <v>0.36082090404600764</v>
      </c>
      <c r="T158">
        <f>G158*(VLOOKUP(D158,Hipotesis!$D$9:$N$38,9,FALSE)+VLOOKUP(D158,Hipotesis!$D$9:$N$38,10,FALSE)+VLOOKUP(D158,Hipotesis!$D$9:$N$38,11,FALSE))</f>
        <v>0</v>
      </c>
      <c r="U158">
        <v>0</v>
      </c>
      <c r="V158">
        <f>G158*VLOOKUP(D158,Hipotesis!$D$9:$S$38,16,FALSE)+((VLOOKUP(D158,Hipotesis!$D$9:$T$38,17,FALSE)/$B$4)*M157)/12</f>
        <v>1.1461444796148759E-2</v>
      </c>
      <c r="W158">
        <f>(1+VLOOKUP(D158,Hipotesis!$D$9:$P$38,13,FALSE))^(1/12)-1</f>
        <v>0</v>
      </c>
      <c r="X158">
        <f t="shared" si="55"/>
        <v>0</v>
      </c>
      <c r="Y158">
        <f t="shared" si="44"/>
        <v>0.36803951110986605</v>
      </c>
      <c r="Z158">
        <f>(1+VLOOKUP(D158,Hipotesis!$D$9:$O$38,12,))^(1/12)-1</f>
        <v>2.6008246217750219E-3</v>
      </c>
      <c r="AA158">
        <f t="shared" si="56"/>
        <v>0.36973263666536726</v>
      </c>
      <c r="AB158">
        <f t="shared" si="57"/>
        <v>-1.6931255555011947E-3</v>
      </c>
      <c r="AC158" s="68">
        <f t="shared" si="45"/>
        <v>-1.1461444796148759E-2</v>
      </c>
      <c r="AD158">
        <f t="shared" si="46"/>
        <v>-0.63810016029905992</v>
      </c>
      <c r="AE158" s="67">
        <f t="shared" si="47"/>
        <v>-9.386146220678683E-2</v>
      </c>
      <c r="AF158" s="67">
        <f t="shared" si="48"/>
        <v>-2.8158438662036048E-2</v>
      </c>
      <c r="AG158" s="67">
        <f t="shared" si="49"/>
        <v>-6.5703023544750785E-2</v>
      </c>
    </row>
    <row r="159" spans="4:33" x14ac:dyDescent="0.2">
      <c r="D159" s="50">
        <v>14</v>
      </c>
      <c r="E159">
        <v>1</v>
      </c>
      <c r="F159">
        <f t="shared" si="40"/>
        <v>63</v>
      </c>
      <c r="G159">
        <f t="shared" si="50"/>
        <v>0</v>
      </c>
      <c r="H159" s="64">
        <f>IF(E159="Anual",VLOOKUP(F159,Hipotesis!$E$9:$J$38,6,FALSE),1-(1-VLOOKUP(F159,Hipotesis!$E$9:$J$38,6,FALSE))^(1/12))</f>
        <v>9.7638249792542098E-4</v>
      </c>
      <c r="I159">
        <f t="shared" si="51"/>
        <v>0.29739355554853647</v>
      </c>
      <c r="J159">
        <v>0</v>
      </c>
      <c r="K159">
        <f>1-(1-VLOOKUP(D159,Hipotesis!$D$9:$K$38,8,FALSE))^(1/12)</f>
        <v>2.5350486138366879E-3</v>
      </c>
      <c r="L159">
        <f t="shared" si="52"/>
        <v>0.77138930761235569</v>
      </c>
      <c r="M159">
        <f t="shared" si="53"/>
        <v>303.51836016779941</v>
      </c>
      <c r="N159">
        <f>IF(D159=1,(VLOOKUP(D159,'Primas Netas Y Reservas'!$D$4:$I$33,5,FALSE)+(VLOOKUP(D159,'Primas Netas Y Reservas'!$D$4:$I$33,6,FALSE)-VLOOKUP(D159,'Primas Netas Y Reservas'!$D$4:$I$33,5,FALSE))*(E159/12))/1000,((VLOOKUP(D159-1,'Primas Netas Y Reservas'!$D$4:$I$33,6,FALSE)+VLOOKUP(D159,'Primas Netas Y Reservas'!$D$4:$I$33,5,FALSE))+(VLOOKUP(D159,'Primas Netas Y Reservas'!$D$4:$I$33,6,FALSE)-VLOOKUP(D159-1,'Primas Netas Y Reservas'!$D$4:$I$33,6,FALSE)-VLOOKUP(D159,'Primas Netas Y Reservas'!$D$4:$I$33,5,FALSE))*(E159/12))/1000)</f>
        <v>0.46711028741756228</v>
      </c>
      <c r="O159">
        <f t="shared" si="54"/>
        <v>-0.19556346042313066</v>
      </c>
      <c r="P159">
        <f>VLOOKUP(D159,Hipotesis!$D$9:$S$38,15,FALSE)*N159</f>
        <v>0.46711028741756228</v>
      </c>
      <c r="Q159">
        <f t="shared" si="41"/>
        <v>0.36032388118964181</v>
      </c>
      <c r="R159">
        <f t="shared" si="42"/>
        <v>0</v>
      </c>
      <c r="S159">
        <f t="shared" si="43"/>
        <v>0.36032388118964181</v>
      </c>
      <c r="T159">
        <f>G159*(VLOOKUP(D159,Hipotesis!$D$9:$N$38,9,FALSE)+VLOOKUP(D159,Hipotesis!$D$9:$N$38,10,FALSE)+VLOOKUP(D159,Hipotesis!$D$9:$N$38,11,FALSE))</f>
        <v>0</v>
      </c>
      <c r="U159">
        <v>0</v>
      </c>
      <c r="V159">
        <f>G159*VLOOKUP(D159,Hipotesis!$D$9:$S$38,16,FALSE)+((VLOOKUP(D159,Hipotesis!$D$9:$T$38,17,FALSE)/$B$4)*M158)/12</f>
        <v>1.142201786366101E-2</v>
      </c>
      <c r="W159">
        <f>(1+VLOOKUP(D159,Hipotesis!$D$9:$P$38,13,FALSE))^(1/12)-1</f>
        <v>0</v>
      </c>
      <c r="X159">
        <f t="shared" si="55"/>
        <v>0</v>
      </c>
      <c r="Y159">
        <f t="shared" si="44"/>
        <v>0.56706644057417677</v>
      </c>
      <c r="Z159">
        <f>(1+VLOOKUP(D159,Hipotesis!$D$9:$O$38,12,))^(1/12)-1</f>
        <v>4.0125675706232933E-3</v>
      </c>
      <c r="AA159">
        <f t="shared" si="56"/>
        <v>0.56967269220267314</v>
      </c>
      <c r="AB159">
        <f t="shared" si="57"/>
        <v>-2.6062516284963391E-3</v>
      </c>
      <c r="AC159" s="68">
        <f t="shared" si="45"/>
        <v>-1.142201786366101E-2</v>
      </c>
      <c r="AD159">
        <f t="shared" si="46"/>
        <v>-0.65771743673817828</v>
      </c>
      <c r="AE159" s="67">
        <f t="shared" si="47"/>
        <v>9.3490446395468135E-2</v>
      </c>
      <c r="AF159" s="67">
        <f t="shared" si="48"/>
        <v>2.804713391864044E-2</v>
      </c>
      <c r="AG159" s="67">
        <f t="shared" si="49"/>
        <v>6.5443312476827692E-2</v>
      </c>
    </row>
    <row r="160" spans="4:33" x14ac:dyDescent="0.2">
      <c r="D160" s="50">
        <v>14</v>
      </c>
      <c r="E160">
        <v>2</v>
      </c>
      <c r="F160">
        <f t="shared" si="40"/>
        <v>63</v>
      </c>
      <c r="G160">
        <f t="shared" si="50"/>
        <v>0</v>
      </c>
      <c r="H160" s="64">
        <f>IF(E160="Anual",VLOOKUP(F160,Hipotesis!$E$9:$J$38,6,FALSE),1-(1-VLOOKUP(F160,Hipotesis!$E$9:$J$38,6,FALSE))^(1/12))</f>
        <v>9.7638249792542098E-4</v>
      </c>
      <c r="I160">
        <f t="shared" si="51"/>
        <v>0.29635001466686361</v>
      </c>
      <c r="J160">
        <v>0</v>
      </c>
      <c r="K160">
        <f>1-(1-VLOOKUP(D160,Hipotesis!$D$9:$K$38,8,FALSE))^(1/12)</f>
        <v>2.5350486138366879E-3</v>
      </c>
      <c r="L160">
        <f t="shared" si="52"/>
        <v>0.76868253652347274</v>
      </c>
      <c r="M160">
        <f t="shared" si="53"/>
        <v>302.45332761660904</v>
      </c>
      <c r="N160">
        <f>IF(D160=1,(VLOOKUP(D160,'Primas Netas Y Reservas'!$D$4:$I$33,5,FALSE)+(VLOOKUP(D160,'Primas Netas Y Reservas'!$D$4:$I$33,6,FALSE)-VLOOKUP(D160,'Primas Netas Y Reservas'!$D$4:$I$33,5,FALSE))*(E160/12))/1000,((VLOOKUP(D160-1,'Primas Netas Y Reservas'!$D$4:$I$33,6,FALSE)+VLOOKUP(D160,'Primas Netas Y Reservas'!$D$4:$I$33,5,FALSE))+(VLOOKUP(D160,'Primas Netas Y Reservas'!$D$4:$I$33,6,FALSE)-VLOOKUP(D160-1,'Primas Netas Y Reservas'!$D$4:$I$33,6,FALSE)-VLOOKUP(D160,'Primas Netas Y Reservas'!$D$4:$I$33,5,FALSE))*(E160/12))/1000)</f>
        <v>0.46810729604685969</v>
      </c>
      <c r="O160">
        <f t="shared" si="54"/>
        <v>-0.19593908350211109</v>
      </c>
      <c r="P160">
        <f>VLOOKUP(D160,Hipotesis!$D$9:$S$38,15,FALSE)*N160</f>
        <v>0.46810729604685969</v>
      </c>
      <c r="Q160">
        <f t="shared" si="41"/>
        <v>0.35982590369044432</v>
      </c>
      <c r="R160">
        <f t="shared" si="42"/>
        <v>0</v>
      </c>
      <c r="S160">
        <f t="shared" si="43"/>
        <v>0.35982590369044432</v>
      </c>
      <c r="T160">
        <f>G160*(VLOOKUP(D160,Hipotesis!$D$9:$N$38,9,FALSE)+VLOOKUP(D160,Hipotesis!$D$9:$N$38,10,FALSE)+VLOOKUP(D160,Hipotesis!$D$9:$N$38,11,FALSE))</f>
        <v>0</v>
      </c>
      <c r="U160">
        <v>0</v>
      </c>
      <c r="V160">
        <f>G160*VLOOKUP(D160,Hipotesis!$D$9:$S$38,16,FALSE)+((VLOOKUP(D160,Hipotesis!$D$9:$T$38,17,FALSE)/$B$4)*M159)/12</f>
        <v>1.1381938506292476E-2</v>
      </c>
      <c r="W160">
        <f>(1+VLOOKUP(D160,Hipotesis!$D$9:$P$38,13,FALSE))^(1/12)-1</f>
        <v>0</v>
      </c>
      <c r="X160">
        <f t="shared" si="55"/>
        <v>0</v>
      </c>
      <c r="Y160">
        <f t="shared" si="44"/>
        <v>0.5662031741487501</v>
      </c>
      <c r="Z160">
        <f>(1+VLOOKUP(D160,Hipotesis!$D$9:$O$38,12,))^(1/12)-1</f>
        <v>4.0125675706232933E-3</v>
      </c>
      <c r="AA160">
        <f t="shared" si="56"/>
        <v>0.56888798060338042</v>
      </c>
      <c r="AB160">
        <f t="shared" si="57"/>
        <v>-2.6848064546302693E-3</v>
      </c>
      <c r="AC160" s="68">
        <f t="shared" si="45"/>
        <v>-1.1381938506292476E-2</v>
      </c>
      <c r="AD160">
        <f t="shared" si="46"/>
        <v>-0.65617591835730793</v>
      </c>
      <c r="AE160" s="67">
        <f t="shared" si="47"/>
        <v>9.4584400787260783E-2</v>
      </c>
      <c r="AF160" s="67">
        <f t="shared" si="48"/>
        <v>2.8375320236178232E-2</v>
      </c>
      <c r="AG160" s="67">
        <f t="shared" si="49"/>
        <v>6.6209080551082544E-2</v>
      </c>
    </row>
    <row r="161" spans="4:33" x14ac:dyDescent="0.2">
      <c r="D161" s="50">
        <v>14</v>
      </c>
      <c r="E161">
        <v>3</v>
      </c>
      <c r="F161">
        <f t="shared" si="40"/>
        <v>63</v>
      </c>
      <c r="G161">
        <f t="shared" si="50"/>
        <v>0</v>
      </c>
      <c r="H161" s="64">
        <f>IF(E161="Anual",VLOOKUP(F161,Hipotesis!$E$9:$J$38,6,FALSE),1-(1-VLOOKUP(F161,Hipotesis!$E$9:$J$38,6,FALSE))^(1/12))</f>
        <v>9.7638249792542098E-4</v>
      </c>
      <c r="I161">
        <f t="shared" si="51"/>
        <v>0.29531013552416047</v>
      </c>
      <c r="J161">
        <v>0</v>
      </c>
      <c r="K161">
        <f>1-(1-VLOOKUP(D161,Hipotesis!$D$9:$K$38,8,FALSE))^(1/12)</f>
        <v>2.5350486138366879E-3</v>
      </c>
      <c r="L161">
        <f t="shared" si="52"/>
        <v>0.76598526337506589</v>
      </c>
      <c r="M161">
        <f t="shared" si="53"/>
        <v>301.39203221770981</v>
      </c>
      <c r="N161">
        <f>IF(D161=1,(VLOOKUP(D161,'Primas Netas Y Reservas'!$D$4:$I$33,5,FALSE)+(VLOOKUP(D161,'Primas Netas Y Reservas'!$D$4:$I$33,6,FALSE)-VLOOKUP(D161,'Primas Netas Y Reservas'!$D$4:$I$33,5,FALSE))*(E161/12))/1000,((VLOOKUP(D161-1,'Primas Netas Y Reservas'!$D$4:$I$33,6,FALSE)+VLOOKUP(D161,'Primas Netas Y Reservas'!$D$4:$I$33,5,FALSE))+(VLOOKUP(D161,'Primas Netas Y Reservas'!$D$4:$I$33,6,FALSE)-VLOOKUP(D161-1,'Primas Netas Y Reservas'!$D$4:$I$33,6,FALSE)-VLOOKUP(D161,'Primas Netas Y Reservas'!$D$4:$I$33,5,FALSE))*(E161/12))/1000)</f>
        <v>0.46910430467615716</v>
      </c>
      <c r="O161">
        <f t="shared" si="54"/>
        <v>-0.19630966256312377</v>
      </c>
      <c r="P161">
        <f>VLOOKUP(D161,Hipotesis!$D$9:$S$38,15,FALSE)*N161</f>
        <v>0.46910430467615716</v>
      </c>
      <c r="Q161">
        <f t="shared" si="41"/>
        <v>0.35932698436774341</v>
      </c>
      <c r="R161">
        <f t="shared" si="42"/>
        <v>0</v>
      </c>
      <c r="S161">
        <f t="shared" si="43"/>
        <v>0.35932698436774341</v>
      </c>
      <c r="T161">
        <f>G161*(VLOOKUP(D161,Hipotesis!$D$9:$N$38,9,FALSE)+VLOOKUP(D161,Hipotesis!$D$9:$N$38,10,FALSE)+VLOOKUP(D161,Hipotesis!$D$9:$N$38,11,FALSE))</f>
        <v>0</v>
      </c>
      <c r="U161">
        <v>0</v>
      </c>
      <c r="V161">
        <f>G161*VLOOKUP(D161,Hipotesis!$D$9:$S$38,16,FALSE)+((VLOOKUP(D161,Hipotesis!$D$9:$T$38,17,FALSE)/$B$4)*M160)/12</f>
        <v>1.1341999785622838E-2</v>
      </c>
      <c r="W161">
        <f>(1+VLOOKUP(D161,Hipotesis!$D$9:$P$38,13,FALSE))^(1/12)-1</f>
        <v>0</v>
      </c>
      <c r="X161">
        <f t="shared" si="55"/>
        <v>0</v>
      </c>
      <c r="Y161">
        <f t="shared" si="44"/>
        <v>0.56542330103995186</v>
      </c>
      <c r="Z161">
        <f>(1+VLOOKUP(D161,Hipotesis!$D$9:$O$38,12,))^(1/12)-1</f>
        <v>4.0125675706232933E-3</v>
      </c>
      <c r="AA161">
        <f t="shared" si="56"/>
        <v>0.56810176179110217</v>
      </c>
      <c r="AB161">
        <f t="shared" si="57"/>
        <v>-2.6784607511502983E-3</v>
      </c>
      <c r="AC161" s="68">
        <f t="shared" si="45"/>
        <v>-1.1341999785622838E-2</v>
      </c>
      <c r="AD161">
        <f t="shared" si="46"/>
        <v>-0.65463711989190387</v>
      </c>
      <c r="AE161" s="67">
        <f t="shared" si="47"/>
        <v>9.575384392554892E-2</v>
      </c>
      <c r="AF161" s="67">
        <f t="shared" si="48"/>
        <v>2.8726153177664675E-2</v>
      </c>
      <c r="AG161" s="67">
        <f t="shared" si="49"/>
        <v>6.7027690747884242E-2</v>
      </c>
    </row>
    <row r="162" spans="4:33" x14ac:dyDescent="0.2">
      <c r="D162" s="50">
        <v>14</v>
      </c>
      <c r="E162">
        <v>4</v>
      </c>
      <c r="F162">
        <f t="shared" si="40"/>
        <v>63</v>
      </c>
      <c r="G162">
        <f t="shared" si="50"/>
        <v>0</v>
      </c>
      <c r="H162" s="64">
        <f>IF(E162="Anual",VLOOKUP(F162,Hipotesis!$E$9:$J$38,6,FALSE),1-(1-VLOOKUP(F162,Hipotesis!$E$9:$J$38,6,FALSE))^(1/12))</f>
        <v>9.7638249792542098E-4</v>
      </c>
      <c r="I162">
        <f t="shared" si="51"/>
        <v>0.29427390527154645</v>
      </c>
      <c r="J162">
        <v>0</v>
      </c>
      <c r="K162">
        <f>1-(1-VLOOKUP(D162,Hipotesis!$D$9:$K$38,8,FALSE))^(1/12)</f>
        <v>2.5350486138366879E-3</v>
      </c>
      <c r="L162">
        <f t="shared" si="52"/>
        <v>0.76329745483928069</v>
      </c>
      <c r="M162">
        <f t="shared" si="53"/>
        <v>300.33446085759897</v>
      </c>
      <c r="N162">
        <f>IF(D162=1,(VLOOKUP(D162,'Primas Netas Y Reservas'!$D$4:$I$33,5,FALSE)+(VLOOKUP(D162,'Primas Netas Y Reservas'!$D$4:$I$33,6,FALSE)-VLOOKUP(D162,'Primas Netas Y Reservas'!$D$4:$I$33,5,FALSE))*(E162/12))/1000,((VLOOKUP(D162-1,'Primas Netas Y Reservas'!$D$4:$I$33,6,FALSE)+VLOOKUP(D162,'Primas Netas Y Reservas'!$D$4:$I$33,5,FALSE))+(VLOOKUP(D162,'Primas Netas Y Reservas'!$D$4:$I$33,6,FALSE)-VLOOKUP(D162-1,'Primas Netas Y Reservas'!$D$4:$I$33,6,FALSE)-VLOOKUP(D162,'Primas Netas Y Reservas'!$D$4:$I$33,5,FALSE))*(E162/12))/1000)</f>
        <v>0.47010131330545452</v>
      </c>
      <c r="O162">
        <f t="shared" si="54"/>
        <v>-0.19667522837983142</v>
      </c>
      <c r="P162">
        <f>VLOOKUP(D162,Hipotesis!$D$9:$S$38,15,FALSE)*N162</f>
        <v>0.47010131330545452</v>
      </c>
      <c r="Q162">
        <f t="shared" si="41"/>
        <v>0.3588271359626567</v>
      </c>
      <c r="R162">
        <f t="shared" si="42"/>
        <v>0</v>
      </c>
      <c r="S162">
        <f t="shared" si="43"/>
        <v>0.3588271359626567</v>
      </c>
      <c r="T162">
        <f>G162*(VLOOKUP(D162,Hipotesis!$D$9:$N$38,9,FALSE)+VLOOKUP(D162,Hipotesis!$D$9:$N$38,10,FALSE)+VLOOKUP(D162,Hipotesis!$D$9:$N$38,11,FALSE))</f>
        <v>0</v>
      </c>
      <c r="U162">
        <v>0</v>
      </c>
      <c r="V162">
        <f>G162*VLOOKUP(D162,Hipotesis!$D$9:$S$38,16,FALSE)+((VLOOKUP(D162,Hipotesis!$D$9:$T$38,17,FALSE)/$B$4)*M161)/12</f>
        <v>1.1302201208164117E-2</v>
      </c>
      <c r="W162">
        <f>(1+VLOOKUP(D162,Hipotesis!$D$9:$P$38,13,FALSE))^(1/12)-1</f>
        <v>0</v>
      </c>
      <c r="X162">
        <f t="shared" si="55"/>
        <v>0</v>
      </c>
      <c r="Y162">
        <f t="shared" si="44"/>
        <v>0.56464192948145231</v>
      </c>
      <c r="Z162">
        <f>(1+VLOOKUP(D162,Hipotesis!$D$9:$O$38,12,))^(1/12)-1</f>
        <v>4.0125675706232933E-3</v>
      </c>
      <c r="AA162">
        <f t="shared" si="56"/>
        <v>0.56731405600530138</v>
      </c>
      <c r="AB162">
        <f t="shared" si="57"/>
        <v>-2.6721265238490253E-3</v>
      </c>
      <c r="AC162" s="68">
        <f t="shared" si="45"/>
        <v>-1.1302201208164117E-2</v>
      </c>
      <c r="AD162">
        <f t="shared" si="46"/>
        <v>-0.65310104123420309</v>
      </c>
      <c r="AE162" s="67">
        <f t="shared" si="47"/>
        <v>9.691391541891646E-2</v>
      </c>
      <c r="AF162" s="67">
        <f t="shared" si="48"/>
        <v>2.9074174625674937E-2</v>
      </c>
      <c r="AG162" s="67">
        <f t="shared" si="49"/>
        <v>6.7839740793241524E-2</v>
      </c>
    </row>
    <row r="163" spans="4:33" x14ac:dyDescent="0.2">
      <c r="D163" s="50">
        <v>14</v>
      </c>
      <c r="E163">
        <v>5</v>
      </c>
      <c r="F163">
        <f t="shared" si="40"/>
        <v>63</v>
      </c>
      <c r="G163">
        <f t="shared" si="50"/>
        <v>0</v>
      </c>
      <c r="H163" s="64">
        <f>IF(E163="Anual",VLOOKUP(F163,Hipotesis!$E$9:$J$38,6,FALSE),1-(1-VLOOKUP(F163,Hipotesis!$E$9:$J$38,6,FALSE))^(1/12))</f>
        <v>9.7638249792542098E-4</v>
      </c>
      <c r="I163">
        <f t="shared" si="51"/>
        <v>0.29324131110522705</v>
      </c>
      <c r="J163">
        <v>0</v>
      </c>
      <c r="K163">
        <f>1-(1-VLOOKUP(D163,Hipotesis!$D$9:$K$38,8,FALSE))^(1/12)</f>
        <v>2.5350486138366879E-3</v>
      </c>
      <c r="L163">
        <f t="shared" si="52"/>
        <v>0.7606190777052082</v>
      </c>
      <c r="M163">
        <f t="shared" si="53"/>
        <v>299.28060046878852</v>
      </c>
      <c r="N163">
        <f>IF(D163=1,(VLOOKUP(D163,'Primas Netas Y Reservas'!$D$4:$I$33,5,FALSE)+(VLOOKUP(D163,'Primas Netas Y Reservas'!$D$4:$I$33,6,FALSE)-VLOOKUP(D163,'Primas Netas Y Reservas'!$D$4:$I$33,5,FALSE))*(E163/12))/1000,((VLOOKUP(D163-1,'Primas Netas Y Reservas'!$D$4:$I$33,6,FALSE)+VLOOKUP(D163,'Primas Netas Y Reservas'!$D$4:$I$33,5,FALSE))+(VLOOKUP(D163,'Primas Netas Y Reservas'!$D$4:$I$33,6,FALSE)-VLOOKUP(D163-1,'Primas Netas Y Reservas'!$D$4:$I$33,6,FALSE)-VLOOKUP(D163,'Primas Netas Y Reservas'!$D$4:$I$33,5,FALSE))*(E163/12))/1000)</f>
        <v>0.47109832193475198</v>
      </c>
      <c r="O163">
        <f t="shared" si="54"/>
        <v>-0.1970358115716806</v>
      </c>
      <c r="P163">
        <f>VLOOKUP(D163,Hipotesis!$D$9:$S$38,15,FALSE)*N163</f>
        <v>0.47109832193475198</v>
      </c>
      <c r="Q163">
        <f t="shared" si="41"/>
        <v>0.35832637113848231</v>
      </c>
      <c r="R163">
        <f t="shared" si="42"/>
        <v>0</v>
      </c>
      <c r="S163">
        <f t="shared" si="43"/>
        <v>0.35832637113848231</v>
      </c>
      <c r="T163">
        <f>G163*(VLOOKUP(D163,Hipotesis!$D$9:$N$38,9,FALSE)+VLOOKUP(D163,Hipotesis!$D$9:$N$38,10,FALSE)+VLOOKUP(D163,Hipotesis!$D$9:$N$38,11,FALSE))</f>
        <v>0</v>
      </c>
      <c r="U163">
        <v>0</v>
      </c>
      <c r="V163">
        <f>G163*VLOOKUP(D163,Hipotesis!$D$9:$S$38,16,FALSE)+((VLOOKUP(D163,Hipotesis!$D$9:$T$38,17,FALSE)/$B$4)*M162)/12</f>
        <v>1.1262542282159961E-2</v>
      </c>
      <c r="W163">
        <f>(1+VLOOKUP(D163,Hipotesis!$D$9:$P$38,13,FALSE))^(1/12)-1</f>
        <v>0</v>
      </c>
      <c r="X163">
        <f t="shared" si="55"/>
        <v>0</v>
      </c>
      <c r="Y163">
        <f t="shared" si="44"/>
        <v>0.56385907959163861</v>
      </c>
      <c r="Z163">
        <f>(1+VLOOKUP(D163,Hipotesis!$D$9:$O$38,12,))^(1/12)-1</f>
        <v>4.0125675706232933E-3</v>
      </c>
      <c r="AA163">
        <f t="shared" si="56"/>
        <v>0.5665248833619595</v>
      </c>
      <c r="AB163">
        <f t="shared" si="57"/>
        <v>-2.6658037703208384E-3</v>
      </c>
      <c r="AC163" s="68">
        <f t="shared" si="45"/>
        <v>-1.1262542282159961E-2</v>
      </c>
      <c r="AD163">
        <f t="shared" si="46"/>
        <v>-0.65156768224370931</v>
      </c>
      <c r="AE163" s="67">
        <f t="shared" si="47"/>
        <v>9.8064666637449879E-2</v>
      </c>
      <c r="AF163" s="67">
        <f t="shared" si="48"/>
        <v>2.9419399991234961E-2</v>
      </c>
      <c r="AG163" s="67">
        <f t="shared" si="49"/>
        <v>6.8645266646214925E-2</v>
      </c>
    </row>
    <row r="164" spans="4:33" x14ac:dyDescent="0.2">
      <c r="D164" s="50">
        <v>14</v>
      </c>
      <c r="E164">
        <v>6</v>
      </c>
      <c r="F164">
        <f t="shared" si="40"/>
        <v>63</v>
      </c>
      <c r="G164">
        <f t="shared" si="50"/>
        <v>0</v>
      </c>
      <c r="H164" s="64">
        <f>IF(E164="Anual",VLOOKUP(F164,Hipotesis!$E$9:$J$38,6,FALSE),1-(1-VLOOKUP(F164,Hipotesis!$E$9:$J$38,6,FALSE))^(1/12))</f>
        <v>9.7638249792542098E-4</v>
      </c>
      <c r="I164">
        <f t="shared" si="51"/>
        <v>0.29221234026633564</v>
      </c>
      <c r="J164">
        <v>0</v>
      </c>
      <c r="K164">
        <f>1-(1-VLOOKUP(D164,Hipotesis!$D$9:$K$38,8,FALSE))^(1/12)</f>
        <v>2.5350486138366879E-3</v>
      </c>
      <c r="L164">
        <f t="shared" si="52"/>
        <v>0.75795009887847575</v>
      </c>
      <c r="M164">
        <f t="shared" si="53"/>
        <v>298.23043802964366</v>
      </c>
      <c r="N164">
        <f>IF(D164=1,(VLOOKUP(D164,'Primas Netas Y Reservas'!$D$4:$I$33,5,FALSE)+(VLOOKUP(D164,'Primas Netas Y Reservas'!$D$4:$I$33,6,FALSE)-VLOOKUP(D164,'Primas Netas Y Reservas'!$D$4:$I$33,5,FALSE))*(E164/12))/1000,((VLOOKUP(D164-1,'Primas Netas Y Reservas'!$D$4:$I$33,6,FALSE)+VLOOKUP(D164,'Primas Netas Y Reservas'!$D$4:$I$33,5,FALSE))+(VLOOKUP(D164,'Primas Netas Y Reservas'!$D$4:$I$33,6,FALSE)-VLOOKUP(D164-1,'Primas Netas Y Reservas'!$D$4:$I$33,6,FALSE)-VLOOKUP(D164,'Primas Netas Y Reservas'!$D$4:$I$33,5,FALSE))*(E164/12))/1000)</f>
        <v>0.4720953305640494</v>
      </c>
      <c r="O164">
        <f t="shared" si="54"/>
        <v>-0.19739144260535113</v>
      </c>
      <c r="P164">
        <f>VLOOKUP(D164,Hipotesis!$D$9:$S$38,15,FALSE)*N164</f>
        <v>0.4720953305640494</v>
      </c>
      <c r="Q164">
        <f t="shared" si="41"/>
        <v>0.35782470248108794</v>
      </c>
      <c r="R164">
        <f t="shared" si="42"/>
        <v>0</v>
      </c>
      <c r="S164">
        <f t="shared" si="43"/>
        <v>0.35782470248108794</v>
      </c>
      <c r="T164">
        <f>G164*(VLOOKUP(D164,Hipotesis!$D$9:$N$38,9,FALSE)+VLOOKUP(D164,Hipotesis!$D$9:$N$38,10,FALSE)+VLOOKUP(D164,Hipotesis!$D$9:$N$38,11,FALSE))</f>
        <v>0</v>
      </c>
      <c r="U164">
        <v>0</v>
      </c>
      <c r="V164">
        <f>G164*VLOOKUP(D164,Hipotesis!$D$9:$S$38,16,FALSE)+((VLOOKUP(D164,Hipotesis!$D$9:$T$38,17,FALSE)/$B$4)*M163)/12</f>
        <v>1.1223022517579569E-2</v>
      </c>
      <c r="W164">
        <f>(1+VLOOKUP(D164,Hipotesis!$D$9:$P$38,13,FALSE))^(1/12)-1</f>
        <v>0</v>
      </c>
      <c r="X164">
        <f t="shared" si="55"/>
        <v>0</v>
      </c>
      <c r="Y164">
        <f t="shared" si="44"/>
        <v>0.56307477136615991</v>
      </c>
      <c r="Z164">
        <f>(1+VLOOKUP(D164,Hipotesis!$D$9:$O$38,12,))^(1/12)-1</f>
        <v>4.0125675706232933E-3</v>
      </c>
      <c r="AA164">
        <f t="shared" si="56"/>
        <v>0.56573426385419556</v>
      </c>
      <c r="AB164">
        <f t="shared" si="57"/>
        <v>-2.6594924880357054E-3</v>
      </c>
      <c r="AC164" s="68">
        <f t="shared" si="45"/>
        <v>-1.1223022517579569E-2</v>
      </c>
      <c r="AD164">
        <f t="shared" si="46"/>
        <v>-0.65003704274742358</v>
      </c>
      <c r="AE164" s="67">
        <f t="shared" si="47"/>
        <v>9.9206148706507902E-2</v>
      </c>
      <c r="AF164" s="67">
        <f t="shared" si="48"/>
        <v>2.976184461195237E-2</v>
      </c>
      <c r="AG164" s="67">
        <f t="shared" si="49"/>
        <v>6.9444304094555528E-2</v>
      </c>
    </row>
    <row r="165" spans="4:33" x14ac:dyDescent="0.2">
      <c r="D165" s="50">
        <v>14</v>
      </c>
      <c r="E165">
        <v>7</v>
      </c>
      <c r="F165">
        <f t="shared" si="40"/>
        <v>63</v>
      </c>
      <c r="G165">
        <f t="shared" si="50"/>
        <v>0</v>
      </c>
      <c r="H165" s="64">
        <f>IF(E165="Anual",VLOOKUP(F165,Hipotesis!$E$9:$J$38,6,FALSE),1-(1-VLOOKUP(F165,Hipotesis!$E$9:$J$38,6,FALSE))^(1/12))</f>
        <v>9.7638249792542098E-4</v>
      </c>
      <c r="I165">
        <f t="shared" si="51"/>
        <v>0.29118698004077592</v>
      </c>
      <c r="J165">
        <v>0</v>
      </c>
      <c r="K165">
        <f>1-(1-VLOOKUP(D165,Hipotesis!$D$9:$K$38,8,FALSE))^(1/12)</f>
        <v>2.5350486138366879E-3</v>
      </c>
      <c r="L165">
        <f t="shared" si="52"/>
        <v>0.75529048538083676</v>
      </c>
      <c r="M165">
        <f t="shared" si="53"/>
        <v>297.18396056422205</v>
      </c>
      <c r="N165">
        <f>IF(D165=1,(VLOOKUP(D165,'Primas Netas Y Reservas'!$D$4:$I$33,5,FALSE)+(VLOOKUP(D165,'Primas Netas Y Reservas'!$D$4:$I$33,6,FALSE)-VLOOKUP(D165,'Primas Netas Y Reservas'!$D$4:$I$33,5,FALSE))*(E165/12))/1000,((VLOOKUP(D165-1,'Primas Netas Y Reservas'!$D$4:$I$33,6,FALSE)+VLOOKUP(D165,'Primas Netas Y Reservas'!$D$4:$I$33,5,FALSE))+(VLOOKUP(D165,'Primas Netas Y Reservas'!$D$4:$I$33,6,FALSE)-VLOOKUP(D165-1,'Primas Netas Y Reservas'!$D$4:$I$33,6,FALSE)-VLOOKUP(D165,'Primas Netas Y Reservas'!$D$4:$I$33,5,FALSE))*(E165/12))/1000)</f>
        <v>0.47309233919334687</v>
      </c>
      <c r="O165">
        <f t="shared" si="54"/>
        <v>-0.19774215179469934</v>
      </c>
      <c r="P165">
        <f>VLOOKUP(D165,Hipotesis!$D$9:$S$38,15,FALSE)*N165</f>
        <v>0.47309233919334687</v>
      </c>
      <c r="Q165">
        <f t="shared" si="41"/>
        <v>0.35732214249929845</v>
      </c>
      <c r="R165">
        <f t="shared" si="42"/>
        <v>0</v>
      </c>
      <c r="S165">
        <f t="shared" si="43"/>
        <v>0.35732214249929845</v>
      </c>
      <c r="T165">
        <f>G165*(VLOOKUP(D165,Hipotesis!$D$9:$N$38,9,FALSE)+VLOOKUP(D165,Hipotesis!$D$9:$N$38,10,FALSE)+VLOOKUP(D165,Hipotesis!$D$9:$N$38,11,FALSE))</f>
        <v>0</v>
      </c>
      <c r="U165">
        <v>0</v>
      </c>
      <c r="V165">
        <f>G165*VLOOKUP(D165,Hipotesis!$D$9:$S$38,16,FALSE)+((VLOOKUP(D165,Hipotesis!$D$9:$T$38,17,FALSE)/$B$4)*M164)/12</f>
        <v>1.1183641426111638E-2</v>
      </c>
      <c r="W165">
        <f>(1+VLOOKUP(D165,Hipotesis!$D$9:$P$38,13,FALSE))^(1/12)-1</f>
        <v>0</v>
      </c>
      <c r="X165">
        <f t="shared" si="55"/>
        <v>0</v>
      </c>
      <c r="Y165">
        <f t="shared" si="44"/>
        <v>0.5622890246785387</v>
      </c>
      <c r="Z165">
        <f>(1+VLOOKUP(D165,Hipotesis!$D$9:$O$38,12,))^(1/12)-1</f>
        <v>4.0125675706232933E-3</v>
      </c>
      <c r="AA165">
        <f t="shared" si="56"/>
        <v>0.56494221735287875</v>
      </c>
      <c r="AB165">
        <f t="shared" si="57"/>
        <v>-2.6531926743400738E-3</v>
      </c>
      <c r="AC165" s="68">
        <f t="shared" si="45"/>
        <v>-1.1183641426111638E-2</v>
      </c>
      <c r="AD165">
        <f t="shared" si="46"/>
        <v>-0.64850912254007431</v>
      </c>
      <c r="AE165" s="67">
        <f t="shared" si="47"/>
        <v>0.10033841250705203</v>
      </c>
      <c r="AF165" s="67">
        <f t="shared" si="48"/>
        <v>3.0101523752115607E-2</v>
      </c>
      <c r="AG165" s="67">
        <f t="shared" si="49"/>
        <v>7.0236888754936416E-2</v>
      </c>
    </row>
    <row r="166" spans="4:33" x14ac:dyDescent="0.2">
      <c r="D166" s="50">
        <v>14</v>
      </c>
      <c r="E166">
        <v>8</v>
      </c>
      <c r="F166">
        <f t="shared" si="40"/>
        <v>63</v>
      </c>
      <c r="G166">
        <f t="shared" si="50"/>
        <v>0</v>
      </c>
      <c r="H166" s="64">
        <f>IF(E166="Anual",VLOOKUP(F166,Hipotesis!$E$9:$J$38,6,FALSE),1-(1-VLOOKUP(F166,Hipotesis!$E$9:$J$38,6,FALSE))^(1/12))</f>
        <v>9.7638249792542098E-4</v>
      </c>
      <c r="I166">
        <f t="shared" si="51"/>
        <v>0.2901652177590649</v>
      </c>
      <c r="J166">
        <v>0</v>
      </c>
      <c r="K166">
        <f>1-(1-VLOOKUP(D166,Hipotesis!$D$9:$K$38,8,FALSE))^(1/12)</f>
        <v>2.5350486138366879E-3</v>
      </c>
      <c r="L166">
        <f t="shared" si="52"/>
        <v>0.75264020434976431</v>
      </c>
      <c r="M166">
        <f t="shared" si="53"/>
        <v>296.14115514211323</v>
      </c>
      <c r="N166">
        <f>IF(D166=1,(VLOOKUP(D166,'Primas Netas Y Reservas'!$D$4:$I$33,5,FALSE)+(VLOOKUP(D166,'Primas Netas Y Reservas'!$D$4:$I$33,6,FALSE)-VLOOKUP(D166,'Primas Netas Y Reservas'!$D$4:$I$33,5,FALSE))*(E166/12))/1000,((VLOOKUP(D166-1,'Primas Netas Y Reservas'!$D$4:$I$33,6,FALSE)+VLOOKUP(D166,'Primas Netas Y Reservas'!$D$4:$I$33,5,FALSE))+(VLOOKUP(D166,'Primas Netas Y Reservas'!$D$4:$I$33,6,FALSE)-VLOOKUP(D166-1,'Primas Netas Y Reservas'!$D$4:$I$33,6,FALSE)-VLOOKUP(D166,'Primas Netas Y Reservas'!$D$4:$I$33,5,FALSE))*(E166/12))/1000)</f>
        <v>0.47408934782264428</v>
      </c>
      <c r="O166">
        <f t="shared" si="54"/>
        <v>-0.19808796930217909</v>
      </c>
      <c r="P166">
        <f>VLOOKUP(D166,Hipotesis!$D$9:$S$38,15,FALSE)*N166</f>
        <v>0.47408934782264428</v>
      </c>
      <c r="Q166">
        <f t="shared" si="41"/>
        <v>0.35681870362528145</v>
      </c>
      <c r="R166">
        <f t="shared" si="42"/>
        <v>0</v>
      </c>
      <c r="S166">
        <f t="shared" si="43"/>
        <v>0.35681870362528145</v>
      </c>
      <c r="T166">
        <f>G166*(VLOOKUP(D166,Hipotesis!$D$9:$N$38,9,FALSE)+VLOOKUP(D166,Hipotesis!$D$9:$N$38,10,FALSE)+VLOOKUP(D166,Hipotesis!$D$9:$N$38,11,FALSE))</f>
        <v>0</v>
      </c>
      <c r="U166">
        <v>0</v>
      </c>
      <c r="V166">
        <f>G166*VLOOKUP(D166,Hipotesis!$D$9:$S$38,16,FALSE)+((VLOOKUP(D166,Hipotesis!$D$9:$T$38,17,FALSE)/$B$4)*M165)/12</f>
        <v>1.1144398521158326E-2</v>
      </c>
      <c r="W166">
        <f>(1+VLOOKUP(D166,Hipotesis!$D$9:$P$38,13,FALSE))^(1/12)-1</f>
        <v>0</v>
      </c>
      <c r="X166">
        <f t="shared" si="55"/>
        <v>0</v>
      </c>
      <c r="Y166">
        <f t="shared" si="44"/>
        <v>0.56150185928078433</v>
      </c>
      <c r="Z166">
        <f>(1+VLOOKUP(D166,Hipotesis!$D$9:$O$38,12,))^(1/12)-1</f>
        <v>4.0125675706232933E-3</v>
      </c>
      <c r="AA166">
        <f t="shared" si="56"/>
        <v>0.56414876360724209</v>
      </c>
      <c r="AB166">
        <f t="shared" si="57"/>
        <v>-2.6469043264577717E-3</v>
      </c>
      <c r="AC166" s="68">
        <f t="shared" si="45"/>
        <v>-1.1144398521158326E-2</v>
      </c>
      <c r="AD166">
        <f t="shared" si="46"/>
        <v>-0.64698392138434635</v>
      </c>
      <c r="AE166" s="67">
        <f t="shared" si="47"/>
        <v>0.10146150867745875</v>
      </c>
      <c r="AF166" s="67">
        <f t="shared" si="48"/>
        <v>3.0438452603237624E-2</v>
      </c>
      <c r="AG166" s="67">
        <f t="shared" si="49"/>
        <v>7.102305607422113E-2</v>
      </c>
    </row>
    <row r="167" spans="4:33" x14ac:dyDescent="0.2">
      <c r="D167" s="50">
        <v>14</v>
      </c>
      <c r="E167">
        <v>9</v>
      </c>
      <c r="F167">
        <f t="shared" si="40"/>
        <v>63</v>
      </c>
      <c r="G167">
        <f t="shared" si="50"/>
        <v>0</v>
      </c>
      <c r="H167" s="64">
        <f>IF(E167="Anual",VLOOKUP(F167,Hipotesis!$E$9:$J$38,6,FALSE),1-(1-VLOOKUP(F167,Hipotesis!$E$9:$J$38,6,FALSE))^(1/12))</f>
        <v>9.7638249792542098E-4</v>
      </c>
      <c r="I167">
        <f t="shared" si="51"/>
        <v>0.28914704079617615</v>
      </c>
      <c r="J167">
        <v>0</v>
      </c>
      <c r="K167">
        <f>1-(1-VLOOKUP(D167,Hipotesis!$D$9:$K$38,8,FALSE))^(1/12)</f>
        <v>2.5350486138366879E-3</v>
      </c>
      <c r="L167">
        <f t="shared" si="52"/>
        <v>0.74999922303804434</v>
      </c>
      <c r="M167">
        <f t="shared" si="53"/>
        <v>295.10200887827898</v>
      </c>
      <c r="N167">
        <f>IF(D167=1,(VLOOKUP(D167,'Primas Netas Y Reservas'!$D$4:$I$33,5,FALSE)+(VLOOKUP(D167,'Primas Netas Y Reservas'!$D$4:$I$33,6,FALSE)-VLOOKUP(D167,'Primas Netas Y Reservas'!$D$4:$I$33,5,FALSE))*(E167/12))/1000,((VLOOKUP(D167-1,'Primas Netas Y Reservas'!$D$4:$I$33,6,FALSE)+VLOOKUP(D167,'Primas Netas Y Reservas'!$D$4:$I$33,5,FALSE))+(VLOOKUP(D167,'Primas Netas Y Reservas'!$D$4:$I$33,6,FALSE)-VLOOKUP(D167-1,'Primas Netas Y Reservas'!$D$4:$I$33,6,FALSE)-VLOOKUP(D167,'Primas Netas Y Reservas'!$D$4:$I$33,5,FALSE))*(E167/12))/1000)</f>
        <v>0.47508635645194169</v>
      </c>
      <c r="O167">
        <f t="shared" si="54"/>
        <v>-0.19842892513887023</v>
      </c>
      <c r="P167">
        <f>VLOOKUP(D167,Hipotesis!$D$9:$S$38,15,FALSE)*N167</f>
        <v>0.47508635645194169</v>
      </c>
      <c r="Q167">
        <f t="shared" si="41"/>
        <v>0.35631439821493166</v>
      </c>
      <c r="R167">
        <f t="shared" si="42"/>
        <v>0</v>
      </c>
      <c r="S167">
        <f t="shared" si="43"/>
        <v>0.35631439821493166</v>
      </c>
      <c r="T167">
        <f>G167*(VLOOKUP(D167,Hipotesis!$D$9:$N$38,9,FALSE)+VLOOKUP(D167,Hipotesis!$D$9:$N$38,10,FALSE)+VLOOKUP(D167,Hipotesis!$D$9:$N$38,11,FALSE))</f>
        <v>0</v>
      </c>
      <c r="U167">
        <v>0</v>
      </c>
      <c r="V167">
        <f>G167*VLOOKUP(D167,Hipotesis!$D$9:$S$38,16,FALSE)+((VLOOKUP(D167,Hipotesis!$D$9:$T$38,17,FALSE)/$B$4)*M166)/12</f>
        <v>1.1105293317829246E-2</v>
      </c>
      <c r="W167">
        <f>(1+VLOOKUP(D167,Hipotesis!$D$9:$P$38,13,FALSE))^(1/12)-1</f>
        <v>0</v>
      </c>
      <c r="X167">
        <f t="shared" si="55"/>
        <v>0</v>
      </c>
      <c r="Y167">
        <f t="shared" si="44"/>
        <v>0.56071329480399867</v>
      </c>
      <c r="Z167">
        <f>(1+VLOOKUP(D167,Hipotesis!$D$9:$O$38,12,))^(1/12)-1</f>
        <v>4.0125675706232933E-3</v>
      </c>
      <c r="AA167">
        <f t="shared" si="56"/>
        <v>0.56335392224548952</v>
      </c>
      <c r="AB167">
        <f t="shared" si="57"/>
        <v>-2.6406274414908998E-3</v>
      </c>
      <c r="AC167" s="68">
        <f t="shared" si="45"/>
        <v>-1.1105293317829246E-2</v>
      </c>
      <c r="AD167">
        <f t="shared" si="46"/>
        <v>-0.64546143901110775</v>
      </c>
      <c r="AE167" s="67">
        <f t="shared" si="47"/>
        <v>0.10257548761393184</v>
      </c>
      <c r="AF167" s="67">
        <f t="shared" si="48"/>
        <v>3.0772646284179552E-2</v>
      </c>
      <c r="AG167" s="67">
        <f t="shared" si="49"/>
        <v>7.1802841329752287E-2</v>
      </c>
    </row>
    <row r="168" spans="4:33" x14ac:dyDescent="0.2">
      <c r="D168" s="50">
        <v>14</v>
      </c>
      <c r="E168">
        <v>10</v>
      </c>
      <c r="F168">
        <f t="shared" si="40"/>
        <v>63</v>
      </c>
      <c r="G168">
        <f t="shared" si="50"/>
        <v>0</v>
      </c>
      <c r="H168" s="64">
        <f>IF(E168="Anual",VLOOKUP(F168,Hipotesis!$E$9:$J$38,6,FALSE),1-(1-VLOOKUP(F168,Hipotesis!$E$9:$J$38,6,FALSE))^(1/12))</f>
        <v>9.7638249792542098E-4</v>
      </c>
      <c r="I168">
        <f t="shared" si="51"/>
        <v>0.28813243657138377</v>
      </c>
      <c r="J168">
        <v>0</v>
      </c>
      <c r="K168">
        <f>1-(1-VLOOKUP(D168,Hipotesis!$D$9:$K$38,8,FALSE))^(1/12)</f>
        <v>2.5350486138366879E-3</v>
      </c>
      <c r="L168">
        <f t="shared" si="52"/>
        <v>0.74736750881337133</v>
      </c>
      <c r="M168">
        <f t="shared" si="53"/>
        <v>294.06650893289418</v>
      </c>
      <c r="N168">
        <f>IF(D168=1,(VLOOKUP(D168,'Primas Netas Y Reservas'!$D$4:$I$33,5,FALSE)+(VLOOKUP(D168,'Primas Netas Y Reservas'!$D$4:$I$33,6,FALSE)-VLOOKUP(D168,'Primas Netas Y Reservas'!$D$4:$I$33,5,FALSE))*(E168/12))/1000,((VLOOKUP(D168-1,'Primas Netas Y Reservas'!$D$4:$I$33,6,FALSE)+VLOOKUP(D168,'Primas Netas Y Reservas'!$D$4:$I$33,5,FALSE))+(VLOOKUP(D168,'Primas Netas Y Reservas'!$D$4:$I$33,6,FALSE)-VLOOKUP(D168-1,'Primas Netas Y Reservas'!$D$4:$I$33,6,FALSE)-VLOOKUP(D168,'Primas Netas Y Reservas'!$D$4:$I$33,5,FALSE))*(E168/12))/1000)</f>
        <v>0.47608336508123916</v>
      </c>
      <c r="O168">
        <f t="shared" si="54"/>
        <v>-0.19876504916558702</v>
      </c>
      <c r="P168">
        <f>VLOOKUP(D168,Hipotesis!$D$9:$S$38,15,FALSE)*N168</f>
        <v>0.47608336508123916</v>
      </c>
      <c r="Q168">
        <f t="shared" si="41"/>
        <v>0.35580923854825247</v>
      </c>
      <c r="R168">
        <f t="shared" si="42"/>
        <v>0</v>
      </c>
      <c r="S168">
        <f t="shared" si="43"/>
        <v>0.35580923854825247</v>
      </c>
      <c r="T168">
        <f>G168*(VLOOKUP(D168,Hipotesis!$D$9:$N$38,9,FALSE)+VLOOKUP(D168,Hipotesis!$D$9:$N$38,10,FALSE)+VLOOKUP(D168,Hipotesis!$D$9:$N$38,11,FALSE))</f>
        <v>0</v>
      </c>
      <c r="U168">
        <v>0</v>
      </c>
      <c r="V168">
        <f>G168*VLOOKUP(D168,Hipotesis!$D$9:$S$38,16,FALSE)+((VLOOKUP(D168,Hipotesis!$D$9:$T$38,17,FALSE)/$B$4)*M167)/12</f>
        <v>1.1066325332935461E-2</v>
      </c>
      <c r="W168">
        <f>(1+VLOOKUP(D168,Hipotesis!$D$9:$P$38,13,FALSE))^(1/12)-1</f>
        <v>0</v>
      </c>
      <c r="X168">
        <f t="shared" si="55"/>
        <v>0</v>
      </c>
      <c r="Y168">
        <f t="shared" si="44"/>
        <v>0.55992335075898292</v>
      </c>
      <c r="Z168">
        <f>(1+VLOOKUP(D168,Hipotesis!$D$9:$O$38,12,))^(1/12)-1</f>
        <v>4.0125675706232933E-3</v>
      </c>
      <c r="AA168">
        <f t="shared" si="56"/>
        <v>0.56255771277540367</v>
      </c>
      <c r="AB168">
        <f t="shared" si="57"/>
        <v>-2.6343620164207197E-3</v>
      </c>
      <c r="AC168" s="68">
        <f t="shared" si="45"/>
        <v>-1.1066325332935461E-2</v>
      </c>
      <c r="AD168">
        <f t="shared" si="46"/>
        <v>-0.64394167511963629</v>
      </c>
      <c r="AE168" s="67">
        <f t="shared" si="47"/>
        <v>0.10368039947199824</v>
      </c>
      <c r="AF168" s="67">
        <f t="shared" si="48"/>
        <v>3.110411984159947E-2</v>
      </c>
      <c r="AG168" s="67">
        <f t="shared" si="49"/>
        <v>7.2576279630398768E-2</v>
      </c>
    </row>
    <row r="169" spans="4:33" x14ac:dyDescent="0.2">
      <c r="D169" s="50">
        <v>14</v>
      </c>
      <c r="E169">
        <v>11</v>
      </c>
      <c r="F169">
        <f t="shared" si="40"/>
        <v>63</v>
      </c>
      <c r="G169">
        <f t="shared" si="50"/>
        <v>0</v>
      </c>
      <c r="H169" s="64">
        <f>IF(E169="Anual",VLOOKUP(F169,Hipotesis!$E$9:$J$38,6,FALSE),1-(1-VLOOKUP(F169,Hipotesis!$E$9:$J$38,6,FALSE))^(1/12))</f>
        <v>9.7638249792542098E-4</v>
      </c>
      <c r="I169">
        <f t="shared" si="51"/>
        <v>0.28712139254810731</v>
      </c>
      <c r="J169">
        <v>0</v>
      </c>
      <c r="K169">
        <f>1-(1-VLOOKUP(D169,Hipotesis!$D$9:$K$38,8,FALSE))^(1/12)</f>
        <v>2.5350486138366879E-3</v>
      </c>
      <c r="L169">
        <f t="shared" si="52"/>
        <v>0.74474502915794549</v>
      </c>
      <c r="M169">
        <f t="shared" si="53"/>
        <v>293.03464251118811</v>
      </c>
      <c r="N169">
        <f>IF(D169=1,(VLOOKUP(D169,'Primas Netas Y Reservas'!$D$4:$I$33,5,FALSE)+(VLOOKUP(D169,'Primas Netas Y Reservas'!$D$4:$I$33,6,FALSE)-VLOOKUP(D169,'Primas Netas Y Reservas'!$D$4:$I$33,5,FALSE))*(E169/12))/1000,((VLOOKUP(D169-1,'Primas Netas Y Reservas'!$D$4:$I$33,6,FALSE)+VLOOKUP(D169,'Primas Netas Y Reservas'!$D$4:$I$33,5,FALSE))+(VLOOKUP(D169,'Primas Netas Y Reservas'!$D$4:$I$33,6,FALSE)-VLOOKUP(D169-1,'Primas Netas Y Reservas'!$D$4:$I$33,6,FALSE)-VLOOKUP(D169,'Primas Netas Y Reservas'!$D$4:$I$33,5,FALSE))*(E169/12))/1000)</f>
        <v>0.47708037371053658</v>
      </c>
      <c r="O169">
        <f t="shared" si="54"/>
        <v>-0.19909637109341816</v>
      </c>
      <c r="P169">
        <f>VLOOKUP(D169,Hipotesis!$D$9:$S$38,15,FALSE)*N169</f>
        <v>0.47708037371053658</v>
      </c>
      <c r="Q169">
        <f t="shared" si="41"/>
        <v>0.35530323682973708</v>
      </c>
      <c r="R169">
        <f t="shared" si="42"/>
        <v>0</v>
      </c>
      <c r="S169">
        <f t="shared" si="43"/>
        <v>0.35530323682973708</v>
      </c>
      <c r="T169">
        <f>G169*(VLOOKUP(D169,Hipotesis!$D$9:$N$38,9,FALSE)+VLOOKUP(D169,Hipotesis!$D$9:$N$38,10,FALSE)+VLOOKUP(D169,Hipotesis!$D$9:$N$38,11,FALSE))</f>
        <v>0</v>
      </c>
      <c r="U169">
        <v>0</v>
      </c>
      <c r="V169">
        <f>G169*VLOOKUP(D169,Hipotesis!$D$9:$S$38,16,FALSE)+((VLOOKUP(D169,Hipotesis!$D$9:$T$38,17,FALSE)/$B$4)*M168)/12</f>
        <v>1.1027494084983531E-2</v>
      </c>
      <c r="W169">
        <f>(1+VLOOKUP(D169,Hipotesis!$D$9:$P$38,13,FALSE))^(1/12)-1</f>
        <v>0</v>
      </c>
      <c r="X169">
        <f t="shared" si="55"/>
        <v>0</v>
      </c>
      <c r="Y169">
        <f t="shared" si="44"/>
        <v>0.55913204653684001</v>
      </c>
      <c r="Z169">
        <f>(1+VLOOKUP(D169,Hipotesis!$D$9:$O$38,12,))^(1/12)-1</f>
        <v>4.0125675706232933E-3</v>
      </c>
      <c r="AA169">
        <f t="shared" si="56"/>
        <v>0.56176015458494855</v>
      </c>
      <c r="AB169">
        <f t="shared" si="57"/>
        <v>-2.6281080481085381E-3</v>
      </c>
      <c r="AC169" s="68">
        <f t="shared" si="45"/>
        <v>-1.1027494084983531E-2</v>
      </c>
      <c r="AD169">
        <f t="shared" si="46"/>
        <v>-0.64242462937784439</v>
      </c>
      <c r="AE169" s="67">
        <f t="shared" si="47"/>
        <v>0.10477629416743024</v>
      </c>
      <c r="AF169" s="67">
        <f t="shared" si="48"/>
        <v>3.1432888250229073E-2</v>
      </c>
      <c r="AG169" s="67">
        <f t="shared" si="49"/>
        <v>7.3343405917201177E-2</v>
      </c>
    </row>
    <row r="170" spans="4:33" x14ac:dyDescent="0.2">
      <c r="D170" s="50">
        <v>14</v>
      </c>
      <c r="E170">
        <v>12</v>
      </c>
      <c r="F170">
        <f t="shared" si="40"/>
        <v>63</v>
      </c>
      <c r="G170">
        <f t="shared" si="50"/>
        <v>0</v>
      </c>
      <c r="H170" s="64">
        <f>IF(E170="Anual",VLOOKUP(F170,Hipotesis!$E$9:$J$38,6,FALSE),1-(1-VLOOKUP(F170,Hipotesis!$E$9:$J$38,6,FALSE))^(1/12))</f>
        <v>9.7638249792542098E-4</v>
      </c>
      <c r="I170">
        <f t="shared" si="51"/>
        <v>0.2861138962337566</v>
      </c>
      <c r="J170">
        <v>0</v>
      </c>
      <c r="K170">
        <f>1-(1-VLOOKUP(D170,Hipotesis!$D$9:$K$38,8,FALSE))^(1/12)</f>
        <v>2.5350486138366879E-3</v>
      </c>
      <c r="L170">
        <f t="shared" si="52"/>
        <v>0.74213175166806999</v>
      </c>
      <c r="M170">
        <f t="shared" si="53"/>
        <v>292.00639686328628</v>
      </c>
      <c r="N170">
        <f>IF(D170=1,(VLOOKUP(D170,'Primas Netas Y Reservas'!$D$4:$I$33,5,FALSE)+(VLOOKUP(D170,'Primas Netas Y Reservas'!$D$4:$I$33,6,FALSE)-VLOOKUP(D170,'Primas Netas Y Reservas'!$D$4:$I$33,5,FALSE))*(E170/12))/1000,((VLOOKUP(D170-1,'Primas Netas Y Reservas'!$D$4:$I$33,6,FALSE)+VLOOKUP(D170,'Primas Netas Y Reservas'!$D$4:$I$33,5,FALSE))+(VLOOKUP(D170,'Primas Netas Y Reservas'!$D$4:$I$33,6,FALSE)-VLOOKUP(D170-1,'Primas Netas Y Reservas'!$D$4:$I$33,6,FALSE)-VLOOKUP(D170,'Primas Netas Y Reservas'!$D$4:$I$33,5,FALSE))*(E170/12))/1000)</f>
        <v>0.47807738233983399</v>
      </c>
      <c r="O170">
        <f t="shared" si="54"/>
        <v>-0.19942292048449417</v>
      </c>
      <c r="P170">
        <f>VLOOKUP(D170,Hipotesis!$D$9:$S$38,15,FALSE)*N170</f>
        <v>0.47807738233983399</v>
      </c>
      <c r="Q170">
        <f t="shared" si="41"/>
        <v>0.35479640518874661</v>
      </c>
      <c r="R170">
        <f t="shared" si="42"/>
        <v>0</v>
      </c>
      <c r="S170">
        <f t="shared" si="43"/>
        <v>0.35479640518874661</v>
      </c>
      <c r="T170">
        <f>G170*(VLOOKUP(D170,Hipotesis!$D$9:$N$38,9,FALSE)+VLOOKUP(D170,Hipotesis!$D$9:$N$38,10,FALSE)+VLOOKUP(D170,Hipotesis!$D$9:$N$38,11,FALSE))</f>
        <v>0</v>
      </c>
      <c r="U170">
        <v>0</v>
      </c>
      <c r="V170">
        <f>G170*VLOOKUP(D170,Hipotesis!$D$9:$S$38,16,FALSE)+((VLOOKUP(D170,Hipotesis!$D$9:$T$38,17,FALSE)/$B$4)*M169)/12</f>
        <v>1.0988799094169555E-2</v>
      </c>
      <c r="W170">
        <f>(1+VLOOKUP(D170,Hipotesis!$D$9:$P$38,13,FALSE))^(1/12)-1</f>
        <v>0</v>
      </c>
      <c r="X170">
        <f t="shared" si="55"/>
        <v>0</v>
      </c>
      <c r="Y170">
        <f t="shared" si="44"/>
        <v>0.55833940140957372</v>
      </c>
      <c r="Z170">
        <f>(1+VLOOKUP(D170,Hipotesis!$D$9:$O$38,12,))^(1/12)-1</f>
        <v>4.0125675706232933E-3</v>
      </c>
      <c r="AA170">
        <f t="shared" si="56"/>
        <v>0.5609612669428703</v>
      </c>
      <c r="AB170">
        <f t="shared" si="57"/>
        <v>-2.6218655332965858E-3</v>
      </c>
      <c r="AC170" s="68">
        <f t="shared" si="45"/>
        <v>-1.0988799094169555E-2</v>
      </c>
      <c r="AD170">
        <f t="shared" si="46"/>
        <v>-0.64091030142250327</v>
      </c>
      <c r="AE170" s="67">
        <f t="shared" si="47"/>
        <v>0.10586322137739512</v>
      </c>
      <c r="AF170" s="67">
        <f t="shared" si="48"/>
        <v>3.1758966413218535E-2</v>
      </c>
      <c r="AG170" s="67">
        <f t="shared" si="49"/>
        <v>7.410425496417658E-2</v>
      </c>
    </row>
    <row r="171" spans="4:33" x14ac:dyDescent="0.2">
      <c r="D171" s="50">
        <v>15</v>
      </c>
      <c r="E171">
        <v>1</v>
      </c>
      <c r="F171">
        <f t="shared" si="40"/>
        <v>64</v>
      </c>
      <c r="G171">
        <f t="shared" si="50"/>
        <v>0</v>
      </c>
      <c r="H171" s="64">
        <f>IF(E171="Anual",VLOOKUP(F171,Hipotesis!$E$9:$J$38,6,FALSE),1-(1-VLOOKUP(F171,Hipotesis!$E$9:$J$38,6,FALSE))^(1/12))</f>
        <v>1.0508397288777616E-3</v>
      </c>
      <c r="I171">
        <f t="shared" si="51"/>
        <v>0.30685192291038782</v>
      </c>
      <c r="J171">
        <v>0</v>
      </c>
      <c r="K171">
        <f>1-(1-VLOOKUP(D171,Hipotesis!$D$9:$K$38,8,FALSE))^(1/12)</f>
        <v>2.5350486138366879E-3</v>
      </c>
      <c r="L171">
        <f t="shared" si="52"/>
        <v>0.73947252705789257</v>
      </c>
      <c r="M171">
        <f t="shared" si="53"/>
        <v>290.96007241331802</v>
      </c>
      <c r="N171">
        <f>IF(D171=1,(VLOOKUP(D171,'Primas Netas Y Reservas'!$D$4:$I$33,5,FALSE)+(VLOOKUP(D171,'Primas Netas Y Reservas'!$D$4:$I$33,6,FALSE)-VLOOKUP(D171,'Primas Netas Y Reservas'!$D$4:$I$33,5,FALSE))*(E171/12))/1000,((VLOOKUP(D171-1,'Primas Netas Y Reservas'!$D$4:$I$33,6,FALSE)+VLOOKUP(D171,'Primas Netas Y Reservas'!$D$4:$I$33,5,FALSE))+(VLOOKUP(D171,'Primas Netas Y Reservas'!$D$4:$I$33,6,FALSE)-VLOOKUP(D171-1,'Primas Netas Y Reservas'!$D$4:$I$33,6,FALSE)-VLOOKUP(D171,'Primas Netas Y Reservas'!$D$4:$I$33,5,FALSE))*(E171/12))/1000)</f>
        <v>0.47908096382100462</v>
      </c>
      <c r="O171">
        <f t="shared" si="54"/>
        <v>-0.20822191368492327</v>
      </c>
      <c r="P171">
        <f>VLOOKUP(D171,Hipotesis!$D$9:$S$38,15,FALSE)*N171</f>
        <v>0.47908096382100462</v>
      </c>
      <c r="Q171">
        <f t="shared" si="41"/>
        <v>0.35426721098204911</v>
      </c>
      <c r="R171">
        <f t="shared" si="42"/>
        <v>0</v>
      </c>
      <c r="S171">
        <f t="shared" si="43"/>
        <v>0.35426721098204911</v>
      </c>
      <c r="T171">
        <f>G171*(VLOOKUP(D171,Hipotesis!$D$9:$N$38,9,FALSE)+VLOOKUP(D171,Hipotesis!$D$9:$N$38,10,FALSE)+VLOOKUP(D171,Hipotesis!$D$9:$N$38,11,FALSE))</f>
        <v>0</v>
      </c>
      <c r="U171">
        <v>0</v>
      </c>
      <c r="V171">
        <f>G171*VLOOKUP(D171,Hipotesis!$D$9:$S$38,16,FALSE)+((VLOOKUP(D171,Hipotesis!$D$9:$T$38,17,FALSE)/$B$4)*M170)/12</f>
        <v>1.0950239882373236E-2</v>
      </c>
      <c r="W171">
        <f>(1+VLOOKUP(D171,Hipotesis!$D$9:$P$38,13,FALSE))^(1/12)-1</f>
        <v>0</v>
      </c>
      <c r="X171">
        <f t="shared" si="55"/>
        <v>0</v>
      </c>
      <c r="Y171">
        <f t="shared" si="44"/>
        <v>0.4296302228402778</v>
      </c>
      <c r="Z171">
        <f>(1+VLOOKUP(D171,Hipotesis!$D$9:$O$38,12,))^(1/12)-1</f>
        <v>3.0919817341517053E-3</v>
      </c>
      <c r="AA171">
        <f t="shared" si="56"/>
        <v>0.4316457637272067</v>
      </c>
      <c r="AB171">
        <f t="shared" si="57"/>
        <v>-2.0155408869289215E-3</v>
      </c>
      <c r="AC171" s="68">
        <f t="shared" si="45"/>
        <v>-1.0950239882373236E-2</v>
      </c>
      <c r="AD171">
        <f t="shared" si="46"/>
        <v>-0.66111913389243693</v>
      </c>
      <c r="AE171" s="67">
        <f t="shared" si="47"/>
        <v>-3.4217237249609102E-2</v>
      </c>
      <c r="AF171" s="67">
        <f t="shared" si="48"/>
        <v>-1.026517117488273E-2</v>
      </c>
      <c r="AG171" s="67">
        <f t="shared" si="49"/>
        <v>-2.3952066074726372E-2</v>
      </c>
    </row>
    <row r="172" spans="4:33" x14ac:dyDescent="0.2">
      <c r="D172" s="50">
        <v>15</v>
      </c>
      <c r="E172">
        <v>2</v>
      </c>
      <c r="F172">
        <f t="shared" si="40"/>
        <v>64</v>
      </c>
      <c r="G172">
        <f t="shared" si="50"/>
        <v>0</v>
      </c>
      <c r="H172" s="64">
        <f>IF(E172="Anual",VLOOKUP(F172,Hipotesis!$E$9:$J$38,6,FALSE),1-(1-VLOOKUP(F172,Hipotesis!$E$9:$J$38,6,FALSE))^(1/12))</f>
        <v>1.0508397288777616E-3</v>
      </c>
      <c r="I172">
        <f t="shared" si="51"/>
        <v>0.30575240360906497</v>
      </c>
      <c r="J172">
        <v>0</v>
      </c>
      <c r="K172">
        <f>1-(1-VLOOKUP(D172,Hipotesis!$D$9:$K$38,8,FALSE))^(1/12)</f>
        <v>2.5350486138366879E-3</v>
      </c>
      <c r="L172">
        <f t="shared" si="52"/>
        <v>0.73682283104625779</v>
      </c>
      <c r="M172">
        <f t="shared" si="53"/>
        <v>289.9174971786627</v>
      </c>
      <c r="N172">
        <f>IF(D172=1,(VLOOKUP(D172,'Primas Netas Y Reservas'!$D$4:$I$33,5,FALSE)+(VLOOKUP(D172,'Primas Netas Y Reservas'!$D$4:$I$33,6,FALSE)-VLOOKUP(D172,'Primas Netas Y Reservas'!$D$4:$I$33,5,FALSE))*(E172/12))/1000,((VLOOKUP(D172-1,'Primas Netas Y Reservas'!$D$4:$I$33,6,FALSE)+VLOOKUP(D172,'Primas Netas Y Reservas'!$D$4:$I$33,5,FALSE))+(VLOOKUP(D172,'Primas Netas Y Reservas'!$D$4:$I$33,6,FALSE)-VLOOKUP(D172-1,'Primas Netas Y Reservas'!$D$4:$I$33,6,FALSE)-VLOOKUP(D172,'Primas Netas Y Reservas'!$D$4:$I$33,5,FALSE))*(E172/12))/1000)</f>
        <v>0.48008454530217526</v>
      </c>
      <c r="O172">
        <f t="shared" si="54"/>
        <v>-0.20852211703873991</v>
      </c>
      <c r="P172">
        <f>VLOOKUP(D172,Hipotesis!$D$9:$S$38,15,FALSE)*N172</f>
        <v>0.48008454530217526</v>
      </c>
      <c r="Q172">
        <f t="shared" si="41"/>
        <v>0.35373725381110416</v>
      </c>
      <c r="R172">
        <f t="shared" si="42"/>
        <v>0</v>
      </c>
      <c r="S172">
        <f t="shared" si="43"/>
        <v>0.35373725381110416</v>
      </c>
      <c r="T172">
        <f>G172*(VLOOKUP(D172,Hipotesis!$D$9:$N$38,9,FALSE)+VLOOKUP(D172,Hipotesis!$D$9:$N$38,10,FALSE)+VLOOKUP(D172,Hipotesis!$D$9:$N$38,11,FALSE))</f>
        <v>0</v>
      </c>
      <c r="U172">
        <v>0</v>
      </c>
      <c r="V172">
        <f>G172*VLOOKUP(D172,Hipotesis!$D$9:$S$38,16,FALSE)+((VLOOKUP(D172,Hipotesis!$D$9:$T$38,17,FALSE)/$B$4)*M171)/12</f>
        <v>1.0911002715499425E-2</v>
      </c>
      <c r="W172">
        <f>(1+VLOOKUP(D172,Hipotesis!$D$9:$P$38,13,FALSE))^(1/12)-1</f>
        <v>0</v>
      </c>
      <c r="X172">
        <f t="shared" si="55"/>
        <v>0</v>
      </c>
      <c r="Y172">
        <f t="shared" si="44"/>
        <v>0.4289240404662516</v>
      </c>
      <c r="Z172">
        <f>(1+VLOOKUP(D172,Hipotesis!$D$9:$O$38,12,))^(1/12)-1</f>
        <v>3.0919817341517053E-3</v>
      </c>
      <c r="AA172">
        <f t="shared" si="56"/>
        <v>0.43100194537344283</v>
      </c>
      <c r="AB172">
        <f t="shared" si="57"/>
        <v>-2.0779049071912143E-3</v>
      </c>
      <c r="AC172" s="68">
        <f t="shared" si="45"/>
        <v>-1.0911002715499425E-2</v>
      </c>
      <c r="AD172">
        <f t="shared" si="46"/>
        <v>-0.65948965742016918</v>
      </c>
      <c r="AE172" s="67">
        <f t="shared" si="47"/>
        <v>-3.2954502630677049E-2</v>
      </c>
      <c r="AF172" s="67">
        <f t="shared" si="48"/>
        <v>-9.8863507892031147E-3</v>
      </c>
      <c r="AG172" s="67">
        <f t="shared" si="49"/>
        <v>-2.3068151841473934E-2</v>
      </c>
    </row>
    <row r="173" spans="4:33" x14ac:dyDescent="0.2">
      <c r="D173" s="50">
        <v>15</v>
      </c>
      <c r="E173">
        <v>3</v>
      </c>
      <c r="F173">
        <f t="shared" si="40"/>
        <v>64</v>
      </c>
      <c r="G173">
        <f t="shared" si="50"/>
        <v>0</v>
      </c>
      <c r="H173" s="64">
        <f>IF(E173="Anual",VLOOKUP(F173,Hipotesis!$E$9:$J$38,6,FALSE),1-(1-VLOOKUP(F173,Hipotesis!$E$9:$J$38,6,FALSE))^(1/12))</f>
        <v>1.0508397288777616E-3</v>
      </c>
      <c r="I173">
        <f t="shared" si="51"/>
        <v>0.30465682413214512</v>
      </c>
      <c r="J173">
        <v>0</v>
      </c>
      <c r="K173">
        <f>1-(1-VLOOKUP(D173,Hipotesis!$D$9:$K$38,8,FALSE))^(1/12)</f>
        <v>2.5350486138366879E-3</v>
      </c>
      <c r="L173">
        <f t="shared" si="52"/>
        <v>0.73418262949005864</v>
      </c>
      <c r="M173">
        <f t="shared" si="53"/>
        <v>288.87865772504045</v>
      </c>
      <c r="N173">
        <f>IF(D173=1,(VLOOKUP(D173,'Primas Netas Y Reservas'!$D$4:$I$33,5,FALSE)+(VLOOKUP(D173,'Primas Netas Y Reservas'!$D$4:$I$33,6,FALSE)-VLOOKUP(D173,'Primas Netas Y Reservas'!$D$4:$I$33,5,FALSE))*(E173/12))/1000,((VLOOKUP(D173-1,'Primas Netas Y Reservas'!$D$4:$I$33,6,FALSE)+VLOOKUP(D173,'Primas Netas Y Reservas'!$D$4:$I$33,5,FALSE))+(VLOOKUP(D173,'Primas Netas Y Reservas'!$D$4:$I$33,6,FALSE)-VLOOKUP(D173-1,'Primas Netas Y Reservas'!$D$4:$I$33,6,FALSE)-VLOOKUP(D173,'Primas Netas Y Reservas'!$D$4:$I$33,5,FALSE))*(E173/12))/1000)</f>
        <v>0.48108812678334595</v>
      </c>
      <c r="O173">
        <f t="shared" si="54"/>
        <v>-0.20881749553589657</v>
      </c>
      <c r="P173">
        <f>VLOOKUP(D173,Hipotesis!$D$9:$S$38,15,FALSE)*N173</f>
        <v>0.48108812678334595</v>
      </c>
      <c r="Q173">
        <f t="shared" si="41"/>
        <v>0.35320654593824363</v>
      </c>
      <c r="R173">
        <f t="shared" si="42"/>
        <v>0</v>
      </c>
      <c r="S173">
        <f t="shared" si="43"/>
        <v>0.35320654593824363</v>
      </c>
      <c r="T173">
        <f>G173*(VLOOKUP(D173,Hipotesis!$D$9:$N$38,9,FALSE)+VLOOKUP(D173,Hipotesis!$D$9:$N$38,10,FALSE)+VLOOKUP(D173,Hipotesis!$D$9:$N$38,11,FALSE))</f>
        <v>0</v>
      </c>
      <c r="U173">
        <v>0</v>
      </c>
      <c r="V173">
        <f>G173*VLOOKUP(D173,Hipotesis!$D$9:$S$38,16,FALSE)+((VLOOKUP(D173,Hipotesis!$D$9:$T$38,17,FALSE)/$B$4)*M172)/12</f>
        <v>1.0871906144199852E-2</v>
      </c>
      <c r="W173">
        <f>(1+VLOOKUP(D173,Hipotesis!$D$9:$P$38,13,FALSE))^(1/12)-1</f>
        <v>0</v>
      </c>
      <c r="X173">
        <f t="shared" si="55"/>
        <v>0</v>
      </c>
      <c r="Y173">
        <f t="shared" si="44"/>
        <v>0.42828445308657398</v>
      </c>
      <c r="Z173">
        <f>(1+VLOOKUP(D173,Hipotesis!$D$9:$O$38,12,))^(1/12)-1</f>
        <v>3.0919817341517053E-3</v>
      </c>
      <c r="AA173">
        <f t="shared" si="56"/>
        <v>0.43035719879639239</v>
      </c>
      <c r="AB173">
        <f t="shared" si="57"/>
        <v>-2.0727457098184063E-3</v>
      </c>
      <c r="AC173" s="68">
        <f t="shared" si="45"/>
        <v>-1.0871906144199852E-2</v>
      </c>
      <c r="AD173">
        <f t="shared" si="46"/>
        <v>-0.65786337007038875</v>
      </c>
      <c r="AE173" s="67">
        <f t="shared" si="47"/>
        <v>-3.1633327592118059E-2</v>
      </c>
      <c r="AF173" s="67">
        <f t="shared" si="48"/>
        <v>-9.4899982776354176E-3</v>
      </c>
      <c r="AG173" s="67">
        <f t="shared" si="49"/>
        <v>-2.2143329314482641E-2</v>
      </c>
    </row>
    <row r="174" spans="4:33" x14ac:dyDescent="0.2">
      <c r="D174" s="50">
        <v>15</v>
      </c>
      <c r="E174">
        <v>4</v>
      </c>
      <c r="F174">
        <f t="shared" si="40"/>
        <v>64</v>
      </c>
      <c r="G174">
        <f t="shared" si="50"/>
        <v>0</v>
      </c>
      <c r="H174" s="64">
        <f>IF(E174="Anual",VLOOKUP(F174,Hipotesis!$E$9:$J$38,6,FALSE),1-(1-VLOOKUP(F174,Hipotesis!$E$9:$J$38,6,FALSE))^(1/12))</f>
        <v>1.0508397288777616E-3</v>
      </c>
      <c r="I174">
        <f t="shared" si="51"/>
        <v>0.3035651703623532</v>
      </c>
      <c r="J174">
        <v>0</v>
      </c>
      <c r="K174">
        <f>1-(1-VLOOKUP(D174,Hipotesis!$D$9:$K$38,8,FALSE))^(1/12)</f>
        <v>2.5350486138366879E-3</v>
      </c>
      <c r="L174">
        <f t="shared" si="52"/>
        <v>0.73155188836853069</v>
      </c>
      <c r="M174">
        <f t="shared" si="53"/>
        <v>287.84354066630959</v>
      </c>
      <c r="N174">
        <f>IF(D174=1,(VLOOKUP(D174,'Primas Netas Y Reservas'!$D$4:$I$33,5,FALSE)+(VLOOKUP(D174,'Primas Netas Y Reservas'!$D$4:$I$33,6,FALSE)-VLOOKUP(D174,'Primas Netas Y Reservas'!$D$4:$I$33,5,FALSE))*(E174/12))/1000,((VLOOKUP(D174-1,'Primas Netas Y Reservas'!$D$4:$I$33,6,FALSE)+VLOOKUP(D174,'Primas Netas Y Reservas'!$D$4:$I$33,5,FALSE))+(VLOOKUP(D174,'Primas Netas Y Reservas'!$D$4:$I$33,6,FALSE)-VLOOKUP(D174-1,'Primas Netas Y Reservas'!$D$4:$I$33,6,FALSE)-VLOOKUP(D174,'Primas Netas Y Reservas'!$D$4:$I$33,5,FALSE))*(E174/12))/1000)</f>
        <v>0.48209170826451658</v>
      </c>
      <c r="O174">
        <f t="shared" si="54"/>
        <v>-0.20910807989901059</v>
      </c>
      <c r="P174">
        <f>VLOOKUP(D174,Hipotesis!$D$9:$S$38,15,FALSE)*N174</f>
        <v>0.48209170826451658</v>
      </c>
      <c r="Q174">
        <f t="shared" si="41"/>
        <v>0.35267509954771792</v>
      </c>
      <c r="R174">
        <f t="shared" si="42"/>
        <v>0</v>
      </c>
      <c r="S174">
        <f t="shared" si="43"/>
        <v>0.35267509954771792</v>
      </c>
      <c r="T174">
        <f>G174*(VLOOKUP(D174,Hipotesis!$D$9:$N$38,9,FALSE)+VLOOKUP(D174,Hipotesis!$D$9:$N$38,10,FALSE)+VLOOKUP(D174,Hipotesis!$D$9:$N$38,11,FALSE))</f>
        <v>0</v>
      </c>
      <c r="U174">
        <v>0</v>
      </c>
      <c r="V174">
        <f>G174*VLOOKUP(D174,Hipotesis!$D$9:$S$38,16,FALSE)+((VLOOKUP(D174,Hipotesis!$D$9:$T$38,17,FALSE)/$B$4)*M173)/12</f>
        <v>1.0832949664689015E-2</v>
      </c>
      <c r="W174">
        <f>(1+VLOOKUP(D174,Hipotesis!$D$9:$P$38,13,FALSE))^(1/12)-1</f>
        <v>0</v>
      </c>
      <c r="X174">
        <f t="shared" si="55"/>
        <v>0</v>
      </c>
      <c r="Y174">
        <f t="shared" si="44"/>
        <v>0.42764394210810874</v>
      </c>
      <c r="Z174">
        <f>(1+VLOOKUP(D174,Hipotesis!$D$9:$O$38,12,))^(1/12)-1</f>
        <v>3.0919817341517053E-3</v>
      </c>
      <c r="AA174">
        <f t="shared" si="56"/>
        <v>0.4297115389144241</v>
      </c>
      <c r="AB174">
        <f t="shared" si="57"/>
        <v>-2.0675968063153293E-3</v>
      </c>
      <c r="AC174" s="68">
        <f t="shared" si="45"/>
        <v>-1.0832949664689015E-2</v>
      </c>
      <c r="AD174">
        <f t="shared" si="46"/>
        <v>-0.65624026991007112</v>
      </c>
      <c r="AE174" s="67">
        <f t="shared" si="47"/>
        <v>-3.0321197567640797E-2</v>
      </c>
      <c r="AF174" s="67">
        <f t="shared" si="48"/>
        <v>-9.0963592702922383E-3</v>
      </c>
      <c r="AG174" s="67">
        <f t="shared" si="49"/>
        <v>-2.1224838297348558E-2</v>
      </c>
    </row>
    <row r="175" spans="4:33" x14ac:dyDescent="0.2">
      <c r="D175" s="50">
        <v>15</v>
      </c>
      <c r="E175">
        <v>5</v>
      </c>
      <c r="F175">
        <f t="shared" si="40"/>
        <v>64</v>
      </c>
      <c r="G175">
        <f t="shared" si="50"/>
        <v>0</v>
      </c>
      <c r="H175" s="64">
        <f>IF(E175="Anual",VLOOKUP(F175,Hipotesis!$E$9:$J$38,6,FALSE),1-(1-VLOOKUP(F175,Hipotesis!$E$9:$J$38,6,FALSE))^(1/12))</f>
        <v>1.0508397288777616E-3</v>
      </c>
      <c r="I175">
        <f t="shared" si="51"/>
        <v>0.30247742823299967</v>
      </c>
      <c r="J175">
        <v>0</v>
      </c>
      <c r="K175">
        <f>1-(1-VLOOKUP(D175,Hipotesis!$D$9:$K$38,8,FALSE))^(1/12)</f>
        <v>2.5350486138366879E-3</v>
      </c>
      <c r="L175">
        <f t="shared" si="52"/>
        <v>0.72893057378281356</v>
      </c>
      <c r="M175">
        <f t="shared" si="53"/>
        <v>286.81213266429381</v>
      </c>
      <c r="N175">
        <f>IF(D175=1,(VLOOKUP(D175,'Primas Netas Y Reservas'!$D$4:$I$33,5,FALSE)+(VLOOKUP(D175,'Primas Netas Y Reservas'!$D$4:$I$33,6,FALSE)-VLOOKUP(D175,'Primas Netas Y Reservas'!$D$4:$I$33,5,FALSE))*(E175/12))/1000,((VLOOKUP(D175-1,'Primas Netas Y Reservas'!$D$4:$I$33,6,FALSE)+VLOOKUP(D175,'Primas Netas Y Reservas'!$D$4:$I$33,5,FALSE))+(VLOOKUP(D175,'Primas Netas Y Reservas'!$D$4:$I$33,6,FALSE)-VLOOKUP(D175-1,'Primas Netas Y Reservas'!$D$4:$I$33,6,FALSE)-VLOOKUP(D175,'Primas Netas Y Reservas'!$D$4:$I$33,5,FALSE))*(E175/12))/1000)</f>
        <v>0.48309528974568716</v>
      </c>
      <c r="O175">
        <f t="shared" si="54"/>
        <v>-0.20939390069256092</v>
      </c>
      <c r="P175">
        <f>VLOOKUP(D175,Hipotesis!$D$9:$S$38,15,FALSE)*N175</f>
        <v>0.48309528974568716</v>
      </c>
      <c r="Q175">
        <f t="shared" si="41"/>
        <v>0.35214292674609832</v>
      </c>
      <c r="R175">
        <f t="shared" si="42"/>
        <v>0</v>
      </c>
      <c r="S175">
        <f t="shared" si="43"/>
        <v>0.35214292674609832</v>
      </c>
      <c r="T175">
        <f>G175*(VLOOKUP(D175,Hipotesis!$D$9:$N$38,9,FALSE)+VLOOKUP(D175,Hipotesis!$D$9:$N$38,10,FALSE)+VLOOKUP(D175,Hipotesis!$D$9:$N$38,11,FALSE))</f>
        <v>0</v>
      </c>
      <c r="U175">
        <v>0</v>
      </c>
      <c r="V175">
        <f>G175*VLOOKUP(D175,Hipotesis!$D$9:$S$38,16,FALSE)+((VLOOKUP(D175,Hipotesis!$D$9:$T$38,17,FALSE)/$B$4)*M174)/12</f>
        <v>1.0794132774986609E-2</v>
      </c>
      <c r="W175">
        <f>(1+VLOOKUP(D175,Hipotesis!$D$9:$P$38,13,FALSE))^(1/12)-1</f>
        <v>0</v>
      </c>
      <c r="X175">
        <f t="shared" si="55"/>
        <v>0</v>
      </c>
      <c r="Y175">
        <f t="shared" si="44"/>
        <v>0.42700252236175978</v>
      </c>
      <c r="Z175">
        <f>(1+VLOOKUP(D175,Hipotesis!$D$9:$O$38,12,))^(1/12)-1</f>
        <v>3.0919817341517053E-3</v>
      </c>
      <c r="AA175">
        <f t="shared" si="56"/>
        <v>0.4290649805509128</v>
      </c>
      <c r="AB175">
        <f t="shared" si="57"/>
        <v>-2.062458189152992E-3</v>
      </c>
      <c r="AC175" s="68">
        <f t="shared" si="45"/>
        <v>-1.0794132774986609E-2</v>
      </c>
      <c r="AD175">
        <f t="shared" si="46"/>
        <v>-0.65462035497909798</v>
      </c>
      <c r="AE175" s="67">
        <f t="shared" si="47"/>
        <v>-2.9018064699763889E-2</v>
      </c>
      <c r="AF175" s="67">
        <f t="shared" si="48"/>
        <v>-8.705419409929166E-3</v>
      </c>
      <c r="AG175" s="67">
        <f t="shared" si="49"/>
        <v>-2.0312645289834723E-2</v>
      </c>
    </row>
    <row r="176" spans="4:33" x14ac:dyDescent="0.2">
      <c r="D176" s="50">
        <v>15</v>
      </c>
      <c r="E176">
        <v>6</v>
      </c>
      <c r="F176">
        <f t="shared" si="40"/>
        <v>64</v>
      </c>
      <c r="G176">
        <f t="shared" si="50"/>
        <v>0</v>
      </c>
      <c r="H176" s="64">
        <f>IF(E176="Anual",VLOOKUP(F176,Hipotesis!$E$9:$J$38,6,FALSE),1-(1-VLOOKUP(F176,Hipotesis!$E$9:$J$38,6,FALSE))^(1/12))</f>
        <v>1.0508397288777616E-3</v>
      </c>
      <c r="I176">
        <f t="shared" si="51"/>
        <v>0.30139358372779912</v>
      </c>
      <c r="J176">
        <v>0</v>
      </c>
      <c r="K176">
        <f>1-(1-VLOOKUP(D176,Hipotesis!$D$9:$K$38,8,FALSE))^(1/12)</f>
        <v>2.5350486138366879E-3</v>
      </c>
      <c r="L176">
        <f t="shared" si="52"/>
        <v>0.72631865195551382</v>
      </c>
      <c r="M176">
        <f t="shared" si="53"/>
        <v>285.78442042861047</v>
      </c>
      <c r="N176">
        <f>IF(D176=1,(VLOOKUP(D176,'Primas Netas Y Reservas'!$D$4:$I$33,5,FALSE)+(VLOOKUP(D176,'Primas Netas Y Reservas'!$D$4:$I$33,6,FALSE)-VLOOKUP(D176,'Primas Netas Y Reservas'!$D$4:$I$33,5,FALSE))*(E176/12))/1000,((VLOOKUP(D176-1,'Primas Netas Y Reservas'!$D$4:$I$33,6,FALSE)+VLOOKUP(D176,'Primas Netas Y Reservas'!$D$4:$I$33,5,FALSE))+(VLOOKUP(D176,'Primas Netas Y Reservas'!$D$4:$I$33,6,FALSE)-VLOOKUP(D176-1,'Primas Netas Y Reservas'!$D$4:$I$33,6,FALSE)-VLOOKUP(D176,'Primas Netas Y Reservas'!$D$4:$I$33,5,FALSE))*(E176/12))/1000)</f>
        <v>0.48409887122685785</v>
      </c>
      <c r="O176">
        <f t="shared" si="54"/>
        <v>-0.20967498832337128</v>
      </c>
      <c r="P176">
        <f>VLOOKUP(D176,Hipotesis!$D$9:$S$38,15,FALSE)*N176</f>
        <v>0.48409887122685785</v>
      </c>
      <c r="Q176">
        <f t="shared" si="41"/>
        <v>0.35161003956267728</v>
      </c>
      <c r="R176">
        <f t="shared" si="42"/>
        <v>0</v>
      </c>
      <c r="S176">
        <f t="shared" si="43"/>
        <v>0.35161003956267728</v>
      </c>
      <c r="T176">
        <f>G176*(VLOOKUP(D176,Hipotesis!$D$9:$N$38,9,FALSE)+VLOOKUP(D176,Hipotesis!$D$9:$N$38,10,FALSE)+VLOOKUP(D176,Hipotesis!$D$9:$N$38,11,FALSE))</f>
        <v>0</v>
      </c>
      <c r="U176">
        <v>0</v>
      </c>
      <c r="V176">
        <f>G176*VLOOKUP(D176,Hipotesis!$D$9:$S$38,16,FALSE)+((VLOOKUP(D176,Hipotesis!$D$9:$T$38,17,FALSE)/$B$4)*M175)/12</f>
        <v>1.0755454974911018E-2</v>
      </c>
      <c r="W176">
        <f>(1+VLOOKUP(D176,Hipotesis!$D$9:$P$38,13,FALSE))^(1/12)-1</f>
        <v>0</v>
      </c>
      <c r="X176">
        <f t="shared" si="55"/>
        <v>0</v>
      </c>
      <c r="Y176">
        <f t="shared" si="44"/>
        <v>0.42636020858400442</v>
      </c>
      <c r="Z176">
        <f>(1+VLOOKUP(D176,Hipotesis!$D$9:$O$38,12,))^(1/12)-1</f>
        <v>3.0919817341517053E-3</v>
      </c>
      <c r="AA176">
        <f t="shared" si="56"/>
        <v>0.42841753843472863</v>
      </c>
      <c r="AB176">
        <f t="shared" si="57"/>
        <v>-2.0573298507241921E-3</v>
      </c>
      <c r="AC176" s="68">
        <f t="shared" si="45"/>
        <v>-1.0755454974911018E-2</v>
      </c>
      <c r="AD176">
        <f t="shared" si="46"/>
        <v>-0.65300362329047634</v>
      </c>
      <c r="AE176" s="67">
        <f t="shared" si="47"/>
        <v>-2.7723881358011716E-2</v>
      </c>
      <c r="AF176" s="67">
        <f t="shared" si="48"/>
        <v>-8.3171644074035139E-3</v>
      </c>
      <c r="AG176" s="67">
        <f t="shared" si="49"/>
        <v>-1.9406716950608201E-2</v>
      </c>
    </row>
    <row r="177" spans="4:33" x14ac:dyDescent="0.2">
      <c r="D177" s="50">
        <v>15</v>
      </c>
      <c r="E177">
        <v>7</v>
      </c>
      <c r="F177">
        <f t="shared" si="40"/>
        <v>64</v>
      </c>
      <c r="G177">
        <f t="shared" si="50"/>
        <v>0</v>
      </c>
      <c r="H177" s="64">
        <f>IF(E177="Anual",VLOOKUP(F177,Hipotesis!$E$9:$J$38,6,FALSE),1-(1-VLOOKUP(F177,Hipotesis!$E$9:$J$38,6,FALSE))^(1/12))</f>
        <v>1.0508397288777616E-3</v>
      </c>
      <c r="I177">
        <f t="shared" si="51"/>
        <v>0.30031362288068925</v>
      </c>
      <c r="J177">
        <v>0</v>
      </c>
      <c r="K177">
        <f>1-(1-VLOOKUP(D177,Hipotesis!$D$9:$K$38,8,FALSE))^(1/12)</f>
        <v>2.5350486138366879E-3</v>
      </c>
      <c r="L177">
        <f t="shared" si="52"/>
        <v>0.7237160892302702</v>
      </c>
      <c r="M177">
        <f t="shared" si="53"/>
        <v>284.7603907164995</v>
      </c>
      <c r="N177">
        <f>IF(D177=1,(VLOOKUP(D177,'Primas Netas Y Reservas'!$D$4:$I$33,5,FALSE)+(VLOOKUP(D177,'Primas Netas Y Reservas'!$D$4:$I$33,6,FALSE)-VLOOKUP(D177,'Primas Netas Y Reservas'!$D$4:$I$33,5,FALSE))*(E177/12))/1000,((VLOOKUP(D177-1,'Primas Netas Y Reservas'!$D$4:$I$33,6,FALSE)+VLOOKUP(D177,'Primas Netas Y Reservas'!$D$4:$I$33,5,FALSE))+(VLOOKUP(D177,'Primas Netas Y Reservas'!$D$4:$I$33,6,FALSE)-VLOOKUP(D177-1,'Primas Netas Y Reservas'!$D$4:$I$33,6,FALSE)-VLOOKUP(D177,'Primas Netas Y Reservas'!$D$4:$I$33,5,FALSE))*(E177/12))/1000)</f>
        <v>0.48510245270802854</v>
      </c>
      <c r="O177">
        <f t="shared" si="54"/>
        <v>-0.2099513730416902</v>
      </c>
      <c r="P177">
        <f>VLOOKUP(D177,Hipotesis!$D$9:$S$38,15,FALSE)*N177</f>
        <v>0.48510245270802854</v>
      </c>
      <c r="Q177">
        <f t="shared" si="41"/>
        <v>0.35107644994986653</v>
      </c>
      <c r="R177">
        <f t="shared" si="42"/>
        <v>0</v>
      </c>
      <c r="S177">
        <f t="shared" si="43"/>
        <v>0.35107644994986653</v>
      </c>
      <c r="T177">
        <f>G177*(VLOOKUP(D177,Hipotesis!$D$9:$N$38,9,FALSE)+VLOOKUP(D177,Hipotesis!$D$9:$N$38,10,FALSE)+VLOOKUP(D177,Hipotesis!$D$9:$N$38,11,FALSE))</f>
        <v>0</v>
      </c>
      <c r="U177">
        <v>0</v>
      </c>
      <c r="V177">
        <f>G177*VLOOKUP(D177,Hipotesis!$D$9:$S$38,16,FALSE)+((VLOOKUP(D177,Hipotesis!$D$9:$T$38,17,FALSE)/$B$4)*M176)/12</f>
        <v>1.0716915766072893E-2</v>
      </c>
      <c r="W177">
        <f>(1+VLOOKUP(D177,Hipotesis!$D$9:$P$38,13,FALSE))^(1/12)-1</f>
        <v>0</v>
      </c>
      <c r="X177">
        <f t="shared" si="55"/>
        <v>0</v>
      </c>
      <c r="Y177">
        <f t="shared" si="44"/>
        <v>0.42571701541738011</v>
      </c>
      <c r="Z177">
        <f>(1+VLOOKUP(D177,Hipotesis!$D$9:$O$38,12,))^(1/12)-1</f>
        <v>3.0919817341517053E-3</v>
      </c>
      <c r="AA177">
        <f t="shared" si="56"/>
        <v>0.4277692272007243</v>
      </c>
      <c r="AB177">
        <f t="shared" si="57"/>
        <v>-2.0522117833441738E-3</v>
      </c>
      <c r="AC177" s="68">
        <f t="shared" si="45"/>
        <v>-1.0716915766072893E-2</v>
      </c>
      <c r="AD177">
        <f t="shared" si="46"/>
        <v>-0.65139007283055572</v>
      </c>
      <c r="AE177" s="67">
        <f t="shared" si="47"/>
        <v>-2.643860013755836E-2</v>
      </c>
      <c r="AF177" s="67">
        <f t="shared" si="48"/>
        <v>-7.9315800412675073E-3</v>
      </c>
      <c r="AG177" s="67">
        <f t="shared" si="49"/>
        <v>-1.8507020096290853E-2</v>
      </c>
    </row>
    <row r="178" spans="4:33" x14ac:dyDescent="0.2">
      <c r="D178" s="50">
        <v>15</v>
      </c>
      <c r="E178">
        <v>8</v>
      </c>
      <c r="F178">
        <f t="shared" si="40"/>
        <v>64</v>
      </c>
      <c r="G178">
        <f t="shared" si="50"/>
        <v>0</v>
      </c>
      <c r="H178" s="64">
        <f>IF(E178="Anual",VLOOKUP(F178,Hipotesis!$E$9:$J$38,6,FALSE),1-(1-VLOOKUP(F178,Hipotesis!$E$9:$J$38,6,FALSE))^(1/12))</f>
        <v>1.0508397288777616E-3</v>
      </c>
      <c r="I178">
        <f t="shared" si="51"/>
        <v>0.29923753177565177</v>
      </c>
      <c r="J178">
        <v>0</v>
      </c>
      <c r="K178">
        <f>1-(1-VLOOKUP(D178,Hipotesis!$D$9:$K$38,8,FALSE))^(1/12)</f>
        <v>2.5350486138366879E-3</v>
      </c>
      <c r="L178">
        <f t="shared" si="52"/>
        <v>0.72112285207131999</v>
      </c>
      <c r="M178">
        <f t="shared" si="53"/>
        <v>283.74003033265251</v>
      </c>
      <c r="N178">
        <f>IF(D178=1,(VLOOKUP(D178,'Primas Netas Y Reservas'!$D$4:$I$33,5,FALSE)+(VLOOKUP(D178,'Primas Netas Y Reservas'!$D$4:$I$33,6,FALSE)-VLOOKUP(D178,'Primas Netas Y Reservas'!$D$4:$I$33,5,FALSE))*(E178/12))/1000,((VLOOKUP(D178-1,'Primas Netas Y Reservas'!$D$4:$I$33,6,FALSE)+VLOOKUP(D178,'Primas Netas Y Reservas'!$D$4:$I$33,5,FALSE))+(VLOOKUP(D178,'Primas Netas Y Reservas'!$D$4:$I$33,6,FALSE)-VLOOKUP(D178-1,'Primas Netas Y Reservas'!$D$4:$I$33,6,FALSE)-VLOOKUP(D178,'Primas Netas Y Reservas'!$D$4:$I$33,5,FALSE))*(E178/12))/1000)</f>
        <v>0.48610603418919912</v>
      </c>
      <c r="O178">
        <f t="shared" si="54"/>
        <v>-0.21022308494164577</v>
      </c>
      <c r="P178">
        <f>VLOOKUP(D178,Hipotesis!$D$9:$S$38,15,FALSE)*N178</f>
        <v>0.48610603418919912</v>
      </c>
      <c r="Q178">
        <f t="shared" si="41"/>
        <v>0.35054216978359387</v>
      </c>
      <c r="R178">
        <f t="shared" si="42"/>
        <v>0</v>
      </c>
      <c r="S178">
        <f t="shared" si="43"/>
        <v>0.35054216978359387</v>
      </c>
      <c r="T178">
        <f>G178*(VLOOKUP(D178,Hipotesis!$D$9:$N$38,9,FALSE)+VLOOKUP(D178,Hipotesis!$D$9:$N$38,10,FALSE)+VLOOKUP(D178,Hipotesis!$D$9:$N$38,11,FALSE))</f>
        <v>0</v>
      </c>
      <c r="U178">
        <v>0</v>
      </c>
      <c r="V178">
        <f>G178*VLOOKUP(D178,Hipotesis!$D$9:$S$38,16,FALSE)+((VLOOKUP(D178,Hipotesis!$D$9:$T$38,17,FALSE)/$B$4)*M177)/12</f>
        <v>1.0678514651868731E-2</v>
      </c>
      <c r="W178">
        <f>(1+VLOOKUP(D178,Hipotesis!$D$9:$P$38,13,FALSE))^(1/12)-1</f>
        <v>0</v>
      </c>
      <c r="X178">
        <f t="shared" si="55"/>
        <v>0</v>
      </c>
      <c r="Y178">
        <f t="shared" si="44"/>
        <v>0.42507295741096807</v>
      </c>
      <c r="Z178">
        <f>(1+VLOOKUP(D178,Hipotesis!$D$9:$O$38,12,))^(1/12)-1</f>
        <v>3.0919817341517053E-3</v>
      </c>
      <c r="AA178">
        <f t="shared" si="56"/>
        <v>0.42712006139021935</v>
      </c>
      <c r="AB178">
        <f t="shared" si="57"/>
        <v>-2.0471039792512766E-3</v>
      </c>
      <c r="AC178" s="68">
        <f t="shared" si="45"/>
        <v>-1.0678514651868731E-2</v>
      </c>
      <c r="AD178">
        <f t="shared" si="46"/>
        <v>-0.64977970155924569</v>
      </c>
      <c r="AE178" s="67">
        <f t="shared" si="47"/>
        <v>-2.5162173858500538E-2</v>
      </c>
      <c r="AF178" s="67">
        <f t="shared" si="48"/>
        <v>-7.5486521575501607E-3</v>
      </c>
      <c r="AG178" s="67">
        <f t="shared" si="49"/>
        <v>-1.7613521700950378E-2</v>
      </c>
    </row>
    <row r="179" spans="4:33" x14ac:dyDescent="0.2">
      <c r="D179" s="50">
        <v>15</v>
      </c>
      <c r="E179">
        <v>9</v>
      </c>
      <c r="F179">
        <f t="shared" si="40"/>
        <v>64</v>
      </c>
      <c r="G179">
        <f t="shared" si="50"/>
        <v>0</v>
      </c>
      <c r="H179" s="64">
        <f>IF(E179="Anual",VLOOKUP(F179,Hipotesis!$E$9:$J$38,6,FALSE),1-(1-VLOOKUP(F179,Hipotesis!$E$9:$J$38,6,FALSE))^(1/12))</f>
        <v>1.0508397288777616E-3</v>
      </c>
      <c r="I179">
        <f t="shared" si="51"/>
        <v>0.2981652965465324</v>
      </c>
      <c r="J179">
        <v>0</v>
      </c>
      <c r="K179">
        <f>1-(1-VLOOKUP(D179,Hipotesis!$D$9:$K$38,8,FALSE))^(1/12)</f>
        <v>2.5350486138366879E-3</v>
      </c>
      <c r="L179">
        <f t="shared" si="52"/>
        <v>0.718538907063066</v>
      </c>
      <c r="M179">
        <f t="shared" si="53"/>
        <v>282.7233261290429</v>
      </c>
      <c r="N179">
        <f>IF(D179=1,(VLOOKUP(D179,'Primas Netas Y Reservas'!$D$4:$I$33,5,FALSE)+(VLOOKUP(D179,'Primas Netas Y Reservas'!$D$4:$I$33,6,FALSE)-VLOOKUP(D179,'Primas Netas Y Reservas'!$D$4:$I$33,5,FALSE))*(E179/12))/1000,((VLOOKUP(D179-1,'Primas Netas Y Reservas'!$D$4:$I$33,6,FALSE)+VLOOKUP(D179,'Primas Netas Y Reservas'!$D$4:$I$33,5,FALSE))+(VLOOKUP(D179,'Primas Netas Y Reservas'!$D$4:$I$33,6,FALSE)-VLOOKUP(D179-1,'Primas Netas Y Reservas'!$D$4:$I$33,6,FALSE)-VLOOKUP(D179,'Primas Netas Y Reservas'!$D$4:$I$33,5,FALSE))*(E179/12))/1000)</f>
        <v>0.48710961567036976</v>
      </c>
      <c r="O179">
        <f t="shared" si="54"/>
        <v>-0.21049015396209825</v>
      </c>
      <c r="P179">
        <f>VLOOKUP(D179,Hipotesis!$D$9:$S$38,15,FALSE)*N179</f>
        <v>0.48710961567036976</v>
      </c>
      <c r="Q179">
        <f t="shared" si="41"/>
        <v>0.35000721086369763</v>
      </c>
      <c r="R179">
        <f t="shared" si="42"/>
        <v>0</v>
      </c>
      <c r="S179">
        <f t="shared" si="43"/>
        <v>0.35000721086369763</v>
      </c>
      <c r="T179">
        <f>G179*(VLOOKUP(D179,Hipotesis!$D$9:$N$38,9,FALSE)+VLOOKUP(D179,Hipotesis!$D$9:$N$38,10,FALSE)+VLOOKUP(D179,Hipotesis!$D$9:$N$38,11,FALSE))</f>
        <v>0</v>
      </c>
      <c r="U179">
        <v>0</v>
      </c>
      <c r="V179">
        <f>G179*VLOOKUP(D179,Hipotesis!$D$9:$S$38,16,FALSE)+((VLOOKUP(D179,Hipotesis!$D$9:$T$38,17,FALSE)/$B$4)*M178)/12</f>
        <v>1.0640251137474467E-2</v>
      </c>
      <c r="W179">
        <f>(1+VLOOKUP(D179,Hipotesis!$D$9:$P$38,13,FALSE))^(1/12)-1</f>
        <v>0</v>
      </c>
      <c r="X179">
        <f t="shared" si="55"/>
        <v>0</v>
      </c>
      <c r="Y179">
        <f t="shared" si="44"/>
        <v>0.42442804902087516</v>
      </c>
      <c r="Z179">
        <f>(1+VLOOKUP(D179,Hipotesis!$D$9:$O$38,12,))^(1/12)-1</f>
        <v>3.0919817341517053E-3</v>
      </c>
      <c r="AA179">
        <f t="shared" si="56"/>
        <v>0.42647005545148275</v>
      </c>
      <c r="AB179">
        <f t="shared" si="57"/>
        <v>-2.042006430607592E-3</v>
      </c>
      <c r="AC179" s="68">
        <f t="shared" si="45"/>
        <v>-1.0640251137474467E-2</v>
      </c>
      <c r="AD179">
        <f t="shared" si="46"/>
        <v>-0.64817250741023003</v>
      </c>
      <c r="AE179" s="67">
        <f t="shared" si="47"/>
        <v>-2.3894555564731079E-2</v>
      </c>
      <c r="AF179" s="67">
        <f t="shared" si="48"/>
        <v>-7.1683666694193236E-3</v>
      </c>
      <c r="AG179" s="67">
        <f t="shared" si="49"/>
        <v>-1.6726188895311755E-2</v>
      </c>
    </row>
    <row r="180" spans="4:33" x14ac:dyDescent="0.2">
      <c r="D180" s="50">
        <v>15</v>
      </c>
      <c r="E180">
        <v>10</v>
      </c>
      <c r="F180">
        <f t="shared" si="40"/>
        <v>64</v>
      </c>
      <c r="G180">
        <f t="shared" si="50"/>
        <v>0</v>
      </c>
      <c r="H180" s="64">
        <f>IF(E180="Anual",VLOOKUP(F180,Hipotesis!$E$9:$J$38,6,FALSE),1-(1-VLOOKUP(F180,Hipotesis!$E$9:$J$38,6,FALSE))^(1/12))</f>
        <v>1.0508397288777616E-3</v>
      </c>
      <c r="I180">
        <f t="shared" si="51"/>
        <v>0.2970969033768624</v>
      </c>
      <c r="J180">
        <v>0</v>
      </c>
      <c r="K180">
        <f>1-(1-VLOOKUP(D180,Hipotesis!$D$9:$K$38,8,FALSE))^(1/12)</f>
        <v>2.5350486138366879E-3</v>
      </c>
      <c r="L180">
        <f t="shared" si="52"/>
        <v>0.71596422090964729</v>
      </c>
      <c r="M180">
        <f t="shared" si="53"/>
        <v>281.71026500475637</v>
      </c>
      <c r="N180">
        <f>IF(D180=1,(VLOOKUP(D180,'Primas Netas Y Reservas'!$D$4:$I$33,5,FALSE)+(VLOOKUP(D180,'Primas Netas Y Reservas'!$D$4:$I$33,6,FALSE)-VLOOKUP(D180,'Primas Netas Y Reservas'!$D$4:$I$33,5,FALSE))*(E180/12))/1000,((VLOOKUP(D180-1,'Primas Netas Y Reservas'!$D$4:$I$33,6,FALSE)+VLOOKUP(D180,'Primas Netas Y Reservas'!$D$4:$I$33,5,FALSE))+(VLOOKUP(D180,'Primas Netas Y Reservas'!$D$4:$I$33,6,FALSE)-VLOOKUP(D180-1,'Primas Netas Y Reservas'!$D$4:$I$33,6,FALSE)-VLOOKUP(D180,'Primas Netas Y Reservas'!$D$4:$I$33,5,FALSE))*(E180/12))/1000)</f>
        <v>0.48811319715154045</v>
      </c>
      <c r="O180">
        <f t="shared" si="54"/>
        <v>-0.21075260988732225</v>
      </c>
      <c r="P180">
        <f>VLOOKUP(D180,Hipotesis!$D$9:$S$38,15,FALSE)*N180</f>
        <v>0.48811319715154045</v>
      </c>
      <c r="Q180">
        <f t="shared" si="41"/>
        <v>0.34947158491431973</v>
      </c>
      <c r="R180">
        <f t="shared" si="42"/>
        <v>0</v>
      </c>
      <c r="S180">
        <f t="shared" si="43"/>
        <v>0.34947158491431973</v>
      </c>
      <c r="T180">
        <f>G180*(VLOOKUP(D180,Hipotesis!$D$9:$N$38,9,FALSE)+VLOOKUP(D180,Hipotesis!$D$9:$N$38,10,FALSE)+VLOOKUP(D180,Hipotesis!$D$9:$N$38,11,FALSE))</f>
        <v>0</v>
      </c>
      <c r="U180">
        <v>0</v>
      </c>
      <c r="V180">
        <f>G180*VLOOKUP(D180,Hipotesis!$D$9:$S$38,16,FALSE)+((VLOOKUP(D180,Hipotesis!$D$9:$T$38,17,FALSE)/$B$4)*M179)/12</f>
        <v>1.0602124729839109E-2</v>
      </c>
      <c r="W180">
        <f>(1+VLOOKUP(D180,Hipotesis!$D$9:$P$38,13,FALSE))^(1/12)-1</f>
        <v>0</v>
      </c>
      <c r="X180">
        <f t="shared" si="55"/>
        <v>0</v>
      </c>
      <c r="Y180">
        <f t="shared" si="44"/>
        <v>0.42378230461071353</v>
      </c>
      <c r="Z180">
        <f>(1+VLOOKUP(D180,Hipotesis!$D$9:$O$38,12,))^(1/12)-1</f>
        <v>3.0919817341517053E-3</v>
      </c>
      <c r="AA180">
        <f t="shared" si="56"/>
        <v>0.42581922374021314</v>
      </c>
      <c r="AB180">
        <f t="shared" si="57"/>
        <v>-2.0369191294996028E-3</v>
      </c>
      <c r="AC180" s="68">
        <f t="shared" si="45"/>
        <v>-1.0602124729839109E-2</v>
      </c>
      <c r="AD180">
        <f t="shared" si="46"/>
        <v>-0.64656848829118219</v>
      </c>
      <c r="AE180" s="67">
        <f t="shared" si="47"/>
        <v>-2.2635698522985456E-2</v>
      </c>
      <c r="AF180" s="67">
        <f t="shared" si="48"/>
        <v>-6.7907095568956371E-3</v>
      </c>
      <c r="AG180" s="67">
        <f t="shared" si="49"/>
        <v>-1.584498896608982E-2</v>
      </c>
    </row>
    <row r="181" spans="4:33" x14ac:dyDescent="0.2">
      <c r="D181" s="50">
        <v>15</v>
      </c>
      <c r="E181">
        <v>11</v>
      </c>
      <c r="F181">
        <f t="shared" si="40"/>
        <v>64</v>
      </c>
      <c r="G181">
        <f t="shared" si="50"/>
        <v>0</v>
      </c>
      <c r="H181" s="64">
        <f>IF(E181="Anual",VLOOKUP(F181,Hipotesis!$E$9:$J$38,6,FALSE),1-(1-VLOOKUP(F181,Hipotesis!$E$9:$J$38,6,FALSE))^(1/12))</f>
        <v>1.0508397288777616E-3</v>
      </c>
      <c r="I181">
        <f t="shared" si="51"/>
        <v>0.29603233849968053</v>
      </c>
      <c r="J181">
        <v>0</v>
      </c>
      <c r="K181">
        <f>1-(1-VLOOKUP(D181,Hipotesis!$D$9:$K$38,8,FALSE))^(1/12)</f>
        <v>2.5350486138366879E-3</v>
      </c>
      <c r="L181">
        <f t="shared" si="52"/>
        <v>0.71339876043450912</v>
      </c>
      <c r="M181">
        <f t="shared" si="53"/>
        <v>280.70083390582215</v>
      </c>
      <c r="N181">
        <f>IF(D181=1,(VLOOKUP(D181,'Primas Netas Y Reservas'!$D$4:$I$33,5,FALSE)+(VLOOKUP(D181,'Primas Netas Y Reservas'!$D$4:$I$33,6,FALSE)-VLOOKUP(D181,'Primas Netas Y Reservas'!$D$4:$I$33,5,FALSE))*(E181/12))/1000,((VLOOKUP(D181-1,'Primas Netas Y Reservas'!$D$4:$I$33,6,FALSE)+VLOOKUP(D181,'Primas Netas Y Reservas'!$D$4:$I$33,5,FALSE))+(VLOOKUP(D181,'Primas Netas Y Reservas'!$D$4:$I$33,6,FALSE)-VLOOKUP(D181-1,'Primas Netas Y Reservas'!$D$4:$I$33,6,FALSE)-VLOOKUP(D181,'Primas Netas Y Reservas'!$D$4:$I$33,5,FALSE))*(E181/12))/1000)</f>
        <v>0.48911677863271108</v>
      </c>
      <c r="O181">
        <f t="shared" si="54"/>
        <v>-0.21101048234794462</v>
      </c>
      <c r="P181">
        <f>VLOOKUP(D181,Hipotesis!$D$9:$S$38,15,FALSE)*N181</f>
        <v>0.48911677863271108</v>
      </c>
      <c r="Q181">
        <f t="shared" si="41"/>
        <v>0.34893530358429625</v>
      </c>
      <c r="R181">
        <f t="shared" si="42"/>
        <v>0</v>
      </c>
      <c r="S181">
        <f t="shared" si="43"/>
        <v>0.34893530358429625</v>
      </c>
      <c r="T181">
        <f>G181*(VLOOKUP(D181,Hipotesis!$D$9:$N$38,9,FALSE)+VLOOKUP(D181,Hipotesis!$D$9:$N$38,10,FALSE)+VLOOKUP(D181,Hipotesis!$D$9:$N$38,11,FALSE))</f>
        <v>0</v>
      </c>
      <c r="U181">
        <v>0</v>
      </c>
      <c r="V181">
        <f>G181*VLOOKUP(D181,Hipotesis!$D$9:$S$38,16,FALSE)+((VLOOKUP(D181,Hipotesis!$D$9:$T$38,17,FALSE)/$B$4)*M180)/12</f>
        <v>1.0564134937678363E-2</v>
      </c>
      <c r="W181">
        <f>(1+VLOOKUP(D181,Hipotesis!$D$9:$P$38,13,FALSE))^(1/12)-1</f>
        <v>0</v>
      </c>
      <c r="X181">
        <f t="shared" si="55"/>
        <v>0</v>
      </c>
      <c r="Y181">
        <f t="shared" si="44"/>
        <v>0.42313573845207791</v>
      </c>
      <c r="Z181">
        <f>(1+VLOOKUP(D181,Hipotesis!$D$9:$O$38,12,))^(1/12)-1</f>
        <v>3.0919817341517053E-3</v>
      </c>
      <c r="AA181">
        <f t="shared" si="56"/>
        <v>0.42516758052001674</v>
      </c>
      <c r="AB181">
        <f t="shared" si="57"/>
        <v>-2.0318420679388315E-3</v>
      </c>
      <c r="AC181" s="68">
        <f t="shared" si="45"/>
        <v>-1.0564134937678363E-2</v>
      </c>
      <c r="AD181">
        <f t="shared" si="46"/>
        <v>-0.64496764208397672</v>
      </c>
      <c r="AE181" s="67">
        <f t="shared" si="47"/>
        <v>-2.1385556221632608E-2</v>
      </c>
      <c r="AF181" s="67">
        <f t="shared" si="48"/>
        <v>-6.4156668664897823E-3</v>
      </c>
      <c r="AG181" s="67">
        <f t="shared" si="49"/>
        <v>-1.4969889355142825E-2</v>
      </c>
    </row>
    <row r="182" spans="4:33" x14ac:dyDescent="0.2">
      <c r="D182" s="50">
        <v>15</v>
      </c>
      <c r="E182">
        <v>12</v>
      </c>
      <c r="F182">
        <f t="shared" ref="F182:F240" si="58">$B$5+D182-1</f>
        <v>64</v>
      </c>
      <c r="G182">
        <f t="shared" si="50"/>
        <v>0</v>
      </c>
      <c r="H182" s="64">
        <f>IF(E182="Anual",VLOOKUP(F182,Hipotesis!$E$9:$J$38,6,FALSE),1-(1-VLOOKUP(F182,Hipotesis!$E$9:$J$38,6,FALSE))^(1/12))</f>
        <v>1.0508397288777616E-3</v>
      </c>
      <c r="I182">
        <f t="shared" si="51"/>
        <v>0.29497158819735575</v>
      </c>
      <c r="J182">
        <v>0</v>
      </c>
      <c r="K182">
        <f>1-(1-VLOOKUP(D182,Hipotesis!$D$9:$K$38,8,FALSE))^(1/12)</f>
        <v>2.5350486138366879E-3</v>
      </c>
      <c r="L182">
        <f t="shared" si="52"/>
        <v>0.71084249257997589</v>
      </c>
      <c r="M182">
        <f t="shared" si="53"/>
        <v>279.69501982504482</v>
      </c>
      <c r="N182">
        <f>IF(D182=1,(VLOOKUP(D182,'Primas Netas Y Reservas'!$D$4:$I$33,5,FALSE)+(VLOOKUP(D182,'Primas Netas Y Reservas'!$D$4:$I$33,6,FALSE)-VLOOKUP(D182,'Primas Netas Y Reservas'!$D$4:$I$33,5,FALSE))*(E182/12))/1000,((VLOOKUP(D182-1,'Primas Netas Y Reservas'!$D$4:$I$33,6,FALSE)+VLOOKUP(D182,'Primas Netas Y Reservas'!$D$4:$I$33,5,FALSE))+(VLOOKUP(D182,'Primas Netas Y Reservas'!$D$4:$I$33,6,FALSE)-VLOOKUP(D182-1,'Primas Netas Y Reservas'!$D$4:$I$33,6,FALSE)-VLOOKUP(D182,'Primas Netas Y Reservas'!$D$4:$I$33,5,FALSE))*(E182/12))/1000)</f>
        <v>0.49012036011388171</v>
      </c>
      <c r="O182">
        <f t="shared" si="54"/>
        <v>-0.2112638008211718</v>
      </c>
      <c r="P182">
        <f>VLOOKUP(D182,Hipotesis!$D$9:$S$38,15,FALSE)*N182</f>
        <v>0.49012036011388171</v>
      </c>
      <c r="Q182">
        <f t="shared" si="41"/>
        <v>0.34839837844754706</v>
      </c>
      <c r="R182">
        <f t="shared" si="42"/>
        <v>0</v>
      </c>
      <c r="S182">
        <f t="shared" si="43"/>
        <v>0.34839837844754706</v>
      </c>
      <c r="T182">
        <f>G182*(VLOOKUP(D182,Hipotesis!$D$9:$N$38,9,FALSE)+VLOOKUP(D182,Hipotesis!$D$9:$N$38,10,FALSE)+VLOOKUP(D182,Hipotesis!$D$9:$N$38,11,FALSE))</f>
        <v>0</v>
      </c>
      <c r="U182">
        <v>0</v>
      </c>
      <c r="V182">
        <f>G182*VLOOKUP(D182,Hipotesis!$D$9:$S$38,16,FALSE)+((VLOOKUP(D182,Hipotesis!$D$9:$T$38,17,FALSE)/$B$4)*M181)/12</f>
        <v>1.0526281271468331E-2</v>
      </c>
      <c r="W182">
        <f>(1+VLOOKUP(D182,Hipotesis!$D$9:$P$38,13,FALSE))^(1/12)-1</f>
        <v>0</v>
      </c>
      <c r="X182">
        <f t="shared" si="55"/>
        <v>0</v>
      </c>
      <c r="Y182">
        <f t="shared" si="44"/>
        <v>0.42248836472501988</v>
      </c>
      <c r="Z182">
        <f>(1+VLOOKUP(D182,Hipotesis!$D$9:$O$38,12,))^(1/12)-1</f>
        <v>3.0919817341517053E-3</v>
      </c>
      <c r="AA182">
        <f t="shared" si="56"/>
        <v>0.42451513996288237</v>
      </c>
      <c r="AB182">
        <f t="shared" si="57"/>
        <v>-2.0267752378624743E-3</v>
      </c>
      <c r="AC182" s="68">
        <f t="shared" si="45"/>
        <v>-1.0526281271468331E-2</v>
      </c>
      <c r="AD182">
        <f t="shared" si="46"/>
        <v>-0.64336996664490287</v>
      </c>
      <c r="AE182" s="67">
        <f t="shared" si="47"/>
        <v>-2.0144082370179464E-2</v>
      </c>
      <c r="AF182" s="67">
        <f t="shared" si="48"/>
        <v>-6.0432247110538389E-3</v>
      </c>
      <c r="AG182" s="67">
        <f t="shared" si="49"/>
        <v>-1.4100857659125625E-2</v>
      </c>
    </row>
    <row r="183" spans="4:33" x14ac:dyDescent="0.2">
      <c r="D183" s="50">
        <v>16</v>
      </c>
      <c r="E183">
        <v>1</v>
      </c>
      <c r="F183">
        <f t="shared" si="58"/>
        <v>65</v>
      </c>
      <c r="G183">
        <f t="shared" si="50"/>
        <v>0</v>
      </c>
      <c r="H183" s="64">
        <f>IF(E183="Anual",VLOOKUP(F183,Hipotesis!$E$9:$J$38,6,FALSE),1-(1-VLOOKUP(F183,Hipotesis!$E$9:$J$38,6,FALSE))^(1/12))</f>
        <v>1.1308824756652847E-3</v>
      </c>
      <c r="I183">
        <f t="shared" si="51"/>
        <v>0.31630219645099755</v>
      </c>
      <c r="J183">
        <v>0</v>
      </c>
      <c r="K183">
        <f>1-(1-VLOOKUP(D183,Hipotesis!$D$9:$K$38,8,FALSE))^(1/12)</f>
        <v>2.5350486138366879E-3</v>
      </c>
      <c r="L183">
        <f t="shared" si="52"/>
        <v>0.70823863085983829</v>
      </c>
      <c r="M183">
        <f t="shared" si="53"/>
        <v>278.67047899773399</v>
      </c>
      <c r="N183">
        <f>IF(D183=1,(VLOOKUP(D183,'Primas Netas Y Reservas'!$D$4:$I$33,5,FALSE)+(VLOOKUP(D183,'Primas Netas Y Reservas'!$D$4:$I$33,6,FALSE)-VLOOKUP(D183,'Primas Netas Y Reservas'!$D$4:$I$33,5,FALSE))*(E183/12))/1000,((VLOOKUP(D183-1,'Primas Netas Y Reservas'!$D$4:$I$33,6,FALSE)+VLOOKUP(D183,'Primas Netas Y Reservas'!$D$4:$I$33,5,FALSE))+(VLOOKUP(D183,'Primas Netas Y Reservas'!$D$4:$I$33,6,FALSE)-VLOOKUP(D183-1,'Primas Netas Y Reservas'!$D$4:$I$33,6,FALSE)-VLOOKUP(D183,'Primas Netas Y Reservas'!$D$4:$I$33,5,FALSE))*(E183/12))/1000)</f>
        <v>0.49112952497788109</v>
      </c>
      <c r="O183">
        <f t="shared" si="54"/>
        <v>-0.22092386319457091</v>
      </c>
      <c r="P183">
        <f>VLOOKUP(D183,Hipotesis!$D$9:$S$38,15,FALSE)*N183</f>
        <v>0.49112952497788109</v>
      </c>
      <c r="Q183">
        <f t="shared" si="41"/>
        <v>0.34783690234517728</v>
      </c>
      <c r="R183">
        <f t="shared" si="42"/>
        <v>0</v>
      </c>
      <c r="S183">
        <f t="shared" si="43"/>
        <v>0.34783690234517728</v>
      </c>
      <c r="T183">
        <f>G183*(VLOOKUP(D183,Hipotesis!$D$9:$N$38,9,FALSE)+VLOOKUP(D183,Hipotesis!$D$9:$N$38,10,FALSE)+VLOOKUP(D183,Hipotesis!$D$9:$N$38,11,FALSE))</f>
        <v>0</v>
      </c>
      <c r="U183">
        <v>0</v>
      </c>
      <c r="V183">
        <f>G183*VLOOKUP(D183,Hipotesis!$D$9:$S$38,16,FALSE)+((VLOOKUP(D183,Hipotesis!$D$9:$T$38,17,FALSE)/$B$4)*M182)/12</f>
        <v>1.048856324343918E-2</v>
      </c>
      <c r="W183">
        <f>(1+VLOOKUP(D183,Hipotesis!$D$9:$P$38,13,FALSE))^(1/12)-1</f>
        <v>0</v>
      </c>
      <c r="X183">
        <f t="shared" si="55"/>
        <v>0</v>
      </c>
      <c r="Y183">
        <f t="shared" si="44"/>
        <v>0.37933682375669181</v>
      </c>
      <c r="Z183">
        <f>(1+VLOOKUP(D183,Hipotesis!$D$9:$O$38,12,))^(1/12)-1</f>
        <v>2.7804427767823547E-3</v>
      </c>
      <c r="AA183">
        <f t="shared" si="56"/>
        <v>0.38115483998315736</v>
      </c>
      <c r="AB183">
        <f t="shared" si="57"/>
        <v>-1.81801622646557E-3</v>
      </c>
      <c r="AC183" s="68">
        <f t="shared" si="45"/>
        <v>-1.048856324343918E-2</v>
      </c>
      <c r="AD183">
        <f t="shared" si="46"/>
        <v>-0.66413909879617483</v>
      </c>
      <c r="AE183" s="67">
        <f t="shared" si="47"/>
        <v>-7.4366975088351286E-2</v>
      </c>
      <c r="AF183" s="67">
        <f t="shared" si="48"/>
        <v>-2.2310092526505385E-2</v>
      </c>
      <c r="AG183" s="67">
        <f t="shared" si="49"/>
        <v>-5.2056882561845902E-2</v>
      </c>
    </row>
    <row r="184" spans="4:33" x14ac:dyDescent="0.2">
      <c r="D184" s="50">
        <v>16</v>
      </c>
      <c r="E184">
        <v>2</v>
      </c>
      <c r="F184">
        <f t="shared" si="58"/>
        <v>65</v>
      </c>
      <c r="G184">
        <f t="shared" si="50"/>
        <v>0</v>
      </c>
      <c r="H184" s="64">
        <f>IF(E184="Anual",VLOOKUP(F184,Hipotesis!$E$9:$J$38,6,FALSE),1-(1-VLOOKUP(F184,Hipotesis!$E$9:$J$38,6,FALSE))^(1/12))</f>
        <v>1.1308824756652847E-3</v>
      </c>
      <c r="I184">
        <f t="shared" si="51"/>
        <v>0.31514356118378817</v>
      </c>
      <c r="J184">
        <v>0</v>
      </c>
      <c r="K184">
        <f>1-(1-VLOOKUP(D184,Hipotesis!$D$9:$K$38,8,FALSE))^(1/12)</f>
        <v>2.5350486138366879E-3</v>
      </c>
      <c r="L184">
        <f t="shared" si="52"/>
        <v>0.70564430725247285</v>
      </c>
      <c r="M184">
        <f t="shared" si="53"/>
        <v>277.64969112929771</v>
      </c>
      <c r="N184">
        <f>IF(D184=1,(VLOOKUP(D184,'Primas Netas Y Reservas'!$D$4:$I$33,5,FALSE)+(VLOOKUP(D184,'Primas Netas Y Reservas'!$D$4:$I$33,6,FALSE)-VLOOKUP(D184,'Primas Netas Y Reservas'!$D$4:$I$33,5,FALSE))*(E184/12))/1000,((VLOOKUP(D184-1,'Primas Netas Y Reservas'!$D$4:$I$33,6,FALSE)+VLOOKUP(D184,'Primas Netas Y Reservas'!$D$4:$I$33,5,FALSE))+(VLOOKUP(D184,'Primas Netas Y Reservas'!$D$4:$I$33,6,FALSE)-VLOOKUP(D184-1,'Primas Netas Y Reservas'!$D$4:$I$33,6,FALSE)-VLOOKUP(D184,'Primas Netas Y Reservas'!$D$4:$I$33,5,FALSE))*(E184/12))/1000)</f>
        <v>0.49213868984188042</v>
      </c>
      <c r="O184">
        <f t="shared" si="54"/>
        <v>-0.22114474814031837</v>
      </c>
      <c r="P184">
        <f>VLOOKUP(D184,Hipotesis!$D$9:$S$38,15,FALSE)*N184</f>
        <v>0.49213868984188042</v>
      </c>
      <c r="Q184">
        <f t="shared" si="41"/>
        <v>0.34727486486561332</v>
      </c>
      <c r="R184">
        <f t="shared" si="42"/>
        <v>0</v>
      </c>
      <c r="S184">
        <f t="shared" si="43"/>
        <v>0.34727486486561332</v>
      </c>
      <c r="T184">
        <f>G184*(VLOOKUP(D184,Hipotesis!$D$9:$N$38,9,FALSE)+VLOOKUP(D184,Hipotesis!$D$9:$N$38,10,FALSE)+VLOOKUP(D184,Hipotesis!$D$9:$N$38,11,FALSE))</f>
        <v>0</v>
      </c>
      <c r="U184">
        <v>0</v>
      </c>
      <c r="V184">
        <f>G184*VLOOKUP(D184,Hipotesis!$D$9:$S$38,16,FALSE)+((VLOOKUP(D184,Hipotesis!$D$9:$T$38,17,FALSE)/$B$4)*M183)/12</f>
        <v>1.0450142962415025E-2</v>
      </c>
      <c r="W184">
        <f>(1+VLOOKUP(D184,Hipotesis!$D$9:$P$38,13,FALSE))^(1/12)-1</f>
        <v>0</v>
      </c>
      <c r="X184">
        <f t="shared" si="55"/>
        <v>0</v>
      </c>
      <c r="Y184">
        <f t="shared" si="44"/>
        <v>0.37866491703897642</v>
      </c>
      <c r="Z184">
        <f>(1+VLOOKUP(D184,Hipotesis!$D$9:$O$38,12,))^(1/12)-1</f>
        <v>2.7804427767823547E-3</v>
      </c>
      <c r="AA184">
        <f t="shared" si="56"/>
        <v>0.38054057382351919</v>
      </c>
      <c r="AB184">
        <f t="shared" si="57"/>
        <v>-1.8756567845427566E-3</v>
      </c>
      <c r="AC184" s="68">
        <f t="shared" si="45"/>
        <v>-1.0450142962415025E-2</v>
      </c>
      <c r="AD184">
        <f t="shared" si="46"/>
        <v>-0.66241842604940149</v>
      </c>
      <c r="AE184" s="67">
        <f t="shared" si="47"/>
        <v>-7.3058903832521727E-2</v>
      </c>
      <c r="AF184" s="67">
        <f t="shared" si="48"/>
        <v>-2.1917671149756516E-2</v>
      </c>
      <c r="AG184" s="67">
        <f t="shared" si="49"/>
        <v>-5.1141232682765214E-2</v>
      </c>
    </row>
    <row r="185" spans="4:33" x14ac:dyDescent="0.2">
      <c r="D185" s="50">
        <v>16</v>
      </c>
      <c r="E185">
        <v>3</v>
      </c>
      <c r="F185">
        <f t="shared" si="58"/>
        <v>65</v>
      </c>
      <c r="G185">
        <f t="shared" si="50"/>
        <v>0</v>
      </c>
      <c r="H185" s="64">
        <f>IF(E185="Anual",VLOOKUP(F185,Hipotesis!$E$9:$J$38,6,FALSE),1-(1-VLOOKUP(F185,Hipotesis!$E$9:$J$38,6,FALSE))^(1/12))</f>
        <v>1.1308824756652847E-3</v>
      </c>
      <c r="I185">
        <f t="shared" si="51"/>
        <v>0.31398917007200183</v>
      </c>
      <c r="J185">
        <v>0</v>
      </c>
      <c r="K185">
        <f>1-(1-VLOOKUP(D185,Hipotesis!$D$9:$K$38,8,FALSE))^(1/12)</f>
        <v>2.5350486138366879E-3</v>
      </c>
      <c r="L185">
        <f t="shared" si="52"/>
        <v>0.70305948681915997</v>
      </c>
      <c r="M185">
        <f t="shared" si="53"/>
        <v>276.63264247240659</v>
      </c>
      <c r="N185">
        <f>IF(D185=1,(VLOOKUP(D185,'Primas Netas Y Reservas'!$D$4:$I$33,5,FALSE)+(VLOOKUP(D185,'Primas Netas Y Reservas'!$D$4:$I$33,6,FALSE)-VLOOKUP(D185,'Primas Netas Y Reservas'!$D$4:$I$33,5,FALSE))*(E185/12))/1000,((VLOOKUP(D185-1,'Primas Netas Y Reservas'!$D$4:$I$33,6,FALSE)+VLOOKUP(D185,'Primas Netas Y Reservas'!$D$4:$I$33,5,FALSE))+(VLOOKUP(D185,'Primas Netas Y Reservas'!$D$4:$I$33,6,FALSE)-VLOOKUP(D185-1,'Primas Netas Y Reservas'!$D$4:$I$33,6,FALSE)-VLOOKUP(D185,'Primas Netas Y Reservas'!$D$4:$I$33,5,FALSE))*(E185/12))/1000)</f>
        <v>0.4931478547058798</v>
      </c>
      <c r="O185">
        <f t="shared" si="54"/>
        <v>-0.22136105048940635</v>
      </c>
      <c r="P185">
        <f>VLOOKUP(D185,Hipotesis!$D$9:$S$38,15,FALSE)*N185</f>
        <v>0.4931478547058798</v>
      </c>
      <c r="Q185">
        <f t="shared" si="41"/>
        <v>0.34671227765548551</v>
      </c>
      <c r="R185">
        <f t="shared" si="42"/>
        <v>0</v>
      </c>
      <c r="S185">
        <f t="shared" si="43"/>
        <v>0.34671227765548551</v>
      </c>
      <c r="T185">
        <f>G185*(VLOOKUP(D185,Hipotesis!$D$9:$N$38,9,FALSE)+VLOOKUP(D185,Hipotesis!$D$9:$N$38,10,FALSE)+VLOOKUP(D185,Hipotesis!$D$9:$N$38,11,FALSE))</f>
        <v>0</v>
      </c>
      <c r="U185">
        <v>0</v>
      </c>
      <c r="V185">
        <f>G185*VLOOKUP(D185,Hipotesis!$D$9:$S$38,16,FALSE)+((VLOOKUP(D185,Hipotesis!$D$9:$T$38,17,FALSE)/$B$4)*M184)/12</f>
        <v>1.0411863417348665E-2</v>
      </c>
      <c r="W185">
        <f>(1+VLOOKUP(D185,Hipotesis!$D$9:$P$38,13,FALSE))^(1/12)-1</f>
        <v>0</v>
      </c>
      <c r="X185">
        <f t="shared" si="55"/>
        <v>0</v>
      </c>
      <c r="Y185">
        <f t="shared" si="44"/>
        <v>0.3780549273875809</v>
      </c>
      <c r="Z185">
        <f>(1+VLOOKUP(D185,Hipotesis!$D$9:$O$38,12,))^(1/12)-1</f>
        <v>2.7804427767823547E-3</v>
      </c>
      <c r="AA185">
        <f t="shared" si="56"/>
        <v>0.37992569350592909</v>
      </c>
      <c r="AB185">
        <f t="shared" si="57"/>
        <v>-1.8707661183482063E-3</v>
      </c>
      <c r="AC185" s="68">
        <f t="shared" si="45"/>
        <v>-1.0411863417348665E-2</v>
      </c>
      <c r="AD185">
        <f t="shared" si="46"/>
        <v>-0.66070144772748729</v>
      </c>
      <c r="AE185" s="67">
        <f t="shared" si="47"/>
        <v>-7.1697333267848759E-2</v>
      </c>
      <c r="AF185" s="67">
        <f t="shared" si="48"/>
        <v>-2.1509199980354627E-2</v>
      </c>
      <c r="AG185" s="67">
        <f t="shared" si="49"/>
        <v>-5.0188133287494135E-2</v>
      </c>
    </row>
    <row r="186" spans="4:33" x14ac:dyDescent="0.2">
      <c r="D186" s="50">
        <v>16</v>
      </c>
      <c r="E186">
        <v>4</v>
      </c>
      <c r="F186">
        <f t="shared" si="58"/>
        <v>65</v>
      </c>
      <c r="G186">
        <f t="shared" si="50"/>
        <v>0</v>
      </c>
      <c r="H186" s="64">
        <f>IF(E186="Anual",VLOOKUP(F186,Hipotesis!$E$9:$J$38,6,FALSE),1-(1-VLOOKUP(F186,Hipotesis!$E$9:$J$38,6,FALSE))^(1/12))</f>
        <v>1.1308824756652847E-3</v>
      </c>
      <c r="I186">
        <f t="shared" si="51"/>
        <v>0.31283900756902472</v>
      </c>
      <c r="J186">
        <v>0</v>
      </c>
      <c r="K186">
        <f>1-(1-VLOOKUP(D186,Hipotesis!$D$9:$K$38,8,FALSE))^(1/12)</f>
        <v>2.5350486138366879E-3</v>
      </c>
      <c r="L186">
        <f t="shared" si="52"/>
        <v>0.70048413474916249</v>
      </c>
      <c r="M186">
        <f t="shared" si="53"/>
        <v>275.61931933008839</v>
      </c>
      <c r="N186">
        <f>IF(D186=1,(VLOOKUP(D186,'Primas Netas Y Reservas'!$D$4:$I$33,5,FALSE)+(VLOOKUP(D186,'Primas Netas Y Reservas'!$D$4:$I$33,6,FALSE)-VLOOKUP(D186,'Primas Netas Y Reservas'!$D$4:$I$33,5,FALSE))*(E186/12))/1000,((VLOOKUP(D186-1,'Primas Netas Y Reservas'!$D$4:$I$33,6,FALSE)+VLOOKUP(D186,'Primas Netas Y Reservas'!$D$4:$I$33,5,FALSE))+(VLOOKUP(D186,'Primas Netas Y Reservas'!$D$4:$I$33,6,FALSE)-VLOOKUP(D186-1,'Primas Netas Y Reservas'!$D$4:$I$33,6,FALSE)-VLOOKUP(D186,'Primas Netas Y Reservas'!$D$4:$I$33,5,FALSE))*(E186/12))/1000)</f>
        <v>0.49415701956987917</v>
      </c>
      <c r="O186">
        <f t="shared" si="54"/>
        <v>-0.2215728008506801</v>
      </c>
      <c r="P186">
        <f>VLOOKUP(D186,Hipotesis!$D$9:$S$38,15,FALSE)*N186</f>
        <v>0.49415701956987917</v>
      </c>
      <c r="Q186">
        <f t="shared" si="41"/>
        <v>0.34614915228363174</v>
      </c>
      <c r="R186">
        <f t="shared" si="42"/>
        <v>0</v>
      </c>
      <c r="S186">
        <f t="shared" si="43"/>
        <v>0.34614915228363174</v>
      </c>
      <c r="T186">
        <f>G186*(VLOOKUP(D186,Hipotesis!$D$9:$N$38,9,FALSE)+VLOOKUP(D186,Hipotesis!$D$9:$N$38,10,FALSE)+VLOOKUP(D186,Hipotesis!$D$9:$N$38,11,FALSE))</f>
        <v>0</v>
      </c>
      <c r="U186">
        <v>0</v>
      </c>
      <c r="V186">
        <f>G186*VLOOKUP(D186,Hipotesis!$D$9:$S$38,16,FALSE)+((VLOOKUP(D186,Hipotesis!$D$9:$T$38,17,FALSE)/$B$4)*M185)/12</f>
        <v>1.0373724092715248E-2</v>
      </c>
      <c r="W186">
        <f>(1+VLOOKUP(D186,Hipotesis!$D$9:$P$38,13,FALSE))^(1/12)-1</f>
        <v>0</v>
      </c>
      <c r="X186">
        <f t="shared" si="55"/>
        <v>0</v>
      </c>
      <c r="Y186">
        <f t="shared" si="44"/>
        <v>0.3774443256578694</v>
      </c>
      <c r="Z186">
        <f>(1+VLOOKUP(D186,Hipotesis!$D$9:$O$38,12,))^(1/12)-1</f>
        <v>2.7804427767823547E-3</v>
      </c>
      <c r="AA186">
        <f t="shared" si="56"/>
        <v>0.37931021177203483</v>
      </c>
      <c r="AB186">
        <f t="shared" si="57"/>
        <v>-1.8658861141654596E-3</v>
      </c>
      <c r="AC186" s="68">
        <f t="shared" si="45"/>
        <v>-1.0373724092715248E-2</v>
      </c>
      <c r="AD186">
        <f t="shared" si="46"/>
        <v>-0.65898815985265646</v>
      </c>
      <c r="AE186" s="67">
        <f t="shared" si="47"/>
        <v>-7.0344757436822225E-2</v>
      </c>
      <c r="AF186" s="67">
        <f t="shared" si="48"/>
        <v>-2.1103427231046665E-2</v>
      </c>
      <c r="AG186" s="67">
        <f t="shared" si="49"/>
        <v>-4.9241330205775563E-2</v>
      </c>
    </row>
    <row r="187" spans="4:33" x14ac:dyDescent="0.2">
      <c r="D187" s="50">
        <v>16</v>
      </c>
      <c r="E187">
        <v>5</v>
      </c>
      <c r="F187">
        <f t="shared" si="58"/>
        <v>65</v>
      </c>
      <c r="G187">
        <f t="shared" si="50"/>
        <v>0</v>
      </c>
      <c r="H187" s="64">
        <f>IF(E187="Anual",VLOOKUP(F187,Hipotesis!$E$9:$J$38,6,FALSE),1-(1-VLOOKUP(F187,Hipotesis!$E$9:$J$38,6,FALSE))^(1/12))</f>
        <v>1.1308824756652847E-3</v>
      </c>
      <c r="I187">
        <f t="shared" si="51"/>
        <v>0.311693058185191</v>
      </c>
      <c r="J187">
        <v>0</v>
      </c>
      <c r="K187">
        <f>1-(1-VLOOKUP(D187,Hipotesis!$D$9:$K$38,8,FALSE))^(1/12)</f>
        <v>2.5350486138366879E-3</v>
      </c>
      <c r="L187">
        <f t="shared" si="52"/>
        <v>0.6979182163592571</v>
      </c>
      <c r="M187">
        <f t="shared" si="53"/>
        <v>274.60970805554393</v>
      </c>
      <c r="N187">
        <f>IF(D187=1,(VLOOKUP(D187,'Primas Netas Y Reservas'!$D$4:$I$33,5,FALSE)+(VLOOKUP(D187,'Primas Netas Y Reservas'!$D$4:$I$33,6,FALSE)-VLOOKUP(D187,'Primas Netas Y Reservas'!$D$4:$I$33,5,FALSE))*(E187/12))/1000,((VLOOKUP(D187-1,'Primas Netas Y Reservas'!$D$4:$I$33,6,FALSE)+VLOOKUP(D187,'Primas Netas Y Reservas'!$D$4:$I$33,5,FALSE))+(VLOOKUP(D187,'Primas Netas Y Reservas'!$D$4:$I$33,6,FALSE)-VLOOKUP(D187-1,'Primas Netas Y Reservas'!$D$4:$I$33,6,FALSE)-VLOOKUP(D187,'Primas Netas Y Reservas'!$D$4:$I$33,5,FALSE))*(E187/12))/1000)</f>
        <v>0.49516618443387855</v>
      </c>
      <c r="O187">
        <f t="shared" si="54"/>
        <v>-0.22178002967024213</v>
      </c>
      <c r="P187">
        <f>VLOOKUP(D187,Hipotesis!$D$9:$S$38,15,FALSE)*N187</f>
        <v>0.49516618443387855</v>
      </c>
      <c r="Q187">
        <f t="shared" si="41"/>
        <v>0.34558550024151147</v>
      </c>
      <c r="R187">
        <f t="shared" si="42"/>
        <v>0</v>
      </c>
      <c r="S187">
        <f t="shared" si="43"/>
        <v>0.34558550024151147</v>
      </c>
      <c r="T187">
        <f>G187*(VLOOKUP(D187,Hipotesis!$D$9:$N$38,9,FALSE)+VLOOKUP(D187,Hipotesis!$D$9:$N$38,10,FALSE)+VLOOKUP(D187,Hipotesis!$D$9:$N$38,11,FALSE))</f>
        <v>0</v>
      </c>
      <c r="U187">
        <v>0</v>
      </c>
      <c r="V187">
        <f>G187*VLOOKUP(D187,Hipotesis!$D$9:$S$38,16,FALSE)+((VLOOKUP(D187,Hipotesis!$D$9:$T$38,17,FALSE)/$B$4)*M186)/12</f>
        <v>1.0335724474878315E-2</v>
      </c>
      <c r="W187">
        <f>(1+VLOOKUP(D187,Hipotesis!$D$9:$P$38,13,FALSE))^(1/12)-1</f>
        <v>0</v>
      </c>
      <c r="X187">
        <f t="shared" si="55"/>
        <v>0</v>
      </c>
      <c r="Y187">
        <f t="shared" si="44"/>
        <v>0.37683312451887174</v>
      </c>
      <c r="Z187">
        <f>(1+VLOOKUP(D187,Hipotesis!$D$9:$O$38,12,))^(1/12)-1</f>
        <v>2.7804427767823547E-3</v>
      </c>
      <c r="AA187">
        <f t="shared" si="56"/>
        <v>0.37869414127837814</v>
      </c>
      <c r="AB187">
        <f t="shared" si="57"/>
        <v>-1.8610167595064023E-3</v>
      </c>
      <c r="AC187" s="68">
        <f t="shared" si="45"/>
        <v>-1.0335724474878315E-2</v>
      </c>
      <c r="AD187">
        <f t="shared" si="46"/>
        <v>-0.65727855842670246</v>
      </c>
      <c r="AE187" s="67">
        <f t="shared" si="47"/>
        <v>-6.9001128712466914E-2</v>
      </c>
      <c r="AF187" s="67">
        <f t="shared" si="48"/>
        <v>-2.0700338613740075E-2</v>
      </c>
      <c r="AG187" s="67">
        <f t="shared" si="49"/>
        <v>-4.8300790098726842E-2</v>
      </c>
    </row>
    <row r="188" spans="4:33" x14ac:dyDescent="0.2">
      <c r="D188" s="50">
        <v>16</v>
      </c>
      <c r="E188">
        <v>6</v>
      </c>
      <c r="F188">
        <f t="shared" si="58"/>
        <v>65</v>
      </c>
      <c r="G188">
        <f t="shared" si="50"/>
        <v>0</v>
      </c>
      <c r="H188" s="64">
        <f>IF(E188="Anual",VLOOKUP(F188,Hipotesis!$E$9:$J$38,6,FALSE),1-(1-VLOOKUP(F188,Hipotesis!$E$9:$J$38,6,FALSE))^(1/12))</f>
        <v>1.1308824756652847E-3</v>
      </c>
      <c r="I188">
        <f t="shared" si="51"/>
        <v>0.31055130648757456</v>
      </c>
      <c r="J188">
        <v>0</v>
      </c>
      <c r="K188">
        <f>1-(1-VLOOKUP(D188,Hipotesis!$D$9:$K$38,8,FALSE))^(1/12)</f>
        <v>2.5350486138366879E-3</v>
      </c>
      <c r="L188">
        <f t="shared" si="52"/>
        <v>0.69536169709326767</v>
      </c>
      <c r="M188">
        <f t="shared" si="53"/>
        <v>273.60379505196306</v>
      </c>
      <c r="N188">
        <f>IF(D188=1,(VLOOKUP(D188,'Primas Netas Y Reservas'!$D$4:$I$33,5,FALSE)+(VLOOKUP(D188,'Primas Netas Y Reservas'!$D$4:$I$33,6,FALSE)-VLOOKUP(D188,'Primas Netas Y Reservas'!$D$4:$I$33,5,FALSE))*(E188/12))/1000,((VLOOKUP(D188-1,'Primas Netas Y Reservas'!$D$4:$I$33,6,FALSE)+VLOOKUP(D188,'Primas Netas Y Reservas'!$D$4:$I$33,5,FALSE))+(VLOOKUP(D188,'Primas Netas Y Reservas'!$D$4:$I$33,6,FALSE)-VLOOKUP(D188-1,'Primas Netas Y Reservas'!$D$4:$I$33,6,FALSE)-VLOOKUP(D188,'Primas Netas Y Reservas'!$D$4:$I$33,5,FALSE))*(E188/12))/1000)</f>
        <v>0.49617534929787793</v>
      </c>
      <c r="O188">
        <f t="shared" si="54"/>
        <v>-0.22198276723224808</v>
      </c>
      <c r="P188">
        <f>VLOOKUP(D188,Hipotesis!$D$9:$S$38,15,FALSE)*N188</f>
        <v>0.49617534929787793</v>
      </c>
      <c r="Q188">
        <f t="shared" si="41"/>
        <v>0.34502133294361725</v>
      </c>
      <c r="R188">
        <f t="shared" si="42"/>
        <v>0</v>
      </c>
      <c r="S188">
        <f t="shared" si="43"/>
        <v>0.34502133294361725</v>
      </c>
      <c r="T188">
        <f>G188*(VLOOKUP(D188,Hipotesis!$D$9:$N$38,9,FALSE)+VLOOKUP(D188,Hipotesis!$D$9:$N$38,10,FALSE)+VLOOKUP(D188,Hipotesis!$D$9:$N$38,11,FALSE))</f>
        <v>0</v>
      </c>
      <c r="U188">
        <v>0</v>
      </c>
      <c r="V188">
        <f>G188*VLOOKUP(D188,Hipotesis!$D$9:$S$38,16,FALSE)+((VLOOKUP(D188,Hipotesis!$D$9:$T$38,17,FALSE)/$B$4)*M187)/12</f>
        <v>1.0297864052082897E-2</v>
      </c>
      <c r="W188">
        <f>(1+VLOOKUP(D188,Hipotesis!$D$9:$P$38,13,FALSE))^(1/12)-1</f>
        <v>0</v>
      </c>
      <c r="X188">
        <f t="shared" si="55"/>
        <v>0</v>
      </c>
      <c r="Y188">
        <f t="shared" si="44"/>
        <v>0.37622133655501561</v>
      </c>
      <c r="Z188">
        <f>(1+VLOOKUP(D188,Hipotesis!$D$9:$O$38,12,))^(1/12)-1</f>
        <v>2.7804427767823547E-3</v>
      </c>
      <c r="AA188">
        <f t="shared" si="56"/>
        <v>0.37807749459684697</v>
      </c>
      <c r="AB188">
        <f t="shared" si="57"/>
        <v>-1.8561580418313443E-3</v>
      </c>
      <c r="AC188" s="68">
        <f t="shared" si="45"/>
        <v>-1.0297864052082897E-2</v>
      </c>
      <c r="AD188">
        <f t="shared" si="46"/>
        <v>-0.65557263943119182</v>
      </c>
      <c r="AE188" s="67">
        <f t="shared" si="47"/>
        <v>-6.7666399696011029E-2</v>
      </c>
      <c r="AF188" s="67">
        <f t="shared" si="48"/>
        <v>-2.0299919908803307E-2</v>
      </c>
      <c r="AG188" s="67">
        <f t="shared" si="49"/>
        <v>-4.7366479787207719E-2</v>
      </c>
    </row>
    <row r="189" spans="4:33" x14ac:dyDescent="0.2">
      <c r="D189" s="50">
        <v>16</v>
      </c>
      <c r="E189">
        <v>7</v>
      </c>
      <c r="F189">
        <f t="shared" si="58"/>
        <v>65</v>
      </c>
      <c r="G189">
        <f t="shared" si="50"/>
        <v>0</v>
      </c>
      <c r="H189" s="64">
        <f>IF(E189="Anual",VLOOKUP(F189,Hipotesis!$E$9:$J$38,6,FALSE),1-(1-VLOOKUP(F189,Hipotesis!$E$9:$J$38,6,FALSE))^(1/12))</f>
        <v>1.1308824756652847E-3</v>
      </c>
      <c r="I189">
        <f t="shared" si="51"/>
        <v>0.30941373709978115</v>
      </c>
      <c r="J189">
        <v>0</v>
      </c>
      <c r="K189">
        <f>1-(1-VLOOKUP(D189,Hipotesis!$D$9:$K$38,8,FALSE))^(1/12)</f>
        <v>2.5350486138366879E-3</v>
      </c>
      <c r="L189">
        <f t="shared" si="52"/>
        <v>0.69281454252159946</v>
      </c>
      <c r="M189">
        <f t="shared" si="53"/>
        <v>272.6015667723417</v>
      </c>
      <c r="N189">
        <f>IF(D189=1,(VLOOKUP(D189,'Primas Netas Y Reservas'!$D$4:$I$33,5,FALSE)+(VLOOKUP(D189,'Primas Netas Y Reservas'!$D$4:$I$33,6,FALSE)-VLOOKUP(D189,'Primas Netas Y Reservas'!$D$4:$I$33,5,FALSE))*(E189/12))/1000,((VLOOKUP(D189-1,'Primas Netas Y Reservas'!$D$4:$I$33,6,FALSE)+VLOOKUP(D189,'Primas Netas Y Reservas'!$D$4:$I$33,5,FALSE))+(VLOOKUP(D189,'Primas Netas Y Reservas'!$D$4:$I$33,6,FALSE)-VLOOKUP(D189-1,'Primas Netas Y Reservas'!$D$4:$I$33,6,FALSE)-VLOOKUP(D189,'Primas Netas Y Reservas'!$D$4:$I$33,5,FALSE))*(E189/12))/1000)</f>
        <v>0.49718451416187731</v>
      </c>
      <c r="O189">
        <f t="shared" si="54"/>
        <v>-0.22218104365950353</v>
      </c>
      <c r="P189">
        <f>VLOOKUP(D189,Hipotesis!$D$9:$S$38,15,FALSE)*N189</f>
        <v>0.49718451416187731</v>
      </c>
      <c r="Q189">
        <f t="shared" si="41"/>
        <v>0.34445666172788469</v>
      </c>
      <c r="R189">
        <f t="shared" si="42"/>
        <v>0</v>
      </c>
      <c r="S189">
        <f t="shared" si="43"/>
        <v>0.34445666172788469</v>
      </c>
      <c r="T189">
        <f>G189*(VLOOKUP(D189,Hipotesis!$D$9:$N$38,9,FALSE)+VLOOKUP(D189,Hipotesis!$D$9:$N$38,10,FALSE)+VLOOKUP(D189,Hipotesis!$D$9:$N$38,11,FALSE))</f>
        <v>0</v>
      </c>
      <c r="U189">
        <v>0</v>
      </c>
      <c r="V189">
        <f>G189*VLOOKUP(D189,Hipotesis!$D$9:$S$38,16,FALSE)+((VLOOKUP(D189,Hipotesis!$D$9:$T$38,17,FALSE)/$B$4)*M188)/12</f>
        <v>1.0260142314448615E-2</v>
      </c>
      <c r="W189">
        <f>(1+VLOOKUP(D189,Hipotesis!$D$9:$P$38,13,FALSE))^(1/12)-1</f>
        <v>0</v>
      </c>
      <c r="X189">
        <f t="shared" si="55"/>
        <v>0</v>
      </c>
      <c r="Y189">
        <f t="shared" si="44"/>
        <v>0.3756089742665763</v>
      </c>
      <c r="Z189">
        <f>(1+VLOOKUP(D189,Hipotesis!$D$9:$O$38,12,))^(1/12)-1</f>
        <v>2.7804427767823547E-3</v>
      </c>
      <c r="AA189">
        <f t="shared" si="56"/>
        <v>0.3774602842151259</v>
      </c>
      <c r="AB189">
        <f t="shared" si="57"/>
        <v>-1.8513099485495681E-3</v>
      </c>
      <c r="AC189" s="68">
        <f t="shared" si="45"/>
        <v>-1.0260142314448615E-2</v>
      </c>
      <c r="AD189">
        <f t="shared" si="46"/>
        <v>-0.65387039882766584</v>
      </c>
      <c r="AE189" s="67">
        <f t="shared" si="47"/>
        <v>-6.6340523216034633E-2</v>
      </c>
      <c r="AF189" s="67">
        <f t="shared" si="48"/>
        <v>-1.9902156964810389E-2</v>
      </c>
      <c r="AG189" s="67">
        <f t="shared" si="49"/>
        <v>-4.6438366251224245E-2</v>
      </c>
    </row>
    <row r="190" spans="4:33" x14ac:dyDescent="0.2">
      <c r="D190" s="50">
        <v>16</v>
      </c>
      <c r="E190">
        <v>8</v>
      </c>
      <c r="F190">
        <f t="shared" si="58"/>
        <v>65</v>
      </c>
      <c r="G190">
        <f t="shared" si="50"/>
        <v>0</v>
      </c>
      <c r="H190" s="64">
        <f>IF(E190="Anual",VLOOKUP(F190,Hipotesis!$E$9:$J$38,6,FALSE),1-(1-VLOOKUP(F190,Hipotesis!$E$9:$J$38,6,FALSE))^(1/12))</f>
        <v>1.1308824756652847E-3</v>
      </c>
      <c r="I190">
        <f t="shared" si="51"/>
        <v>0.30828033470174121</v>
      </c>
      <c r="J190">
        <v>0</v>
      </c>
      <c r="K190">
        <f>1-(1-VLOOKUP(D190,Hipotesis!$D$9:$K$38,8,FALSE))^(1/12)</f>
        <v>2.5350486138366879E-3</v>
      </c>
      <c r="L190">
        <f t="shared" si="52"/>
        <v>0.69027671834077531</v>
      </c>
      <c r="M190">
        <f t="shared" si="53"/>
        <v>271.60300971929917</v>
      </c>
      <c r="N190">
        <f>IF(D190=1,(VLOOKUP(D190,'Primas Netas Y Reservas'!$D$4:$I$33,5,FALSE)+(VLOOKUP(D190,'Primas Netas Y Reservas'!$D$4:$I$33,6,FALSE)-VLOOKUP(D190,'Primas Netas Y Reservas'!$D$4:$I$33,5,FALSE))*(E190/12))/1000,((VLOOKUP(D190-1,'Primas Netas Y Reservas'!$D$4:$I$33,6,FALSE)+VLOOKUP(D190,'Primas Netas Y Reservas'!$D$4:$I$33,5,FALSE))+(VLOOKUP(D190,'Primas Netas Y Reservas'!$D$4:$I$33,6,FALSE)-VLOOKUP(D190-1,'Primas Netas Y Reservas'!$D$4:$I$33,6,FALSE)-VLOOKUP(D190,'Primas Netas Y Reservas'!$D$4:$I$33,5,FALSE))*(E190/12))/1000)</f>
        <v>0.49819367902587663</v>
      </c>
      <c r="O190">
        <f t="shared" si="54"/>
        <v>-0.22237488891468615</v>
      </c>
      <c r="P190">
        <f>VLOOKUP(D190,Hipotesis!$D$9:$S$38,15,FALSE)*N190</f>
        <v>0.49819367902587663</v>
      </c>
      <c r="Q190">
        <f t="shared" si="41"/>
        <v>0.34389149785609968</v>
      </c>
      <c r="R190">
        <f t="shared" si="42"/>
        <v>0</v>
      </c>
      <c r="S190">
        <f t="shared" si="43"/>
        <v>0.34389149785609968</v>
      </c>
      <c r="T190">
        <f>G190*(VLOOKUP(D190,Hipotesis!$D$9:$N$38,9,FALSE)+VLOOKUP(D190,Hipotesis!$D$9:$N$38,10,FALSE)+VLOOKUP(D190,Hipotesis!$D$9:$N$38,11,FALSE))</f>
        <v>0</v>
      </c>
      <c r="U190">
        <v>0</v>
      </c>
      <c r="V190">
        <f>G190*VLOOKUP(D190,Hipotesis!$D$9:$S$38,16,FALSE)+((VLOOKUP(D190,Hipotesis!$D$9:$T$38,17,FALSE)/$B$4)*M189)/12</f>
        <v>1.0222558753962814E-2</v>
      </c>
      <c r="W190">
        <f>(1+VLOOKUP(D190,Hipotesis!$D$9:$P$38,13,FALSE))^(1/12)-1</f>
        <v>0</v>
      </c>
      <c r="X190">
        <f t="shared" si="55"/>
        <v>0</v>
      </c>
      <c r="Y190">
        <f t="shared" si="44"/>
        <v>0.37499605007012499</v>
      </c>
      <c r="Z190">
        <f>(1+VLOOKUP(D190,Hipotesis!$D$9:$O$38,12,))^(1/12)-1</f>
        <v>2.7804427767823547E-3</v>
      </c>
      <c r="AA190">
        <f t="shared" si="56"/>
        <v>0.37684252253714484</v>
      </c>
      <c r="AB190">
        <f t="shared" si="57"/>
        <v>-1.8464724670198701E-3</v>
      </c>
      <c r="AC190" s="68">
        <f t="shared" si="45"/>
        <v>-1.0222558753962814E-2</v>
      </c>
      <c r="AD190">
        <f t="shared" si="46"/>
        <v>-0.65217183255784095</v>
      </c>
      <c r="AE190" s="67">
        <f t="shared" si="47"/>
        <v>-6.5023452326992567E-2</v>
      </c>
      <c r="AF190" s="67">
        <f t="shared" si="48"/>
        <v>-1.950703569809777E-2</v>
      </c>
      <c r="AG190" s="67">
        <f t="shared" si="49"/>
        <v>-4.5516416628894801E-2</v>
      </c>
    </row>
    <row r="191" spans="4:33" x14ac:dyDescent="0.2">
      <c r="D191" s="50">
        <v>16</v>
      </c>
      <c r="E191">
        <v>9</v>
      </c>
      <c r="F191">
        <f t="shared" si="58"/>
        <v>65</v>
      </c>
      <c r="G191">
        <f t="shared" si="50"/>
        <v>0</v>
      </c>
      <c r="H191" s="64">
        <f>IF(E191="Anual",VLOOKUP(F191,Hipotesis!$E$9:$J$38,6,FALSE),1-(1-VLOOKUP(F191,Hipotesis!$E$9:$J$38,6,FALSE))^(1/12))</f>
        <v>1.1308824756652847E-3</v>
      </c>
      <c r="I191">
        <f t="shared" si="51"/>
        <v>0.30715108402950342</v>
      </c>
      <c r="J191">
        <v>0</v>
      </c>
      <c r="K191">
        <f>1-(1-VLOOKUP(D191,Hipotesis!$D$9:$K$38,8,FALSE))^(1/12)</f>
        <v>2.5350486138366879E-3</v>
      </c>
      <c r="L191">
        <f t="shared" si="52"/>
        <v>0.68774819037297441</v>
      </c>
      <c r="M191">
        <f t="shared" si="53"/>
        <v>270.60811044489668</v>
      </c>
      <c r="N191">
        <f>IF(D191=1,(VLOOKUP(D191,'Primas Netas Y Reservas'!$D$4:$I$33,5,FALSE)+(VLOOKUP(D191,'Primas Netas Y Reservas'!$D$4:$I$33,6,FALSE)-VLOOKUP(D191,'Primas Netas Y Reservas'!$D$4:$I$33,5,FALSE))*(E191/12))/1000,((VLOOKUP(D191-1,'Primas Netas Y Reservas'!$D$4:$I$33,6,FALSE)+VLOOKUP(D191,'Primas Netas Y Reservas'!$D$4:$I$33,5,FALSE))+(VLOOKUP(D191,'Primas Netas Y Reservas'!$D$4:$I$33,6,FALSE)-VLOOKUP(D191-1,'Primas Netas Y Reservas'!$D$4:$I$33,6,FALSE)-VLOOKUP(D191,'Primas Netas Y Reservas'!$D$4:$I$33,5,FALSE))*(E191/12))/1000)</f>
        <v>0.49920284388987601</v>
      </c>
      <c r="O191">
        <f t="shared" si="54"/>
        <v>-0.22256433280051624</v>
      </c>
      <c r="P191">
        <f>VLOOKUP(D191,Hipotesis!$D$9:$S$38,15,FALSE)*N191</f>
        <v>0.49920284388987601</v>
      </c>
      <c r="Q191">
        <f t="shared" si="41"/>
        <v>0.3433258525143047</v>
      </c>
      <c r="R191">
        <f t="shared" si="42"/>
        <v>0</v>
      </c>
      <c r="S191">
        <f t="shared" si="43"/>
        <v>0.3433258525143047</v>
      </c>
      <c r="T191">
        <f>G191*(VLOOKUP(D191,Hipotesis!$D$9:$N$38,9,FALSE)+VLOOKUP(D191,Hipotesis!$D$9:$N$38,10,FALSE)+VLOOKUP(D191,Hipotesis!$D$9:$N$38,11,FALSE))</f>
        <v>0</v>
      </c>
      <c r="U191">
        <v>0</v>
      </c>
      <c r="V191">
        <f>G191*VLOOKUP(D191,Hipotesis!$D$9:$S$38,16,FALSE)+((VLOOKUP(D191,Hipotesis!$D$9:$T$38,17,FALSE)/$B$4)*M190)/12</f>
        <v>1.0185112864473718E-2</v>
      </c>
      <c r="W191">
        <f>(1+VLOOKUP(D191,Hipotesis!$D$9:$P$38,13,FALSE))^(1/12)-1</f>
        <v>0</v>
      </c>
      <c r="X191">
        <f t="shared" si="55"/>
        <v>0</v>
      </c>
      <c r="Y191">
        <f t="shared" si="44"/>
        <v>0.37438257629897315</v>
      </c>
      <c r="Z191">
        <f>(1+VLOOKUP(D191,Hipotesis!$D$9:$O$38,12,))^(1/12)-1</f>
        <v>2.7804427767823547E-3</v>
      </c>
      <c r="AA191">
        <f t="shared" si="56"/>
        <v>0.37622422188352422</v>
      </c>
      <c r="AB191">
        <f t="shared" si="57"/>
        <v>-1.8416455845510994E-3</v>
      </c>
      <c r="AC191" s="68">
        <f t="shared" si="45"/>
        <v>-1.0185112864473718E-2</v>
      </c>
      <c r="AD191">
        <f t="shared" si="46"/>
        <v>-0.65047693654380812</v>
      </c>
      <c r="AE191" s="67">
        <f t="shared" si="47"/>
        <v>-6.371514030879244E-2</v>
      </c>
      <c r="AF191" s="67">
        <f t="shared" si="48"/>
        <v>-1.9114542092637733E-2</v>
      </c>
      <c r="AG191" s="67">
        <f t="shared" si="49"/>
        <v>-4.460059821615471E-2</v>
      </c>
    </row>
    <row r="192" spans="4:33" x14ac:dyDescent="0.2">
      <c r="D192" s="50">
        <v>16</v>
      </c>
      <c r="E192">
        <v>10</v>
      </c>
      <c r="F192">
        <f t="shared" si="58"/>
        <v>65</v>
      </c>
      <c r="G192">
        <f t="shared" si="50"/>
        <v>0</v>
      </c>
      <c r="H192" s="64">
        <f>IF(E192="Anual",VLOOKUP(F192,Hipotesis!$E$9:$J$38,6,FALSE),1-(1-VLOOKUP(F192,Hipotesis!$E$9:$J$38,6,FALSE))^(1/12))</f>
        <v>1.1308824756652847E-3</v>
      </c>
      <c r="I192">
        <f t="shared" si="51"/>
        <v>0.30602596987502956</v>
      </c>
      <c r="J192">
        <v>0</v>
      </c>
      <c r="K192">
        <f>1-(1-VLOOKUP(D192,Hipotesis!$D$9:$K$38,8,FALSE))^(1/12)</f>
        <v>2.5350486138366879E-3</v>
      </c>
      <c r="L192">
        <f t="shared" si="52"/>
        <v>0.68522892456557105</v>
      </c>
      <c r="M192">
        <f t="shared" si="53"/>
        <v>269.61685555045608</v>
      </c>
      <c r="N192">
        <f>IF(D192=1,(VLOOKUP(D192,'Primas Netas Y Reservas'!$D$4:$I$33,5,FALSE)+(VLOOKUP(D192,'Primas Netas Y Reservas'!$D$4:$I$33,6,FALSE)-VLOOKUP(D192,'Primas Netas Y Reservas'!$D$4:$I$33,5,FALSE))*(E192/12))/1000,((VLOOKUP(D192-1,'Primas Netas Y Reservas'!$D$4:$I$33,6,FALSE)+VLOOKUP(D192,'Primas Netas Y Reservas'!$D$4:$I$33,5,FALSE))+(VLOOKUP(D192,'Primas Netas Y Reservas'!$D$4:$I$33,6,FALSE)-VLOOKUP(D192-1,'Primas Netas Y Reservas'!$D$4:$I$33,6,FALSE)-VLOOKUP(D192,'Primas Netas Y Reservas'!$D$4:$I$33,5,FALSE))*(E192/12))/1000)</f>
        <v>0.50021200875387539</v>
      </c>
      <c r="O192">
        <f t="shared" si="54"/>
        <v>-0.22274940496097884</v>
      </c>
      <c r="P192">
        <f>VLOOKUP(D192,Hipotesis!$D$9:$S$38,15,FALSE)*N192</f>
        <v>0.50021200875387539</v>
      </c>
      <c r="Q192">
        <f t="shared" si="41"/>
        <v>0.34275973681320204</v>
      </c>
      <c r="R192">
        <f t="shared" si="42"/>
        <v>0</v>
      </c>
      <c r="S192">
        <f t="shared" si="43"/>
        <v>0.34275973681320204</v>
      </c>
      <c r="T192">
        <f>G192*(VLOOKUP(D192,Hipotesis!$D$9:$N$38,9,FALSE)+VLOOKUP(D192,Hipotesis!$D$9:$N$38,10,FALSE)+VLOOKUP(D192,Hipotesis!$D$9:$N$38,11,FALSE))</f>
        <v>0</v>
      </c>
      <c r="U192">
        <v>0</v>
      </c>
      <c r="V192">
        <f>G192*VLOOKUP(D192,Hipotesis!$D$9:$S$38,16,FALSE)+((VLOOKUP(D192,Hipotesis!$D$9:$T$38,17,FALSE)/$B$4)*M191)/12</f>
        <v>1.0147804141683625E-2</v>
      </c>
      <c r="W192">
        <f>(1+VLOOKUP(D192,Hipotesis!$D$9:$P$38,13,FALSE))^(1/12)-1</f>
        <v>0</v>
      </c>
      <c r="X192">
        <f t="shared" si="55"/>
        <v>0</v>
      </c>
      <c r="Y192">
        <f t="shared" si="44"/>
        <v>0.37376856520361695</v>
      </c>
      <c r="Z192">
        <f>(1+VLOOKUP(D192,Hipotesis!$D$9:$O$38,12,))^(1/12)-1</f>
        <v>2.7804427767823547E-3</v>
      </c>
      <c r="AA192">
        <f t="shared" si="56"/>
        <v>0.37560539449201963</v>
      </c>
      <c r="AB192">
        <f t="shared" si="57"/>
        <v>-1.8368292884026916E-3</v>
      </c>
      <c r="AC192" s="68">
        <f t="shared" si="45"/>
        <v>-1.0147804141683625E-2</v>
      </c>
      <c r="AD192">
        <f t="shared" si="46"/>
        <v>-0.64878570668823166</v>
      </c>
      <c r="AE192" s="67">
        <f t="shared" si="47"/>
        <v>-6.2415540665319437E-2</v>
      </c>
      <c r="AF192" s="67">
        <f t="shared" si="48"/>
        <v>-1.8724662199595829E-2</v>
      </c>
      <c r="AG192" s="67">
        <f t="shared" si="49"/>
        <v>-4.3690878465723608E-2</v>
      </c>
    </row>
    <row r="193" spans="4:33" x14ac:dyDescent="0.2">
      <c r="D193" s="50">
        <v>16</v>
      </c>
      <c r="E193">
        <v>11</v>
      </c>
      <c r="F193">
        <f t="shared" si="58"/>
        <v>65</v>
      </c>
      <c r="G193">
        <f t="shared" si="50"/>
        <v>0</v>
      </c>
      <c r="H193" s="64">
        <f>IF(E193="Anual",VLOOKUP(F193,Hipotesis!$E$9:$J$38,6,FALSE),1-(1-VLOOKUP(F193,Hipotesis!$E$9:$J$38,6,FALSE))^(1/12))</f>
        <v>1.1308824756652847E-3</v>
      </c>
      <c r="I193">
        <f t="shared" si="51"/>
        <v>0.30490497708598918</v>
      </c>
      <c r="J193">
        <v>0</v>
      </c>
      <c r="K193">
        <f>1-(1-VLOOKUP(D193,Hipotesis!$D$9:$K$38,8,FALSE))^(1/12)</f>
        <v>2.5350486138366879E-3</v>
      </c>
      <c r="L193">
        <f t="shared" si="52"/>
        <v>0.68271888699067651</v>
      </c>
      <c r="M193">
        <f t="shared" si="53"/>
        <v>268.6292316863794</v>
      </c>
      <c r="N193">
        <f>IF(D193=1,(VLOOKUP(D193,'Primas Netas Y Reservas'!$D$4:$I$33,5,FALSE)+(VLOOKUP(D193,'Primas Netas Y Reservas'!$D$4:$I$33,6,FALSE)-VLOOKUP(D193,'Primas Netas Y Reservas'!$D$4:$I$33,5,FALSE))*(E193/12))/1000,((VLOOKUP(D193-1,'Primas Netas Y Reservas'!$D$4:$I$33,6,FALSE)+VLOOKUP(D193,'Primas Netas Y Reservas'!$D$4:$I$33,5,FALSE))+(VLOOKUP(D193,'Primas Netas Y Reservas'!$D$4:$I$33,6,FALSE)-VLOOKUP(D193-1,'Primas Netas Y Reservas'!$D$4:$I$33,6,FALSE)-VLOOKUP(D193,'Primas Netas Y Reservas'!$D$4:$I$33,5,FALSE))*(E193/12))/1000)</f>
        <v>0.50122117361787477</v>
      </c>
      <c r="O193">
        <f t="shared" si="54"/>
        <v>-0.22293013488200586</v>
      </c>
      <c r="P193">
        <f>VLOOKUP(D193,Hipotesis!$D$9:$S$38,15,FALSE)*N193</f>
        <v>0.50122117361787477</v>
      </c>
      <c r="Q193">
        <f t="shared" si="41"/>
        <v>0.34219316178855608</v>
      </c>
      <c r="R193">
        <f t="shared" si="42"/>
        <v>0</v>
      </c>
      <c r="S193">
        <f t="shared" si="43"/>
        <v>0.34219316178855608</v>
      </c>
      <c r="T193">
        <f>G193*(VLOOKUP(D193,Hipotesis!$D$9:$N$38,9,FALSE)+VLOOKUP(D193,Hipotesis!$D$9:$N$38,10,FALSE)+VLOOKUP(D193,Hipotesis!$D$9:$N$38,11,FALSE))</f>
        <v>0</v>
      </c>
      <c r="U193">
        <v>0</v>
      </c>
      <c r="V193">
        <f>G193*VLOOKUP(D193,Hipotesis!$D$9:$S$38,16,FALSE)+((VLOOKUP(D193,Hipotesis!$D$9:$T$38,17,FALSE)/$B$4)*M192)/12</f>
        <v>1.0110632083142102E-2</v>
      </c>
      <c r="W193">
        <f>(1+VLOOKUP(D193,Hipotesis!$D$9:$P$38,13,FALSE))^(1/12)-1</f>
        <v>0</v>
      </c>
      <c r="X193">
        <f t="shared" si="55"/>
        <v>0</v>
      </c>
      <c r="Y193">
        <f t="shared" si="44"/>
        <v>0.37315402895217814</v>
      </c>
      <c r="Z193">
        <f>(1+VLOOKUP(D193,Hipotesis!$D$9:$O$38,12,))^(1/12)-1</f>
        <v>2.7804427767823547E-3</v>
      </c>
      <c r="AA193">
        <f t="shared" si="56"/>
        <v>0.37498605251796335</v>
      </c>
      <c r="AB193">
        <f t="shared" si="57"/>
        <v>-1.8320235657852055E-3</v>
      </c>
      <c r="AC193" s="68">
        <f t="shared" si="45"/>
        <v>-1.0110632083142102E-2</v>
      </c>
      <c r="AD193">
        <f t="shared" si="46"/>
        <v>-0.64709813887454526</v>
      </c>
      <c r="AE193" s="67">
        <f t="shared" si="47"/>
        <v>-6.1124607123503358E-2</v>
      </c>
      <c r="AF193" s="67">
        <f t="shared" si="48"/>
        <v>-1.8337382137051005E-2</v>
      </c>
      <c r="AG193" s="67">
        <f t="shared" si="49"/>
        <v>-4.2787224986452349E-2</v>
      </c>
    </row>
    <row r="194" spans="4:33" x14ac:dyDescent="0.2">
      <c r="D194" s="50">
        <v>16</v>
      </c>
      <c r="E194">
        <v>12</v>
      </c>
      <c r="F194">
        <f t="shared" si="58"/>
        <v>65</v>
      </c>
      <c r="G194">
        <f t="shared" si="50"/>
        <v>0</v>
      </c>
      <c r="H194" s="64">
        <f>IF(E194="Anual",VLOOKUP(F194,Hipotesis!$E$9:$J$38,6,FALSE),1-(1-VLOOKUP(F194,Hipotesis!$E$9:$J$38,6,FALSE))^(1/12))</f>
        <v>1.1308824756652847E-3</v>
      </c>
      <c r="I194">
        <f t="shared" si="51"/>
        <v>0.30378809056555611</v>
      </c>
      <c r="J194">
        <v>0</v>
      </c>
      <c r="K194">
        <f>1-(1-VLOOKUP(D194,Hipotesis!$D$9:$K$38,8,FALSE))^(1/12)</f>
        <v>2.5350486138366879E-3</v>
      </c>
      <c r="L194">
        <f t="shared" si="52"/>
        <v>0.68021804384468232</v>
      </c>
      <c r="M194">
        <f t="shared" si="53"/>
        <v>267.64522555196919</v>
      </c>
      <c r="N194">
        <f>IF(D194=1,(VLOOKUP(D194,'Primas Netas Y Reservas'!$D$4:$I$33,5,FALSE)+(VLOOKUP(D194,'Primas Netas Y Reservas'!$D$4:$I$33,6,FALSE)-VLOOKUP(D194,'Primas Netas Y Reservas'!$D$4:$I$33,5,FALSE))*(E194/12))/1000,((VLOOKUP(D194-1,'Primas Netas Y Reservas'!$D$4:$I$33,6,FALSE)+VLOOKUP(D194,'Primas Netas Y Reservas'!$D$4:$I$33,5,FALSE))+(VLOOKUP(D194,'Primas Netas Y Reservas'!$D$4:$I$33,6,FALSE)-VLOOKUP(D194-1,'Primas Netas Y Reservas'!$D$4:$I$33,6,FALSE)-VLOOKUP(D194,'Primas Netas Y Reservas'!$D$4:$I$33,5,FALSE))*(E194/12))/1000)</f>
        <v>0.50223033848187415</v>
      </c>
      <c r="O194">
        <f t="shared" si="54"/>
        <v>-0.22310655189204454</v>
      </c>
      <c r="P194">
        <f>VLOOKUP(D194,Hipotesis!$D$9:$S$38,15,FALSE)*N194</f>
        <v>0.50223033848187415</v>
      </c>
      <c r="Q194">
        <f t="shared" si="41"/>
        <v>0.34162613840159312</v>
      </c>
      <c r="R194">
        <f t="shared" si="42"/>
        <v>0</v>
      </c>
      <c r="S194">
        <f t="shared" si="43"/>
        <v>0.34162613840159312</v>
      </c>
      <c r="T194">
        <f>G194*(VLOOKUP(D194,Hipotesis!$D$9:$N$38,9,FALSE)+VLOOKUP(D194,Hipotesis!$D$9:$N$38,10,FALSE)+VLOOKUP(D194,Hipotesis!$D$9:$N$38,11,FALSE))</f>
        <v>0</v>
      </c>
      <c r="U194">
        <v>0</v>
      </c>
      <c r="V194">
        <f>G194*VLOOKUP(D194,Hipotesis!$D$9:$S$38,16,FALSE)+((VLOOKUP(D194,Hipotesis!$D$9:$T$38,17,FALSE)/$B$4)*M193)/12</f>
        <v>1.0073596188239227E-2</v>
      </c>
      <c r="W194">
        <f>(1+VLOOKUP(D194,Hipotesis!$D$9:$P$38,13,FALSE))^(1/12)-1</f>
        <v>0</v>
      </c>
      <c r="X194">
        <f t="shared" si="55"/>
        <v>0</v>
      </c>
      <c r="Y194">
        <f t="shared" si="44"/>
        <v>0.3725389796308427</v>
      </c>
      <c r="Z194">
        <f>(1+VLOOKUP(D194,Hipotesis!$D$9:$O$38,12,))^(1/12)-1</f>
        <v>2.7804427767823547E-3</v>
      </c>
      <c r="AA194">
        <f t="shared" si="56"/>
        <v>0.37436620803470355</v>
      </c>
      <c r="AB194">
        <f t="shared" si="57"/>
        <v>-1.8272284038608464E-3</v>
      </c>
      <c r="AC194" s="68">
        <f t="shared" si="45"/>
        <v>-1.0073596188239227E-2</v>
      </c>
      <c r="AD194">
        <f t="shared" si="46"/>
        <v>-0.64541422896714917</v>
      </c>
      <c r="AE194" s="67">
        <f t="shared" si="47"/>
        <v>-5.9842293632501216E-2</v>
      </c>
      <c r="AF194" s="67">
        <f t="shared" si="48"/>
        <v>-1.7952688089750365E-2</v>
      </c>
      <c r="AG194" s="67">
        <f t="shared" si="49"/>
        <v>-4.1889605542750855E-2</v>
      </c>
    </row>
    <row r="195" spans="4:33" x14ac:dyDescent="0.2">
      <c r="D195" s="50">
        <v>17</v>
      </c>
      <c r="E195">
        <v>1</v>
      </c>
      <c r="F195">
        <f t="shared" si="58"/>
        <v>66</v>
      </c>
      <c r="G195">
        <f t="shared" si="50"/>
        <v>0</v>
      </c>
      <c r="H195" s="64">
        <f>IF(E195="Anual",VLOOKUP(F195,Hipotesis!$E$9:$J$38,6,FALSE),1-(1-VLOOKUP(F195,Hipotesis!$E$9:$J$38,6,FALSE))^(1/12))</f>
        <v>1.216924530087593E-3</v>
      </c>
      <c r="I195">
        <f t="shared" si="51"/>
        <v>0.32570404033501793</v>
      </c>
      <c r="J195">
        <v>0</v>
      </c>
      <c r="K195">
        <f>1-(1-VLOOKUP(D195,Hipotesis!$D$9:$K$38,8,FALSE))^(1/12)</f>
        <v>2.5350486138366879E-3</v>
      </c>
      <c r="L195">
        <f t="shared" si="52"/>
        <v>0.67766798245955484</v>
      </c>
      <c r="M195">
        <f t="shared" si="53"/>
        <v>266.64185352917457</v>
      </c>
      <c r="N195">
        <f>IF(D195=1,(VLOOKUP(D195,'Primas Netas Y Reservas'!$D$4:$I$33,5,FALSE)+(VLOOKUP(D195,'Primas Netas Y Reservas'!$D$4:$I$33,6,FALSE)-VLOOKUP(D195,'Primas Netas Y Reservas'!$D$4:$I$33,5,FALSE))*(E195/12))/1000,((VLOOKUP(D195-1,'Primas Netas Y Reservas'!$D$4:$I$33,6,FALSE)+VLOOKUP(D195,'Primas Netas Y Reservas'!$D$4:$I$33,5,FALSE))+(VLOOKUP(D195,'Primas Netas Y Reservas'!$D$4:$I$33,6,FALSE)-VLOOKUP(D195-1,'Primas Netas Y Reservas'!$D$4:$I$33,6,FALSE)-VLOOKUP(D195,'Primas Netas Y Reservas'!$D$4:$I$33,5,FALSE))*(E195/12))/1000)</f>
        <v>0.5032440647259987</v>
      </c>
      <c r="O195">
        <f t="shared" si="54"/>
        <v>-0.23362202592684866</v>
      </c>
      <c r="P195">
        <f>VLOOKUP(D195,Hipotesis!$D$9:$S$38,15,FALSE)*N195</f>
        <v>0.5032440647259987</v>
      </c>
      <c r="Q195">
        <f t="shared" si="41"/>
        <v>0.34103239002761315</v>
      </c>
      <c r="R195">
        <f t="shared" si="42"/>
        <v>0</v>
      </c>
      <c r="S195">
        <f t="shared" si="43"/>
        <v>0.34103239002761315</v>
      </c>
      <c r="T195">
        <f>G195*(VLOOKUP(D195,Hipotesis!$D$9:$N$38,9,FALSE)+VLOOKUP(D195,Hipotesis!$D$9:$N$38,10,FALSE)+VLOOKUP(D195,Hipotesis!$D$9:$N$38,11,FALSE))</f>
        <v>0</v>
      </c>
      <c r="U195">
        <v>0</v>
      </c>
      <c r="V195">
        <f>G195*VLOOKUP(D195,Hipotesis!$D$9:$S$38,16,FALSE)+((VLOOKUP(D195,Hipotesis!$D$9:$T$38,17,FALSE)/$B$4)*M194)/12</f>
        <v>1.0036695958198845E-2</v>
      </c>
      <c r="W195">
        <f>(1+VLOOKUP(D195,Hipotesis!$D$9:$P$38,13,FALSE))^(1/12)-1</f>
        <v>0</v>
      </c>
      <c r="X195">
        <f t="shared" si="55"/>
        <v>0</v>
      </c>
      <c r="Y195">
        <f t="shared" si="44"/>
        <v>0.34266755345829208</v>
      </c>
      <c r="Z195">
        <f>(1+VLOOKUP(D195,Hipotesis!$D$9:$O$38,12,))^(1/12)-1</f>
        <v>2.5617303157983162E-3</v>
      </c>
      <c r="AA195">
        <f t="shared" si="56"/>
        <v>0.34434664196319137</v>
      </c>
      <c r="AB195">
        <f t="shared" si="57"/>
        <v>-1.6790885048993103E-3</v>
      </c>
      <c r="AC195" s="68">
        <f t="shared" si="45"/>
        <v>-1.0036695958198845E-2</v>
      </c>
      <c r="AD195">
        <f t="shared" si="46"/>
        <v>-0.66673643036263108</v>
      </c>
      <c r="AE195" s="67">
        <f t="shared" si="47"/>
        <v>-0.10048354693568917</v>
      </c>
      <c r="AF195" s="67">
        <f t="shared" si="48"/>
        <v>-3.014506408070675E-2</v>
      </c>
      <c r="AG195" s="67">
        <f t="shared" si="49"/>
        <v>-7.0338482854982426E-2</v>
      </c>
    </row>
    <row r="196" spans="4:33" x14ac:dyDescent="0.2">
      <c r="D196" s="50">
        <v>17</v>
      </c>
      <c r="E196">
        <v>2</v>
      </c>
      <c r="F196">
        <f t="shared" si="58"/>
        <v>66</v>
      </c>
      <c r="G196">
        <f t="shared" si="50"/>
        <v>0</v>
      </c>
      <c r="H196" s="64">
        <f>IF(E196="Anual",VLOOKUP(F196,Hipotesis!$E$9:$J$38,6,FALSE),1-(1-VLOOKUP(F196,Hipotesis!$E$9:$J$38,6,FALSE))^(1/12))</f>
        <v>1.216924530087593E-3</v>
      </c>
      <c r="I196">
        <f t="shared" si="51"/>
        <v>0.32448301230767557</v>
      </c>
      <c r="J196">
        <v>0</v>
      </c>
      <c r="K196">
        <f>1-(1-VLOOKUP(D196,Hipotesis!$D$9:$K$38,8,FALSE))^(1/12)</f>
        <v>2.5350486138366879E-3</v>
      </c>
      <c r="L196">
        <f t="shared" si="52"/>
        <v>0.67512748096941511</v>
      </c>
      <c r="M196">
        <f t="shared" si="53"/>
        <v>265.64224303589748</v>
      </c>
      <c r="N196">
        <f>IF(D196=1,(VLOOKUP(D196,'Primas Netas Y Reservas'!$D$4:$I$33,5,FALSE)+(VLOOKUP(D196,'Primas Netas Y Reservas'!$D$4:$I$33,6,FALSE)-VLOOKUP(D196,'Primas Netas Y Reservas'!$D$4:$I$33,5,FALSE))*(E196/12))/1000,((VLOOKUP(D196-1,'Primas Netas Y Reservas'!$D$4:$I$33,6,FALSE)+VLOOKUP(D196,'Primas Netas Y Reservas'!$D$4:$I$33,5,FALSE))+(VLOOKUP(D196,'Primas Netas Y Reservas'!$D$4:$I$33,6,FALSE)-VLOOKUP(D196-1,'Primas Netas Y Reservas'!$D$4:$I$33,6,FALSE)-VLOOKUP(D196,'Primas Netas Y Reservas'!$D$4:$I$33,5,FALSE))*(E196/12))/1000)</f>
        <v>0.50425779097012324</v>
      </c>
      <c r="O196">
        <f t="shared" si="54"/>
        <v>-0.2337595344659178</v>
      </c>
      <c r="P196">
        <f>VLOOKUP(D196,Hipotesis!$D$9:$S$38,15,FALSE)*N196</f>
        <v>0.50425779097012324</v>
      </c>
      <c r="Q196">
        <f t="shared" ref="Q196:Q259" si="59">L196*P196</f>
        <v>0.34043829217686117</v>
      </c>
      <c r="R196">
        <f t="shared" ref="R196:R259" si="60">J196*N196</f>
        <v>0</v>
      </c>
      <c r="S196">
        <f t="shared" ref="S196:S259" si="61">L196*P196+J196*N196</f>
        <v>0.34043829217686117</v>
      </c>
      <c r="T196">
        <f>G196*(VLOOKUP(D196,Hipotesis!$D$9:$N$38,9,FALSE)+VLOOKUP(D196,Hipotesis!$D$9:$N$38,10,FALSE)+VLOOKUP(D196,Hipotesis!$D$9:$N$38,11,FALSE))</f>
        <v>0</v>
      </c>
      <c r="U196">
        <v>0</v>
      </c>
      <c r="V196">
        <f>G196*VLOOKUP(D196,Hipotesis!$D$9:$S$38,16,FALSE)+((VLOOKUP(D196,Hipotesis!$D$9:$T$38,17,FALSE)/$B$4)*M195)/12</f>
        <v>9.9990695073440463E-3</v>
      </c>
      <c r="W196">
        <f>(1+VLOOKUP(D196,Hipotesis!$D$9:$P$38,13,FALSE))^(1/12)-1</f>
        <v>0</v>
      </c>
      <c r="X196">
        <f t="shared" si="55"/>
        <v>0</v>
      </c>
      <c r="Y196">
        <f t="shared" ref="Y196:Y259" si="62">AA196+AB196</f>
        <v>0.34201455149114246</v>
      </c>
      <c r="Z196">
        <f>(1+VLOOKUP(D196,Hipotesis!$D$9:$O$38,12,))^(1/12)-1</f>
        <v>2.5617303157983162E-3</v>
      </c>
      <c r="AA196">
        <f t="shared" si="56"/>
        <v>0.34374816533693631</v>
      </c>
      <c r="AB196">
        <f t="shared" si="57"/>
        <v>-1.7336138457938429E-3</v>
      </c>
      <c r="AC196" s="68">
        <f t="shared" ref="AC196:AC259" si="63">G196-T196-U196-V196</f>
        <v>-9.9990695073440463E-3</v>
      </c>
      <c r="AD196">
        <f t="shared" ref="AD196:AD259" si="64">-(I196+S196)</f>
        <v>-0.66492130448453679</v>
      </c>
      <c r="AE196" s="67">
        <f t="shared" ref="AE196:AE259" si="65">G196+Y196-I196-S196-O196-T196-U196-V196</f>
        <v>-9.9146288034820521E-2</v>
      </c>
      <c r="AF196" s="67">
        <f t="shared" ref="AF196:AF259" si="66">(30%)*AE196</f>
        <v>-2.9743886410446153E-2</v>
      </c>
      <c r="AG196" s="67">
        <f t="shared" ref="AG196:AG259" si="67">AE196-AF196</f>
        <v>-6.940240162437436E-2</v>
      </c>
    </row>
    <row r="197" spans="4:33" x14ac:dyDescent="0.2">
      <c r="D197" s="50">
        <v>17</v>
      </c>
      <c r="E197">
        <v>3</v>
      </c>
      <c r="F197">
        <f t="shared" si="58"/>
        <v>66</v>
      </c>
      <c r="G197">
        <f t="shared" ref="G197:G260" si="68">IF(E197=1,IF(D197&lt;=$B$7,($B$1+($B$3/$B$4*1000))*M196/$B$2,0),0)</f>
        <v>0</v>
      </c>
      <c r="H197" s="64">
        <f>IF(E197="Anual",VLOOKUP(F197,Hipotesis!$E$9:$J$38,6,FALSE),1-(1-VLOOKUP(F197,Hipotesis!$E$9:$J$38,6,FALSE))^(1/12))</f>
        <v>1.216924530087593E-3</v>
      </c>
      <c r="I197">
        <f t="shared" ref="I197:I260" si="69">H197*1000*(M196/$B$2)</f>
        <v>0.32326656177787372</v>
      </c>
      <c r="J197">
        <v>0</v>
      </c>
      <c r="K197">
        <f>1-(1-VLOOKUP(D197,Hipotesis!$D$9:$K$38,8,FALSE))^(1/12)</f>
        <v>2.5350486138366879E-3</v>
      </c>
      <c r="L197">
        <f t="shared" ref="L197:L260" si="70">(M196-I197-J197)*K197</f>
        <v>0.67259650353528577</v>
      </c>
      <c r="M197">
        <f t="shared" ref="M197:M260" si="71">M196-I197-L197-J197</f>
        <v>264.64637997058435</v>
      </c>
      <c r="N197">
        <f>IF(D197=1,(VLOOKUP(D197,'Primas Netas Y Reservas'!$D$4:$I$33,5,FALSE)+(VLOOKUP(D197,'Primas Netas Y Reservas'!$D$4:$I$33,6,FALSE)-VLOOKUP(D197,'Primas Netas Y Reservas'!$D$4:$I$33,5,FALSE))*(E197/12))/1000,((VLOOKUP(D197-1,'Primas Netas Y Reservas'!$D$4:$I$33,6,FALSE)+VLOOKUP(D197,'Primas Netas Y Reservas'!$D$4:$I$33,5,FALSE))+(VLOOKUP(D197,'Primas Netas Y Reservas'!$D$4:$I$33,6,FALSE)-VLOOKUP(D197-1,'Primas Netas Y Reservas'!$D$4:$I$33,6,FALSE)-VLOOKUP(D197,'Primas Netas Y Reservas'!$D$4:$I$33,5,FALSE))*(E197/12))/1000)</f>
        <v>0.50527151721424779</v>
      </c>
      <c r="O197">
        <f t="shared" ref="O197:O260" si="72">(M197*N197-M196*N196)</f>
        <v>-0.2338927286347996</v>
      </c>
      <c r="P197">
        <f>VLOOKUP(D197,Hipotesis!$D$9:$S$38,15,FALSE)*N197</f>
        <v>0.50527151721424779</v>
      </c>
      <c r="Q197">
        <f t="shared" si="59"/>
        <v>0.33984385581427201</v>
      </c>
      <c r="R197">
        <f t="shared" si="60"/>
        <v>0</v>
      </c>
      <c r="S197">
        <f t="shared" si="61"/>
        <v>0.33984385581427201</v>
      </c>
      <c r="T197">
        <f>G197*(VLOOKUP(D197,Hipotesis!$D$9:$N$38,9,FALSE)+VLOOKUP(D197,Hipotesis!$D$9:$N$38,10,FALSE)+VLOOKUP(D197,Hipotesis!$D$9:$N$38,11,FALSE))</f>
        <v>0</v>
      </c>
      <c r="U197">
        <v>0</v>
      </c>
      <c r="V197">
        <f>G197*VLOOKUP(D197,Hipotesis!$D$9:$S$38,16,FALSE)+((VLOOKUP(D197,Hipotesis!$D$9:$T$38,17,FALSE)/$B$4)*M196)/12</f>
        <v>9.9615841138461555E-3</v>
      </c>
      <c r="W197">
        <f>(1+VLOOKUP(D197,Hipotesis!$D$9:$P$38,13,FALSE))^(1/12)-1</f>
        <v>0</v>
      </c>
      <c r="X197">
        <f t="shared" ref="X197:X260" si="73">(1+X196)*(1+W197)-1</f>
        <v>0</v>
      </c>
      <c r="Y197">
        <f t="shared" si="62"/>
        <v>0.34142046849555208</v>
      </c>
      <c r="Z197">
        <f>(1+VLOOKUP(D197,Hipotesis!$D$9:$O$38,12,))^(1/12)-1</f>
        <v>2.5617303157983162E-3</v>
      </c>
      <c r="AA197">
        <f t="shared" ref="AA197:AA260" si="74">N196*M196*Z197</f>
        <v>0.34314933645088808</v>
      </c>
      <c r="AB197">
        <f t="shared" ref="AB197:AB260" si="75">(AD196+AC197)*Z197</f>
        <v>-1.7288679553360154E-3</v>
      </c>
      <c r="AC197" s="68">
        <f t="shared" si="63"/>
        <v>-9.9615841138461555E-3</v>
      </c>
      <c r="AD197">
        <f t="shared" si="64"/>
        <v>-0.66311041759214573</v>
      </c>
      <c r="AE197" s="67">
        <f t="shared" si="65"/>
        <v>-9.7758804575640207E-2</v>
      </c>
      <c r="AF197" s="67">
        <f t="shared" si="66"/>
        <v>-2.9327641372692059E-2</v>
      </c>
      <c r="AG197" s="67">
        <f t="shared" si="67"/>
        <v>-6.8431163202948148E-2</v>
      </c>
    </row>
    <row r="198" spans="4:33" x14ac:dyDescent="0.2">
      <c r="D198" s="50">
        <v>17</v>
      </c>
      <c r="E198">
        <v>4</v>
      </c>
      <c r="F198">
        <f t="shared" si="58"/>
        <v>66</v>
      </c>
      <c r="G198">
        <f t="shared" si="68"/>
        <v>0</v>
      </c>
      <c r="H198" s="64">
        <f>IF(E198="Anual",VLOOKUP(F198,Hipotesis!$E$9:$J$38,6,FALSE),1-(1-VLOOKUP(F198,Hipotesis!$E$9:$J$38,6,FALSE))^(1/12))</f>
        <v>1.216924530087593E-3</v>
      </c>
      <c r="I198">
        <f t="shared" si="69"/>
        <v>0.32205467158508594</v>
      </c>
      <c r="J198">
        <v>0</v>
      </c>
      <c r="K198">
        <f>1-(1-VLOOKUP(D198,Hipotesis!$D$9:$K$38,8,FALSE))^(1/12)</f>
        <v>2.5350486138366879E-3</v>
      </c>
      <c r="L198">
        <f t="shared" si="70"/>
        <v>0.67007501445254591</v>
      </c>
      <c r="M198">
        <f t="shared" si="71"/>
        <v>263.65425028454672</v>
      </c>
      <c r="N198">
        <f>IF(D198=1,(VLOOKUP(D198,'Primas Netas Y Reservas'!$D$4:$I$33,5,FALSE)+(VLOOKUP(D198,'Primas Netas Y Reservas'!$D$4:$I$33,6,FALSE)-VLOOKUP(D198,'Primas Netas Y Reservas'!$D$4:$I$33,5,FALSE))*(E198/12))/1000,((VLOOKUP(D198-1,'Primas Netas Y Reservas'!$D$4:$I$33,6,FALSE)+VLOOKUP(D198,'Primas Netas Y Reservas'!$D$4:$I$33,5,FALSE))+(VLOOKUP(D198,'Primas Netas Y Reservas'!$D$4:$I$33,6,FALSE)-VLOOKUP(D198-1,'Primas Netas Y Reservas'!$D$4:$I$33,6,FALSE)-VLOOKUP(D198,'Primas Netas Y Reservas'!$D$4:$I$33,5,FALSE))*(E198/12))/1000)</f>
        <v>0.50628524345837234</v>
      </c>
      <c r="O198">
        <f t="shared" si="72"/>
        <v>-0.2340216388491001</v>
      </c>
      <c r="P198">
        <f>VLOOKUP(D198,Hipotesis!$D$9:$S$38,15,FALSE)*N198</f>
        <v>0.50628524345837234</v>
      </c>
      <c r="Q198">
        <f t="shared" si="59"/>
        <v>0.33924909182747959</v>
      </c>
      <c r="R198">
        <f t="shared" si="60"/>
        <v>0</v>
      </c>
      <c r="S198">
        <f t="shared" si="61"/>
        <v>0.33924909182747959</v>
      </c>
      <c r="T198">
        <f>G198*(VLOOKUP(D198,Hipotesis!$D$9:$N$38,9,FALSE)+VLOOKUP(D198,Hipotesis!$D$9:$N$38,10,FALSE)+VLOOKUP(D198,Hipotesis!$D$9:$N$38,11,FALSE))</f>
        <v>0</v>
      </c>
      <c r="U198">
        <v>0</v>
      </c>
      <c r="V198">
        <f>G198*VLOOKUP(D198,Hipotesis!$D$9:$S$38,16,FALSE)+((VLOOKUP(D198,Hipotesis!$D$9:$T$38,17,FALSE)/$B$4)*M197)/12</f>
        <v>9.9242392488969131E-3</v>
      </c>
      <c r="W198">
        <f>(1+VLOOKUP(D198,Hipotesis!$D$9:$P$38,13,FALSE))^(1/12)-1</f>
        <v>0</v>
      </c>
      <c r="X198">
        <f t="shared" si="73"/>
        <v>0</v>
      </c>
      <c r="Y198">
        <f t="shared" si="62"/>
        <v>0.3408260330732869</v>
      </c>
      <c r="Z198">
        <f>(1+VLOOKUP(D198,Hipotesis!$D$9:$O$38,12,))^(1/12)-1</f>
        <v>2.5617303157983162E-3</v>
      </c>
      <c r="AA198">
        <f t="shared" si="74"/>
        <v>0.34255016635729951</v>
      </c>
      <c r="AB198">
        <f t="shared" si="75"/>
        <v>-1.7241332840126156E-3</v>
      </c>
      <c r="AC198" s="68">
        <f t="shared" si="63"/>
        <v>-9.9242392488969131E-3</v>
      </c>
      <c r="AD198">
        <f t="shared" si="64"/>
        <v>-0.66130376341256558</v>
      </c>
      <c r="AE198" s="67">
        <f t="shared" si="65"/>
        <v>-9.638033073907544E-2</v>
      </c>
      <c r="AF198" s="67">
        <f t="shared" si="66"/>
        <v>-2.8914099221722632E-2</v>
      </c>
      <c r="AG198" s="67">
        <f t="shared" si="67"/>
        <v>-6.7466231517352815E-2</v>
      </c>
    </row>
    <row r="199" spans="4:33" x14ac:dyDescent="0.2">
      <c r="D199" s="50">
        <v>17</v>
      </c>
      <c r="E199">
        <v>5</v>
      </c>
      <c r="F199">
        <f t="shared" si="58"/>
        <v>66</v>
      </c>
      <c r="G199">
        <f t="shared" si="68"/>
        <v>0</v>
      </c>
      <c r="H199" s="64">
        <f>IF(E199="Anual",VLOOKUP(F199,Hipotesis!$E$9:$J$38,6,FALSE),1-(1-VLOOKUP(F199,Hipotesis!$E$9:$J$38,6,FALSE))^(1/12))</f>
        <v>1.216924530087593E-3</v>
      </c>
      <c r="I199">
        <f t="shared" si="69"/>
        <v>0.32084732463311866</v>
      </c>
      <c r="J199">
        <v>0</v>
      </c>
      <c r="K199">
        <f>1-(1-VLOOKUP(D199,Hipotesis!$D$9:$K$38,8,FALSE))^(1/12)</f>
        <v>2.5350486138366879E-3</v>
      </c>
      <c r="L199">
        <f t="shared" si="70"/>
        <v>0.66756297815042698</v>
      </c>
      <c r="M199">
        <f t="shared" si="71"/>
        <v>262.66583998176316</v>
      </c>
      <c r="N199">
        <f>IF(D199=1,(VLOOKUP(D199,'Primas Netas Y Reservas'!$D$4:$I$33,5,FALSE)+(VLOOKUP(D199,'Primas Netas Y Reservas'!$D$4:$I$33,6,FALSE)-VLOOKUP(D199,'Primas Netas Y Reservas'!$D$4:$I$33,5,FALSE))*(E199/12))/1000,((VLOOKUP(D199-1,'Primas Netas Y Reservas'!$D$4:$I$33,6,FALSE)+VLOOKUP(D199,'Primas Netas Y Reservas'!$D$4:$I$33,5,FALSE))+(VLOOKUP(D199,'Primas Netas Y Reservas'!$D$4:$I$33,6,FALSE)-VLOOKUP(D199-1,'Primas Netas Y Reservas'!$D$4:$I$33,6,FALSE)-VLOOKUP(D199,'Primas Netas Y Reservas'!$D$4:$I$33,5,FALSE))*(E199/12))/1000)</f>
        <v>0.50729896970249688</v>
      </c>
      <c r="O199">
        <f t="shared" si="72"/>
        <v>-0.23414629535702147</v>
      </c>
      <c r="P199">
        <f>VLOOKUP(D199,Hipotesis!$D$9:$S$38,15,FALSE)*N199</f>
        <v>0.50729896970249688</v>
      </c>
      <c r="Q199">
        <f t="shared" si="59"/>
        <v>0.33865401102724202</v>
      </c>
      <c r="R199">
        <f t="shared" si="60"/>
        <v>0</v>
      </c>
      <c r="S199">
        <f t="shared" si="61"/>
        <v>0.33865401102724202</v>
      </c>
      <c r="T199">
        <f>G199*(VLOOKUP(D199,Hipotesis!$D$9:$N$38,9,FALSE)+VLOOKUP(D199,Hipotesis!$D$9:$N$38,10,FALSE)+VLOOKUP(D199,Hipotesis!$D$9:$N$38,11,FALSE))</f>
        <v>0</v>
      </c>
      <c r="U199">
        <v>0</v>
      </c>
      <c r="V199">
        <f>G199*VLOOKUP(D199,Hipotesis!$D$9:$S$38,16,FALSE)+((VLOOKUP(D199,Hipotesis!$D$9:$T$38,17,FALSE)/$B$4)*M198)/12</f>
        <v>9.8870343856705019E-3</v>
      </c>
      <c r="W199">
        <f>(1+VLOOKUP(D199,Hipotesis!$D$9:$P$38,13,FALSE))^(1/12)-1</f>
        <v>0</v>
      </c>
      <c r="X199">
        <f t="shared" si="73"/>
        <v>0</v>
      </c>
      <c r="Y199">
        <f t="shared" si="62"/>
        <v>0.3402312562161024</v>
      </c>
      <c r="Z199">
        <f>(1+VLOOKUP(D199,Hipotesis!$D$9:$O$38,12,))^(1/12)-1</f>
        <v>2.5617303157983162E-3</v>
      </c>
      <c r="AA199">
        <f t="shared" si="74"/>
        <v>0.341950666030507</v>
      </c>
      <c r="AB199">
        <f t="shared" si="75"/>
        <v>-1.7194098144045992E-3</v>
      </c>
      <c r="AC199" s="68">
        <f t="shared" si="63"/>
        <v>-9.8870343856705019E-3</v>
      </c>
      <c r="AD199">
        <f t="shared" si="64"/>
        <v>-0.65950133566036073</v>
      </c>
      <c r="AE199" s="67">
        <f t="shared" si="65"/>
        <v>-9.5010818472907307E-2</v>
      </c>
      <c r="AF199" s="67">
        <f t="shared" si="66"/>
        <v>-2.8503245541872189E-2</v>
      </c>
      <c r="AG199" s="67">
        <f t="shared" si="67"/>
        <v>-6.6507572931035125E-2</v>
      </c>
    </row>
    <row r="200" spans="4:33" x14ac:dyDescent="0.2">
      <c r="D200" s="50">
        <v>17</v>
      </c>
      <c r="E200">
        <v>6</v>
      </c>
      <c r="F200">
        <f t="shared" si="58"/>
        <v>66</v>
      </c>
      <c r="G200">
        <f t="shared" si="68"/>
        <v>0</v>
      </c>
      <c r="H200" s="64">
        <f>IF(E200="Anual",VLOOKUP(F200,Hipotesis!$E$9:$J$38,6,FALSE),1-(1-VLOOKUP(F200,Hipotesis!$E$9:$J$38,6,FALSE))^(1/12))</f>
        <v>1.216924530087593E-3</v>
      </c>
      <c r="I200">
        <f t="shared" si="69"/>
        <v>0.31964450388987009</v>
      </c>
      <c r="J200">
        <v>0</v>
      </c>
      <c r="K200">
        <f>1-(1-VLOOKUP(D200,Hipotesis!$D$9:$K$38,8,FALSE))^(1/12)</f>
        <v>2.5350486138366879E-3</v>
      </c>
      <c r="L200">
        <f t="shared" si="70"/>
        <v>0.66506035919151141</v>
      </c>
      <c r="M200">
        <f t="shared" si="71"/>
        <v>261.68113511868177</v>
      </c>
      <c r="N200">
        <f>IF(D200=1,(VLOOKUP(D200,'Primas Netas Y Reservas'!$D$4:$I$33,5,FALSE)+(VLOOKUP(D200,'Primas Netas Y Reservas'!$D$4:$I$33,6,FALSE)-VLOOKUP(D200,'Primas Netas Y Reservas'!$D$4:$I$33,5,FALSE))*(E200/12))/1000,((VLOOKUP(D200-1,'Primas Netas Y Reservas'!$D$4:$I$33,6,FALSE)+VLOOKUP(D200,'Primas Netas Y Reservas'!$D$4:$I$33,5,FALSE))+(VLOOKUP(D200,'Primas Netas Y Reservas'!$D$4:$I$33,6,FALSE)-VLOOKUP(D200-1,'Primas Netas Y Reservas'!$D$4:$I$33,6,FALSE)-VLOOKUP(D200,'Primas Netas Y Reservas'!$D$4:$I$33,5,FALSE))*(E200/12))/1000)</f>
        <v>0.50831269594662143</v>
      </c>
      <c r="O200">
        <f t="shared" si="72"/>
        <v>-0.23426672824010097</v>
      </c>
      <c r="P200">
        <f>VLOOKUP(D200,Hipotesis!$D$9:$S$38,15,FALSE)*N200</f>
        <v>0.50831269594662143</v>
      </c>
      <c r="Q200">
        <f t="shared" si="59"/>
        <v>0.33805862414786558</v>
      </c>
      <c r="R200">
        <f t="shared" si="60"/>
        <v>0</v>
      </c>
      <c r="S200">
        <f t="shared" si="61"/>
        <v>0.33805862414786558</v>
      </c>
      <c r="T200">
        <f>G200*(VLOOKUP(D200,Hipotesis!$D$9:$N$38,9,FALSE)+VLOOKUP(D200,Hipotesis!$D$9:$N$38,10,FALSE)+VLOOKUP(D200,Hipotesis!$D$9:$N$38,11,FALSE))</f>
        <v>0</v>
      </c>
      <c r="U200">
        <v>0</v>
      </c>
      <c r="V200">
        <f>G200*VLOOKUP(D200,Hipotesis!$D$9:$S$38,16,FALSE)+((VLOOKUP(D200,Hipotesis!$D$9:$T$38,17,FALSE)/$B$4)*M199)/12</f>
        <v>9.8499689993161183E-3</v>
      </c>
      <c r="W200">
        <f>(1+VLOOKUP(D200,Hipotesis!$D$9:$P$38,13,FALSE))^(1/12)-1</f>
        <v>0</v>
      </c>
      <c r="X200">
        <f t="shared" si="73"/>
        <v>0</v>
      </c>
      <c r="Y200">
        <f t="shared" si="62"/>
        <v>0.33963614883829318</v>
      </c>
      <c r="Z200">
        <f>(1+VLOOKUP(D200,Hipotesis!$D$9:$O$38,12,))^(1/12)-1</f>
        <v>2.5617303157983162E-3</v>
      </c>
      <c r="AA200">
        <f t="shared" si="74"/>
        <v>0.34135084636735902</v>
      </c>
      <c r="AB200">
        <f t="shared" si="75"/>
        <v>-1.7146975290658489E-3</v>
      </c>
      <c r="AC200" s="68">
        <f t="shared" si="63"/>
        <v>-9.8499689993161183E-3</v>
      </c>
      <c r="AD200">
        <f t="shared" si="64"/>
        <v>-0.65770312803773567</v>
      </c>
      <c r="AE200" s="67">
        <f t="shared" si="65"/>
        <v>-9.3650219958657632E-2</v>
      </c>
      <c r="AF200" s="67">
        <f t="shared" si="66"/>
        <v>-2.8095065987597288E-2</v>
      </c>
      <c r="AG200" s="67">
        <f t="shared" si="67"/>
        <v>-6.5555153971060348E-2</v>
      </c>
    </row>
    <row r="201" spans="4:33" x14ac:dyDescent="0.2">
      <c r="D201" s="50">
        <v>17</v>
      </c>
      <c r="E201">
        <v>7</v>
      </c>
      <c r="F201">
        <f t="shared" si="58"/>
        <v>66</v>
      </c>
      <c r="G201">
        <f t="shared" si="68"/>
        <v>0</v>
      </c>
      <c r="H201" s="64">
        <f>IF(E201="Anual",VLOOKUP(F201,Hipotesis!$E$9:$J$38,6,FALSE),1-(1-VLOOKUP(F201,Hipotesis!$E$9:$J$38,6,FALSE))^(1/12))</f>
        <v>1.216924530087593E-3</v>
      </c>
      <c r="I201">
        <f t="shared" si="69"/>
        <v>0.31844619238708971</v>
      </c>
      <c r="J201">
        <v>0</v>
      </c>
      <c r="K201">
        <f>1-(1-VLOOKUP(D201,Hipotesis!$D$9:$K$38,8,FALSE))^(1/12)</f>
        <v>2.5350486138366879E-3</v>
      </c>
      <c r="L201">
        <f t="shared" si="70"/>
        <v>0.66256712227123271</v>
      </c>
      <c r="M201">
        <f t="shared" si="71"/>
        <v>260.70012180402341</v>
      </c>
      <c r="N201">
        <f>IF(D201=1,(VLOOKUP(D201,'Primas Netas Y Reservas'!$D$4:$I$33,5,FALSE)+(VLOOKUP(D201,'Primas Netas Y Reservas'!$D$4:$I$33,6,FALSE)-VLOOKUP(D201,'Primas Netas Y Reservas'!$D$4:$I$33,5,FALSE))*(E201/12))/1000,((VLOOKUP(D201-1,'Primas Netas Y Reservas'!$D$4:$I$33,6,FALSE)+VLOOKUP(D201,'Primas Netas Y Reservas'!$D$4:$I$33,5,FALSE))+(VLOOKUP(D201,'Primas Netas Y Reservas'!$D$4:$I$33,6,FALSE)-VLOOKUP(D201-1,'Primas Netas Y Reservas'!$D$4:$I$33,6,FALSE)-VLOOKUP(D201,'Primas Netas Y Reservas'!$D$4:$I$33,5,FALSE))*(E201/12))/1000)</f>
        <v>0.50932642219074598</v>
      </c>
      <c r="O201">
        <f t="shared" si="72"/>
        <v>-0.23438296741431941</v>
      </c>
      <c r="P201">
        <f>VLOOKUP(D201,Hipotesis!$D$9:$S$38,15,FALSE)*N201</f>
        <v>0.50932642219074598</v>
      </c>
      <c r="Q201">
        <f t="shared" si="59"/>
        <v>0.33746294184762549</v>
      </c>
      <c r="R201">
        <f t="shared" si="60"/>
        <v>0</v>
      </c>
      <c r="S201">
        <f t="shared" si="61"/>
        <v>0.33746294184762549</v>
      </c>
      <c r="T201">
        <f>G201*(VLOOKUP(D201,Hipotesis!$D$9:$N$38,9,FALSE)+VLOOKUP(D201,Hipotesis!$D$9:$N$38,10,FALSE)+VLOOKUP(D201,Hipotesis!$D$9:$N$38,11,FALSE))</f>
        <v>0</v>
      </c>
      <c r="U201">
        <v>0</v>
      </c>
      <c r="V201">
        <f>G201*VLOOKUP(D201,Hipotesis!$D$9:$S$38,16,FALSE)+((VLOOKUP(D201,Hipotesis!$D$9:$T$38,17,FALSE)/$B$4)*M200)/12</f>
        <v>9.8130425669505656E-3</v>
      </c>
      <c r="W201">
        <f>(1+VLOOKUP(D201,Hipotesis!$D$9:$P$38,13,FALSE))^(1/12)-1</f>
        <v>0</v>
      </c>
      <c r="X201">
        <f t="shared" si="73"/>
        <v>0</v>
      </c>
      <c r="Y201">
        <f t="shared" si="62"/>
        <v>0.33904072177711986</v>
      </c>
      <c r="Z201">
        <f>(1+VLOOKUP(D201,Hipotesis!$D$9:$O$38,12,))^(1/12)-1</f>
        <v>2.5617303157983162E-3</v>
      </c>
      <c r="AA201">
        <f t="shared" si="74"/>
        <v>0.34075071818764346</v>
      </c>
      <c r="AB201">
        <f t="shared" si="75"/>
        <v>-1.7099964105236256E-3</v>
      </c>
      <c r="AC201" s="68">
        <f t="shared" si="63"/>
        <v>-9.8130425669505656E-3</v>
      </c>
      <c r="AD201">
        <f t="shared" si="64"/>
        <v>-0.6559091342347152</v>
      </c>
      <c r="AE201" s="67">
        <f t="shared" si="65"/>
        <v>-9.2298487610226493E-2</v>
      </c>
      <c r="AF201" s="67">
        <f t="shared" si="66"/>
        <v>-2.7689546283067946E-2</v>
      </c>
      <c r="AG201" s="67">
        <f t="shared" si="67"/>
        <v>-6.4608941327158553E-2</v>
      </c>
    </row>
    <row r="202" spans="4:33" x14ac:dyDescent="0.2">
      <c r="D202" s="50">
        <v>17</v>
      </c>
      <c r="E202">
        <v>8</v>
      </c>
      <c r="F202">
        <f t="shared" si="58"/>
        <v>66</v>
      </c>
      <c r="G202">
        <f t="shared" si="68"/>
        <v>0</v>
      </c>
      <c r="H202" s="64">
        <f>IF(E202="Anual",VLOOKUP(F202,Hipotesis!$E$9:$J$38,6,FALSE),1-(1-VLOOKUP(F202,Hipotesis!$E$9:$J$38,6,FALSE))^(1/12))</f>
        <v>1.216924530087593E-3</v>
      </c>
      <c r="I202">
        <f t="shared" si="69"/>
        <v>0.31725237322013944</v>
      </c>
      <c r="J202">
        <v>0</v>
      </c>
      <c r="K202">
        <f>1-(1-VLOOKUP(D202,Hipotesis!$D$9:$K$38,8,FALSE))^(1/12)</f>
        <v>2.5350486138366879E-3</v>
      </c>
      <c r="L202">
        <f t="shared" si="70"/>
        <v>0.66008323221737719</v>
      </c>
      <c r="M202">
        <f t="shared" si="71"/>
        <v>259.72278619858588</v>
      </c>
      <c r="N202">
        <f>IF(D202=1,(VLOOKUP(D202,'Primas Netas Y Reservas'!$D$4:$I$33,5,FALSE)+(VLOOKUP(D202,'Primas Netas Y Reservas'!$D$4:$I$33,6,FALSE)-VLOOKUP(D202,'Primas Netas Y Reservas'!$D$4:$I$33,5,FALSE))*(E202/12))/1000,((VLOOKUP(D202-1,'Primas Netas Y Reservas'!$D$4:$I$33,6,FALSE)+VLOOKUP(D202,'Primas Netas Y Reservas'!$D$4:$I$33,5,FALSE))+(VLOOKUP(D202,'Primas Netas Y Reservas'!$D$4:$I$33,6,FALSE)-VLOOKUP(D202-1,'Primas Netas Y Reservas'!$D$4:$I$33,6,FALSE)-VLOOKUP(D202,'Primas Netas Y Reservas'!$D$4:$I$33,5,FALSE))*(E202/12))/1000)</f>
        <v>0.51034014843487052</v>
      </c>
      <c r="O202">
        <f t="shared" si="72"/>
        <v>-0.23449504263047061</v>
      </c>
      <c r="P202">
        <f>VLOOKUP(D202,Hipotesis!$D$9:$S$38,15,FALSE)*N202</f>
        <v>0.51034014843487052</v>
      </c>
      <c r="Q202">
        <f t="shared" si="59"/>
        <v>0.33686697470918536</v>
      </c>
      <c r="R202">
        <f t="shared" si="60"/>
        <v>0</v>
      </c>
      <c r="S202">
        <f t="shared" si="61"/>
        <v>0.33686697470918536</v>
      </c>
      <c r="T202">
        <f>G202*(VLOOKUP(D202,Hipotesis!$D$9:$N$38,9,FALSE)+VLOOKUP(D202,Hipotesis!$D$9:$N$38,10,FALSE)+VLOOKUP(D202,Hipotesis!$D$9:$N$38,11,FALSE))</f>
        <v>0</v>
      </c>
      <c r="U202">
        <v>0</v>
      </c>
      <c r="V202">
        <f>G202*VLOOKUP(D202,Hipotesis!$D$9:$S$38,16,FALSE)+((VLOOKUP(D202,Hipotesis!$D$9:$T$38,17,FALSE)/$B$4)*M201)/12</f>
        <v>9.7762545676508775E-3</v>
      </c>
      <c r="W202">
        <f>(1+VLOOKUP(D202,Hipotesis!$D$9:$P$38,13,FALSE))^(1/12)-1</f>
        <v>0</v>
      </c>
      <c r="X202">
        <f t="shared" si="73"/>
        <v>0</v>
      </c>
      <c r="Y202">
        <f t="shared" si="62"/>
        <v>0.3384449857932324</v>
      </c>
      <c r="Z202">
        <f>(1+VLOOKUP(D202,Hipotesis!$D$9:$O$38,12,))^(1/12)-1</f>
        <v>2.5617303157983162E-3</v>
      </c>
      <c r="AA202">
        <f t="shared" si="74"/>
        <v>0.34015029223451143</v>
      </c>
      <c r="AB202">
        <f t="shared" si="75"/>
        <v>-1.70530644127901E-3</v>
      </c>
      <c r="AC202" s="68">
        <f t="shared" si="63"/>
        <v>-9.7762545676508775E-3</v>
      </c>
      <c r="AD202">
        <f t="shared" si="64"/>
        <v>-0.6541193479293248</v>
      </c>
      <c r="AE202" s="67">
        <f t="shared" si="65"/>
        <v>-9.0955574073272677E-2</v>
      </c>
      <c r="AF202" s="67">
        <f t="shared" si="66"/>
        <v>-2.7286672221981802E-2</v>
      </c>
      <c r="AG202" s="67">
        <f t="shared" si="67"/>
        <v>-6.3668901851290871E-2</v>
      </c>
    </row>
    <row r="203" spans="4:33" x14ac:dyDescent="0.2">
      <c r="D203" s="50">
        <v>17</v>
      </c>
      <c r="E203">
        <v>9</v>
      </c>
      <c r="F203">
        <f t="shared" si="58"/>
        <v>66</v>
      </c>
      <c r="G203">
        <f t="shared" si="68"/>
        <v>0</v>
      </c>
      <c r="H203" s="64">
        <f>IF(E203="Anual",VLOOKUP(F203,Hipotesis!$E$9:$J$38,6,FALSE),1-(1-VLOOKUP(F203,Hipotesis!$E$9:$J$38,6,FALSE))^(1/12))</f>
        <v>1.216924530087593E-3</v>
      </c>
      <c r="I203">
        <f t="shared" si="69"/>
        <v>0.3160630295477545</v>
      </c>
      <c r="J203">
        <v>0</v>
      </c>
      <c r="K203">
        <f>1-(1-VLOOKUP(D203,Hipotesis!$D$9:$K$38,8,FALSE))^(1/12)</f>
        <v>2.5350486138366879E-3</v>
      </c>
      <c r="L203">
        <f t="shared" si="70"/>
        <v>0.65760865398958745</v>
      </c>
      <c r="M203">
        <f t="shared" si="71"/>
        <v>258.74911451504852</v>
      </c>
      <c r="N203">
        <f>IF(D203=1,(VLOOKUP(D203,'Primas Netas Y Reservas'!$D$4:$I$33,5,FALSE)+(VLOOKUP(D203,'Primas Netas Y Reservas'!$D$4:$I$33,6,FALSE)-VLOOKUP(D203,'Primas Netas Y Reservas'!$D$4:$I$33,5,FALSE))*(E203/12))/1000,((VLOOKUP(D203-1,'Primas Netas Y Reservas'!$D$4:$I$33,6,FALSE)+VLOOKUP(D203,'Primas Netas Y Reservas'!$D$4:$I$33,5,FALSE))+(VLOOKUP(D203,'Primas Netas Y Reservas'!$D$4:$I$33,6,FALSE)-VLOOKUP(D203-1,'Primas Netas Y Reservas'!$D$4:$I$33,6,FALSE)-VLOOKUP(D203,'Primas Netas Y Reservas'!$D$4:$I$33,5,FALSE))*(E203/12))/1000)</f>
        <v>0.51135387467899507</v>
      </c>
      <c r="O203">
        <f t="shared" si="72"/>
        <v>-0.23460298347541197</v>
      </c>
      <c r="P203">
        <f>VLOOKUP(D203,Hipotesis!$D$9:$S$38,15,FALSE)*N203</f>
        <v>0.51135387467899507</v>
      </c>
      <c r="Q203">
        <f t="shared" si="59"/>
        <v>0.33627073324001411</v>
      </c>
      <c r="R203">
        <f t="shared" si="60"/>
        <v>0</v>
      </c>
      <c r="S203">
        <f t="shared" si="61"/>
        <v>0.33627073324001411</v>
      </c>
      <c r="T203">
        <f>G203*(VLOOKUP(D203,Hipotesis!$D$9:$N$38,9,FALSE)+VLOOKUP(D203,Hipotesis!$D$9:$N$38,10,FALSE)+VLOOKUP(D203,Hipotesis!$D$9:$N$38,11,FALSE))</f>
        <v>0</v>
      </c>
      <c r="U203">
        <v>0</v>
      </c>
      <c r="V203">
        <f>G203*VLOOKUP(D203,Hipotesis!$D$9:$S$38,16,FALSE)+((VLOOKUP(D203,Hipotesis!$D$9:$T$38,17,FALSE)/$B$4)*M202)/12</f>
        <v>9.7396044824469702E-3</v>
      </c>
      <c r="W203">
        <f>(1+VLOOKUP(D203,Hipotesis!$D$9:$P$38,13,FALSE))^(1/12)-1</f>
        <v>0</v>
      </c>
      <c r="X203">
        <f t="shared" si="73"/>
        <v>0</v>
      </c>
      <c r="Y203">
        <f t="shared" si="62"/>
        <v>0.33784895157109318</v>
      </c>
      <c r="Z203">
        <f>(1+VLOOKUP(D203,Hipotesis!$D$9:$O$38,12,))^(1/12)-1</f>
        <v>2.5617303157983162E-3</v>
      </c>
      <c r="AA203">
        <f t="shared" si="74"/>
        <v>0.33954957917490053</v>
      </c>
      <c r="AB203">
        <f t="shared" si="75"/>
        <v>-1.7006276038073473E-3</v>
      </c>
      <c r="AC203" s="68">
        <f t="shared" si="63"/>
        <v>-9.7396044824469702E-3</v>
      </c>
      <c r="AD203">
        <f t="shared" si="64"/>
        <v>-0.65233376278776856</v>
      </c>
      <c r="AE203" s="67">
        <f t="shared" si="65"/>
        <v>-8.9621432223710426E-2</v>
      </c>
      <c r="AF203" s="67">
        <f t="shared" si="66"/>
        <v>-2.6886429667113129E-2</v>
      </c>
      <c r="AG203" s="67">
        <f t="shared" si="67"/>
        <v>-6.2735002556597294E-2</v>
      </c>
    </row>
    <row r="204" spans="4:33" x14ac:dyDescent="0.2">
      <c r="D204" s="50">
        <v>17</v>
      </c>
      <c r="E204">
        <v>10</v>
      </c>
      <c r="F204">
        <f t="shared" si="58"/>
        <v>66</v>
      </c>
      <c r="G204">
        <f t="shared" si="68"/>
        <v>0</v>
      </c>
      <c r="H204" s="64">
        <f>IF(E204="Anual",VLOOKUP(F204,Hipotesis!$E$9:$J$38,6,FALSE),1-(1-VLOOKUP(F204,Hipotesis!$E$9:$J$38,6,FALSE))^(1/12))</f>
        <v>1.216924530087593E-3</v>
      </c>
      <c r="I204">
        <f t="shared" si="69"/>
        <v>0.31487814459180619</v>
      </c>
      <c r="J204">
        <v>0</v>
      </c>
      <c r="K204">
        <f>1-(1-VLOOKUP(D204,Hipotesis!$D$9:$K$38,8,FALSE))^(1/12)</f>
        <v>2.5350486138366879E-3</v>
      </c>
      <c r="L204">
        <f t="shared" si="70"/>
        <v>0.65514335267886914</v>
      </c>
      <c r="M204">
        <f t="shared" si="71"/>
        <v>257.77909301777783</v>
      </c>
      <c r="N204">
        <f>IF(D204=1,(VLOOKUP(D204,'Primas Netas Y Reservas'!$D$4:$I$33,5,FALSE)+(VLOOKUP(D204,'Primas Netas Y Reservas'!$D$4:$I$33,6,FALSE)-VLOOKUP(D204,'Primas Netas Y Reservas'!$D$4:$I$33,5,FALSE))*(E204/12))/1000,((VLOOKUP(D204-1,'Primas Netas Y Reservas'!$D$4:$I$33,6,FALSE)+VLOOKUP(D204,'Primas Netas Y Reservas'!$D$4:$I$33,5,FALSE))+(VLOOKUP(D204,'Primas Netas Y Reservas'!$D$4:$I$33,6,FALSE)-VLOOKUP(D204-1,'Primas Netas Y Reservas'!$D$4:$I$33,6,FALSE)-VLOOKUP(D204,'Primas Netas Y Reservas'!$D$4:$I$33,5,FALSE))*(E204/12))/1000)</f>
        <v>0.51236760092311961</v>
      </c>
      <c r="O204">
        <f t="shared" si="72"/>
        <v>-0.23470681937254767</v>
      </c>
      <c r="P204">
        <f>VLOOKUP(D204,Hipotesis!$D$9:$S$38,15,FALSE)*N204</f>
        <v>0.51236760092311961</v>
      </c>
      <c r="Q204">
        <f t="shared" si="59"/>
        <v>0.33567422787280143</v>
      </c>
      <c r="R204">
        <f t="shared" si="60"/>
        <v>0</v>
      </c>
      <c r="S204">
        <f t="shared" si="61"/>
        <v>0.33567422787280143</v>
      </c>
      <c r="T204">
        <f>G204*(VLOOKUP(D204,Hipotesis!$D$9:$N$38,9,FALSE)+VLOOKUP(D204,Hipotesis!$D$9:$N$38,10,FALSE)+VLOOKUP(D204,Hipotesis!$D$9:$N$38,11,FALSE))</f>
        <v>0</v>
      </c>
      <c r="U204">
        <v>0</v>
      </c>
      <c r="V204">
        <f>G204*VLOOKUP(D204,Hipotesis!$D$9:$S$38,16,FALSE)+((VLOOKUP(D204,Hipotesis!$D$9:$T$38,17,FALSE)/$B$4)*M203)/12</f>
        <v>9.7030917943143197E-3</v>
      </c>
      <c r="W204">
        <f>(1+VLOOKUP(D204,Hipotesis!$D$9:$P$38,13,FALSE))^(1/12)-1</f>
        <v>0</v>
      </c>
      <c r="X204">
        <f t="shared" si="73"/>
        <v>0</v>
      </c>
      <c r="Y204">
        <f t="shared" si="62"/>
        <v>0.33725262971939612</v>
      </c>
      <c r="Z204">
        <f>(1+VLOOKUP(D204,Hipotesis!$D$9:$O$38,12,))^(1/12)-1</f>
        <v>2.5617303157983162E-3</v>
      </c>
      <c r="AA204">
        <f t="shared" si="74"/>
        <v>0.33894858959995483</v>
      </c>
      <c r="AB204">
        <f t="shared" si="75"/>
        <v>-1.695959880558683E-3</v>
      </c>
      <c r="AC204" s="68">
        <f t="shared" si="63"/>
        <v>-9.7030917943143197E-3</v>
      </c>
      <c r="AD204">
        <f t="shared" si="64"/>
        <v>-0.65055237246460762</v>
      </c>
      <c r="AE204" s="67">
        <f t="shared" si="65"/>
        <v>-8.8296015166978145E-2</v>
      </c>
      <c r="AF204" s="67">
        <f t="shared" si="66"/>
        <v>-2.6488804550093444E-2</v>
      </c>
      <c r="AG204" s="67">
        <f t="shared" si="67"/>
        <v>-6.1807210616884697E-2</v>
      </c>
    </row>
    <row r="205" spans="4:33" x14ac:dyDescent="0.2">
      <c r="D205" s="50">
        <v>17</v>
      </c>
      <c r="E205">
        <v>11</v>
      </c>
      <c r="F205">
        <f t="shared" si="58"/>
        <v>66</v>
      </c>
      <c r="G205">
        <f t="shared" si="68"/>
        <v>0</v>
      </c>
      <c r="H205" s="64">
        <f>IF(E205="Anual",VLOOKUP(F205,Hipotesis!$E$9:$J$38,6,FALSE),1-(1-VLOOKUP(F205,Hipotesis!$E$9:$J$38,6,FALSE))^(1/12))</f>
        <v>1.216924530087593E-3</v>
      </c>
      <c r="I205">
        <f t="shared" si="69"/>
        <v>0.31369770163706523</v>
      </c>
      <c r="J205">
        <v>0</v>
      </c>
      <c r="K205">
        <f>1-(1-VLOOKUP(D205,Hipotesis!$D$9:$K$38,8,FALSE))^(1/12)</f>
        <v>2.5350486138366879E-3</v>
      </c>
      <c r="L205">
        <f t="shared" si="70"/>
        <v>0.65268729350709753</v>
      </c>
      <c r="M205">
        <f t="shared" si="71"/>
        <v>256.81270802263367</v>
      </c>
      <c r="N205">
        <f>IF(D205=1,(VLOOKUP(D205,'Primas Netas Y Reservas'!$D$4:$I$33,5,FALSE)+(VLOOKUP(D205,'Primas Netas Y Reservas'!$D$4:$I$33,6,FALSE)-VLOOKUP(D205,'Primas Netas Y Reservas'!$D$4:$I$33,5,FALSE))*(E205/12))/1000,((VLOOKUP(D205-1,'Primas Netas Y Reservas'!$D$4:$I$33,6,FALSE)+VLOOKUP(D205,'Primas Netas Y Reservas'!$D$4:$I$33,5,FALSE))+(VLOOKUP(D205,'Primas Netas Y Reservas'!$D$4:$I$33,6,FALSE)-VLOOKUP(D205-1,'Primas Netas Y Reservas'!$D$4:$I$33,6,FALSE)-VLOOKUP(D205,'Primas Netas Y Reservas'!$D$4:$I$33,5,FALSE))*(E205/12))/1000)</f>
        <v>0.51338132716724416</v>
      </c>
      <c r="O205">
        <f t="shared" si="72"/>
        <v>-0.23480657958285178</v>
      </c>
      <c r="P205">
        <f>VLOOKUP(D205,Hipotesis!$D$9:$S$38,15,FALSE)*N205</f>
        <v>0.51338132716724416</v>
      </c>
      <c r="Q205">
        <f t="shared" si="59"/>
        <v>0.33507746896587037</v>
      </c>
      <c r="R205">
        <f t="shared" si="60"/>
        <v>0</v>
      </c>
      <c r="S205">
        <f t="shared" si="61"/>
        <v>0.33507746896587037</v>
      </c>
      <c r="T205">
        <f>G205*(VLOOKUP(D205,Hipotesis!$D$9:$N$38,9,FALSE)+VLOOKUP(D205,Hipotesis!$D$9:$N$38,10,FALSE)+VLOOKUP(D205,Hipotesis!$D$9:$N$38,11,FALSE))</f>
        <v>0</v>
      </c>
      <c r="U205">
        <v>0</v>
      </c>
      <c r="V205">
        <f>G205*VLOOKUP(D205,Hipotesis!$D$9:$S$38,16,FALSE)+((VLOOKUP(D205,Hipotesis!$D$9:$T$38,17,FALSE)/$B$4)*M204)/12</f>
        <v>9.6667159881666676E-3</v>
      </c>
      <c r="W205">
        <f>(1+VLOOKUP(D205,Hipotesis!$D$9:$P$38,13,FALSE))^(1/12)-1</f>
        <v>0</v>
      </c>
      <c r="X205">
        <f t="shared" si="73"/>
        <v>0</v>
      </c>
      <c r="Y205">
        <f t="shared" si="62"/>
        <v>0.33665603077148537</v>
      </c>
      <c r="Z205">
        <f>(1+VLOOKUP(D205,Hipotesis!$D$9:$O$38,12,))^(1/12)-1</f>
        <v>2.5617303157983162E-3</v>
      </c>
      <c r="AA205">
        <f t="shared" si="74"/>
        <v>0.33834733402544359</v>
      </c>
      <c r="AB205">
        <f t="shared" si="75"/>
        <v>-1.691303253958202E-3</v>
      </c>
      <c r="AC205" s="68">
        <f t="shared" si="63"/>
        <v>-9.6667159881666676E-3</v>
      </c>
      <c r="AD205">
        <f t="shared" si="64"/>
        <v>-0.64877517060293566</v>
      </c>
      <c r="AE205" s="67">
        <f t="shared" si="65"/>
        <v>-8.6979276236765116E-2</v>
      </c>
      <c r="AF205" s="67">
        <f t="shared" si="66"/>
        <v>-2.6093782871029533E-2</v>
      </c>
      <c r="AG205" s="67">
        <f t="shared" si="67"/>
        <v>-6.088549336573558E-2</v>
      </c>
    </row>
    <row r="206" spans="4:33" x14ac:dyDescent="0.2">
      <c r="D206" s="50">
        <v>17</v>
      </c>
      <c r="E206">
        <v>12</v>
      </c>
      <c r="F206">
        <f t="shared" si="58"/>
        <v>66</v>
      </c>
      <c r="G206">
        <f t="shared" si="68"/>
        <v>0</v>
      </c>
      <c r="H206" s="64">
        <f>IF(E206="Anual",VLOOKUP(F206,Hipotesis!$E$9:$J$38,6,FALSE),1-(1-VLOOKUP(F206,Hipotesis!$E$9:$J$38,6,FALSE))^(1/12))</f>
        <v>1.216924530087593E-3</v>
      </c>
      <c r="I206">
        <f t="shared" si="69"/>
        <v>0.3125216840309657</v>
      </c>
      <c r="J206">
        <v>0</v>
      </c>
      <c r="K206">
        <f>1-(1-VLOOKUP(D206,Hipotesis!$D$9:$K$38,8,FALSE))^(1/12)</f>
        <v>2.5350486138366879E-3</v>
      </c>
      <c r="L206">
        <f t="shared" si="70"/>
        <v>0.65024044182652696</v>
      </c>
      <c r="M206">
        <f t="shared" si="71"/>
        <v>255.84994589677618</v>
      </c>
      <c r="N206">
        <f>IF(D206=1,(VLOOKUP(D206,'Primas Netas Y Reservas'!$D$4:$I$33,5,FALSE)+(VLOOKUP(D206,'Primas Netas Y Reservas'!$D$4:$I$33,6,FALSE)-VLOOKUP(D206,'Primas Netas Y Reservas'!$D$4:$I$33,5,FALSE))*(E206/12))/1000,((VLOOKUP(D206-1,'Primas Netas Y Reservas'!$D$4:$I$33,6,FALSE)+VLOOKUP(D206,'Primas Netas Y Reservas'!$D$4:$I$33,5,FALSE))+(VLOOKUP(D206,'Primas Netas Y Reservas'!$D$4:$I$33,6,FALSE)-VLOOKUP(D206-1,'Primas Netas Y Reservas'!$D$4:$I$33,6,FALSE)-VLOOKUP(D206,'Primas Netas Y Reservas'!$D$4:$I$33,5,FALSE))*(E206/12))/1000)</f>
        <v>0.51439505341136871</v>
      </c>
      <c r="O206">
        <f t="shared" si="72"/>
        <v>-0.23490229320566414</v>
      </c>
      <c r="P206">
        <f>VLOOKUP(D206,Hipotesis!$D$9:$S$38,15,FALSE)*N206</f>
        <v>0.51439505341136871</v>
      </c>
      <c r="Q206">
        <f t="shared" si="59"/>
        <v>0.33448046680358834</v>
      </c>
      <c r="R206">
        <f t="shared" si="60"/>
        <v>0</v>
      </c>
      <c r="S206">
        <f t="shared" si="61"/>
        <v>0.33448046680358834</v>
      </c>
      <c r="T206">
        <f>G206*(VLOOKUP(D206,Hipotesis!$D$9:$N$38,9,FALSE)+VLOOKUP(D206,Hipotesis!$D$9:$N$38,10,FALSE)+VLOOKUP(D206,Hipotesis!$D$9:$N$38,11,FALSE))</f>
        <v>0</v>
      </c>
      <c r="U206">
        <v>0</v>
      </c>
      <c r="V206">
        <f>G206*VLOOKUP(D206,Hipotesis!$D$9:$S$38,16,FALSE)+((VLOOKUP(D206,Hipotesis!$D$9:$T$38,17,FALSE)/$B$4)*M205)/12</f>
        <v>9.6304765508487631E-3</v>
      </c>
      <c r="W206">
        <f>(1+VLOOKUP(D206,Hipotesis!$D$9:$P$38,13,FALSE))^(1/12)-1</f>
        <v>0</v>
      </c>
      <c r="X206">
        <f t="shared" si="73"/>
        <v>0</v>
      </c>
      <c r="Y206">
        <f t="shared" si="62"/>
        <v>0.33605916518577067</v>
      </c>
      <c r="Z206">
        <f>(1+VLOOKUP(D206,Hipotesis!$D$9:$O$38,12,))^(1/12)-1</f>
        <v>2.5617303157983162E-3</v>
      </c>
      <c r="AA206">
        <f t="shared" si="74"/>
        <v>0.33774582289217731</v>
      </c>
      <c r="AB206">
        <f t="shared" si="75"/>
        <v>-1.6866577064066591E-3</v>
      </c>
      <c r="AC206" s="68">
        <f t="shared" si="63"/>
        <v>-9.6304765508487631E-3</v>
      </c>
      <c r="AD206">
        <f t="shared" si="64"/>
        <v>-0.64700215083455404</v>
      </c>
      <c r="AE206" s="67">
        <f t="shared" si="65"/>
        <v>-8.5671168993967997E-2</v>
      </c>
      <c r="AF206" s="67">
        <f t="shared" si="66"/>
        <v>-2.5701350698190399E-2</v>
      </c>
      <c r="AG206" s="67">
        <f t="shared" si="67"/>
        <v>-5.9969818295777598E-2</v>
      </c>
    </row>
    <row r="207" spans="4:33" x14ac:dyDescent="0.2">
      <c r="D207" s="50">
        <v>18</v>
      </c>
      <c r="E207">
        <v>1</v>
      </c>
      <c r="F207">
        <f t="shared" si="58"/>
        <v>67</v>
      </c>
      <c r="G207">
        <f t="shared" si="68"/>
        <v>0</v>
      </c>
      <c r="H207" s="64">
        <f>IF(E207="Anual",VLOOKUP(F207,Hipotesis!$E$9:$J$38,6,FALSE),1-(1-VLOOKUP(F207,Hipotesis!$E$9:$J$38,6,FALSE))^(1/12))</f>
        <v>1.3093823662611026E-3</v>
      </c>
      <c r="I207">
        <f t="shared" si="69"/>
        <v>0.33500540756609587</v>
      </c>
      <c r="J207">
        <v>0</v>
      </c>
      <c r="K207">
        <f>1-(1-VLOOKUP(D207,Hipotesis!$D$9:$K$38,8,FALSE))^(1/12)</f>
        <v>2.5350486138366879E-3</v>
      </c>
      <c r="L207">
        <f t="shared" si="70"/>
        <v>0.64774279570173587</v>
      </c>
      <c r="M207">
        <f t="shared" si="71"/>
        <v>254.86719769350836</v>
      </c>
      <c r="N207">
        <f>IF(D207=1,(VLOOKUP(D207,'Primas Netas Y Reservas'!$D$4:$I$33,5,FALSE)+(VLOOKUP(D207,'Primas Netas Y Reservas'!$D$4:$I$33,6,FALSE)-VLOOKUP(D207,'Primas Netas Y Reservas'!$D$4:$I$33,5,FALSE))*(E207/12))/1000,((VLOOKUP(D207-1,'Primas Netas Y Reservas'!$D$4:$I$33,6,FALSE)+VLOOKUP(D207,'Primas Netas Y Reservas'!$D$4:$I$33,5,FALSE))+(VLOOKUP(D207,'Primas Netas Y Reservas'!$D$4:$I$33,6,FALSE)-VLOOKUP(D207-1,'Primas Netas Y Reservas'!$D$4:$I$33,6,FALSE)-VLOOKUP(D207,'Primas Netas Y Reservas'!$D$4:$I$33,5,FALSE))*(E207/12))/1000)</f>
        <v>0.51541231001907117</v>
      </c>
      <c r="O207">
        <f t="shared" si="72"/>
        <v>-0.2462554735695619</v>
      </c>
      <c r="P207">
        <f>VLOOKUP(D207,Hipotesis!$D$9:$S$38,15,FALSE)*N207</f>
        <v>0.51541231001907117</v>
      </c>
      <c r="Q207">
        <f t="shared" si="59"/>
        <v>0.33385461063084299</v>
      </c>
      <c r="R207">
        <f t="shared" si="60"/>
        <v>0</v>
      </c>
      <c r="S207">
        <f t="shared" si="61"/>
        <v>0.33385461063084299</v>
      </c>
      <c r="T207">
        <f>G207*(VLOOKUP(D207,Hipotesis!$D$9:$N$38,9,FALSE)+VLOOKUP(D207,Hipotesis!$D$9:$N$38,10,FALSE)+VLOOKUP(D207,Hipotesis!$D$9:$N$38,11,FALSE))</f>
        <v>0</v>
      </c>
      <c r="U207">
        <v>0</v>
      </c>
      <c r="V207">
        <f>G207*VLOOKUP(D207,Hipotesis!$D$9:$S$38,16,FALSE)+((VLOOKUP(D207,Hipotesis!$D$9:$T$38,17,FALSE)/$B$4)*M206)/12</f>
        <v>9.5943729711291063E-3</v>
      </c>
      <c r="W207">
        <f>(1+VLOOKUP(D207,Hipotesis!$D$9:$P$38,13,FALSE))^(1/12)-1</f>
        <v>0</v>
      </c>
      <c r="X207">
        <f t="shared" si="73"/>
        <v>0</v>
      </c>
      <c r="Y207">
        <f t="shared" si="62"/>
        <v>0.35081381704498082</v>
      </c>
      <c r="Z207">
        <f>(1+VLOOKUP(D207,Hipotesis!$D$9:$O$38,12,))^(1/12)-1</f>
        <v>2.6789629651118307E-3</v>
      </c>
      <c r="AA207">
        <f t="shared" si="74"/>
        <v>0.35257281481527741</v>
      </c>
      <c r="AB207">
        <f t="shared" si="75"/>
        <v>-1.7589977702965936E-3</v>
      </c>
      <c r="AC207" s="68">
        <f t="shared" si="63"/>
        <v>-9.5943729711291063E-3</v>
      </c>
      <c r="AD207">
        <f t="shared" si="64"/>
        <v>-0.66886001819693885</v>
      </c>
      <c r="AE207" s="67">
        <f t="shared" si="65"/>
        <v>-8.1385100553525241E-2</v>
      </c>
      <c r="AF207" s="67">
        <f t="shared" si="66"/>
        <v>-2.4415530166057572E-2</v>
      </c>
      <c r="AG207" s="67">
        <f t="shared" si="67"/>
        <v>-5.6969570387467666E-2</v>
      </c>
    </row>
    <row r="208" spans="4:33" x14ac:dyDescent="0.2">
      <c r="D208" s="50">
        <v>18</v>
      </c>
      <c r="E208">
        <v>2</v>
      </c>
      <c r="F208">
        <f t="shared" si="58"/>
        <v>67</v>
      </c>
      <c r="G208">
        <f t="shared" si="68"/>
        <v>0</v>
      </c>
      <c r="H208" s="64">
        <f>IF(E208="Anual",VLOOKUP(F208,Hipotesis!$E$9:$J$38,6,FALSE),1-(1-VLOOKUP(F208,Hipotesis!$E$9:$J$38,6,FALSE))^(1/12))</f>
        <v>1.3093823662611026E-3</v>
      </c>
      <c r="I208">
        <f t="shared" si="69"/>
        <v>0.33371861439826217</v>
      </c>
      <c r="J208">
        <v>0</v>
      </c>
      <c r="K208">
        <f>1-(1-VLOOKUP(D208,Hipotesis!$D$9:$K$38,8,FALSE))^(1/12)</f>
        <v>2.5350486138366879E-3</v>
      </c>
      <c r="L208">
        <f t="shared" si="70"/>
        <v>0.64525474331452759</v>
      </c>
      <c r="M208">
        <f t="shared" si="71"/>
        <v>253.88822433579557</v>
      </c>
      <c r="N208">
        <f>IF(D208=1,(VLOOKUP(D208,'Primas Netas Y Reservas'!$D$4:$I$33,5,FALSE)+(VLOOKUP(D208,'Primas Netas Y Reservas'!$D$4:$I$33,6,FALSE)-VLOOKUP(D208,'Primas Netas Y Reservas'!$D$4:$I$33,5,FALSE))*(E208/12))/1000,((VLOOKUP(D208-1,'Primas Netas Y Reservas'!$D$4:$I$33,6,FALSE)+VLOOKUP(D208,'Primas Netas Y Reservas'!$D$4:$I$33,5,FALSE))+(VLOOKUP(D208,'Primas Netas Y Reservas'!$D$4:$I$33,6,FALSE)-VLOOKUP(D208-1,'Primas Netas Y Reservas'!$D$4:$I$33,6,FALSE)-VLOOKUP(D208,'Primas Netas Y Reservas'!$D$4:$I$33,5,FALSE))*(E208/12))/1000)</f>
        <v>0.51642956662677353</v>
      </c>
      <c r="O208">
        <f t="shared" si="72"/>
        <v>-0.24630544592247361</v>
      </c>
      <c r="P208">
        <f>VLOOKUP(D208,Hipotesis!$D$9:$S$38,15,FALSE)*N208</f>
        <v>0.51642956662677353</v>
      </c>
      <c r="Q208">
        <f t="shared" si="59"/>
        <v>0.3332286274537915</v>
      </c>
      <c r="R208">
        <f t="shared" si="60"/>
        <v>0</v>
      </c>
      <c r="S208">
        <f t="shared" si="61"/>
        <v>0.3332286274537915</v>
      </c>
      <c r="T208">
        <f>G208*(VLOOKUP(D208,Hipotesis!$D$9:$N$38,9,FALSE)+VLOOKUP(D208,Hipotesis!$D$9:$N$38,10,FALSE)+VLOOKUP(D208,Hipotesis!$D$9:$N$38,11,FALSE))</f>
        <v>0</v>
      </c>
      <c r="U208">
        <v>0</v>
      </c>
      <c r="V208">
        <f>G208*VLOOKUP(D208,Hipotesis!$D$9:$S$38,16,FALSE)+((VLOOKUP(D208,Hipotesis!$D$9:$T$38,17,FALSE)/$B$4)*M207)/12</f>
        <v>9.5575199135065642E-3</v>
      </c>
      <c r="W208">
        <f>(1+VLOOKUP(D208,Hipotesis!$D$9:$P$38,13,FALSE))^(1/12)-1</f>
        <v>0</v>
      </c>
      <c r="X208">
        <f t="shared" si="73"/>
        <v>0</v>
      </c>
      <c r="Y208">
        <f t="shared" si="62"/>
        <v>0.35009565006214821</v>
      </c>
      <c r="Z208">
        <f>(1+VLOOKUP(D208,Hipotesis!$D$9:$O$38,12,))^(1/12)-1</f>
        <v>2.6789629651118307E-3</v>
      </c>
      <c r="AA208">
        <f t="shared" si="74"/>
        <v>0.35191310552162847</v>
      </c>
      <c r="AB208">
        <f t="shared" si="75"/>
        <v>-1.8174554594802275E-3</v>
      </c>
      <c r="AC208" s="68">
        <f t="shared" si="63"/>
        <v>-9.5575199135065642E-3</v>
      </c>
      <c r="AD208">
        <f t="shared" si="64"/>
        <v>-0.66694724185205367</v>
      </c>
      <c r="AE208" s="67">
        <f t="shared" si="65"/>
        <v>-8.0103665780938416E-2</v>
      </c>
      <c r="AF208" s="67">
        <f t="shared" si="66"/>
        <v>-2.4031099734281525E-2</v>
      </c>
      <c r="AG208" s="67">
        <f t="shared" si="67"/>
        <v>-5.6072566046656891E-2</v>
      </c>
    </row>
    <row r="209" spans="4:33" x14ac:dyDescent="0.2">
      <c r="D209" s="50">
        <v>18</v>
      </c>
      <c r="E209">
        <v>3</v>
      </c>
      <c r="F209">
        <f t="shared" si="58"/>
        <v>67</v>
      </c>
      <c r="G209">
        <f t="shared" si="68"/>
        <v>0</v>
      </c>
      <c r="H209" s="64">
        <f>IF(E209="Anual",VLOOKUP(F209,Hipotesis!$E$9:$J$38,6,FALSE),1-(1-VLOOKUP(F209,Hipotesis!$E$9:$J$38,6,FALSE))^(1/12))</f>
        <v>1.3093823662611026E-3</v>
      </c>
      <c r="I209">
        <f t="shared" si="69"/>
        <v>0.33243676394663363</v>
      </c>
      <c r="J209">
        <v>0</v>
      </c>
      <c r="K209">
        <f>1-(1-VLOOKUP(D209,Hipotesis!$D$9:$K$38,8,FALSE))^(1/12)</f>
        <v>2.5350486138366879E-3</v>
      </c>
      <c r="L209">
        <f t="shared" si="70"/>
        <v>0.64277624781428533</v>
      </c>
      <c r="M209">
        <f t="shared" si="71"/>
        <v>252.91301132403464</v>
      </c>
      <c r="N209">
        <f>IF(D209=1,(VLOOKUP(D209,'Primas Netas Y Reservas'!$D$4:$I$33,5,FALSE)+(VLOOKUP(D209,'Primas Netas Y Reservas'!$D$4:$I$33,6,FALSE)-VLOOKUP(D209,'Primas Netas Y Reservas'!$D$4:$I$33,5,FALSE))*(E209/12))/1000,((VLOOKUP(D209-1,'Primas Netas Y Reservas'!$D$4:$I$33,6,FALSE)+VLOOKUP(D209,'Primas Netas Y Reservas'!$D$4:$I$33,5,FALSE))+(VLOOKUP(D209,'Primas Netas Y Reservas'!$D$4:$I$33,6,FALSE)-VLOOKUP(D209-1,'Primas Netas Y Reservas'!$D$4:$I$33,6,FALSE)-VLOOKUP(D209,'Primas Netas Y Reservas'!$D$4:$I$33,5,FALSE))*(E209/12))/1000)</f>
        <v>0.51744682323447599</v>
      </c>
      <c r="O209">
        <f t="shared" si="72"/>
        <v>-0.24635140108918563</v>
      </c>
      <c r="P209">
        <f>VLOOKUP(D209,Hipotesis!$D$9:$S$38,15,FALSE)*N209</f>
        <v>0.51744682323447599</v>
      </c>
      <c r="Q209">
        <f t="shared" si="59"/>
        <v>0.33260252748207825</v>
      </c>
      <c r="R209">
        <f t="shared" si="60"/>
        <v>0</v>
      </c>
      <c r="S209">
        <f t="shared" si="61"/>
        <v>0.33260252748207825</v>
      </c>
      <c r="T209">
        <f>G209*(VLOOKUP(D209,Hipotesis!$D$9:$N$38,9,FALSE)+VLOOKUP(D209,Hipotesis!$D$9:$N$38,10,FALSE)+VLOOKUP(D209,Hipotesis!$D$9:$N$38,11,FALSE))</f>
        <v>0</v>
      </c>
      <c r="U209">
        <v>0</v>
      </c>
      <c r="V209">
        <f>G209*VLOOKUP(D209,Hipotesis!$D$9:$S$38,16,FALSE)+((VLOOKUP(D209,Hipotesis!$D$9:$T$38,17,FALSE)/$B$4)*M208)/12</f>
        <v>9.520808412592334E-3</v>
      </c>
      <c r="W209">
        <f>(1+VLOOKUP(D209,Hipotesis!$D$9:$P$38,13,FALSE))^(1/12)-1</f>
        <v>0</v>
      </c>
      <c r="X209">
        <f t="shared" si="73"/>
        <v>0</v>
      </c>
      <c r="Y209">
        <f t="shared" si="62"/>
        <v>0.34944102950015643</v>
      </c>
      <c r="Z209">
        <f>(1+VLOOKUP(D209,Hipotesis!$D$9:$O$38,12,))^(1/12)-1</f>
        <v>2.6789629651118307E-3</v>
      </c>
      <c r="AA209">
        <f t="shared" si="74"/>
        <v>0.35125326235389681</v>
      </c>
      <c r="AB209">
        <f t="shared" si="75"/>
        <v>-1.812232853740395E-3</v>
      </c>
      <c r="AC209" s="68">
        <f t="shared" si="63"/>
        <v>-9.520808412592334E-3</v>
      </c>
      <c r="AD209">
        <f t="shared" si="64"/>
        <v>-0.66503929142871188</v>
      </c>
      <c r="AE209" s="67">
        <f t="shared" si="65"/>
        <v>-7.8767669251962158E-2</v>
      </c>
      <c r="AF209" s="67">
        <f t="shared" si="66"/>
        <v>-2.3630300775588645E-2</v>
      </c>
      <c r="AG209" s="67">
        <f t="shared" si="67"/>
        <v>-5.5137368476373516E-2</v>
      </c>
    </row>
    <row r="210" spans="4:33" x14ac:dyDescent="0.2">
      <c r="D210" s="50">
        <v>18</v>
      </c>
      <c r="E210">
        <v>4</v>
      </c>
      <c r="F210">
        <f t="shared" si="58"/>
        <v>67</v>
      </c>
      <c r="G210">
        <f t="shared" si="68"/>
        <v>0</v>
      </c>
      <c r="H210" s="64">
        <f>IF(E210="Anual",VLOOKUP(F210,Hipotesis!$E$9:$J$38,6,FALSE),1-(1-VLOOKUP(F210,Hipotesis!$E$9:$J$38,6,FALSE))^(1/12))</f>
        <v>1.3093823662611026E-3</v>
      </c>
      <c r="I210">
        <f t="shared" si="69"/>
        <v>0.33115983722568554</v>
      </c>
      <c r="J210">
        <v>0</v>
      </c>
      <c r="K210">
        <f>1-(1-VLOOKUP(D210,Hipotesis!$D$9:$K$38,8,FALSE))^(1/12)</f>
        <v>2.5350486138366879E-3</v>
      </c>
      <c r="L210">
        <f t="shared" si="70"/>
        <v>0.64030727249193919</v>
      </c>
      <c r="M210">
        <f t="shared" si="71"/>
        <v>251.94154421431699</v>
      </c>
      <c r="N210">
        <f>IF(D210=1,(VLOOKUP(D210,'Primas Netas Y Reservas'!$D$4:$I$33,5,FALSE)+(VLOOKUP(D210,'Primas Netas Y Reservas'!$D$4:$I$33,6,FALSE)-VLOOKUP(D210,'Primas Netas Y Reservas'!$D$4:$I$33,5,FALSE))*(E210/12))/1000,((VLOOKUP(D210-1,'Primas Netas Y Reservas'!$D$4:$I$33,6,FALSE)+VLOOKUP(D210,'Primas Netas Y Reservas'!$D$4:$I$33,5,FALSE))+(VLOOKUP(D210,'Primas Netas Y Reservas'!$D$4:$I$33,6,FALSE)-VLOOKUP(D210-1,'Primas Netas Y Reservas'!$D$4:$I$33,6,FALSE)-VLOOKUP(D210,'Primas Netas Y Reservas'!$D$4:$I$33,5,FALSE))*(E210/12))/1000)</f>
        <v>0.51846407984217846</v>
      </c>
      <c r="O210">
        <f t="shared" si="72"/>
        <v>-0.24639336919338461</v>
      </c>
      <c r="P210">
        <f>VLOOKUP(D210,Hipotesis!$D$9:$S$38,15,FALSE)*N210</f>
        <v>0.51846407984217846</v>
      </c>
      <c r="Q210">
        <f t="shared" si="59"/>
        <v>0.33197632084878831</v>
      </c>
      <c r="R210">
        <f t="shared" si="60"/>
        <v>0</v>
      </c>
      <c r="S210">
        <f t="shared" si="61"/>
        <v>0.33197632084878831</v>
      </c>
      <c r="T210">
        <f>G210*(VLOOKUP(D210,Hipotesis!$D$9:$N$38,9,FALSE)+VLOOKUP(D210,Hipotesis!$D$9:$N$38,10,FALSE)+VLOOKUP(D210,Hipotesis!$D$9:$N$38,11,FALSE))</f>
        <v>0</v>
      </c>
      <c r="U210">
        <v>0</v>
      </c>
      <c r="V210">
        <f>G210*VLOOKUP(D210,Hipotesis!$D$9:$S$38,16,FALSE)+((VLOOKUP(D210,Hipotesis!$D$9:$T$38,17,FALSE)/$B$4)*M209)/12</f>
        <v>9.4842379246512978E-3</v>
      </c>
      <c r="W210">
        <f>(1+VLOOKUP(D210,Hipotesis!$D$9:$P$38,13,FALSE))^(1/12)-1</f>
        <v>0</v>
      </c>
      <c r="X210">
        <f t="shared" si="73"/>
        <v>0</v>
      </c>
      <c r="Y210">
        <f t="shared" si="62"/>
        <v>0.34878627251974126</v>
      </c>
      <c r="Z210">
        <f>(1+VLOOKUP(D210,Hipotesis!$D$9:$O$38,12,))^(1/12)-1</f>
        <v>2.6789629651118307E-3</v>
      </c>
      <c r="AA210">
        <f t="shared" si="74"/>
        <v>0.35059329607397544</v>
      </c>
      <c r="AB210">
        <f t="shared" si="75"/>
        <v>-1.8070235542341827E-3</v>
      </c>
      <c r="AC210" s="68">
        <f t="shared" si="63"/>
        <v>-9.4842379246512978E-3</v>
      </c>
      <c r="AD210">
        <f t="shared" si="64"/>
        <v>-0.6631361580744739</v>
      </c>
      <c r="AE210" s="67">
        <f t="shared" si="65"/>
        <v>-7.7440754285999266E-2</v>
      </c>
      <c r="AF210" s="67">
        <f t="shared" si="66"/>
        <v>-2.3232226285799778E-2</v>
      </c>
      <c r="AG210" s="67">
        <f t="shared" si="67"/>
        <v>-5.4208528000199485E-2</v>
      </c>
    </row>
    <row r="211" spans="4:33" x14ac:dyDescent="0.2">
      <c r="D211" s="50">
        <v>18</v>
      </c>
      <c r="E211">
        <v>5</v>
      </c>
      <c r="F211">
        <f t="shared" si="58"/>
        <v>67</v>
      </c>
      <c r="G211">
        <f t="shared" si="68"/>
        <v>0</v>
      </c>
      <c r="H211" s="64">
        <f>IF(E211="Anual",VLOOKUP(F211,Hipotesis!$E$9:$J$38,6,FALSE),1-(1-VLOOKUP(F211,Hipotesis!$E$9:$J$38,6,FALSE))^(1/12))</f>
        <v>1.3093823662611026E-3</v>
      </c>
      <c r="I211">
        <f t="shared" si="69"/>
        <v>0.32988781532281858</v>
      </c>
      <c r="J211">
        <v>0</v>
      </c>
      <c r="K211">
        <f>1-(1-VLOOKUP(D211,Hipotesis!$D$9:$K$38,8,FALSE))^(1/12)</f>
        <v>2.5350486138366879E-3</v>
      </c>
      <c r="L211">
        <f t="shared" si="70"/>
        <v>0.63784778077942317</v>
      </c>
      <c r="M211">
        <f t="shared" si="71"/>
        <v>250.97380861821475</v>
      </c>
      <c r="N211">
        <f>IF(D211=1,(VLOOKUP(D211,'Primas Netas Y Reservas'!$D$4:$I$33,5,FALSE)+(VLOOKUP(D211,'Primas Netas Y Reservas'!$D$4:$I$33,6,FALSE)-VLOOKUP(D211,'Primas Netas Y Reservas'!$D$4:$I$33,5,FALSE))*(E211/12))/1000,((VLOOKUP(D211-1,'Primas Netas Y Reservas'!$D$4:$I$33,6,FALSE)+VLOOKUP(D211,'Primas Netas Y Reservas'!$D$4:$I$33,5,FALSE))+(VLOOKUP(D211,'Primas Netas Y Reservas'!$D$4:$I$33,6,FALSE)-VLOOKUP(D211-1,'Primas Netas Y Reservas'!$D$4:$I$33,6,FALSE)-VLOOKUP(D211,'Primas Netas Y Reservas'!$D$4:$I$33,5,FALSE))*(E211/12))/1000)</f>
        <v>0.51948133644988082</v>
      </c>
      <c r="O211">
        <f t="shared" si="72"/>
        <v>-0.24643138018657851</v>
      </c>
      <c r="P211">
        <f>VLOOKUP(D211,Hipotesis!$D$9:$S$38,15,FALSE)*N211</f>
        <v>0.51948133644988082</v>
      </c>
      <c r="Q211">
        <f t="shared" si="59"/>
        <v>0.33135001761088534</v>
      </c>
      <c r="R211">
        <f t="shared" si="60"/>
        <v>0</v>
      </c>
      <c r="S211">
        <f t="shared" si="61"/>
        <v>0.33135001761088534</v>
      </c>
      <c r="T211">
        <f>G211*(VLOOKUP(D211,Hipotesis!$D$9:$N$38,9,FALSE)+VLOOKUP(D211,Hipotesis!$D$9:$N$38,10,FALSE)+VLOOKUP(D211,Hipotesis!$D$9:$N$38,11,FALSE))</f>
        <v>0</v>
      </c>
      <c r="U211">
        <v>0</v>
      </c>
      <c r="V211">
        <f>G211*VLOOKUP(D211,Hipotesis!$D$9:$S$38,16,FALSE)+((VLOOKUP(D211,Hipotesis!$D$9:$T$38,17,FALSE)/$B$4)*M210)/12</f>
        <v>9.447807908036886E-3</v>
      </c>
      <c r="W211">
        <f>(1+VLOOKUP(D211,Hipotesis!$D$9:$P$38,13,FALSE))^(1/12)-1</f>
        <v>0</v>
      </c>
      <c r="X211">
        <f t="shared" si="73"/>
        <v>0</v>
      </c>
      <c r="Y211">
        <f t="shared" si="62"/>
        <v>0.34813138982726211</v>
      </c>
      <c r="Z211">
        <f>(1+VLOOKUP(D211,Hipotesis!$D$9:$O$38,12,))^(1/12)-1</f>
        <v>2.6789629651118307E-3</v>
      </c>
      <c r="AA211">
        <f t="shared" si="74"/>
        <v>0.34993321736305727</v>
      </c>
      <c r="AB211">
        <f t="shared" si="75"/>
        <v>-1.8018275357951819E-3</v>
      </c>
      <c r="AC211" s="68">
        <f t="shared" si="63"/>
        <v>-9.447807908036886E-3</v>
      </c>
      <c r="AD211">
        <f t="shared" si="64"/>
        <v>-0.66123783293370386</v>
      </c>
      <c r="AE211" s="67">
        <f t="shared" si="65"/>
        <v>-7.6122870827900188E-2</v>
      </c>
      <c r="AF211" s="67">
        <f t="shared" si="66"/>
        <v>-2.2836861248370057E-2</v>
      </c>
      <c r="AG211" s="67">
        <f t="shared" si="67"/>
        <v>-5.3286009579530128E-2</v>
      </c>
    </row>
    <row r="212" spans="4:33" x14ac:dyDescent="0.2">
      <c r="D212" s="50">
        <v>18</v>
      </c>
      <c r="E212">
        <v>6</v>
      </c>
      <c r="F212">
        <f t="shared" si="58"/>
        <v>67</v>
      </c>
      <c r="G212">
        <f t="shared" si="68"/>
        <v>0</v>
      </c>
      <c r="H212" s="64">
        <f>IF(E212="Anual",VLOOKUP(F212,Hipotesis!$E$9:$J$38,6,FALSE),1-(1-VLOOKUP(F212,Hipotesis!$E$9:$J$38,6,FALSE))^(1/12))</f>
        <v>1.3093823662611026E-3</v>
      </c>
      <c r="I212">
        <f t="shared" si="69"/>
        <v>0.3286206793980791</v>
      </c>
      <c r="J212">
        <v>0</v>
      </c>
      <c r="K212">
        <f>1-(1-VLOOKUP(D212,Hipotesis!$D$9:$K$38,8,FALSE))^(1/12)</f>
        <v>2.5350486138366879E-3</v>
      </c>
      <c r="L212">
        <f t="shared" si="70"/>
        <v>0.63539773624913332</v>
      </c>
      <c r="M212">
        <f t="shared" si="71"/>
        <v>250.00979020256753</v>
      </c>
      <c r="N212">
        <f>IF(D212=1,(VLOOKUP(D212,'Primas Netas Y Reservas'!$D$4:$I$33,5,FALSE)+(VLOOKUP(D212,'Primas Netas Y Reservas'!$D$4:$I$33,6,FALSE)-VLOOKUP(D212,'Primas Netas Y Reservas'!$D$4:$I$33,5,FALSE))*(E212/12))/1000,((VLOOKUP(D212-1,'Primas Netas Y Reservas'!$D$4:$I$33,6,FALSE)+VLOOKUP(D212,'Primas Netas Y Reservas'!$D$4:$I$33,5,FALSE))+(VLOOKUP(D212,'Primas Netas Y Reservas'!$D$4:$I$33,6,FALSE)-VLOOKUP(D212-1,'Primas Netas Y Reservas'!$D$4:$I$33,6,FALSE)-VLOOKUP(D212,'Primas Netas Y Reservas'!$D$4:$I$33,5,FALSE))*(E212/12))/1000)</f>
        <v>0.52049859305758328</v>
      </c>
      <c r="O212">
        <f t="shared" si="72"/>
        <v>-0.2464654638488355</v>
      </c>
      <c r="P212">
        <f>VLOOKUP(D212,Hipotesis!$D$9:$S$38,15,FALSE)*N212</f>
        <v>0.52049859305758328</v>
      </c>
      <c r="Q212">
        <f t="shared" si="59"/>
        <v>0.33072362774964725</v>
      </c>
      <c r="R212">
        <f t="shared" si="60"/>
        <v>0</v>
      </c>
      <c r="S212">
        <f t="shared" si="61"/>
        <v>0.33072362774964725</v>
      </c>
      <c r="T212">
        <f>G212*(VLOOKUP(D212,Hipotesis!$D$9:$N$38,9,FALSE)+VLOOKUP(D212,Hipotesis!$D$9:$N$38,10,FALSE)+VLOOKUP(D212,Hipotesis!$D$9:$N$38,11,FALSE))</f>
        <v>0</v>
      </c>
      <c r="U212">
        <v>0</v>
      </c>
      <c r="V212">
        <f>G212*VLOOKUP(D212,Hipotesis!$D$9:$S$38,16,FALSE)+((VLOOKUP(D212,Hipotesis!$D$9:$T$38,17,FALSE)/$B$4)*M211)/12</f>
        <v>9.4115178231830524E-3</v>
      </c>
      <c r="W212">
        <f>(1+VLOOKUP(D212,Hipotesis!$D$9:$P$38,13,FALSE))^(1/12)-1</f>
        <v>0</v>
      </c>
      <c r="X212">
        <f t="shared" si="73"/>
        <v>0</v>
      </c>
      <c r="Y212">
        <f t="shared" si="62"/>
        <v>0.34747639204884206</v>
      </c>
      <c r="Z212">
        <f>(1+VLOOKUP(D212,Hipotesis!$D$9:$O$38,12,))^(1/12)-1</f>
        <v>2.6789629651118307E-3</v>
      </c>
      <c r="AA212">
        <f t="shared" si="74"/>
        <v>0.34927303682209604</v>
      </c>
      <c r="AB212">
        <f t="shared" si="75"/>
        <v>-1.7966447732539941E-3</v>
      </c>
      <c r="AC212" s="68">
        <f t="shared" si="63"/>
        <v>-9.4115178231830524E-3</v>
      </c>
      <c r="AD212">
        <f t="shared" si="64"/>
        <v>-0.65934430714772629</v>
      </c>
      <c r="AE212" s="67">
        <f t="shared" si="65"/>
        <v>-7.4813969073231845E-2</v>
      </c>
      <c r="AF212" s="67">
        <f t="shared" si="66"/>
        <v>-2.2444190721969553E-2</v>
      </c>
      <c r="AG212" s="67">
        <f t="shared" si="67"/>
        <v>-5.2369778351262289E-2</v>
      </c>
    </row>
    <row r="213" spans="4:33" x14ac:dyDescent="0.2">
      <c r="D213" s="50">
        <v>18</v>
      </c>
      <c r="E213">
        <v>7</v>
      </c>
      <c r="F213">
        <f t="shared" si="58"/>
        <v>67</v>
      </c>
      <c r="G213">
        <f t="shared" si="68"/>
        <v>0</v>
      </c>
      <c r="H213" s="64">
        <f>IF(E213="Anual",VLOOKUP(F213,Hipotesis!$E$9:$J$38,6,FALSE),1-(1-VLOOKUP(F213,Hipotesis!$E$9:$J$38,6,FALSE))^(1/12))</f>
        <v>1.3093823662611026E-3</v>
      </c>
      <c r="I213">
        <f t="shared" si="69"/>
        <v>0.32735841068387972</v>
      </c>
      <c r="J213">
        <v>0</v>
      </c>
      <c r="K213">
        <f>1-(1-VLOOKUP(D213,Hipotesis!$D$9:$K$38,8,FALSE))^(1/12)</f>
        <v>2.5350486138366879E-3</v>
      </c>
      <c r="L213">
        <f t="shared" si="70"/>
        <v>0.632957102613388</v>
      </c>
      <c r="M213">
        <f t="shared" si="71"/>
        <v>249.04947468927028</v>
      </c>
      <c r="N213">
        <f>IF(D213=1,(VLOOKUP(D213,'Primas Netas Y Reservas'!$D$4:$I$33,5,FALSE)+(VLOOKUP(D213,'Primas Netas Y Reservas'!$D$4:$I$33,6,FALSE)-VLOOKUP(D213,'Primas Netas Y Reservas'!$D$4:$I$33,5,FALSE))*(E213/12))/1000,((VLOOKUP(D213-1,'Primas Netas Y Reservas'!$D$4:$I$33,6,FALSE)+VLOOKUP(D213,'Primas Netas Y Reservas'!$D$4:$I$33,5,FALSE))+(VLOOKUP(D213,'Primas Netas Y Reservas'!$D$4:$I$33,6,FALSE)-VLOOKUP(D213-1,'Primas Netas Y Reservas'!$D$4:$I$33,6,FALSE)-VLOOKUP(D213,'Primas Netas Y Reservas'!$D$4:$I$33,5,FALSE))*(E213/12))/1000)</f>
        <v>0.52151584966528575</v>
      </c>
      <c r="O213">
        <f t="shared" si="72"/>
        <v>-0.24649564979009142</v>
      </c>
      <c r="P213">
        <f>VLOOKUP(D213,Hipotesis!$D$9:$S$38,15,FALSE)*N213</f>
        <v>0.52151584966528575</v>
      </c>
      <c r="Q213">
        <f t="shared" si="59"/>
        <v>0.3300971611710985</v>
      </c>
      <c r="R213">
        <f t="shared" si="60"/>
        <v>0</v>
      </c>
      <c r="S213">
        <f t="shared" si="61"/>
        <v>0.3300971611710985</v>
      </c>
      <c r="T213">
        <f>G213*(VLOOKUP(D213,Hipotesis!$D$9:$N$38,9,FALSE)+VLOOKUP(D213,Hipotesis!$D$9:$N$38,10,FALSE)+VLOOKUP(D213,Hipotesis!$D$9:$N$38,11,FALSE))</f>
        <v>0</v>
      </c>
      <c r="U213">
        <v>0</v>
      </c>
      <c r="V213">
        <f>G213*VLOOKUP(D213,Hipotesis!$D$9:$S$38,16,FALSE)+((VLOOKUP(D213,Hipotesis!$D$9:$T$38,17,FALSE)/$B$4)*M212)/12</f>
        <v>9.3753671325962819E-3</v>
      </c>
      <c r="W213">
        <f>(1+VLOOKUP(D213,Hipotesis!$D$9:$P$38,13,FALSE))^(1/12)-1</f>
        <v>0</v>
      </c>
      <c r="X213">
        <f t="shared" si="73"/>
        <v>0</v>
      </c>
      <c r="Y213">
        <f t="shared" si="62"/>
        <v>0.34682128973082726</v>
      </c>
      <c r="Z213">
        <f>(1+VLOOKUP(D213,Hipotesis!$D$9:$O$38,12,))^(1/12)-1</f>
        <v>2.6789629651118307E-3</v>
      </c>
      <c r="AA213">
        <f t="shared" si="74"/>
        <v>0.3486127649722659</v>
      </c>
      <c r="AB213">
        <f t="shared" si="75"/>
        <v>-1.7914752414386304E-3</v>
      </c>
      <c r="AC213" s="68">
        <f t="shared" si="63"/>
        <v>-9.3753671325962819E-3</v>
      </c>
      <c r="AD213">
        <f t="shared" si="64"/>
        <v>-0.65745557185497816</v>
      </c>
      <c r="AE213" s="67">
        <f t="shared" si="65"/>
        <v>-7.3513999466655808E-2</v>
      </c>
      <c r="AF213" s="67">
        <f t="shared" si="66"/>
        <v>-2.2054199839996742E-2</v>
      </c>
      <c r="AG213" s="67">
        <f t="shared" si="67"/>
        <v>-5.1459799626659065E-2</v>
      </c>
    </row>
    <row r="214" spans="4:33" x14ac:dyDescent="0.2">
      <c r="D214" s="50">
        <v>18</v>
      </c>
      <c r="E214">
        <v>8</v>
      </c>
      <c r="F214">
        <f t="shared" si="58"/>
        <v>67</v>
      </c>
      <c r="G214">
        <f t="shared" si="68"/>
        <v>0</v>
      </c>
      <c r="H214" s="64">
        <f>IF(E214="Anual",VLOOKUP(F214,Hipotesis!$E$9:$J$38,6,FALSE),1-(1-VLOOKUP(F214,Hipotesis!$E$9:$J$38,6,FALSE))^(1/12))</f>
        <v>1.3093823662611026E-3</v>
      </c>
      <c r="I214">
        <f t="shared" si="69"/>
        <v>0.3261009904847213</v>
      </c>
      <c r="J214">
        <v>0</v>
      </c>
      <c r="K214">
        <f>1-(1-VLOOKUP(D214,Hipotesis!$D$9:$K$38,8,FALSE))^(1/12)</f>
        <v>2.5350486138366879E-3</v>
      </c>
      <c r="L214">
        <f t="shared" si="70"/>
        <v>0.63052584372389087</v>
      </c>
      <c r="M214">
        <f t="shared" si="71"/>
        <v>248.09284785506168</v>
      </c>
      <c r="N214">
        <f>IF(D214=1,(VLOOKUP(D214,'Primas Netas Y Reservas'!$D$4:$I$33,5,FALSE)+(VLOOKUP(D214,'Primas Netas Y Reservas'!$D$4:$I$33,6,FALSE)-VLOOKUP(D214,'Primas Netas Y Reservas'!$D$4:$I$33,5,FALSE))*(E214/12))/1000,((VLOOKUP(D214-1,'Primas Netas Y Reservas'!$D$4:$I$33,6,FALSE)+VLOOKUP(D214,'Primas Netas Y Reservas'!$D$4:$I$33,5,FALSE))+(VLOOKUP(D214,'Primas Netas Y Reservas'!$D$4:$I$33,6,FALSE)-VLOOKUP(D214-1,'Primas Netas Y Reservas'!$D$4:$I$33,6,FALSE)-VLOOKUP(D214,'Primas Netas Y Reservas'!$D$4:$I$33,5,FALSE))*(E214/12))/1000)</f>
        <v>0.5225331062729881</v>
      </c>
      <c r="O214">
        <f t="shared" si="72"/>
        <v>-0.24652196745066135</v>
      </c>
      <c r="P214">
        <f>VLOOKUP(D214,Hipotesis!$D$9:$S$38,15,FALSE)*N214</f>
        <v>0.5225331062729881</v>
      </c>
      <c r="Q214">
        <f t="shared" si="59"/>
        <v>0.32947062770644137</v>
      </c>
      <c r="R214">
        <f t="shared" si="60"/>
        <v>0</v>
      </c>
      <c r="S214">
        <f t="shared" si="61"/>
        <v>0.32947062770644137</v>
      </c>
      <c r="T214">
        <f>G214*(VLOOKUP(D214,Hipotesis!$D$9:$N$38,9,FALSE)+VLOOKUP(D214,Hipotesis!$D$9:$N$38,10,FALSE)+VLOOKUP(D214,Hipotesis!$D$9:$N$38,11,FALSE))</f>
        <v>0</v>
      </c>
      <c r="U214">
        <v>0</v>
      </c>
      <c r="V214">
        <f>G214*VLOOKUP(D214,Hipotesis!$D$9:$S$38,16,FALSE)+((VLOOKUP(D214,Hipotesis!$D$9:$T$38,17,FALSE)/$B$4)*M213)/12</f>
        <v>9.3393553008476356E-3</v>
      </c>
      <c r="W214">
        <f>(1+VLOOKUP(D214,Hipotesis!$D$9:$P$38,13,FALSE))^(1/12)-1</f>
        <v>0</v>
      </c>
      <c r="X214">
        <f t="shared" si="73"/>
        <v>0</v>
      </c>
      <c r="Y214">
        <f t="shared" si="62"/>
        <v>0.34616609334024218</v>
      </c>
      <c r="Z214">
        <f>(1+VLOOKUP(D214,Hipotesis!$D$9:$O$38,12,))^(1/12)-1</f>
        <v>2.6789629651118307E-3</v>
      </c>
      <c r="AA214">
        <f t="shared" si="74"/>
        <v>0.34795241225541707</v>
      </c>
      <c r="AB214">
        <f t="shared" si="75"/>
        <v>-1.7863189151748982E-3</v>
      </c>
      <c r="AC214" s="68">
        <f t="shared" si="63"/>
        <v>-9.3393553008476356E-3</v>
      </c>
      <c r="AD214">
        <f t="shared" si="64"/>
        <v>-0.65557161819116261</v>
      </c>
      <c r="AE214" s="67">
        <f t="shared" si="65"/>
        <v>-7.222291270110677E-2</v>
      </c>
      <c r="AF214" s="67">
        <f t="shared" si="66"/>
        <v>-2.166687381033203E-2</v>
      </c>
      <c r="AG214" s="67">
        <f t="shared" si="67"/>
        <v>-5.0556038890774743E-2</v>
      </c>
    </row>
    <row r="215" spans="4:33" x14ac:dyDescent="0.2">
      <c r="D215" s="50">
        <v>18</v>
      </c>
      <c r="E215">
        <v>9</v>
      </c>
      <c r="F215">
        <f t="shared" si="58"/>
        <v>67</v>
      </c>
      <c r="G215">
        <f t="shared" si="68"/>
        <v>0</v>
      </c>
      <c r="H215" s="64">
        <f>IF(E215="Anual",VLOOKUP(F215,Hipotesis!$E$9:$J$38,6,FALSE),1-(1-VLOOKUP(F215,Hipotesis!$E$9:$J$38,6,FALSE))^(1/12))</f>
        <v>1.3093823662611026E-3</v>
      </c>
      <c r="I215">
        <f t="shared" si="69"/>
        <v>0.32484840017691635</v>
      </c>
      <c r="J215">
        <v>0</v>
      </c>
      <c r="K215">
        <f>1-(1-VLOOKUP(D215,Hipotesis!$D$9:$K$38,8,FALSE))^(1/12)</f>
        <v>2.5350486138366879E-3</v>
      </c>
      <c r="L215">
        <f t="shared" si="70"/>
        <v>0.62810392357119493</v>
      </c>
      <c r="M215">
        <f t="shared" si="71"/>
        <v>247.13989553131358</v>
      </c>
      <c r="N215">
        <f>IF(D215=1,(VLOOKUP(D215,'Primas Netas Y Reservas'!$D$4:$I$33,5,FALSE)+(VLOOKUP(D215,'Primas Netas Y Reservas'!$D$4:$I$33,6,FALSE)-VLOOKUP(D215,'Primas Netas Y Reservas'!$D$4:$I$33,5,FALSE))*(E215/12))/1000,((VLOOKUP(D215-1,'Primas Netas Y Reservas'!$D$4:$I$33,6,FALSE)+VLOOKUP(D215,'Primas Netas Y Reservas'!$D$4:$I$33,5,FALSE))+(VLOOKUP(D215,'Primas Netas Y Reservas'!$D$4:$I$33,6,FALSE)-VLOOKUP(D215-1,'Primas Netas Y Reservas'!$D$4:$I$33,6,FALSE)-VLOOKUP(D215,'Primas Netas Y Reservas'!$D$4:$I$33,5,FALSE))*(E215/12))/1000)</f>
        <v>0.52355036288069046</v>
      </c>
      <c r="O215">
        <f t="shared" si="72"/>
        <v>-0.24654444610206383</v>
      </c>
      <c r="P215">
        <f>VLOOKUP(D215,Hipotesis!$D$9:$S$38,15,FALSE)*N215</f>
        <v>0.52355036288069046</v>
      </c>
      <c r="Q215">
        <f t="shared" si="59"/>
        <v>0.32884403711248456</v>
      </c>
      <c r="R215">
        <f t="shared" si="60"/>
        <v>0</v>
      </c>
      <c r="S215">
        <f t="shared" si="61"/>
        <v>0.32884403711248456</v>
      </c>
      <c r="T215">
        <f>G215*(VLOOKUP(D215,Hipotesis!$D$9:$N$38,9,FALSE)+VLOOKUP(D215,Hipotesis!$D$9:$N$38,10,FALSE)+VLOOKUP(D215,Hipotesis!$D$9:$N$38,11,FALSE))</f>
        <v>0</v>
      </c>
      <c r="U215">
        <v>0</v>
      </c>
      <c r="V215">
        <f>G215*VLOOKUP(D215,Hipotesis!$D$9:$S$38,16,FALSE)+((VLOOKUP(D215,Hipotesis!$D$9:$T$38,17,FALSE)/$B$4)*M214)/12</f>
        <v>9.3034817945648121E-3</v>
      </c>
      <c r="W215">
        <f>(1+VLOOKUP(D215,Hipotesis!$D$9:$P$38,13,FALSE))^(1/12)-1</f>
        <v>0</v>
      </c>
      <c r="X215">
        <f t="shared" si="73"/>
        <v>0</v>
      </c>
      <c r="Y215">
        <f t="shared" si="62"/>
        <v>0.34551081326524347</v>
      </c>
      <c r="Z215">
        <f>(1+VLOOKUP(D215,Hipotesis!$D$9:$O$38,12,))^(1/12)-1</f>
        <v>2.6789629651118307E-3</v>
      </c>
      <c r="AA215">
        <f t="shared" si="74"/>
        <v>0.34729198903453024</v>
      </c>
      <c r="AB215">
        <f t="shared" si="75"/>
        <v>-1.7811757692867893E-3</v>
      </c>
      <c r="AC215" s="68">
        <f t="shared" si="63"/>
        <v>-9.3034817945648121E-3</v>
      </c>
      <c r="AD215">
        <f t="shared" si="64"/>
        <v>-0.65369243728940085</v>
      </c>
      <c r="AE215" s="67">
        <f t="shared" si="65"/>
        <v>-7.0940659716658416E-2</v>
      </c>
      <c r="AF215" s="67">
        <f t="shared" si="66"/>
        <v>-2.1282197914997525E-2</v>
      </c>
      <c r="AG215" s="67">
        <f t="shared" si="67"/>
        <v>-4.9658461801660891E-2</v>
      </c>
    </row>
    <row r="216" spans="4:33" x14ac:dyDescent="0.2">
      <c r="D216" s="50">
        <v>18</v>
      </c>
      <c r="E216">
        <v>10</v>
      </c>
      <c r="F216">
        <f t="shared" si="58"/>
        <v>67</v>
      </c>
      <c r="G216">
        <f t="shared" si="68"/>
        <v>0</v>
      </c>
      <c r="H216" s="64">
        <f>IF(E216="Anual",VLOOKUP(F216,Hipotesis!$E$9:$J$38,6,FALSE),1-(1-VLOOKUP(F216,Hipotesis!$E$9:$J$38,6,FALSE))^(1/12))</f>
        <v>1.3093823662611026E-3</v>
      </c>
      <c r="I216">
        <f t="shared" si="69"/>
        <v>0.32360062120831307</v>
      </c>
      <c r="J216">
        <v>0</v>
      </c>
      <c r="K216">
        <f>1-(1-VLOOKUP(D216,Hipotesis!$D$9:$K$38,8,FALSE))^(1/12)</f>
        <v>2.5350486138366879E-3</v>
      </c>
      <c r="L216">
        <f t="shared" si="70"/>
        <v>0.62569130628416958</v>
      </c>
      <c r="M216">
        <f t="shared" si="71"/>
        <v>246.1906036038211</v>
      </c>
      <c r="N216">
        <f>IF(D216=1,(VLOOKUP(D216,'Primas Netas Y Reservas'!$D$4:$I$33,5,FALSE)+(VLOOKUP(D216,'Primas Netas Y Reservas'!$D$4:$I$33,6,FALSE)-VLOOKUP(D216,'Primas Netas Y Reservas'!$D$4:$I$33,5,FALSE))*(E216/12))/1000,((VLOOKUP(D216-1,'Primas Netas Y Reservas'!$D$4:$I$33,6,FALSE)+VLOOKUP(D216,'Primas Netas Y Reservas'!$D$4:$I$33,5,FALSE))+(VLOOKUP(D216,'Primas Netas Y Reservas'!$D$4:$I$33,6,FALSE)-VLOOKUP(D216-1,'Primas Netas Y Reservas'!$D$4:$I$33,6,FALSE)-VLOOKUP(D216,'Primas Netas Y Reservas'!$D$4:$I$33,5,FALSE))*(E216/12))/1000)</f>
        <v>0.52456761948839292</v>
      </c>
      <c r="O216">
        <f t="shared" si="72"/>
        <v>-0.24656311484815774</v>
      </c>
      <c r="P216">
        <f>VLOOKUP(D216,Hipotesis!$D$9:$S$38,15,FALSE)*N216</f>
        <v>0.52456761948839292</v>
      </c>
      <c r="Q216">
        <f t="shared" si="59"/>
        <v>0.32821739907206976</v>
      </c>
      <c r="R216">
        <f t="shared" si="60"/>
        <v>0</v>
      </c>
      <c r="S216">
        <f t="shared" si="61"/>
        <v>0.32821739907206976</v>
      </c>
      <c r="T216">
        <f>G216*(VLOOKUP(D216,Hipotesis!$D$9:$N$38,9,FALSE)+VLOOKUP(D216,Hipotesis!$D$9:$N$38,10,FALSE)+VLOOKUP(D216,Hipotesis!$D$9:$N$38,11,FALSE))</f>
        <v>0</v>
      </c>
      <c r="U216">
        <v>0</v>
      </c>
      <c r="V216">
        <f>G216*VLOOKUP(D216,Hipotesis!$D$9:$S$38,16,FALSE)+((VLOOKUP(D216,Hipotesis!$D$9:$T$38,17,FALSE)/$B$4)*M215)/12</f>
        <v>9.2677460824242587E-3</v>
      </c>
      <c r="W216">
        <f>(1+VLOOKUP(D216,Hipotesis!$D$9:$P$38,13,FALSE))^(1/12)-1</f>
        <v>0</v>
      </c>
      <c r="X216">
        <f t="shared" si="73"/>
        <v>0</v>
      </c>
      <c r="Y216">
        <f t="shared" si="62"/>
        <v>0.34485545981557192</v>
      </c>
      <c r="Z216">
        <f>(1+VLOOKUP(D216,Hipotesis!$D$9:$O$38,12,))^(1/12)-1</f>
        <v>2.6789629651118307E-3</v>
      </c>
      <c r="AA216">
        <f t="shared" si="74"/>
        <v>0.34663150559416878</v>
      </c>
      <c r="AB216">
        <f t="shared" si="75"/>
        <v>-1.7760457785968677E-3</v>
      </c>
      <c r="AC216" s="68">
        <f t="shared" si="63"/>
        <v>-9.2677460824242587E-3</v>
      </c>
      <c r="AD216">
        <f t="shared" si="64"/>
        <v>-0.65181802028038283</v>
      </c>
      <c r="AE216" s="67">
        <f t="shared" si="65"/>
        <v>-6.9667191699077424E-2</v>
      </c>
      <c r="AF216" s="67">
        <f t="shared" si="66"/>
        <v>-2.0900157509723228E-2</v>
      </c>
      <c r="AG216" s="67">
        <f t="shared" si="67"/>
        <v>-4.87670341893542E-2</v>
      </c>
    </row>
    <row r="217" spans="4:33" x14ac:dyDescent="0.2">
      <c r="D217" s="50">
        <v>18</v>
      </c>
      <c r="E217">
        <v>11</v>
      </c>
      <c r="F217">
        <f t="shared" si="58"/>
        <v>67</v>
      </c>
      <c r="G217">
        <f t="shared" si="68"/>
        <v>0</v>
      </c>
      <c r="H217" s="64">
        <f>IF(E217="Anual",VLOOKUP(F217,Hipotesis!$E$9:$J$38,6,FALSE),1-(1-VLOOKUP(F217,Hipotesis!$E$9:$J$38,6,FALSE))^(1/12))</f>
        <v>1.3093823662611026E-3</v>
      </c>
      <c r="I217">
        <f t="shared" si="69"/>
        <v>0.3223576350980204</v>
      </c>
      <c r="J217">
        <v>0</v>
      </c>
      <c r="K217">
        <f>1-(1-VLOOKUP(D217,Hipotesis!$D$9:$K$38,8,FALSE))^(1/12)</f>
        <v>2.5350486138366879E-3</v>
      </c>
      <c r="L217">
        <f t="shared" si="70"/>
        <v>0.6232879561294693</v>
      </c>
      <c r="M217">
        <f t="shared" si="71"/>
        <v>245.2449580125936</v>
      </c>
      <c r="N217">
        <f>IF(D217=1,(VLOOKUP(D217,'Primas Netas Y Reservas'!$D$4:$I$33,5,FALSE)+(VLOOKUP(D217,'Primas Netas Y Reservas'!$D$4:$I$33,6,FALSE)-VLOOKUP(D217,'Primas Netas Y Reservas'!$D$4:$I$33,5,FALSE))*(E217/12))/1000,((VLOOKUP(D217-1,'Primas Netas Y Reservas'!$D$4:$I$33,6,FALSE)+VLOOKUP(D217,'Primas Netas Y Reservas'!$D$4:$I$33,5,FALSE))+(VLOOKUP(D217,'Primas Netas Y Reservas'!$D$4:$I$33,6,FALSE)-VLOOKUP(D217-1,'Primas Netas Y Reservas'!$D$4:$I$33,6,FALSE)-VLOOKUP(D217,'Primas Netas Y Reservas'!$D$4:$I$33,5,FALSE))*(E217/12))/1000)</f>
        <v>0.52558487609609539</v>
      </c>
      <c r="O217">
        <f t="shared" si="72"/>
        <v>-0.24657800262588125</v>
      </c>
      <c r="P217">
        <f>VLOOKUP(D217,Hipotesis!$D$9:$S$38,15,FALSE)*N217</f>
        <v>0.52558487609609539</v>
      </c>
      <c r="Q217">
        <f t="shared" si="59"/>
        <v>0.32759072319449567</v>
      </c>
      <c r="R217">
        <f t="shared" si="60"/>
        <v>0</v>
      </c>
      <c r="S217">
        <f t="shared" si="61"/>
        <v>0.32759072319449567</v>
      </c>
      <c r="T217">
        <f>G217*(VLOOKUP(D217,Hipotesis!$D$9:$N$38,9,FALSE)+VLOOKUP(D217,Hipotesis!$D$9:$N$38,10,FALSE)+VLOOKUP(D217,Hipotesis!$D$9:$N$38,11,FALSE))</f>
        <v>0</v>
      </c>
      <c r="U217">
        <v>0</v>
      </c>
      <c r="V217">
        <f>G217*VLOOKUP(D217,Hipotesis!$D$9:$S$38,16,FALSE)+((VLOOKUP(D217,Hipotesis!$D$9:$T$38,17,FALSE)/$B$4)*M216)/12</f>
        <v>9.23214763514329E-3</v>
      </c>
      <c r="W217">
        <f>(1+VLOOKUP(D217,Hipotesis!$D$9:$P$38,13,FALSE))^(1/12)-1</f>
        <v>0</v>
      </c>
      <c r="X217">
        <f t="shared" si="73"/>
        <v>0</v>
      </c>
      <c r="Y217">
        <f t="shared" si="62"/>
        <v>0.3442000432230013</v>
      </c>
      <c r="Z217">
        <f>(1+VLOOKUP(D217,Hipotesis!$D$9:$O$38,12,))^(1/12)-1</f>
        <v>2.6789629651118307E-3</v>
      </c>
      <c r="AA217">
        <f t="shared" si="74"/>
        <v>0.34597097214092792</v>
      </c>
      <c r="AB217">
        <f t="shared" si="75"/>
        <v>-1.7709289179266513E-3</v>
      </c>
      <c r="AC217" s="68">
        <f t="shared" si="63"/>
        <v>-9.23214763514329E-3</v>
      </c>
      <c r="AD217">
        <f t="shared" si="64"/>
        <v>-0.64994835829251607</v>
      </c>
      <c r="AE217" s="67">
        <f t="shared" si="65"/>
        <v>-6.8402460078776817E-2</v>
      </c>
      <c r="AF217" s="67">
        <f t="shared" si="66"/>
        <v>-2.0520738023633044E-2</v>
      </c>
      <c r="AG217" s="67">
        <f t="shared" si="67"/>
        <v>-4.7881722055143773E-2</v>
      </c>
    </row>
    <row r="218" spans="4:33" x14ac:dyDescent="0.2">
      <c r="D218" s="50">
        <v>18</v>
      </c>
      <c r="E218">
        <v>12</v>
      </c>
      <c r="F218">
        <f t="shared" si="58"/>
        <v>67</v>
      </c>
      <c r="G218">
        <f t="shared" si="68"/>
        <v>0</v>
      </c>
      <c r="H218" s="64">
        <f>IF(E218="Anual",VLOOKUP(F218,Hipotesis!$E$9:$J$38,6,FALSE),1-(1-VLOOKUP(F218,Hipotesis!$E$9:$J$38,6,FALSE))^(1/12))</f>
        <v>1.3093823662611026E-3</v>
      </c>
      <c r="I218">
        <f t="shared" si="69"/>
        <v>0.32111942343613459</v>
      </c>
      <c r="J218">
        <v>0</v>
      </c>
      <c r="K218">
        <f>1-(1-VLOOKUP(D218,Hipotesis!$D$9:$K$38,8,FALSE))^(1/12)</f>
        <v>2.5350486138366879E-3</v>
      </c>
      <c r="L218">
        <f t="shared" si="70"/>
        <v>0.62089383751100435</v>
      </c>
      <c r="M218">
        <f t="shared" si="71"/>
        <v>244.30294475164646</v>
      </c>
      <c r="N218">
        <f>IF(D218=1,(VLOOKUP(D218,'Primas Netas Y Reservas'!$D$4:$I$33,5,FALSE)+(VLOOKUP(D218,'Primas Netas Y Reservas'!$D$4:$I$33,6,FALSE)-VLOOKUP(D218,'Primas Netas Y Reservas'!$D$4:$I$33,5,FALSE))*(E218/12))/1000,((VLOOKUP(D218-1,'Primas Netas Y Reservas'!$D$4:$I$33,6,FALSE)+VLOOKUP(D218,'Primas Netas Y Reservas'!$D$4:$I$33,5,FALSE))+(VLOOKUP(D218,'Primas Netas Y Reservas'!$D$4:$I$33,6,FALSE)-VLOOKUP(D218-1,'Primas Netas Y Reservas'!$D$4:$I$33,6,FALSE)-VLOOKUP(D218,'Primas Netas Y Reservas'!$D$4:$I$33,5,FALSE))*(E218/12))/1000)</f>
        <v>0.52660213270379774</v>
      </c>
      <c r="O218">
        <f t="shared" si="72"/>
        <v>-0.24658913820601924</v>
      </c>
      <c r="P218">
        <f>VLOOKUP(D218,Hipotesis!$D$9:$S$38,15,FALSE)*N218</f>
        <v>0.52660213270379774</v>
      </c>
      <c r="Q218">
        <f t="shared" si="59"/>
        <v>0.32696401901594013</v>
      </c>
      <c r="R218">
        <f t="shared" si="60"/>
        <v>0</v>
      </c>
      <c r="S218">
        <f t="shared" si="61"/>
        <v>0.32696401901594013</v>
      </c>
      <c r="T218">
        <f>G218*(VLOOKUP(D218,Hipotesis!$D$9:$N$38,9,FALSE)+VLOOKUP(D218,Hipotesis!$D$9:$N$38,10,FALSE)+VLOOKUP(D218,Hipotesis!$D$9:$N$38,11,FALSE))</f>
        <v>0</v>
      </c>
      <c r="U218">
        <v>0</v>
      </c>
      <c r="V218">
        <f>G218*VLOOKUP(D218,Hipotesis!$D$9:$S$38,16,FALSE)+((VLOOKUP(D218,Hipotesis!$D$9:$T$38,17,FALSE)/$B$4)*M217)/12</f>
        <v>9.1966859254722592E-3</v>
      </c>
      <c r="W218">
        <f>(1+VLOOKUP(D218,Hipotesis!$D$9:$P$38,13,FALSE))^(1/12)-1</f>
        <v>0</v>
      </c>
      <c r="X218">
        <f t="shared" si="73"/>
        <v>0</v>
      </c>
      <c r="Y218">
        <f t="shared" si="62"/>
        <v>0.34354457364178498</v>
      </c>
      <c r="Z218">
        <f>(1+VLOOKUP(D218,Hipotesis!$D$9:$O$38,12,))^(1/12)-1</f>
        <v>2.6789629651118307E-3</v>
      </c>
      <c r="AA218">
        <f t="shared" si="74"/>
        <v>0.34531039880388198</v>
      </c>
      <c r="AB218">
        <f t="shared" si="75"/>
        <v>-1.7658251620969909E-3</v>
      </c>
      <c r="AC218" s="68">
        <f t="shared" si="63"/>
        <v>-9.1966859254722592E-3</v>
      </c>
      <c r="AD218">
        <f t="shared" si="64"/>
        <v>-0.64808344245207472</v>
      </c>
      <c r="AE218" s="67">
        <f t="shared" si="65"/>
        <v>-6.7146416529742764E-2</v>
      </c>
      <c r="AF218" s="67">
        <f t="shared" si="66"/>
        <v>-2.0143924958922827E-2</v>
      </c>
      <c r="AG218" s="67">
        <f t="shared" si="67"/>
        <v>-4.700249157081994E-2</v>
      </c>
    </row>
    <row r="219" spans="4:33" x14ac:dyDescent="0.2">
      <c r="D219" s="50">
        <v>19</v>
      </c>
      <c r="E219">
        <v>1</v>
      </c>
      <c r="F219">
        <f t="shared" si="58"/>
        <v>68</v>
      </c>
      <c r="G219">
        <f t="shared" si="68"/>
        <v>0</v>
      </c>
      <c r="H219" s="64">
        <f>IF(E219="Anual",VLOOKUP(F219,Hipotesis!$E$9:$J$38,6,FALSE),1-(1-VLOOKUP(F219,Hipotesis!$E$9:$J$38,6,FALSE))^(1/12))</f>
        <v>1.4087325589959843E-3</v>
      </c>
      <c r="I219">
        <f t="shared" si="69"/>
        <v>0.34415751253024146</v>
      </c>
      <c r="J219">
        <v>0</v>
      </c>
      <c r="K219">
        <f>1-(1-VLOOKUP(D219,Hipotesis!$D$9:$K$38,8,FALSE))^(1/12)</f>
        <v>2.5350486138366879E-3</v>
      </c>
      <c r="L219">
        <f t="shared" si="70"/>
        <v>0.61844738542380107</v>
      </c>
      <c r="M219">
        <f t="shared" si="71"/>
        <v>243.34033985369243</v>
      </c>
      <c r="N219">
        <f>IF(D219=1,(VLOOKUP(D219,'Primas Netas Y Reservas'!$D$4:$I$33,5,FALSE)+(VLOOKUP(D219,'Primas Netas Y Reservas'!$D$4:$I$33,6,FALSE)-VLOOKUP(D219,'Primas Netas Y Reservas'!$D$4:$I$33,5,FALSE))*(E219/12))/1000,((VLOOKUP(D219-1,'Primas Netas Y Reservas'!$D$4:$I$33,6,FALSE)+VLOOKUP(D219,'Primas Netas Y Reservas'!$D$4:$I$33,5,FALSE))+(VLOOKUP(D219,'Primas Netas Y Reservas'!$D$4:$I$33,6,FALSE)-VLOOKUP(D219-1,'Primas Netas Y Reservas'!$D$4:$I$33,6,FALSE)-VLOOKUP(D219,'Primas Netas Y Reservas'!$D$4:$I$33,5,FALSE))*(E219/12))/1000)</f>
        <v>0.52762186452354132</v>
      </c>
      <c r="O219">
        <f t="shared" si="72"/>
        <v>-0.25876790463769339</v>
      </c>
      <c r="P219">
        <f>VLOOKUP(D219,Hipotesis!$D$9:$S$38,15,FALSE)*N219</f>
        <v>0.52762186452354132</v>
      </c>
      <c r="Q219">
        <f t="shared" si="59"/>
        <v>0.32630636260701512</v>
      </c>
      <c r="R219">
        <f t="shared" si="60"/>
        <v>0</v>
      </c>
      <c r="S219">
        <f t="shared" si="61"/>
        <v>0.32630636260701512</v>
      </c>
      <c r="T219">
        <f>G219*(VLOOKUP(D219,Hipotesis!$D$9:$N$38,9,FALSE)+VLOOKUP(D219,Hipotesis!$D$9:$N$38,10,FALSE)+VLOOKUP(D219,Hipotesis!$D$9:$N$38,11,FALSE))</f>
        <v>0</v>
      </c>
      <c r="U219">
        <v>0</v>
      </c>
      <c r="V219">
        <f>G219*VLOOKUP(D219,Hipotesis!$D$9:$S$38,16,FALSE)+((VLOOKUP(D219,Hipotesis!$D$9:$T$38,17,FALSE)/$B$4)*M218)/12</f>
        <v>9.1613604281867416E-3</v>
      </c>
      <c r="W219">
        <f>(1+VLOOKUP(D219,Hipotesis!$D$9:$P$38,13,FALSE))^(1/12)-1</f>
        <v>0</v>
      </c>
      <c r="X219">
        <f t="shared" si="73"/>
        <v>0</v>
      </c>
      <c r="Y219">
        <f t="shared" si="62"/>
        <v>0.35987141172301351</v>
      </c>
      <c r="Z219">
        <f>(1+VLOOKUP(D219,Hipotesis!$D$9:$O$38,12,))^(1/12)-1</f>
        <v>2.8116446205008749E-3</v>
      </c>
      <c r="AA219">
        <f t="shared" si="74"/>
        <v>0.36171935053738397</v>
      </c>
      <c r="AB219">
        <f t="shared" si="75"/>
        <v>-1.8479388143704449E-3</v>
      </c>
      <c r="AC219" s="68">
        <f t="shared" si="63"/>
        <v>-9.1613604281867416E-3</v>
      </c>
      <c r="AD219">
        <f t="shared" si="64"/>
        <v>-0.67046387513725658</v>
      </c>
      <c r="AE219" s="67">
        <f t="shared" si="65"/>
        <v>-6.0985919204736422E-2</v>
      </c>
      <c r="AF219" s="67">
        <f t="shared" si="66"/>
        <v>-1.8295775761420927E-2</v>
      </c>
      <c r="AG219" s="67">
        <f t="shared" si="67"/>
        <v>-4.2690143443315495E-2</v>
      </c>
    </row>
    <row r="220" spans="4:33" x14ac:dyDescent="0.2">
      <c r="D220" s="50">
        <v>19</v>
      </c>
      <c r="E220">
        <v>2</v>
      </c>
      <c r="F220">
        <f t="shared" si="58"/>
        <v>68</v>
      </c>
      <c r="G220">
        <f t="shared" si="68"/>
        <v>0</v>
      </c>
      <c r="H220" s="64">
        <f>IF(E220="Anual",VLOOKUP(F220,Hipotesis!$E$9:$J$38,6,FALSE),1-(1-VLOOKUP(F220,Hipotesis!$E$9:$J$38,6,FALSE))^(1/12))</f>
        <v>1.4087325589959843E-3</v>
      </c>
      <c r="I220">
        <f t="shared" si="69"/>
        <v>0.34280145966904463</v>
      </c>
      <c r="J220">
        <v>0</v>
      </c>
      <c r="K220">
        <f>1-(1-VLOOKUP(D220,Hipotesis!$D$9:$K$38,8,FALSE))^(1/12)</f>
        <v>2.5350486138366879E-3</v>
      </c>
      <c r="L220">
        <f t="shared" si="70"/>
        <v>0.6160105728714963</v>
      </c>
      <c r="M220">
        <f t="shared" si="71"/>
        <v>242.38152782115191</v>
      </c>
      <c r="N220">
        <f>IF(D220=1,(VLOOKUP(D220,'Primas Netas Y Reservas'!$D$4:$I$33,5,FALSE)+(VLOOKUP(D220,'Primas Netas Y Reservas'!$D$4:$I$33,6,FALSE)-VLOOKUP(D220,'Primas Netas Y Reservas'!$D$4:$I$33,5,FALSE))*(E220/12))/1000,((VLOOKUP(D220-1,'Primas Netas Y Reservas'!$D$4:$I$33,6,FALSE)+VLOOKUP(D220,'Primas Netas Y Reservas'!$D$4:$I$33,5,FALSE))+(VLOOKUP(D220,'Primas Netas Y Reservas'!$D$4:$I$33,6,FALSE)-VLOOKUP(D220-1,'Primas Netas Y Reservas'!$D$4:$I$33,6,FALSE)-VLOOKUP(D220,'Primas Netas Y Reservas'!$D$4:$I$33,5,FALSE))*(E220/12))/1000)</f>
        <v>0.52864159634328489</v>
      </c>
      <c r="O220">
        <f t="shared" si="72"/>
        <v>-0.25872603589934329</v>
      </c>
      <c r="P220">
        <f>VLOOKUP(D220,Hipotesis!$D$9:$S$38,15,FALSE)*N220</f>
        <v>0.52864159634328489</v>
      </c>
      <c r="Q220">
        <f t="shared" si="59"/>
        <v>0.32564881260712925</v>
      </c>
      <c r="R220">
        <f t="shared" si="60"/>
        <v>0</v>
      </c>
      <c r="S220">
        <f t="shared" si="61"/>
        <v>0.32564881260712925</v>
      </c>
      <c r="T220">
        <f>G220*(VLOOKUP(D220,Hipotesis!$D$9:$N$38,9,FALSE)+VLOOKUP(D220,Hipotesis!$D$9:$N$38,10,FALSE)+VLOOKUP(D220,Hipotesis!$D$9:$N$38,11,FALSE))</f>
        <v>0</v>
      </c>
      <c r="U220">
        <v>0</v>
      </c>
      <c r="V220">
        <f>G220*VLOOKUP(D220,Hipotesis!$D$9:$S$38,16,FALSE)+((VLOOKUP(D220,Hipotesis!$D$9:$T$38,17,FALSE)/$B$4)*M219)/12</f>
        <v>9.1252627445134651E-3</v>
      </c>
      <c r="W220">
        <f>(1+VLOOKUP(D220,Hipotesis!$D$9:$P$38,13,FALSE))^(1/12)-1</f>
        <v>0</v>
      </c>
      <c r="X220">
        <f t="shared" si="73"/>
        <v>0</v>
      </c>
      <c r="Y220">
        <f t="shared" si="62"/>
        <v>0.35908102400667496</v>
      </c>
      <c r="Z220">
        <f>(1+VLOOKUP(D220,Hipotesis!$D$9:$O$38,12,))^(1/12)-1</f>
        <v>2.8116446205008749E-3</v>
      </c>
      <c r="AA220">
        <f t="shared" si="74"/>
        <v>0.36099178715035107</v>
      </c>
      <c r="AB220">
        <f t="shared" si="75"/>
        <v>-1.910763143676106E-3</v>
      </c>
      <c r="AC220" s="68">
        <f t="shared" si="63"/>
        <v>-9.1252627445134651E-3</v>
      </c>
      <c r="AD220">
        <f t="shared" si="64"/>
        <v>-0.66845027227617382</v>
      </c>
      <c r="AE220" s="67">
        <f t="shared" si="65"/>
        <v>-5.9768475114669088E-2</v>
      </c>
      <c r="AF220" s="67">
        <f t="shared" si="66"/>
        <v>-1.7930542534400726E-2</v>
      </c>
      <c r="AG220" s="67">
        <f t="shared" si="67"/>
        <v>-4.1837932580268362E-2</v>
      </c>
    </row>
    <row r="221" spans="4:33" x14ac:dyDescent="0.2">
      <c r="D221" s="50">
        <v>19</v>
      </c>
      <c r="E221">
        <v>3</v>
      </c>
      <c r="F221">
        <f t="shared" si="58"/>
        <v>68</v>
      </c>
      <c r="G221">
        <f t="shared" si="68"/>
        <v>0</v>
      </c>
      <c r="H221" s="64">
        <f>IF(E221="Anual",VLOOKUP(F221,Hipotesis!$E$9:$J$38,6,FALSE),1-(1-VLOOKUP(F221,Hipotesis!$E$9:$J$38,6,FALSE))^(1/12))</f>
        <v>1.4087325589959843E-3</v>
      </c>
      <c r="I221">
        <f t="shared" si="69"/>
        <v>0.34145074994084768</v>
      </c>
      <c r="J221">
        <v>0</v>
      </c>
      <c r="K221">
        <f>1-(1-VLOOKUP(D221,Hipotesis!$D$9:$K$38,8,FALSE))^(1/12)</f>
        <v>2.5350486138366879E-3</v>
      </c>
      <c r="L221">
        <f t="shared" si="70"/>
        <v>0.61358336187229867</v>
      </c>
      <c r="M221">
        <f t="shared" si="71"/>
        <v>241.42649370933876</v>
      </c>
      <c r="N221">
        <f>IF(D221=1,(VLOOKUP(D221,'Primas Netas Y Reservas'!$D$4:$I$33,5,FALSE)+(VLOOKUP(D221,'Primas Netas Y Reservas'!$D$4:$I$33,6,FALSE)-VLOOKUP(D221,'Primas Netas Y Reservas'!$D$4:$I$33,5,FALSE))*(E221/12))/1000,((VLOOKUP(D221-1,'Primas Netas Y Reservas'!$D$4:$I$33,6,FALSE)+VLOOKUP(D221,'Primas Netas Y Reservas'!$D$4:$I$33,5,FALSE))+(VLOOKUP(D221,'Primas Netas Y Reservas'!$D$4:$I$33,6,FALSE)-VLOOKUP(D221-1,'Primas Netas Y Reservas'!$D$4:$I$33,6,FALSE)-VLOOKUP(D221,'Primas Netas Y Reservas'!$D$4:$I$33,5,FALSE))*(E221/12))/1000)</f>
        <v>0.52966132816302847</v>
      </c>
      <c r="O221">
        <f t="shared" si="72"/>
        <v>-0.25868047966665131</v>
      </c>
      <c r="P221">
        <f>VLOOKUP(D221,Hipotesis!$D$9:$S$38,15,FALSE)*N221</f>
        <v>0.52966132816302847</v>
      </c>
      <c r="Q221">
        <f t="shared" si="59"/>
        <v>0.32499137838801784</v>
      </c>
      <c r="R221">
        <f t="shared" si="60"/>
        <v>0</v>
      </c>
      <c r="S221">
        <f t="shared" si="61"/>
        <v>0.32499137838801784</v>
      </c>
      <c r="T221">
        <f>G221*(VLOOKUP(D221,Hipotesis!$D$9:$N$38,9,FALSE)+VLOOKUP(D221,Hipotesis!$D$9:$N$38,10,FALSE)+VLOOKUP(D221,Hipotesis!$D$9:$N$38,11,FALSE))</f>
        <v>0</v>
      </c>
      <c r="U221">
        <v>0</v>
      </c>
      <c r="V221">
        <f>G221*VLOOKUP(D221,Hipotesis!$D$9:$S$38,16,FALSE)+((VLOOKUP(D221,Hipotesis!$D$9:$T$38,17,FALSE)/$B$4)*M220)/12</f>
        <v>9.0893072932931966E-3</v>
      </c>
      <c r="W221">
        <f>(1+VLOOKUP(D221,Hipotesis!$D$9:$P$38,13,FALSE))^(1/12)-1</f>
        <v>0</v>
      </c>
      <c r="X221">
        <f t="shared" si="73"/>
        <v>0</v>
      </c>
      <c r="Y221">
        <f t="shared" si="62"/>
        <v>0.35835934096925826</v>
      </c>
      <c r="Z221">
        <f>(1+VLOOKUP(D221,Hipotesis!$D$9:$O$38,12,))^(1/12)-1</f>
        <v>2.8116446205008749E-3</v>
      </c>
      <c r="AA221">
        <f t="shared" si="74"/>
        <v>0.3602643414833312</v>
      </c>
      <c r="AB221">
        <f t="shared" si="75"/>
        <v>-1.9050005140729164E-3</v>
      </c>
      <c r="AC221" s="68">
        <f t="shared" si="63"/>
        <v>-9.0893072932931966E-3</v>
      </c>
      <c r="AD221">
        <f t="shared" si="64"/>
        <v>-0.66644212832886551</v>
      </c>
      <c r="AE221" s="67">
        <f t="shared" si="65"/>
        <v>-5.8491614986249149E-2</v>
      </c>
      <c r="AF221" s="67">
        <f t="shared" si="66"/>
        <v>-1.7547484495874743E-2</v>
      </c>
      <c r="AG221" s="67">
        <f t="shared" si="67"/>
        <v>-4.0944130490374403E-2</v>
      </c>
    </row>
    <row r="222" spans="4:33" x14ac:dyDescent="0.2">
      <c r="D222" s="50">
        <v>19</v>
      </c>
      <c r="E222">
        <v>4</v>
      </c>
      <c r="F222">
        <f t="shared" si="58"/>
        <v>68</v>
      </c>
      <c r="G222">
        <f t="shared" si="68"/>
        <v>0</v>
      </c>
      <c r="H222" s="64">
        <f>IF(E222="Anual",VLOOKUP(F222,Hipotesis!$E$9:$J$38,6,FALSE),1-(1-VLOOKUP(F222,Hipotesis!$E$9:$J$38,6,FALSE))^(1/12))</f>
        <v>1.4087325589959843E-3</v>
      </c>
      <c r="I222">
        <f t="shared" si="69"/>
        <v>0.34010536229258465</v>
      </c>
      <c r="J222">
        <v>0</v>
      </c>
      <c r="K222">
        <f>1-(1-VLOOKUP(D222,Hipotesis!$D$9:$K$38,8,FALSE))^(1/12)</f>
        <v>2.5350486138366879E-3</v>
      </c>
      <c r="L222">
        <f t="shared" si="70"/>
        <v>0.61116571459407287</v>
      </c>
      <c r="M222">
        <f t="shared" si="71"/>
        <v>240.4752226324521</v>
      </c>
      <c r="N222">
        <f>IF(D222=1,(VLOOKUP(D222,'Primas Netas Y Reservas'!$D$4:$I$33,5,FALSE)+(VLOOKUP(D222,'Primas Netas Y Reservas'!$D$4:$I$33,6,FALSE)-VLOOKUP(D222,'Primas Netas Y Reservas'!$D$4:$I$33,5,FALSE))*(E222/12))/1000,((VLOOKUP(D222-1,'Primas Netas Y Reservas'!$D$4:$I$33,6,FALSE)+VLOOKUP(D222,'Primas Netas Y Reservas'!$D$4:$I$33,5,FALSE))+(VLOOKUP(D222,'Primas Netas Y Reservas'!$D$4:$I$33,6,FALSE)-VLOOKUP(D222-1,'Primas Netas Y Reservas'!$D$4:$I$33,6,FALSE)-VLOOKUP(D222,'Primas Netas Y Reservas'!$D$4:$I$33,5,FALSE))*(E222/12))/1000)</f>
        <v>0.53068105998277193</v>
      </c>
      <c r="O222">
        <f t="shared" si="72"/>
        <v>-0.25863126564865979</v>
      </c>
      <c r="P222">
        <f>VLOOKUP(D222,Hipotesis!$D$9:$S$38,15,FALSE)*N222</f>
        <v>0.53068105998277193</v>
      </c>
      <c r="Q222">
        <f t="shared" si="59"/>
        <v>0.32433406924591085</v>
      </c>
      <c r="R222">
        <f t="shared" si="60"/>
        <v>0</v>
      </c>
      <c r="S222">
        <f t="shared" si="61"/>
        <v>0.32433406924591085</v>
      </c>
      <c r="T222">
        <f>G222*(VLOOKUP(D222,Hipotesis!$D$9:$N$38,9,FALSE)+VLOOKUP(D222,Hipotesis!$D$9:$N$38,10,FALSE)+VLOOKUP(D222,Hipotesis!$D$9:$N$38,11,FALSE))</f>
        <v>0</v>
      </c>
      <c r="U222">
        <v>0</v>
      </c>
      <c r="V222">
        <f>G222*VLOOKUP(D222,Hipotesis!$D$9:$S$38,16,FALSE)+((VLOOKUP(D222,Hipotesis!$D$9:$T$38,17,FALSE)/$B$4)*M221)/12</f>
        <v>9.0534935141002026E-3</v>
      </c>
      <c r="W222">
        <f>(1+VLOOKUP(D222,Hipotesis!$D$9:$P$38,13,FALSE))^(1/12)-1</f>
        <v>0</v>
      </c>
      <c r="X222">
        <f t="shared" si="73"/>
        <v>0</v>
      </c>
      <c r="Y222">
        <f t="shared" si="62"/>
        <v>0.35763777027292121</v>
      </c>
      <c r="Z222">
        <f>(1+VLOOKUP(D222,Hipotesis!$D$9:$O$38,12,))^(1/12)-1</f>
        <v>2.8116446205008749E-3</v>
      </c>
      <c r="AA222">
        <f t="shared" si="74"/>
        <v>0.35953702390424785</v>
      </c>
      <c r="AB222">
        <f t="shared" si="75"/>
        <v>-1.8992536313266679E-3</v>
      </c>
      <c r="AC222" s="68">
        <f t="shared" si="63"/>
        <v>-9.0534935141002026E-3</v>
      </c>
      <c r="AD222">
        <f t="shared" si="64"/>
        <v>-0.6644394315384955</v>
      </c>
      <c r="AE222" s="67">
        <f t="shared" si="65"/>
        <v>-5.7223889131014699E-2</v>
      </c>
      <c r="AF222" s="67">
        <f t="shared" si="66"/>
        <v>-1.716716673930441E-2</v>
      </c>
      <c r="AG222" s="67">
        <f t="shared" si="67"/>
        <v>-4.0056722391710292E-2</v>
      </c>
    </row>
    <row r="223" spans="4:33" x14ac:dyDescent="0.2">
      <c r="D223" s="50">
        <v>19</v>
      </c>
      <c r="E223">
        <v>5</v>
      </c>
      <c r="F223">
        <f t="shared" si="58"/>
        <v>68</v>
      </c>
      <c r="G223">
        <f t="shared" si="68"/>
        <v>0</v>
      </c>
      <c r="H223" s="64">
        <f>IF(E223="Anual",VLOOKUP(F223,Hipotesis!$E$9:$J$38,6,FALSE),1-(1-VLOOKUP(F223,Hipotesis!$E$9:$J$38,6,FALSE))^(1/12))</f>
        <v>1.4087325589959843E-3</v>
      </c>
      <c r="I223">
        <f t="shared" si="69"/>
        <v>0.33876527575414328</v>
      </c>
      <c r="J223">
        <v>0</v>
      </c>
      <c r="K223">
        <f>1-(1-VLOOKUP(D223,Hipotesis!$D$9:$K$38,8,FALSE))^(1/12)</f>
        <v>2.5350486138366879E-3</v>
      </c>
      <c r="L223">
        <f t="shared" si="70"/>
        <v>0.60875759335375002</v>
      </c>
      <c r="M223">
        <f t="shared" si="71"/>
        <v>239.5276997633442</v>
      </c>
      <c r="N223">
        <f>IF(D223=1,(VLOOKUP(D223,'Primas Netas Y Reservas'!$D$4:$I$33,5,FALSE)+(VLOOKUP(D223,'Primas Netas Y Reservas'!$D$4:$I$33,6,FALSE)-VLOOKUP(D223,'Primas Netas Y Reservas'!$D$4:$I$33,5,FALSE))*(E223/12))/1000,((VLOOKUP(D223-1,'Primas Netas Y Reservas'!$D$4:$I$33,6,FALSE)+VLOOKUP(D223,'Primas Netas Y Reservas'!$D$4:$I$33,5,FALSE))+(VLOOKUP(D223,'Primas Netas Y Reservas'!$D$4:$I$33,6,FALSE)-VLOOKUP(D223-1,'Primas Netas Y Reservas'!$D$4:$I$33,6,FALSE)-VLOOKUP(D223,'Primas Netas Y Reservas'!$D$4:$I$33,5,FALSE))*(E223/12))/1000)</f>
        <v>0.53170079180251539</v>
      </c>
      <c r="O223">
        <f t="shared" si="72"/>
        <v>-0.25857842337745751</v>
      </c>
      <c r="P223">
        <f>VLOOKUP(D223,Hipotesis!$D$9:$S$38,15,FALSE)*N223</f>
        <v>0.53170079180251539</v>
      </c>
      <c r="Q223">
        <f t="shared" si="59"/>
        <v>0.32367689440198255</v>
      </c>
      <c r="R223">
        <f t="shared" si="60"/>
        <v>0</v>
      </c>
      <c r="S223">
        <f t="shared" si="61"/>
        <v>0.32367689440198255</v>
      </c>
      <c r="T223">
        <f>G223*(VLOOKUP(D223,Hipotesis!$D$9:$N$38,9,FALSE)+VLOOKUP(D223,Hipotesis!$D$9:$N$38,10,FALSE)+VLOOKUP(D223,Hipotesis!$D$9:$N$38,11,FALSE))</f>
        <v>0</v>
      </c>
      <c r="U223">
        <v>0</v>
      </c>
      <c r="V223">
        <f>G223*VLOOKUP(D223,Hipotesis!$D$9:$S$38,16,FALSE)+((VLOOKUP(D223,Hipotesis!$D$9:$T$38,17,FALSE)/$B$4)*M222)/12</f>
        <v>9.0178208487169537E-3</v>
      </c>
      <c r="W223">
        <f>(1+VLOOKUP(D223,Hipotesis!$D$9:$P$38,13,FALSE))^(1/12)-1</f>
        <v>0</v>
      </c>
      <c r="X223">
        <f t="shared" si="73"/>
        <v>0</v>
      </c>
      <c r="Y223">
        <f t="shared" si="62"/>
        <v>0.35691632223668168</v>
      </c>
      <c r="Z223">
        <f>(1+VLOOKUP(D223,Hipotesis!$D$9:$O$38,12,))^(1/12)-1</f>
        <v>2.8116446205008749E-3</v>
      </c>
      <c r="AA223">
        <f t="shared" si="74"/>
        <v>0.3588098446974935</v>
      </c>
      <c r="AB223">
        <f t="shared" si="75"/>
        <v>-1.8935224608118059E-3</v>
      </c>
      <c r="AC223" s="68">
        <f t="shared" si="63"/>
        <v>-9.0178208487169537E-3</v>
      </c>
      <c r="AD223">
        <f t="shared" si="64"/>
        <v>-0.66244217015612583</v>
      </c>
      <c r="AE223" s="67">
        <f t="shared" si="65"/>
        <v>-5.5965245390703591E-2</v>
      </c>
      <c r="AF223" s="67">
        <f t="shared" si="66"/>
        <v>-1.6789573617211076E-2</v>
      </c>
      <c r="AG223" s="67">
        <f t="shared" si="67"/>
        <v>-3.9175671773492515E-2</v>
      </c>
    </row>
    <row r="224" spans="4:33" x14ac:dyDescent="0.2">
      <c r="D224" s="50">
        <v>19</v>
      </c>
      <c r="E224">
        <v>6</v>
      </c>
      <c r="F224">
        <f t="shared" si="58"/>
        <v>68</v>
      </c>
      <c r="G224">
        <f t="shared" si="68"/>
        <v>0</v>
      </c>
      <c r="H224" s="64">
        <f>IF(E224="Anual",VLOOKUP(F224,Hipotesis!$E$9:$J$38,6,FALSE),1-(1-VLOOKUP(F224,Hipotesis!$E$9:$J$38,6,FALSE))^(1/12))</f>
        <v>1.4087325589959843E-3</v>
      </c>
      <c r="I224">
        <f t="shared" si="69"/>
        <v>0.33743046943803767</v>
      </c>
      <c r="J224">
        <v>0</v>
      </c>
      <c r="K224">
        <f>1-(1-VLOOKUP(D224,Hipotesis!$D$9:$K$38,8,FALSE))^(1/12)</f>
        <v>2.5350486138366879E-3</v>
      </c>
      <c r="L224">
        <f t="shared" si="70"/>
        <v>0.60635896061674088</v>
      </c>
      <c r="M224">
        <f t="shared" si="71"/>
        <v>238.58391033328942</v>
      </c>
      <c r="N224">
        <f>IF(D224=1,(VLOOKUP(D224,'Primas Netas Y Reservas'!$D$4:$I$33,5,FALSE)+(VLOOKUP(D224,'Primas Netas Y Reservas'!$D$4:$I$33,6,FALSE)-VLOOKUP(D224,'Primas Netas Y Reservas'!$D$4:$I$33,5,FALSE))*(E224/12))/1000,((VLOOKUP(D224-1,'Primas Netas Y Reservas'!$D$4:$I$33,6,FALSE)+VLOOKUP(D224,'Primas Netas Y Reservas'!$D$4:$I$33,5,FALSE))+(VLOOKUP(D224,'Primas Netas Y Reservas'!$D$4:$I$33,6,FALSE)-VLOOKUP(D224-1,'Primas Netas Y Reservas'!$D$4:$I$33,6,FALSE)-VLOOKUP(D224,'Primas Netas Y Reservas'!$D$4:$I$33,5,FALSE))*(E224/12))/1000)</f>
        <v>0.53272052362225897</v>
      </c>
      <c r="O224">
        <f t="shared" si="72"/>
        <v>-0.2585219822092597</v>
      </c>
      <c r="P224">
        <f>VLOOKUP(D224,Hipotesis!$D$9:$S$38,15,FALSE)*N224</f>
        <v>0.53272052362225897</v>
      </c>
      <c r="Q224">
        <f t="shared" si="59"/>
        <v>0.32301986300279889</v>
      </c>
      <c r="R224">
        <f t="shared" si="60"/>
        <v>0</v>
      </c>
      <c r="S224">
        <f t="shared" si="61"/>
        <v>0.32301986300279889</v>
      </c>
      <c r="T224">
        <f>G224*(VLOOKUP(D224,Hipotesis!$D$9:$N$38,9,FALSE)+VLOOKUP(D224,Hipotesis!$D$9:$N$38,10,FALSE)+VLOOKUP(D224,Hipotesis!$D$9:$N$38,11,FALSE))</f>
        <v>0</v>
      </c>
      <c r="U224">
        <v>0</v>
      </c>
      <c r="V224">
        <f>G224*VLOOKUP(D224,Hipotesis!$D$9:$S$38,16,FALSE)+((VLOOKUP(D224,Hipotesis!$D$9:$T$38,17,FALSE)/$B$4)*M223)/12</f>
        <v>8.9822887411254073E-3</v>
      </c>
      <c r="W224">
        <f>(1+VLOOKUP(D224,Hipotesis!$D$9:$P$38,13,FALSE))^(1/12)-1</f>
        <v>0</v>
      </c>
      <c r="X224">
        <f t="shared" si="73"/>
        <v>0</v>
      </c>
      <c r="Y224">
        <f t="shared" si="62"/>
        <v>0.35619500709649549</v>
      </c>
      <c r="Z224">
        <f>(1+VLOOKUP(D224,Hipotesis!$D$9:$O$38,12,))^(1/12)-1</f>
        <v>2.8116446205008749E-3</v>
      </c>
      <c r="AA224">
        <f t="shared" si="74"/>
        <v>0.35808281406442666</v>
      </c>
      <c r="AB224">
        <f t="shared" si="75"/>
        <v>-1.8878069679311672E-3</v>
      </c>
      <c r="AC224" s="68">
        <f t="shared" si="63"/>
        <v>-8.9822887411254073E-3</v>
      </c>
      <c r="AD224">
        <f t="shared" si="64"/>
        <v>-0.66045033244083662</v>
      </c>
      <c r="AE224" s="67">
        <f t="shared" si="65"/>
        <v>-5.4715631876206781E-2</v>
      </c>
      <c r="AF224" s="67">
        <f t="shared" si="66"/>
        <v>-1.6414689562862034E-2</v>
      </c>
      <c r="AG224" s="67">
        <f t="shared" si="67"/>
        <v>-3.8300942313344744E-2</v>
      </c>
    </row>
    <row r="225" spans="4:33" x14ac:dyDescent="0.2">
      <c r="D225" s="50">
        <v>19</v>
      </c>
      <c r="E225">
        <v>7</v>
      </c>
      <c r="F225">
        <f t="shared" si="58"/>
        <v>68</v>
      </c>
      <c r="G225">
        <f t="shared" si="68"/>
        <v>0</v>
      </c>
      <c r="H225" s="64">
        <f>IF(E225="Anual",VLOOKUP(F225,Hipotesis!$E$9:$J$38,6,FALSE),1-(1-VLOOKUP(F225,Hipotesis!$E$9:$J$38,6,FALSE))^(1/12))</f>
        <v>1.4087325589959843E-3</v>
      </c>
      <c r="I225">
        <f t="shared" si="69"/>
        <v>0.3361009225390833</v>
      </c>
      <c r="J225">
        <v>0</v>
      </c>
      <c r="K225">
        <f>1-(1-VLOOKUP(D225,Hipotesis!$D$9:$K$38,8,FALSE))^(1/12)</f>
        <v>2.5350486138366879E-3</v>
      </c>
      <c r="L225">
        <f t="shared" si="70"/>
        <v>0.60396977899635007</v>
      </c>
      <c r="M225">
        <f t="shared" si="71"/>
        <v>237.64383963175399</v>
      </c>
      <c r="N225">
        <f>IF(D225=1,(VLOOKUP(D225,'Primas Netas Y Reservas'!$D$4:$I$33,5,FALSE)+(VLOOKUP(D225,'Primas Netas Y Reservas'!$D$4:$I$33,6,FALSE)-VLOOKUP(D225,'Primas Netas Y Reservas'!$D$4:$I$33,5,FALSE))*(E225/12))/1000,((VLOOKUP(D225-1,'Primas Netas Y Reservas'!$D$4:$I$33,6,FALSE)+VLOOKUP(D225,'Primas Netas Y Reservas'!$D$4:$I$33,5,FALSE))+(VLOOKUP(D225,'Primas Netas Y Reservas'!$D$4:$I$33,6,FALSE)-VLOOKUP(D225-1,'Primas Netas Y Reservas'!$D$4:$I$33,6,FALSE)-VLOOKUP(D225,'Primas Netas Y Reservas'!$D$4:$I$33,5,FALSE))*(E225/12))/1000)</f>
        <v>0.53374025544200254</v>
      </c>
      <c r="O225">
        <f t="shared" si="72"/>
        <v>-0.2584619713253602</v>
      </c>
      <c r="P225">
        <f>VLOOKUP(D225,Hipotesis!$D$9:$S$38,15,FALSE)*N225</f>
        <v>0.53374025544200254</v>
      </c>
      <c r="Q225">
        <f t="shared" si="59"/>
        <v>0.3223629841207617</v>
      </c>
      <c r="R225">
        <f t="shared" si="60"/>
        <v>0</v>
      </c>
      <c r="S225">
        <f t="shared" si="61"/>
        <v>0.3223629841207617</v>
      </c>
      <c r="T225">
        <f>G225*(VLOOKUP(D225,Hipotesis!$D$9:$N$38,9,FALSE)+VLOOKUP(D225,Hipotesis!$D$9:$N$38,10,FALSE)+VLOOKUP(D225,Hipotesis!$D$9:$N$38,11,FALSE))</f>
        <v>0</v>
      </c>
      <c r="U225">
        <v>0</v>
      </c>
      <c r="V225">
        <f>G225*VLOOKUP(D225,Hipotesis!$D$9:$S$38,16,FALSE)+((VLOOKUP(D225,Hipotesis!$D$9:$T$38,17,FALSE)/$B$4)*M224)/12</f>
        <v>8.9468966374983538E-3</v>
      </c>
      <c r="W225">
        <f>(1+VLOOKUP(D225,Hipotesis!$D$9:$P$38,13,FALSE))^(1/12)-1</f>
        <v>0</v>
      </c>
      <c r="X225">
        <f t="shared" si="73"/>
        <v>0</v>
      </c>
      <c r="Y225">
        <f t="shared" si="62"/>
        <v>0.35547383500575042</v>
      </c>
      <c r="Z225">
        <f>(1+VLOOKUP(D225,Hipotesis!$D$9:$O$38,12,))^(1/12)-1</f>
        <v>2.8116446205008749E-3</v>
      </c>
      <c r="AA225">
        <f t="shared" si="74"/>
        <v>0.35735594212386673</v>
      </c>
      <c r="AB225">
        <f t="shared" si="75"/>
        <v>-1.8821071181162924E-3</v>
      </c>
      <c r="AC225" s="68">
        <f t="shared" si="63"/>
        <v>-8.9468966374983538E-3</v>
      </c>
      <c r="AD225">
        <f t="shared" si="64"/>
        <v>-0.658463906659845</v>
      </c>
      <c r="AE225" s="67">
        <f t="shared" si="65"/>
        <v>-5.3474996966232743E-2</v>
      </c>
      <c r="AF225" s="67">
        <f t="shared" si="66"/>
        <v>-1.6042499089869822E-2</v>
      </c>
      <c r="AG225" s="67">
        <f t="shared" si="67"/>
        <v>-3.7432497876362922E-2</v>
      </c>
    </row>
    <row r="226" spans="4:33" x14ac:dyDescent="0.2">
      <c r="D226" s="50">
        <v>19</v>
      </c>
      <c r="E226">
        <v>8</v>
      </c>
      <c r="F226">
        <f t="shared" si="58"/>
        <v>68</v>
      </c>
      <c r="G226">
        <f t="shared" si="68"/>
        <v>0</v>
      </c>
      <c r="H226" s="64">
        <f>IF(E226="Anual",VLOOKUP(F226,Hipotesis!$E$9:$J$38,6,FALSE),1-(1-VLOOKUP(F226,Hipotesis!$E$9:$J$38,6,FALSE))^(1/12))</f>
        <v>1.4087325589959843E-3</v>
      </c>
      <c r="I226">
        <f t="shared" si="69"/>
        <v>0.33477661433407208</v>
      </c>
      <c r="J226">
        <v>0</v>
      </c>
      <c r="K226">
        <f>1-(1-VLOOKUP(D226,Hipotesis!$D$9:$K$38,8,FALSE))^(1/12)</f>
        <v>2.5350486138366879E-3</v>
      </c>
      <c r="L226">
        <f t="shared" si="70"/>
        <v>0.60159001125319356</v>
      </c>
      <c r="M226">
        <f t="shared" si="71"/>
        <v>236.70747300616674</v>
      </c>
      <c r="N226">
        <f>IF(D226=1,(VLOOKUP(D226,'Primas Netas Y Reservas'!$D$4:$I$33,5,FALSE)+(VLOOKUP(D226,'Primas Netas Y Reservas'!$D$4:$I$33,6,FALSE)-VLOOKUP(D226,'Primas Netas Y Reservas'!$D$4:$I$33,5,FALSE))*(E226/12))/1000,((VLOOKUP(D226-1,'Primas Netas Y Reservas'!$D$4:$I$33,6,FALSE)+VLOOKUP(D226,'Primas Netas Y Reservas'!$D$4:$I$33,5,FALSE))+(VLOOKUP(D226,'Primas Netas Y Reservas'!$D$4:$I$33,6,FALSE)-VLOOKUP(D226-1,'Primas Netas Y Reservas'!$D$4:$I$33,6,FALSE)-VLOOKUP(D226,'Primas Netas Y Reservas'!$D$4:$I$33,5,FALSE))*(E226/12))/1000)</f>
        <v>0.53475998726174601</v>
      </c>
      <c r="O226">
        <f t="shared" si="72"/>
        <v>-0.25839841973285615</v>
      </c>
      <c r="P226">
        <f>VLOOKUP(D226,Hipotesis!$D$9:$S$38,15,FALSE)*N226</f>
        <v>0.53475998726174601</v>
      </c>
      <c r="Q226">
        <f t="shared" si="59"/>
        <v>0.32170626675455144</v>
      </c>
      <c r="R226">
        <f t="shared" si="60"/>
        <v>0</v>
      </c>
      <c r="S226">
        <f t="shared" si="61"/>
        <v>0.32170626675455144</v>
      </c>
      <c r="T226">
        <f>G226*(VLOOKUP(D226,Hipotesis!$D$9:$N$38,9,FALSE)+VLOOKUP(D226,Hipotesis!$D$9:$N$38,10,FALSE)+VLOOKUP(D226,Hipotesis!$D$9:$N$38,11,FALSE))</f>
        <v>0</v>
      </c>
      <c r="U226">
        <v>0</v>
      </c>
      <c r="V226">
        <f>G226*VLOOKUP(D226,Hipotesis!$D$9:$S$38,16,FALSE)+((VLOOKUP(D226,Hipotesis!$D$9:$T$38,17,FALSE)/$B$4)*M225)/12</f>
        <v>8.9116439861907735E-3</v>
      </c>
      <c r="W226">
        <f>(1+VLOOKUP(D226,Hipotesis!$D$9:$P$38,13,FALSE))^(1/12)-1</f>
        <v>0</v>
      </c>
      <c r="X226">
        <f t="shared" si="73"/>
        <v>0</v>
      </c>
      <c r="Y226">
        <f t="shared" si="62"/>
        <v>0.35475281603575803</v>
      </c>
      <c r="Z226">
        <f>(1+VLOOKUP(D226,Hipotesis!$D$9:$O$38,12,))^(1/12)-1</f>
        <v>2.8116446205008749E-3</v>
      </c>
      <c r="AA226">
        <f t="shared" si="74"/>
        <v>0.35662923891258574</v>
      </c>
      <c r="AB226">
        <f t="shared" si="75"/>
        <v>-1.8764228768277358E-3</v>
      </c>
      <c r="AC226" s="68">
        <f t="shared" si="63"/>
        <v>-8.9116439861907735E-3</v>
      </c>
      <c r="AD226">
        <f t="shared" si="64"/>
        <v>-0.65648288108862352</v>
      </c>
      <c r="AE226" s="67">
        <f t="shared" si="65"/>
        <v>-5.2243289306200098E-2</v>
      </c>
      <c r="AF226" s="67">
        <f t="shared" si="66"/>
        <v>-1.5672986791860029E-2</v>
      </c>
      <c r="AG226" s="67">
        <f t="shared" si="67"/>
        <v>-3.657030251434007E-2</v>
      </c>
    </row>
    <row r="227" spans="4:33" x14ac:dyDescent="0.2">
      <c r="D227" s="50">
        <v>19</v>
      </c>
      <c r="E227">
        <v>9</v>
      </c>
      <c r="F227">
        <f t="shared" si="58"/>
        <v>68</v>
      </c>
      <c r="G227">
        <f t="shared" si="68"/>
        <v>0</v>
      </c>
      <c r="H227" s="64">
        <f>IF(E227="Anual",VLOOKUP(F227,Hipotesis!$E$9:$J$38,6,FALSE),1-(1-VLOOKUP(F227,Hipotesis!$E$9:$J$38,6,FALSE))^(1/12))</f>
        <v>1.4087325589959843E-3</v>
      </c>
      <c r="I227">
        <f t="shared" si="69"/>
        <v>0.33345752418145014</v>
      </c>
      <c r="J227">
        <v>0</v>
      </c>
      <c r="K227">
        <f>1-(1-VLOOKUP(D227,Hipotesis!$D$9:$K$38,8,FALSE))^(1/12)</f>
        <v>2.5350486138366879E-3</v>
      </c>
      <c r="L227">
        <f t="shared" si="70"/>
        <v>0.59921962029461862</v>
      </c>
      <c r="M227">
        <f t="shared" si="71"/>
        <v>235.77479586169068</v>
      </c>
      <c r="N227">
        <f>IF(D227=1,(VLOOKUP(D227,'Primas Netas Y Reservas'!$D$4:$I$33,5,FALSE)+(VLOOKUP(D227,'Primas Netas Y Reservas'!$D$4:$I$33,6,FALSE)-VLOOKUP(D227,'Primas Netas Y Reservas'!$D$4:$I$33,5,FALSE))*(E227/12))/1000,((VLOOKUP(D227-1,'Primas Netas Y Reservas'!$D$4:$I$33,6,FALSE)+VLOOKUP(D227,'Primas Netas Y Reservas'!$D$4:$I$33,5,FALSE))+(VLOOKUP(D227,'Primas Netas Y Reservas'!$D$4:$I$33,6,FALSE)-VLOOKUP(D227-1,'Primas Netas Y Reservas'!$D$4:$I$33,6,FALSE)-VLOOKUP(D227,'Primas Netas Y Reservas'!$D$4:$I$33,5,FALSE))*(E227/12))/1000)</f>
        <v>0.53577971908148947</v>
      </c>
      <c r="O227">
        <f t="shared" si="72"/>
        <v>-0.25833135626565706</v>
      </c>
      <c r="P227">
        <f>VLOOKUP(D227,Hipotesis!$D$9:$S$38,15,FALSE)*N227</f>
        <v>0.53577971908148947</v>
      </c>
      <c r="Q227">
        <f t="shared" si="59"/>
        <v>0.32104971982956754</v>
      </c>
      <c r="R227">
        <f t="shared" si="60"/>
        <v>0</v>
      </c>
      <c r="S227">
        <f t="shared" si="61"/>
        <v>0.32104971982956754</v>
      </c>
      <c r="T227">
        <f>G227*(VLOOKUP(D227,Hipotesis!$D$9:$N$38,9,FALSE)+VLOOKUP(D227,Hipotesis!$D$9:$N$38,10,FALSE)+VLOOKUP(D227,Hipotesis!$D$9:$N$38,11,FALSE))</f>
        <v>0</v>
      </c>
      <c r="U227">
        <v>0</v>
      </c>
      <c r="V227">
        <f>G227*VLOOKUP(D227,Hipotesis!$D$9:$S$38,16,FALSE)+((VLOOKUP(D227,Hipotesis!$D$9:$T$38,17,FALSE)/$B$4)*M226)/12</f>
        <v>8.8765302377312519E-3</v>
      </c>
      <c r="W227">
        <f>(1+VLOOKUP(D227,Hipotesis!$D$9:$P$38,13,FALSE))^(1/12)-1</f>
        <v>0</v>
      </c>
      <c r="X227">
        <f t="shared" si="73"/>
        <v>0</v>
      </c>
      <c r="Y227">
        <f t="shared" si="62"/>
        <v>0.35403196017624261</v>
      </c>
      <c r="Z227">
        <f>(1+VLOOKUP(D227,Hipotesis!$D$9:$O$38,12,))^(1/12)-1</f>
        <v>2.8116446205008749E-3</v>
      </c>
      <c r="AA227">
        <f t="shared" si="74"/>
        <v>0.35590271438579796</v>
      </c>
      <c r="AB227">
        <f t="shared" si="75"/>
        <v>-1.8707542095553744E-3</v>
      </c>
      <c r="AC227" s="68">
        <f t="shared" si="63"/>
        <v>-8.8765302377312519E-3</v>
      </c>
      <c r="AD227">
        <f t="shared" si="64"/>
        <v>-0.65450724401101767</v>
      </c>
      <c r="AE227" s="67">
        <f t="shared" si="65"/>
        <v>-5.1020457806849252E-2</v>
      </c>
      <c r="AF227" s="67">
        <f t="shared" si="66"/>
        <v>-1.5306137342054774E-2</v>
      </c>
      <c r="AG227" s="67">
        <f t="shared" si="67"/>
        <v>-3.5714320464794475E-2</v>
      </c>
    </row>
    <row r="228" spans="4:33" x14ac:dyDescent="0.2">
      <c r="D228" s="50">
        <v>19</v>
      </c>
      <c r="E228">
        <v>10</v>
      </c>
      <c r="F228">
        <f t="shared" si="58"/>
        <v>68</v>
      </c>
      <c r="G228">
        <f t="shared" si="68"/>
        <v>0</v>
      </c>
      <c r="H228" s="64">
        <f>IF(E228="Anual",VLOOKUP(F228,Hipotesis!$E$9:$J$38,6,FALSE),1-(1-VLOOKUP(F228,Hipotesis!$E$9:$J$38,6,FALSE))^(1/12))</f>
        <v>1.4087325589959843E-3</v>
      </c>
      <c r="I228">
        <f t="shared" si="69"/>
        <v>0.3321436315209953</v>
      </c>
      <c r="J228">
        <v>0</v>
      </c>
      <c r="K228">
        <f>1-(1-VLOOKUP(D228,Hipotesis!$D$9:$K$38,8,FALSE))^(1/12)</f>
        <v>2.5350486138366879E-3</v>
      </c>
      <c r="L228">
        <f t="shared" si="70"/>
        <v>0.59685856917412494</v>
      </c>
      <c r="M228">
        <f t="shared" si="71"/>
        <v>234.84579366099555</v>
      </c>
      <c r="N228">
        <f>IF(D228=1,(VLOOKUP(D228,'Primas Netas Y Reservas'!$D$4:$I$33,5,FALSE)+(VLOOKUP(D228,'Primas Netas Y Reservas'!$D$4:$I$33,6,FALSE)-VLOOKUP(D228,'Primas Netas Y Reservas'!$D$4:$I$33,5,FALSE))*(E228/12))/1000,((VLOOKUP(D228-1,'Primas Netas Y Reservas'!$D$4:$I$33,6,FALSE)+VLOOKUP(D228,'Primas Netas Y Reservas'!$D$4:$I$33,5,FALSE))+(VLOOKUP(D228,'Primas Netas Y Reservas'!$D$4:$I$33,6,FALSE)-VLOOKUP(D228-1,'Primas Netas Y Reservas'!$D$4:$I$33,6,FALSE)-VLOOKUP(D228,'Primas Netas Y Reservas'!$D$4:$I$33,5,FALSE))*(E228/12))/1000)</f>
        <v>0.53679945090123304</v>
      </c>
      <c r="O228">
        <f t="shared" si="72"/>
        <v>-0.25826080958546527</v>
      </c>
      <c r="P228">
        <f>VLOOKUP(D228,Hipotesis!$D$9:$S$38,15,FALSE)*N228</f>
        <v>0.53679945090123304</v>
      </c>
      <c r="Q228">
        <f t="shared" si="59"/>
        <v>0.3203933521983659</v>
      </c>
      <c r="R228">
        <f t="shared" si="60"/>
        <v>0</v>
      </c>
      <c r="S228">
        <f t="shared" si="61"/>
        <v>0.3203933521983659</v>
      </c>
      <c r="T228">
        <f>G228*(VLOOKUP(D228,Hipotesis!$D$9:$N$38,9,FALSE)+VLOOKUP(D228,Hipotesis!$D$9:$N$38,10,FALSE)+VLOOKUP(D228,Hipotesis!$D$9:$N$38,11,FALSE))</f>
        <v>0</v>
      </c>
      <c r="U228">
        <v>0</v>
      </c>
      <c r="V228">
        <f>G228*VLOOKUP(D228,Hipotesis!$D$9:$S$38,16,FALSE)+((VLOOKUP(D228,Hipotesis!$D$9:$T$38,17,FALSE)/$B$4)*M227)/12</f>
        <v>8.8415548448133995E-3</v>
      </c>
      <c r="W228">
        <f>(1+VLOOKUP(D228,Hipotesis!$D$9:$P$38,13,FALSE))^(1/12)-1</f>
        <v>0</v>
      </c>
      <c r="X228">
        <f t="shared" si="73"/>
        <v>0</v>
      </c>
      <c r="Y228">
        <f t="shared" si="62"/>
        <v>0.35331127733582823</v>
      </c>
      <c r="Z228">
        <f>(1+VLOOKUP(D228,Hipotesis!$D$9:$O$38,12,))^(1/12)-1</f>
        <v>2.8116446205008749E-3</v>
      </c>
      <c r="AA228">
        <f t="shared" si="74"/>
        <v>0.35517637841764693</v>
      </c>
      <c r="AB228">
        <f t="shared" si="75"/>
        <v>-1.8651010818187144E-3</v>
      </c>
      <c r="AC228" s="68">
        <f t="shared" si="63"/>
        <v>-8.8415548448133995E-3</v>
      </c>
      <c r="AD228">
        <f t="shared" si="64"/>
        <v>-0.6525369837193612</v>
      </c>
      <c r="AE228" s="67">
        <f t="shared" si="65"/>
        <v>-4.9806451642881097E-2</v>
      </c>
      <c r="AF228" s="67">
        <f t="shared" si="66"/>
        <v>-1.4941935492864329E-2</v>
      </c>
      <c r="AG228" s="67">
        <f t="shared" si="67"/>
        <v>-3.4864516150016768E-2</v>
      </c>
    </row>
    <row r="229" spans="4:33" x14ac:dyDescent="0.2">
      <c r="D229" s="50">
        <v>19</v>
      </c>
      <c r="E229">
        <v>11</v>
      </c>
      <c r="F229">
        <f t="shared" si="58"/>
        <v>68</v>
      </c>
      <c r="G229">
        <f t="shared" si="68"/>
        <v>0</v>
      </c>
      <c r="H229" s="64">
        <f>IF(E229="Anual",VLOOKUP(F229,Hipotesis!$E$9:$J$38,6,FALSE),1-(1-VLOOKUP(F229,Hipotesis!$E$9:$J$38,6,FALSE))^(1/12))</f>
        <v>1.4087325589959843E-3</v>
      </c>
      <c r="I229">
        <f t="shared" si="69"/>
        <v>0.33083491587349717</v>
      </c>
      <c r="J229">
        <v>0</v>
      </c>
      <c r="K229">
        <f>1-(1-VLOOKUP(D229,Hipotesis!$D$9:$K$38,8,FALSE))^(1/12)</f>
        <v>2.5350486138366879E-3</v>
      </c>
      <c r="L229">
        <f t="shared" si="70"/>
        <v>0.59450682109078967</v>
      </c>
      <c r="M229">
        <f t="shared" si="71"/>
        <v>233.92045192403125</v>
      </c>
      <c r="N229">
        <f>IF(D229=1,(VLOOKUP(D229,'Primas Netas Y Reservas'!$D$4:$I$33,5,FALSE)+(VLOOKUP(D229,'Primas Netas Y Reservas'!$D$4:$I$33,6,FALSE)-VLOOKUP(D229,'Primas Netas Y Reservas'!$D$4:$I$33,5,FALSE))*(E229/12))/1000,((VLOOKUP(D229-1,'Primas Netas Y Reservas'!$D$4:$I$33,6,FALSE)+VLOOKUP(D229,'Primas Netas Y Reservas'!$D$4:$I$33,5,FALSE))+(VLOOKUP(D229,'Primas Netas Y Reservas'!$D$4:$I$33,6,FALSE)-VLOOKUP(D229-1,'Primas Netas Y Reservas'!$D$4:$I$33,6,FALSE)-VLOOKUP(D229,'Primas Netas Y Reservas'!$D$4:$I$33,5,FALSE))*(E229/12))/1000)</f>
        <v>0.53781918272097662</v>
      </c>
      <c r="O229">
        <f t="shared" si="72"/>
        <v>-0.25818680818269968</v>
      </c>
      <c r="P229">
        <f>VLOOKUP(D229,Hipotesis!$D$9:$S$38,15,FALSE)*N229</f>
        <v>0.53781918272097662</v>
      </c>
      <c r="Q229">
        <f t="shared" si="59"/>
        <v>0.31973717264109436</v>
      </c>
      <c r="R229">
        <f t="shared" si="60"/>
        <v>0</v>
      </c>
      <c r="S229">
        <f t="shared" si="61"/>
        <v>0.31973717264109436</v>
      </c>
      <c r="T229">
        <f>G229*(VLOOKUP(D229,Hipotesis!$D$9:$N$38,9,FALSE)+VLOOKUP(D229,Hipotesis!$D$9:$N$38,10,FALSE)+VLOOKUP(D229,Hipotesis!$D$9:$N$38,11,FALSE))</f>
        <v>0</v>
      </c>
      <c r="U229">
        <v>0</v>
      </c>
      <c r="V229">
        <f>G229*VLOOKUP(D229,Hipotesis!$D$9:$S$38,16,FALSE)+((VLOOKUP(D229,Hipotesis!$D$9:$T$38,17,FALSE)/$B$4)*M228)/12</f>
        <v>8.8067172622873328E-3</v>
      </c>
      <c r="W229">
        <f>(1+VLOOKUP(D229,Hipotesis!$D$9:$P$38,13,FALSE))^(1/12)-1</f>
        <v>0</v>
      </c>
      <c r="X229">
        <f t="shared" si="73"/>
        <v>0</v>
      </c>
      <c r="Y229">
        <f t="shared" si="62"/>
        <v>0.35259077734252253</v>
      </c>
      <c r="Z229">
        <f>(1+VLOOKUP(D229,Hipotesis!$D$9:$O$38,12,))^(1/12)-1</f>
        <v>2.8116446205008749E-3</v>
      </c>
      <c r="AA229">
        <f t="shared" si="74"/>
        <v>0.35445024080168974</v>
      </c>
      <c r="AB229">
        <f t="shared" si="75"/>
        <v>-1.8594634591671912E-3</v>
      </c>
      <c r="AC229" s="68">
        <f t="shared" si="63"/>
        <v>-8.8067172622873328E-3</v>
      </c>
      <c r="AD229">
        <f t="shared" si="64"/>
        <v>-0.65057208851459158</v>
      </c>
      <c r="AE229" s="67">
        <f t="shared" si="65"/>
        <v>-4.8601220251656654E-2</v>
      </c>
      <c r="AF229" s="67">
        <f t="shared" si="66"/>
        <v>-1.4580366075496995E-2</v>
      </c>
      <c r="AG229" s="67">
        <f t="shared" si="67"/>
        <v>-3.4020854176159659E-2</v>
      </c>
    </row>
    <row r="230" spans="4:33" x14ac:dyDescent="0.2">
      <c r="D230" s="50">
        <v>19</v>
      </c>
      <c r="E230">
        <v>12</v>
      </c>
      <c r="F230">
        <f t="shared" si="58"/>
        <v>68</v>
      </c>
      <c r="G230">
        <f t="shared" si="68"/>
        <v>0</v>
      </c>
      <c r="H230" s="64">
        <f>IF(E230="Anual",VLOOKUP(F230,Hipotesis!$E$9:$J$38,6,FALSE),1-(1-VLOOKUP(F230,Hipotesis!$E$9:$J$38,6,FALSE))^(1/12))</f>
        <v>1.4087325589959843E-3</v>
      </c>
      <c r="I230">
        <f t="shared" si="69"/>
        <v>0.32953135684043766</v>
      </c>
      <c r="J230">
        <v>0</v>
      </c>
      <c r="K230">
        <f>1-(1-VLOOKUP(D230,Hipotesis!$D$9:$K$38,8,FALSE))^(1/12)</f>
        <v>2.5350486138366879E-3</v>
      </c>
      <c r="L230">
        <f t="shared" si="70"/>
        <v>0.59216433938869295</v>
      </c>
      <c r="M230">
        <f t="shared" si="71"/>
        <v>232.99875622780212</v>
      </c>
      <c r="N230">
        <f>IF(D230=1,(VLOOKUP(D230,'Primas Netas Y Reservas'!$D$4:$I$33,5,FALSE)+(VLOOKUP(D230,'Primas Netas Y Reservas'!$D$4:$I$33,6,FALSE)-VLOOKUP(D230,'Primas Netas Y Reservas'!$D$4:$I$33,5,FALSE))*(E230/12))/1000,((VLOOKUP(D230-1,'Primas Netas Y Reservas'!$D$4:$I$33,6,FALSE)+VLOOKUP(D230,'Primas Netas Y Reservas'!$D$4:$I$33,5,FALSE))+(VLOOKUP(D230,'Primas Netas Y Reservas'!$D$4:$I$33,6,FALSE)-VLOOKUP(D230-1,'Primas Netas Y Reservas'!$D$4:$I$33,6,FALSE)-VLOOKUP(D230,'Primas Netas Y Reservas'!$D$4:$I$33,5,FALSE))*(E230/12))/1000)</f>
        <v>0.53883891454072008</v>
      </c>
      <c r="O230">
        <f t="shared" si="72"/>
        <v>-0.25810938037724895</v>
      </c>
      <c r="P230">
        <f>VLOOKUP(D230,Hipotesis!$D$9:$S$38,15,FALSE)*N230</f>
        <v>0.53883891454072008</v>
      </c>
      <c r="Q230">
        <f t="shared" si="59"/>
        <v>0.31908118986592587</v>
      </c>
      <c r="R230">
        <f t="shared" si="60"/>
        <v>0</v>
      </c>
      <c r="S230">
        <f t="shared" si="61"/>
        <v>0.31908118986592587</v>
      </c>
      <c r="T230">
        <f>G230*(VLOOKUP(D230,Hipotesis!$D$9:$N$38,9,FALSE)+VLOOKUP(D230,Hipotesis!$D$9:$N$38,10,FALSE)+VLOOKUP(D230,Hipotesis!$D$9:$N$38,11,FALSE))</f>
        <v>0</v>
      </c>
      <c r="U230">
        <v>0</v>
      </c>
      <c r="V230">
        <f>G230*VLOOKUP(D230,Hipotesis!$D$9:$S$38,16,FALSE)+((VLOOKUP(D230,Hipotesis!$D$9:$T$38,17,FALSE)/$B$4)*M229)/12</f>
        <v>8.7720169471511723E-3</v>
      </c>
      <c r="W230">
        <f>(1+VLOOKUP(D230,Hipotesis!$D$9:$P$38,13,FALSE))^(1/12)-1</f>
        <v>0</v>
      </c>
      <c r="X230">
        <f t="shared" si="73"/>
        <v>0</v>
      </c>
      <c r="Y230">
        <f t="shared" si="62"/>
        <v>0.35187046994419807</v>
      </c>
      <c r="Z230">
        <f>(1+VLOOKUP(D230,Hipotesis!$D$9:$O$38,12,))^(1/12)-1</f>
        <v>2.8116446205008749E-3</v>
      </c>
      <c r="AA230">
        <f t="shared" si="74"/>
        <v>0.35372431125137854</v>
      </c>
      <c r="AB230">
        <f t="shared" si="75"/>
        <v>-1.8538413071804705E-3</v>
      </c>
      <c r="AC230" s="68">
        <f t="shared" si="63"/>
        <v>-8.7720169471511723E-3</v>
      </c>
      <c r="AD230">
        <f t="shared" si="64"/>
        <v>-0.64861254670636348</v>
      </c>
      <c r="AE230" s="67">
        <f t="shared" si="65"/>
        <v>-4.740471333206768E-2</v>
      </c>
      <c r="AF230" s="67">
        <f t="shared" si="66"/>
        <v>-1.4221413999620304E-2</v>
      </c>
      <c r="AG230" s="67">
        <f t="shared" si="67"/>
        <v>-3.3183299332447375E-2</v>
      </c>
    </row>
    <row r="231" spans="4:33" x14ac:dyDescent="0.2">
      <c r="D231" s="50">
        <v>20</v>
      </c>
      <c r="E231">
        <v>1</v>
      </c>
      <c r="F231">
        <f t="shared" si="58"/>
        <v>69</v>
      </c>
      <c r="G231">
        <f t="shared" si="68"/>
        <v>0</v>
      </c>
      <c r="H231" s="64">
        <f>IF(E231="Anual",VLOOKUP(F231,Hipotesis!$E$9:$J$38,6,FALSE),1-(1-VLOOKUP(F231,Hipotesis!$E$9:$J$38,6,FALSE))^(1/12))</f>
        <v>1.5155696274234964E-3</v>
      </c>
      <c r="I231">
        <f t="shared" si="69"/>
        <v>0.3531258381663081</v>
      </c>
      <c r="J231">
        <v>0</v>
      </c>
      <c r="K231">
        <f>1-(1-VLOOKUP(D231,Hipotesis!$D$9:$K$38,8,FALSE))^(1/12)</f>
        <v>8.3717735912058888E-4</v>
      </c>
      <c r="L231">
        <f t="shared" si="70"/>
        <v>0.19476565446053992</v>
      </c>
      <c r="M231">
        <f t="shared" si="71"/>
        <v>232.45086473517526</v>
      </c>
      <c r="N231">
        <f>IF(D231=1,(VLOOKUP(D231,'Primas Netas Y Reservas'!$D$4:$I$33,5,FALSE)+(VLOOKUP(D231,'Primas Netas Y Reservas'!$D$4:$I$33,6,FALSE)-VLOOKUP(D231,'Primas Netas Y Reservas'!$D$4:$I$33,5,FALSE))*(E231/12))/1000,((VLOOKUP(D231-1,'Primas Netas Y Reservas'!$D$4:$I$33,6,FALSE)+VLOOKUP(D231,'Primas Netas Y Reservas'!$D$4:$I$33,5,FALSE))+(VLOOKUP(D231,'Primas Netas Y Reservas'!$D$4:$I$33,6,FALSE)-VLOOKUP(D231-1,'Primas Netas Y Reservas'!$D$4:$I$33,6,FALSE)-VLOOKUP(D231,'Primas Netas Y Reservas'!$D$4:$I$33,5,FALSE))*(E231/12))/1000)</f>
        <v>0.53985999163320297</v>
      </c>
      <c r="O231">
        <f t="shared" si="72"/>
        <v>-5.7875004064229074E-2</v>
      </c>
      <c r="P231">
        <f>VLOOKUP(D231,Hipotesis!$D$9:$S$38,15,FALSE)*N231</f>
        <v>0.53985999163320297</v>
      </c>
      <c r="Q231">
        <f t="shared" si="59"/>
        <v>0.10514618458750238</v>
      </c>
      <c r="R231">
        <f t="shared" si="60"/>
        <v>0</v>
      </c>
      <c r="S231">
        <f t="shared" si="61"/>
        <v>0.10514618458750238</v>
      </c>
      <c r="T231">
        <f>G231*(VLOOKUP(D231,Hipotesis!$D$9:$N$38,9,FALSE)+VLOOKUP(D231,Hipotesis!$D$9:$N$38,10,FALSE)+VLOOKUP(D231,Hipotesis!$D$9:$N$38,11,FALSE))</f>
        <v>0</v>
      </c>
      <c r="U231">
        <v>0</v>
      </c>
      <c r="V231">
        <f>G231*VLOOKUP(D231,Hipotesis!$D$9:$S$38,16,FALSE)+((VLOOKUP(D231,Hipotesis!$D$9:$T$38,17,FALSE)/$B$4)*M230)/12</f>
        <v>8.7374533585425785E-3</v>
      </c>
      <c r="W231">
        <f>(1+VLOOKUP(D231,Hipotesis!$D$9:$P$38,13,FALSE))^(1/12)-1</f>
        <v>0</v>
      </c>
      <c r="X231">
        <f t="shared" si="73"/>
        <v>0</v>
      </c>
      <c r="Y231">
        <f t="shared" si="62"/>
        <v>0.32286798366321406</v>
      </c>
      <c r="Z231">
        <f>(1+VLOOKUP(D231,Hipotesis!$D$9:$O$38,12,))^(1/12)-1</f>
        <v>2.5851889115713345E-3</v>
      </c>
      <c r="AA231">
        <f t="shared" si="74"/>
        <v>0.32456735759440325</v>
      </c>
      <c r="AB231">
        <f t="shared" si="75"/>
        <v>-1.6993739311892111E-3</v>
      </c>
      <c r="AC231" s="68">
        <f t="shared" si="63"/>
        <v>-8.7374533585425785E-3</v>
      </c>
      <c r="AD231">
        <f t="shared" si="64"/>
        <v>-0.45827202275381052</v>
      </c>
      <c r="AE231" s="67">
        <f t="shared" si="65"/>
        <v>-8.6266488384909926E-2</v>
      </c>
      <c r="AF231" s="67">
        <f t="shared" si="66"/>
        <v>-2.5879946515472978E-2</v>
      </c>
      <c r="AG231" s="67">
        <f t="shared" si="67"/>
        <v>-6.0386541869436948E-2</v>
      </c>
    </row>
    <row r="232" spans="4:33" x14ac:dyDescent="0.2">
      <c r="D232" s="50">
        <v>20</v>
      </c>
      <c r="E232">
        <v>2</v>
      </c>
      <c r="F232">
        <f t="shared" si="58"/>
        <v>69</v>
      </c>
      <c r="G232">
        <f t="shared" si="68"/>
        <v>0</v>
      </c>
      <c r="H232" s="64">
        <f>IF(E232="Anual",VLOOKUP(F232,Hipotesis!$E$9:$J$38,6,FALSE),1-(1-VLOOKUP(F232,Hipotesis!$E$9:$J$38,6,FALSE))^(1/12))</f>
        <v>1.5155696274234964E-3</v>
      </c>
      <c r="I232">
        <f t="shared" si="69"/>
        <v>0.35229547046095916</v>
      </c>
      <c r="J232">
        <v>0</v>
      </c>
      <c r="K232">
        <f>1-(1-VLOOKUP(D232,Hipotesis!$D$9:$K$38,8,FALSE))^(1/12)</f>
        <v>8.3717735912058888E-4</v>
      </c>
      <c r="L232">
        <f t="shared" si="70"/>
        <v>0.19430766727270057</v>
      </c>
      <c r="M232">
        <f t="shared" si="71"/>
        <v>231.90426159744158</v>
      </c>
      <c r="N232">
        <f>IF(D232=1,(VLOOKUP(D232,'Primas Netas Y Reservas'!$D$4:$I$33,5,FALSE)+(VLOOKUP(D232,'Primas Netas Y Reservas'!$D$4:$I$33,6,FALSE)-VLOOKUP(D232,'Primas Netas Y Reservas'!$D$4:$I$33,5,FALSE))*(E232/12))/1000,((VLOOKUP(D232-1,'Primas Netas Y Reservas'!$D$4:$I$33,6,FALSE)+VLOOKUP(D232,'Primas Netas Y Reservas'!$D$4:$I$33,5,FALSE))+(VLOOKUP(D232,'Primas Netas Y Reservas'!$D$4:$I$33,6,FALSE)-VLOOKUP(D232-1,'Primas Netas Y Reservas'!$D$4:$I$33,6,FALSE)-VLOOKUP(D232,'Primas Netas Y Reservas'!$D$4:$I$33,5,FALSE))*(E232/12))/1000)</f>
        <v>0.54088106872568575</v>
      </c>
      <c r="O232">
        <f t="shared" si="72"/>
        <v>-5.8297036197302532E-2</v>
      </c>
      <c r="P232">
        <f>VLOOKUP(D232,Hipotesis!$D$9:$S$38,15,FALSE)*N232</f>
        <v>0.54088106872568575</v>
      </c>
      <c r="Q232">
        <f t="shared" si="59"/>
        <v>0.10509733873605324</v>
      </c>
      <c r="R232">
        <f t="shared" si="60"/>
        <v>0</v>
      </c>
      <c r="S232">
        <f t="shared" si="61"/>
        <v>0.10509733873605324</v>
      </c>
      <c r="T232">
        <f>G232*(VLOOKUP(D232,Hipotesis!$D$9:$N$38,9,FALSE)+VLOOKUP(D232,Hipotesis!$D$9:$N$38,10,FALSE)+VLOOKUP(D232,Hipotesis!$D$9:$N$38,11,FALSE))</f>
        <v>0</v>
      </c>
      <c r="U232">
        <v>0</v>
      </c>
      <c r="V232">
        <f>G232*VLOOKUP(D232,Hipotesis!$D$9:$S$38,16,FALSE)+((VLOOKUP(D232,Hipotesis!$D$9:$T$38,17,FALSE)/$B$4)*M231)/12</f>
        <v>8.7169074275690716E-3</v>
      </c>
      <c r="W232">
        <f>(1+VLOOKUP(D232,Hipotesis!$D$9:$P$38,13,FALSE))^(1/12)-1</f>
        <v>0</v>
      </c>
      <c r="X232">
        <f t="shared" si="73"/>
        <v>0</v>
      </c>
      <c r="Y232">
        <f t="shared" si="62"/>
        <v>0.3232104851715078</v>
      </c>
      <c r="Z232">
        <f>(1+VLOOKUP(D232,Hipotesis!$D$9:$O$38,12,))^(1/12)-1</f>
        <v>2.5851889115713345E-3</v>
      </c>
      <c r="AA232">
        <f t="shared" si="74"/>
        <v>0.32441773977563926</v>
      </c>
      <c r="AB232">
        <f t="shared" si="75"/>
        <v>-1.2072546041314626E-3</v>
      </c>
      <c r="AC232" s="68">
        <f t="shared" si="63"/>
        <v>-8.7169074275690716E-3</v>
      </c>
      <c r="AD232">
        <f t="shared" si="64"/>
        <v>-0.45739280919701242</v>
      </c>
      <c r="AE232" s="67">
        <f t="shared" si="65"/>
        <v>-8.4602195255771159E-2</v>
      </c>
      <c r="AF232" s="67">
        <f t="shared" si="66"/>
        <v>-2.5380658576731347E-2</v>
      </c>
      <c r="AG232" s="67">
        <f t="shared" si="67"/>
        <v>-5.9221536679039816E-2</v>
      </c>
    </row>
    <row r="233" spans="4:33" x14ac:dyDescent="0.2">
      <c r="D233" s="50">
        <v>20</v>
      </c>
      <c r="E233">
        <v>3</v>
      </c>
      <c r="F233">
        <f t="shared" si="58"/>
        <v>69</v>
      </c>
      <c r="G233">
        <f t="shared" si="68"/>
        <v>0</v>
      </c>
      <c r="H233" s="64">
        <f>IF(E233="Anual",VLOOKUP(F233,Hipotesis!$E$9:$J$38,6,FALSE),1-(1-VLOOKUP(F233,Hipotesis!$E$9:$J$38,6,FALSE))^(1/12))</f>
        <v>1.5155696274234964E-3</v>
      </c>
      <c r="I233">
        <f t="shared" si="69"/>
        <v>0.35146705534715555</v>
      </c>
      <c r="J233">
        <v>0</v>
      </c>
      <c r="K233">
        <f>1-(1-VLOOKUP(D233,Hipotesis!$D$9:$K$38,8,FALSE))^(1/12)</f>
        <v>8.3717735912058888E-4</v>
      </c>
      <c r="L233">
        <f t="shared" si="70"/>
        <v>0.19385075703174293</v>
      </c>
      <c r="M233">
        <f t="shared" si="71"/>
        <v>231.35894378506268</v>
      </c>
      <c r="N233">
        <f>IF(D233=1,(VLOOKUP(D233,'Primas Netas Y Reservas'!$D$4:$I$33,5,FALSE)+(VLOOKUP(D233,'Primas Netas Y Reservas'!$D$4:$I$33,6,FALSE)-VLOOKUP(D233,'Primas Netas Y Reservas'!$D$4:$I$33,5,FALSE))*(E233/12))/1000,((VLOOKUP(D233-1,'Primas Netas Y Reservas'!$D$4:$I$33,6,FALSE)+VLOOKUP(D233,'Primas Netas Y Reservas'!$D$4:$I$33,5,FALSE))+(VLOOKUP(D233,'Primas Netas Y Reservas'!$D$4:$I$33,6,FALSE)-VLOOKUP(D233-1,'Primas Netas Y Reservas'!$D$4:$I$33,6,FALSE)-VLOOKUP(D233,'Primas Netas Y Reservas'!$D$4:$I$33,5,FALSE))*(E233/12))/1000)</f>
        <v>0.54190214581816865</v>
      </c>
      <c r="O233">
        <f t="shared" si="72"/>
        <v>-5.8716763514695458E-2</v>
      </c>
      <c r="P233">
        <f>VLOOKUP(D233,Hipotesis!$D$9:$S$38,15,FALSE)*N233</f>
        <v>0.54190214581816865</v>
      </c>
      <c r="Q233">
        <f t="shared" si="59"/>
        <v>0.10504814120397793</v>
      </c>
      <c r="R233">
        <f t="shared" si="60"/>
        <v>0</v>
      </c>
      <c r="S233">
        <f t="shared" si="61"/>
        <v>0.10504814120397793</v>
      </c>
      <c r="T233">
        <f>G233*(VLOOKUP(D233,Hipotesis!$D$9:$N$38,9,FALSE)+VLOOKUP(D233,Hipotesis!$D$9:$N$38,10,FALSE)+VLOOKUP(D233,Hipotesis!$D$9:$N$38,11,FALSE))</f>
        <v>0</v>
      </c>
      <c r="U233">
        <v>0</v>
      </c>
      <c r="V233">
        <f>G233*VLOOKUP(D233,Hipotesis!$D$9:$S$38,16,FALSE)+((VLOOKUP(D233,Hipotesis!$D$9:$T$38,17,FALSE)/$B$4)*M232)/12</f>
        <v>8.6964098099040592E-3</v>
      </c>
      <c r="W233">
        <f>(1+VLOOKUP(D233,Hipotesis!$D$9:$P$38,13,FALSE))^(1/12)-1</f>
        <v>0</v>
      </c>
      <c r="X233">
        <f t="shared" si="73"/>
        <v>0</v>
      </c>
      <c r="Y233">
        <f t="shared" si="62"/>
        <v>0.32306210224330484</v>
      </c>
      <c r="Z233">
        <f>(1+VLOOKUP(D233,Hipotesis!$D$9:$O$38,12,))^(1/12)-1</f>
        <v>2.5851889115713345E-3</v>
      </c>
      <c r="AA233">
        <f t="shared" si="74"/>
        <v>0.32426703092408449</v>
      </c>
      <c r="AB233">
        <f t="shared" si="75"/>
        <v>-1.2049286807796237E-3</v>
      </c>
      <c r="AC233" s="68">
        <f t="shared" si="63"/>
        <v>-8.6964098099040592E-3</v>
      </c>
      <c r="AD233">
        <f t="shared" si="64"/>
        <v>-0.45651519655113348</v>
      </c>
      <c r="AE233" s="67">
        <f t="shared" si="65"/>
        <v>-8.343274060303725E-2</v>
      </c>
      <c r="AF233" s="67">
        <f t="shared" si="66"/>
        <v>-2.5029822180911175E-2</v>
      </c>
      <c r="AG233" s="67">
        <f t="shared" si="67"/>
        <v>-5.8402918422126075E-2</v>
      </c>
    </row>
    <row r="234" spans="4:33" x14ac:dyDescent="0.2">
      <c r="D234" s="50">
        <v>20</v>
      </c>
      <c r="E234">
        <v>4</v>
      </c>
      <c r="F234">
        <f t="shared" si="58"/>
        <v>69</v>
      </c>
      <c r="G234">
        <f t="shared" si="68"/>
        <v>0</v>
      </c>
      <c r="H234" s="64">
        <f>IF(E234="Anual",VLOOKUP(F234,Hipotesis!$E$9:$J$38,6,FALSE),1-(1-VLOOKUP(F234,Hipotesis!$E$9:$J$38,6,FALSE))^(1/12))</f>
        <v>1.5155696274234964E-3</v>
      </c>
      <c r="I234">
        <f t="shared" si="69"/>
        <v>0.35064058823342109</v>
      </c>
      <c r="J234">
        <v>0</v>
      </c>
      <c r="K234">
        <f>1-(1-VLOOKUP(D234,Hipotesis!$D$9:$K$38,8,FALSE))^(1/12)</f>
        <v>8.3717735912058888E-4</v>
      </c>
      <c r="L234">
        <f t="shared" si="70"/>
        <v>0.19339492120524979</v>
      </c>
      <c r="M234">
        <f t="shared" si="71"/>
        <v>230.81490827562399</v>
      </c>
      <c r="N234">
        <f>IF(D234=1,(VLOOKUP(D234,'Primas Netas Y Reservas'!$D$4:$I$33,5,FALSE)+(VLOOKUP(D234,'Primas Netas Y Reservas'!$D$4:$I$33,6,FALSE)-VLOOKUP(D234,'Primas Netas Y Reservas'!$D$4:$I$33,5,FALSE))*(E234/12))/1000,((VLOOKUP(D234-1,'Primas Netas Y Reservas'!$D$4:$I$33,6,FALSE)+VLOOKUP(D234,'Primas Netas Y Reservas'!$D$4:$I$33,5,FALSE))+(VLOOKUP(D234,'Primas Netas Y Reservas'!$D$4:$I$33,6,FALSE)-VLOOKUP(D234-1,'Primas Netas Y Reservas'!$D$4:$I$33,6,FALSE)-VLOOKUP(D234,'Primas Netas Y Reservas'!$D$4:$I$33,5,FALSE))*(E234/12))/1000)</f>
        <v>0.54292322291065143</v>
      </c>
      <c r="O234">
        <f t="shared" si="72"/>
        <v>-5.9134194522343364E-2</v>
      </c>
      <c r="P234">
        <f>VLOOKUP(D234,Hipotesis!$D$9:$S$38,15,FALSE)*N234</f>
        <v>0.54292322291065143</v>
      </c>
      <c r="Q234">
        <f t="shared" si="59"/>
        <v>0.10499859391530569</v>
      </c>
      <c r="R234">
        <f t="shared" si="60"/>
        <v>0</v>
      </c>
      <c r="S234">
        <f t="shared" si="61"/>
        <v>0.10499859391530569</v>
      </c>
      <c r="T234">
        <f>G234*(VLOOKUP(D234,Hipotesis!$D$9:$N$38,9,FALSE)+VLOOKUP(D234,Hipotesis!$D$9:$N$38,10,FALSE)+VLOOKUP(D234,Hipotesis!$D$9:$N$38,11,FALSE))</f>
        <v>0</v>
      </c>
      <c r="U234">
        <v>0</v>
      </c>
      <c r="V234">
        <f>G234*VLOOKUP(D234,Hipotesis!$D$9:$S$38,16,FALSE)+((VLOOKUP(D234,Hipotesis!$D$9:$T$38,17,FALSE)/$B$4)*M233)/12</f>
        <v>8.6759603919398503E-3</v>
      </c>
      <c r="W234">
        <f>(1+VLOOKUP(D234,Hipotesis!$D$9:$P$38,13,FALSE))^(1/12)-1</f>
        <v>0</v>
      </c>
      <c r="X234">
        <f t="shared" si="73"/>
        <v>0</v>
      </c>
      <c r="Y234">
        <f t="shared" si="62"/>
        <v>0.3229126299774327</v>
      </c>
      <c r="Z234">
        <f>(1+VLOOKUP(D234,Hipotesis!$D$9:$O$38,12,))^(1/12)-1</f>
        <v>2.5851889115713345E-3</v>
      </c>
      <c r="AA234">
        <f t="shared" si="74"/>
        <v>0.32411523699812295</v>
      </c>
      <c r="AB234">
        <f t="shared" si="75"/>
        <v>-1.2026070206902736E-3</v>
      </c>
      <c r="AC234" s="68">
        <f t="shared" si="63"/>
        <v>-8.6759603919398503E-3</v>
      </c>
      <c r="AD234">
        <f t="shared" si="64"/>
        <v>-0.45563918214872678</v>
      </c>
      <c r="AE234" s="67">
        <f t="shared" si="65"/>
        <v>-8.2268318040890576E-2</v>
      </c>
      <c r="AF234" s="67">
        <f t="shared" si="66"/>
        <v>-2.4680495412267172E-2</v>
      </c>
      <c r="AG234" s="67">
        <f t="shared" si="67"/>
        <v>-5.75878226286234E-2</v>
      </c>
    </row>
    <row r="235" spans="4:33" x14ac:dyDescent="0.2">
      <c r="D235" s="50">
        <v>20</v>
      </c>
      <c r="E235">
        <v>5</v>
      </c>
      <c r="F235">
        <f t="shared" si="58"/>
        <v>69</v>
      </c>
      <c r="G235">
        <f t="shared" si="68"/>
        <v>0</v>
      </c>
      <c r="H235" s="64">
        <f>IF(E235="Anual",VLOOKUP(F235,Hipotesis!$E$9:$J$38,6,FALSE),1-(1-VLOOKUP(F235,Hipotesis!$E$9:$J$38,6,FALSE))^(1/12))</f>
        <v>1.5155696274234964E-3</v>
      </c>
      <c r="I235">
        <f t="shared" si="69"/>
        <v>0.34981606453907593</v>
      </c>
      <c r="J235">
        <v>0</v>
      </c>
      <c r="K235">
        <f>1-(1-VLOOKUP(D235,Hipotesis!$D$9:$K$38,8,FALSE))^(1/12)</f>
        <v>8.3717735912058888E-4</v>
      </c>
      <c r="L235">
        <f t="shared" si="70"/>
        <v>0.19294015726675906</v>
      </c>
      <c r="M235">
        <f t="shared" si="71"/>
        <v>230.27215205381816</v>
      </c>
      <c r="N235">
        <f>IF(D235=1,(VLOOKUP(D235,'Primas Netas Y Reservas'!$D$4:$I$33,5,FALSE)+(VLOOKUP(D235,'Primas Netas Y Reservas'!$D$4:$I$33,6,FALSE)-VLOOKUP(D235,'Primas Netas Y Reservas'!$D$4:$I$33,5,FALSE))*(E235/12))/1000,((VLOOKUP(D235-1,'Primas Netas Y Reservas'!$D$4:$I$33,6,FALSE)+VLOOKUP(D235,'Primas Netas Y Reservas'!$D$4:$I$33,5,FALSE))+(VLOOKUP(D235,'Primas Netas Y Reservas'!$D$4:$I$33,6,FALSE)-VLOOKUP(D235-1,'Primas Netas Y Reservas'!$D$4:$I$33,6,FALSE)-VLOOKUP(D235,'Primas Netas Y Reservas'!$D$4:$I$33,5,FALSE))*(E235/12))/1000)</f>
        <v>0.54394430000313432</v>
      </c>
      <c r="O235">
        <f t="shared" si="72"/>
        <v>-5.9549337698740601E-2</v>
      </c>
      <c r="P235">
        <f>VLOOKUP(D235,Hipotesis!$D$9:$S$38,15,FALSE)*N235</f>
        <v>0.54394430000313432</v>
      </c>
      <c r="Q235">
        <f t="shared" si="59"/>
        <v>0.10494869878696191</v>
      </c>
      <c r="R235">
        <f t="shared" si="60"/>
        <v>0</v>
      </c>
      <c r="S235">
        <f t="shared" si="61"/>
        <v>0.10494869878696191</v>
      </c>
      <c r="T235">
        <f>G235*(VLOOKUP(D235,Hipotesis!$D$9:$N$38,9,FALSE)+VLOOKUP(D235,Hipotesis!$D$9:$N$38,10,FALSE)+VLOOKUP(D235,Hipotesis!$D$9:$N$38,11,FALSE))</f>
        <v>0</v>
      </c>
      <c r="U235">
        <v>0</v>
      </c>
      <c r="V235">
        <f>G235*VLOOKUP(D235,Hipotesis!$D$9:$S$38,16,FALSE)+((VLOOKUP(D235,Hipotesis!$D$9:$T$38,17,FALSE)/$B$4)*M234)/12</f>
        <v>8.6555590603358996E-3</v>
      </c>
      <c r="W235">
        <f>(1+VLOOKUP(D235,Hipotesis!$D$9:$P$38,13,FALSE))^(1/12)-1</f>
        <v>0</v>
      </c>
      <c r="X235">
        <f t="shared" si="73"/>
        <v>0</v>
      </c>
      <c r="Y235">
        <f t="shared" si="62"/>
        <v>0.32276207431747456</v>
      </c>
      <c r="Z235">
        <f>(1+VLOOKUP(D235,Hipotesis!$D$9:$O$38,12,))^(1/12)-1</f>
        <v>2.5851889115713345E-3</v>
      </c>
      <c r="AA235">
        <f t="shared" si="74"/>
        <v>0.32396236393414912</v>
      </c>
      <c r="AB235">
        <f t="shared" si="75"/>
        <v>-1.2002896166745511E-3</v>
      </c>
      <c r="AC235" s="68">
        <f t="shared" si="63"/>
        <v>-8.6555590603358996E-3</v>
      </c>
      <c r="AD235">
        <f t="shared" si="64"/>
        <v>-0.45476476332603782</v>
      </c>
      <c r="AE235" s="67">
        <f t="shared" si="65"/>
        <v>-8.1108910370158563E-2</v>
      </c>
      <c r="AF235" s="67">
        <f t="shared" si="66"/>
        <v>-2.433267311104757E-2</v>
      </c>
      <c r="AG235" s="67">
        <f t="shared" si="67"/>
        <v>-5.677623725911099E-2</v>
      </c>
    </row>
    <row r="236" spans="4:33" x14ac:dyDescent="0.2">
      <c r="D236" s="50">
        <v>20</v>
      </c>
      <c r="E236">
        <v>6</v>
      </c>
      <c r="F236">
        <f t="shared" si="58"/>
        <v>69</v>
      </c>
      <c r="G236">
        <f t="shared" si="68"/>
        <v>0</v>
      </c>
      <c r="H236" s="64">
        <f>IF(E236="Anual",VLOOKUP(F236,Hipotesis!$E$9:$J$38,6,FALSE),1-(1-VLOOKUP(F236,Hipotesis!$E$9:$J$38,6,FALSE))^(1/12))</f>
        <v>1.5155696274234964E-3</v>
      </c>
      <c r="I236">
        <f t="shared" si="69"/>
        <v>0.34899347969421191</v>
      </c>
      <c r="J236">
        <v>0</v>
      </c>
      <c r="K236">
        <f>1-(1-VLOOKUP(D236,Hipotesis!$D$9:$K$38,8,FALSE))^(1/12)</f>
        <v>8.3717735912058888E-4</v>
      </c>
      <c r="L236">
        <f t="shared" si="70"/>
        <v>0.19248646269574948</v>
      </c>
      <c r="M236">
        <f t="shared" si="71"/>
        <v>229.73067211142822</v>
      </c>
      <c r="N236">
        <f>IF(D236=1,(VLOOKUP(D236,'Primas Netas Y Reservas'!$D$4:$I$33,5,FALSE)+(VLOOKUP(D236,'Primas Netas Y Reservas'!$D$4:$I$33,6,FALSE)-VLOOKUP(D236,'Primas Netas Y Reservas'!$D$4:$I$33,5,FALSE))*(E236/12))/1000,((VLOOKUP(D236-1,'Primas Netas Y Reservas'!$D$4:$I$33,6,FALSE)+VLOOKUP(D236,'Primas Netas Y Reservas'!$D$4:$I$33,5,FALSE))+(VLOOKUP(D236,'Primas Netas Y Reservas'!$D$4:$I$33,6,FALSE)-VLOOKUP(D236-1,'Primas Netas Y Reservas'!$D$4:$I$33,6,FALSE)-VLOOKUP(D236,'Primas Netas Y Reservas'!$D$4:$I$33,5,FALSE))*(E236/12))/1000)</f>
        <v>0.54496537709561721</v>
      </c>
      <c r="O236">
        <f t="shared" si="72"/>
        <v>-5.9962201495352474E-2</v>
      </c>
      <c r="P236">
        <f>VLOOKUP(D236,Hipotesis!$D$9:$S$38,15,FALSE)*N236</f>
        <v>0.54496537709561721</v>
      </c>
      <c r="Q236">
        <f t="shared" si="59"/>
        <v>0.10489845772879057</v>
      </c>
      <c r="R236">
        <f t="shared" si="60"/>
        <v>0</v>
      </c>
      <c r="S236">
        <f t="shared" si="61"/>
        <v>0.10489845772879057</v>
      </c>
      <c r="T236">
        <f>G236*(VLOOKUP(D236,Hipotesis!$D$9:$N$38,9,FALSE)+VLOOKUP(D236,Hipotesis!$D$9:$N$38,10,FALSE)+VLOOKUP(D236,Hipotesis!$D$9:$N$38,11,FALSE))</f>
        <v>0</v>
      </c>
      <c r="U236">
        <v>0</v>
      </c>
      <c r="V236">
        <f>G236*VLOOKUP(D236,Hipotesis!$D$9:$S$38,16,FALSE)+((VLOOKUP(D236,Hipotesis!$D$9:$T$38,17,FALSE)/$B$4)*M235)/12</f>
        <v>8.6352057020181814E-3</v>
      </c>
      <c r="W236">
        <f>(1+VLOOKUP(D236,Hipotesis!$D$9:$P$38,13,FALSE))^(1/12)-1</f>
        <v>0</v>
      </c>
      <c r="X236">
        <f t="shared" si="73"/>
        <v>0</v>
      </c>
      <c r="Y236">
        <f t="shared" si="62"/>
        <v>0.32261044118508503</v>
      </c>
      <c r="Z236">
        <f>(1+VLOOKUP(D236,Hipotesis!$D$9:$O$38,12,))^(1/12)-1</f>
        <v>2.5851889115713345E-3</v>
      </c>
      <c r="AA236">
        <f t="shared" si="74"/>
        <v>0.32380841764663887</v>
      </c>
      <c r="AB236">
        <f t="shared" si="75"/>
        <v>-1.1979764615538302E-3</v>
      </c>
      <c r="AC236" s="68">
        <f t="shared" si="63"/>
        <v>-8.6352057020181814E-3</v>
      </c>
      <c r="AD236">
        <f t="shared" si="64"/>
        <v>-0.45389193742300249</v>
      </c>
      <c r="AE236" s="67">
        <f t="shared" si="65"/>
        <v>-7.9954500444583174E-2</v>
      </c>
      <c r="AF236" s="67">
        <f t="shared" si="66"/>
        <v>-2.398635013337495E-2</v>
      </c>
      <c r="AG236" s="67">
        <f t="shared" si="67"/>
        <v>-5.596815031120822E-2</v>
      </c>
    </row>
    <row r="237" spans="4:33" x14ac:dyDescent="0.2">
      <c r="D237" s="50">
        <v>20</v>
      </c>
      <c r="E237">
        <v>7</v>
      </c>
      <c r="F237">
        <f t="shared" si="58"/>
        <v>69</v>
      </c>
      <c r="G237">
        <f t="shared" si="68"/>
        <v>0</v>
      </c>
      <c r="H237" s="64">
        <f>IF(E237="Anual",VLOOKUP(F237,Hipotesis!$E$9:$J$38,6,FALSE),1-(1-VLOOKUP(F237,Hipotesis!$E$9:$J$38,6,FALSE))^(1/12))</f>
        <v>1.5155696274234964E-3</v>
      </c>
      <c r="I237">
        <f t="shared" si="69"/>
        <v>0.34817282913966668</v>
      </c>
      <c r="J237">
        <v>0</v>
      </c>
      <c r="K237">
        <f>1-(1-VLOOKUP(D237,Hipotesis!$D$9:$K$38,8,FALSE))^(1/12)</f>
        <v>8.3717735912058888E-4</v>
      </c>
      <c r="L237">
        <f t="shared" si="70"/>
        <v>0.19203383497762672</v>
      </c>
      <c r="M237">
        <f t="shared" si="71"/>
        <v>229.19046544731094</v>
      </c>
      <c r="N237">
        <f>IF(D237=1,(VLOOKUP(D237,'Primas Netas Y Reservas'!$D$4:$I$33,5,FALSE)+(VLOOKUP(D237,'Primas Netas Y Reservas'!$D$4:$I$33,6,FALSE)-VLOOKUP(D237,'Primas Netas Y Reservas'!$D$4:$I$33,5,FALSE))*(E237/12))/1000,((VLOOKUP(D237-1,'Primas Netas Y Reservas'!$D$4:$I$33,6,FALSE)+VLOOKUP(D237,'Primas Netas Y Reservas'!$D$4:$I$33,5,FALSE))+(VLOOKUP(D237,'Primas Netas Y Reservas'!$D$4:$I$33,6,FALSE)-VLOOKUP(D237-1,'Primas Netas Y Reservas'!$D$4:$I$33,6,FALSE)-VLOOKUP(D237,'Primas Netas Y Reservas'!$D$4:$I$33,5,FALSE))*(E237/12))/1000)</f>
        <v>0.54598645418809999</v>
      </c>
      <c r="O237">
        <f t="shared" si="72"/>
        <v>-6.0372794336529978E-2</v>
      </c>
      <c r="P237">
        <f>VLOOKUP(D237,Hipotesis!$D$9:$S$38,15,FALSE)*N237</f>
        <v>0.54598645418809999</v>
      </c>
      <c r="Q237">
        <f t="shared" si="59"/>
        <v>0.10484787264357714</v>
      </c>
      <c r="R237">
        <f t="shared" si="60"/>
        <v>0</v>
      </c>
      <c r="S237">
        <f t="shared" si="61"/>
        <v>0.10484787264357714</v>
      </c>
      <c r="T237">
        <f>G237*(VLOOKUP(D237,Hipotesis!$D$9:$N$38,9,FALSE)+VLOOKUP(D237,Hipotesis!$D$9:$N$38,10,FALSE)+VLOOKUP(D237,Hipotesis!$D$9:$N$38,11,FALSE))</f>
        <v>0</v>
      </c>
      <c r="U237">
        <v>0</v>
      </c>
      <c r="V237">
        <f>G237*VLOOKUP(D237,Hipotesis!$D$9:$S$38,16,FALSE)+((VLOOKUP(D237,Hipotesis!$D$9:$T$38,17,FALSE)/$B$4)*M236)/12</f>
        <v>8.6149002041785577E-3</v>
      </c>
      <c r="W237">
        <f>(1+VLOOKUP(D237,Hipotesis!$D$9:$P$38,13,FALSE))^(1/12)-1</f>
        <v>0</v>
      </c>
      <c r="X237">
        <f t="shared" si="73"/>
        <v>0</v>
      </c>
      <c r="Y237">
        <f t="shared" si="62"/>
        <v>0.32245773648005999</v>
      </c>
      <c r="Z237">
        <f>(1+VLOOKUP(D237,Hipotesis!$D$9:$O$38,12,))^(1/12)-1</f>
        <v>2.5851889115713345E-3</v>
      </c>
      <c r="AA237">
        <f t="shared" si="74"/>
        <v>0.32365340402821968</v>
      </c>
      <c r="AB237">
        <f t="shared" si="75"/>
        <v>-1.1956675481597121E-3</v>
      </c>
      <c r="AC237" s="68">
        <f t="shared" si="63"/>
        <v>-8.6149002041785577E-3</v>
      </c>
      <c r="AD237">
        <f t="shared" si="64"/>
        <v>-0.45302070178324383</v>
      </c>
      <c r="AE237" s="67">
        <f t="shared" si="65"/>
        <v>-7.8805071170832422E-2</v>
      </c>
      <c r="AF237" s="67">
        <f t="shared" si="66"/>
        <v>-2.3641521351249726E-2</v>
      </c>
      <c r="AG237" s="67">
        <f t="shared" si="67"/>
        <v>-5.51635498195827E-2</v>
      </c>
    </row>
    <row r="238" spans="4:33" x14ac:dyDescent="0.2">
      <c r="D238" s="50">
        <v>20</v>
      </c>
      <c r="E238">
        <v>8</v>
      </c>
      <c r="F238">
        <f t="shared" si="58"/>
        <v>69</v>
      </c>
      <c r="G238">
        <f t="shared" si="68"/>
        <v>0</v>
      </c>
      <c r="H238" s="64">
        <f>IF(E238="Anual",VLOOKUP(F238,Hipotesis!$E$9:$J$38,6,FALSE),1-(1-VLOOKUP(F238,Hipotesis!$E$9:$J$38,6,FALSE))^(1/12))</f>
        <v>1.5155696274234964E-3</v>
      </c>
      <c r="I238">
        <f t="shared" si="69"/>
        <v>0.34735410832699881</v>
      </c>
      <c r="J238">
        <v>0</v>
      </c>
      <c r="K238">
        <f>1-(1-VLOOKUP(D238,Hipotesis!$D$9:$K$38,8,FALSE))^(1/12)</f>
        <v>8.3717735912058888E-4</v>
      </c>
      <c r="L238">
        <f t="shared" si="70"/>
        <v>0.19158227160370947</v>
      </c>
      <c r="M238">
        <f t="shared" si="71"/>
        <v>228.65152906738021</v>
      </c>
      <c r="N238">
        <f>IF(D238=1,(VLOOKUP(D238,'Primas Netas Y Reservas'!$D$4:$I$33,5,FALSE)+(VLOOKUP(D238,'Primas Netas Y Reservas'!$D$4:$I$33,6,FALSE)-VLOOKUP(D238,'Primas Netas Y Reservas'!$D$4:$I$33,5,FALSE))*(E238/12))/1000,((VLOOKUP(D238-1,'Primas Netas Y Reservas'!$D$4:$I$33,6,FALSE)+VLOOKUP(D238,'Primas Netas Y Reservas'!$D$4:$I$33,5,FALSE))+(VLOOKUP(D238,'Primas Netas Y Reservas'!$D$4:$I$33,6,FALSE)-VLOOKUP(D238-1,'Primas Netas Y Reservas'!$D$4:$I$33,6,FALSE)-VLOOKUP(D238,'Primas Netas Y Reservas'!$D$4:$I$33,5,FALSE))*(E238/12))/1000)</f>
        <v>0.54700753128058288</v>
      </c>
      <c r="O238">
        <f t="shared" si="72"/>
        <v>-6.0781124619467164E-2</v>
      </c>
      <c r="P238">
        <f>VLOOKUP(D238,Hipotesis!$D$9:$S$38,15,FALSE)*N238</f>
        <v>0.54700753128058288</v>
      </c>
      <c r="Q238">
        <f t="shared" si="59"/>
        <v>0.10479694542707123</v>
      </c>
      <c r="R238">
        <f t="shared" si="60"/>
        <v>0</v>
      </c>
      <c r="S238">
        <f t="shared" si="61"/>
        <v>0.10479694542707123</v>
      </c>
      <c r="T238">
        <f>G238*(VLOOKUP(D238,Hipotesis!$D$9:$N$38,9,FALSE)+VLOOKUP(D238,Hipotesis!$D$9:$N$38,10,FALSE)+VLOOKUP(D238,Hipotesis!$D$9:$N$38,11,FALSE))</f>
        <v>0</v>
      </c>
      <c r="U238">
        <v>0</v>
      </c>
      <c r="V238">
        <f>G238*VLOOKUP(D238,Hipotesis!$D$9:$S$38,16,FALSE)+((VLOOKUP(D238,Hipotesis!$D$9:$T$38,17,FALSE)/$B$4)*M237)/12</f>
        <v>8.5946424542741595E-3</v>
      </c>
      <c r="W238">
        <f>(1+VLOOKUP(D238,Hipotesis!$D$9:$P$38,13,FALSE))^(1/12)-1</f>
        <v>0</v>
      </c>
      <c r="X238">
        <f t="shared" si="73"/>
        <v>0</v>
      </c>
      <c r="Y238">
        <f t="shared" si="62"/>
        <v>0.32230396608040629</v>
      </c>
      <c r="Z238">
        <f>(1+VLOOKUP(D238,Hipotesis!$D$9:$O$38,12,))^(1/12)-1</f>
        <v>2.5851889115713345E-3</v>
      </c>
      <c r="AA238">
        <f t="shared" si="74"/>
        <v>0.32349732894974031</v>
      </c>
      <c r="AB238">
        <f t="shared" si="75"/>
        <v>-1.1933628693340159E-3</v>
      </c>
      <c r="AC238" s="68">
        <f t="shared" si="63"/>
        <v>-8.5946424542741595E-3</v>
      </c>
      <c r="AD238">
        <f t="shared" si="64"/>
        <v>-0.45215105375407005</v>
      </c>
      <c r="AE238" s="67">
        <f t="shared" si="65"/>
        <v>-7.7660605508470759E-2</v>
      </c>
      <c r="AF238" s="67">
        <f t="shared" si="66"/>
        <v>-2.3298181652541227E-2</v>
      </c>
      <c r="AG238" s="67">
        <f t="shared" si="67"/>
        <v>-5.4362423855929529E-2</v>
      </c>
    </row>
    <row r="239" spans="4:33" x14ac:dyDescent="0.2">
      <c r="D239" s="50">
        <v>20</v>
      </c>
      <c r="E239">
        <v>9</v>
      </c>
      <c r="F239">
        <f t="shared" si="58"/>
        <v>69</v>
      </c>
      <c r="G239">
        <f t="shared" si="68"/>
        <v>0</v>
      </c>
      <c r="H239" s="64">
        <f>IF(E239="Anual",VLOOKUP(F239,Hipotesis!$E$9:$J$38,6,FALSE),1-(1-VLOOKUP(F239,Hipotesis!$E$9:$J$38,6,FALSE))^(1/12))</f>
        <v>1.5155696274234964E-3</v>
      </c>
      <c r="I239">
        <f t="shared" si="69"/>
        <v>0.34653731271846216</v>
      </c>
      <c r="J239">
        <v>0</v>
      </c>
      <c r="K239">
        <f>1-(1-VLOOKUP(D239,Hipotesis!$D$9:$K$38,8,FALSE))^(1/12)</f>
        <v>8.3717735912058888E-4</v>
      </c>
      <c r="L239">
        <f t="shared" si="70"/>
        <v>0.19113177007121554</v>
      </c>
      <c r="M239">
        <f t="shared" si="71"/>
        <v>228.11385998459053</v>
      </c>
      <c r="N239">
        <f>IF(D239=1,(VLOOKUP(D239,'Primas Netas Y Reservas'!$D$4:$I$33,5,FALSE)+(VLOOKUP(D239,'Primas Netas Y Reservas'!$D$4:$I$33,6,FALSE)-VLOOKUP(D239,'Primas Netas Y Reservas'!$D$4:$I$33,5,FALSE))*(E239/12))/1000,((VLOOKUP(D239-1,'Primas Netas Y Reservas'!$D$4:$I$33,6,FALSE)+VLOOKUP(D239,'Primas Netas Y Reservas'!$D$4:$I$33,5,FALSE))+(VLOOKUP(D239,'Primas Netas Y Reservas'!$D$4:$I$33,6,FALSE)-VLOOKUP(D239-1,'Primas Netas Y Reservas'!$D$4:$I$33,6,FALSE)-VLOOKUP(D239,'Primas Netas Y Reservas'!$D$4:$I$33,5,FALSE))*(E239/12))/1000)</f>
        <v>0.54802860837306566</v>
      </c>
      <c r="O239">
        <f t="shared" si="72"/>
        <v>-6.1187200714584833E-2</v>
      </c>
      <c r="P239">
        <f>VLOOKUP(D239,Hipotesis!$D$9:$S$38,15,FALSE)*N239</f>
        <v>0.54802860837306566</v>
      </c>
      <c r="Q239">
        <f t="shared" si="59"/>
        <v>0.10474567796800902</v>
      </c>
      <c r="R239">
        <f t="shared" si="60"/>
        <v>0</v>
      </c>
      <c r="S239">
        <f t="shared" si="61"/>
        <v>0.10474567796800902</v>
      </c>
      <c r="T239">
        <f>G239*(VLOOKUP(D239,Hipotesis!$D$9:$N$38,9,FALSE)+VLOOKUP(D239,Hipotesis!$D$9:$N$38,10,FALSE)+VLOOKUP(D239,Hipotesis!$D$9:$N$38,11,FALSE))</f>
        <v>0</v>
      </c>
      <c r="U239">
        <v>0</v>
      </c>
      <c r="V239">
        <f>G239*VLOOKUP(D239,Hipotesis!$D$9:$S$38,16,FALSE)+((VLOOKUP(D239,Hipotesis!$D$9:$T$38,17,FALSE)/$B$4)*M238)/12</f>
        <v>8.5744323400267584E-3</v>
      </c>
      <c r="W239">
        <f>(1+VLOOKUP(D239,Hipotesis!$D$9:$P$38,13,FALSE))^(1/12)-1</f>
        <v>0</v>
      </c>
      <c r="X239">
        <f t="shared" si="73"/>
        <v>0</v>
      </c>
      <c r="Y239">
        <f t="shared" si="62"/>
        <v>0.3221491358424125</v>
      </c>
      <c r="Z239">
        <f>(1+VLOOKUP(D239,Hipotesis!$D$9:$O$38,12,))^(1/12)-1</f>
        <v>2.5851889115713345E-3</v>
      </c>
      <c r="AA239">
        <f t="shared" si="74"/>
        <v>0.32334019826034127</v>
      </c>
      <c r="AB239">
        <f t="shared" si="75"/>
        <v>-1.1910624179287722E-3</v>
      </c>
      <c r="AC239" s="68">
        <f t="shared" si="63"/>
        <v>-8.5744323400267584E-3</v>
      </c>
      <c r="AD239">
        <f t="shared" si="64"/>
        <v>-0.45128299068647115</v>
      </c>
      <c r="AE239" s="67">
        <f t="shared" si="65"/>
        <v>-7.6521086469500607E-2</v>
      </c>
      <c r="AF239" s="67">
        <f t="shared" si="66"/>
        <v>-2.2956325940850182E-2</v>
      </c>
      <c r="AG239" s="67">
        <f t="shared" si="67"/>
        <v>-5.3564760528650425E-2</v>
      </c>
    </row>
    <row r="240" spans="4:33" x14ac:dyDescent="0.2">
      <c r="D240" s="50">
        <v>20</v>
      </c>
      <c r="E240">
        <v>10</v>
      </c>
      <c r="F240">
        <f t="shared" si="58"/>
        <v>69</v>
      </c>
      <c r="G240">
        <f t="shared" si="68"/>
        <v>0</v>
      </c>
      <c r="H240" s="64">
        <f>IF(E240="Anual",VLOOKUP(F240,Hipotesis!$E$9:$J$38,6,FALSE),1-(1-VLOOKUP(F240,Hipotesis!$E$9:$J$38,6,FALSE))^(1/12))</f>
        <v>1.5155696274234964E-3</v>
      </c>
      <c r="I240">
        <f t="shared" si="69"/>
        <v>0.34572243778698147</v>
      </c>
      <c r="J240">
        <v>0</v>
      </c>
      <c r="K240">
        <f>1-(1-VLOOKUP(D240,Hipotesis!$D$9:$K$38,8,FALSE))^(1/12)</f>
        <v>8.3717735912058888E-4</v>
      </c>
      <c r="L240">
        <f t="shared" si="70"/>
        <v>0.19068232788324804</v>
      </c>
      <c r="M240">
        <f t="shared" si="71"/>
        <v>227.57745521892031</v>
      </c>
      <c r="N240">
        <f>IF(D240=1,(VLOOKUP(D240,'Primas Netas Y Reservas'!$D$4:$I$33,5,FALSE)+(VLOOKUP(D240,'Primas Netas Y Reservas'!$D$4:$I$33,6,FALSE)-VLOOKUP(D240,'Primas Netas Y Reservas'!$D$4:$I$33,5,FALSE))*(E240/12))/1000,((VLOOKUP(D240-1,'Primas Netas Y Reservas'!$D$4:$I$33,6,FALSE)+VLOOKUP(D240,'Primas Netas Y Reservas'!$D$4:$I$33,5,FALSE))+(VLOOKUP(D240,'Primas Netas Y Reservas'!$D$4:$I$33,6,FALSE)-VLOOKUP(D240-1,'Primas Netas Y Reservas'!$D$4:$I$33,6,FALSE)-VLOOKUP(D240,'Primas Netas Y Reservas'!$D$4:$I$33,5,FALSE))*(E240/12))/1000)</f>
        <v>0.54904968546554844</v>
      </c>
      <c r="O240">
        <f t="shared" si="72"/>
        <v>-6.1591030965360005E-2</v>
      </c>
      <c r="P240">
        <f>VLOOKUP(D240,Hipotesis!$D$9:$S$38,15,FALSE)*N240</f>
        <v>0.54904968546554844</v>
      </c>
      <c r="Q240">
        <f t="shared" si="59"/>
        <v>0.10469407214813592</v>
      </c>
      <c r="R240">
        <f t="shared" si="60"/>
        <v>0</v>
      </c>
      <c r="S240">
        <f t="shared" si="61"/>
        <v>0.10469407214813592</v>
      </c>
      <c r="T240">
        <f>G240*(VLOOKUP(D240,Hipotesis!$D$9:$N$38,9,FALSE)+VLOOKUP(D240,Hipotesis!$D$9:$N$38,10,FALSE)+VLOOKUP(D240,Hipotesis!$D$9:$N$38,11,FALSE))</f>
        <v>0</v>
      </c>
      <c r="U240">
        <v>0</v>
      </c>
      <c r="V240">
        <f>G240*VLOOKUP(D240,Hipotesis!$D$9:$S$38,16,FALSE)+((VLOOKUP(D240,Hipotesis!$D$9:$T$38,17,FALSE)/$B$4)*M239)/12</f>
        <v>8.5542697494221439E-3</v>
      </c>
      <c r="W240">
        <f>(1+VLOOKUP(D240,Hipotesis!$D$9:$P$38,13,FALSE))^(1/12)-1</f>
        <v>0</v>
      </c>
      <c r="X240">
        <f t="shared" si="73"/>
        <v>0</v>
      </c>
      <c r="Y240">
        <f t="shared" si="62"/>
        <v>0.32199325160071762</v>
      </c>
      <c r="Z240">
        <f>(1+VLOOKUP(D240,Hipotesis!$D$9:$O$38,12,))^(1/12)-1</f>
        <v>2.5851889115713345E-3</v>
      </c>
      <c r="AA240">
        <f t="shared" si="74"/>
        <v>0.32318201778752381</v>
      </c>
      <c r="AB240">
        <f t="shared" si="75"/>
        <v>-1.1887661868062113E-3</v>
      </c>
      <c r="AC240" s="68">
        <f t="shared" si="63"/>
        <v>-8.5542697494221439E-3</v>
      </c>
      <c r="AD240">
        <f t="shared" si="64"/>
        <v>-0.45041650993511739</v>
      </c>
      <c r="AE240" s="67">
        <f t="shared" si="65"/>
        <v>-7.5386497118461904E-2</v>
      </c>
      <c r="AF240" s="67">
        <f t="shared" si="66"/>
        <v>-2.261594913553857E-2</v>
      </c>
      <c r="AG240" s="67">
        <f t="shared" si="67"/>
        <v>-5.2770547982923334E-2</v>
      </c>
    </row>
    <row r="241" spans="4:33" x14ac:dyDescent="0.2">
      <c r="D241" s="50">
        <v>20</v>
      </c>
      <c r="E241">
        <v>11</v>
      </c>
      <c r="F241">
        <f t="shared" ref="F241:F299" si="76">$B$5+D241-1</f>
        <v>69</v>
      </c>
      <c r="G241">
        <f t="shared" si="68"/>
        <v>0</v>
      </c>
      <c r="H241" s="64">
        <f>IF(E241="Anual",VLOOKUP(F241,Hipotesis!$E$9:$J$38,6,FALSE),1-(1-VLOOKUP(F241,Hipotesis!$E$9:$J$38,6,FALSE))^(1/12))</f>
        <v>1.5155696274234964E-3</v>
      </c>
      <c r="I241">
        <f t="shared" si="69"/>
        <v>0.34490947901612651</v>
      </c>
      <c r="J241">
        <v>0</v>
      </c>
      <c r="K241">
        <f>1-(1-VLOOKUP(D241,Hipotesis!$D$9:$K$38,8,FALSE))^(1/12)</f>
        <v>8.3717735912058888E-4</v>
      </c>
      <c r="L241">
        <f t="shared" si="70"/>
        <v>0.1902339425487814</v>
      </c>
      <c r="M241">
        <f t="shared" si="71"/>
        <v>227.04231179735538</v>
      </c>
      <c r="N241">
        <f>IF(D241=1,(VLOOKUP(D241,'Primas Netas Y Reservas'!$D$4:$I$33,5,FALSE)+(VLOOKUP(D241,'Primas Netas Y Reservas'!$D$4:$I$33,6,FALSE)-VLOOKUP(D241,'Primas Netas Y Reservas'!$D$4:$I$33,5,FALSE))*(E241/12))/1000,((VLOOKUP(D241-1,'Primas Netas Y Reservas'!$D$4:$I$33,6,FALSE)+VLOOKUP(D241,'Primas Netas Y Reservas'!$D$4:$I$33,5,FALSE))+(VLOOKUP(D241,'Primas Netas Y Reservas'!$D$4:$I$33,6,FALSE)-VLOOKUP(D241-1,'Primas Netas Y Reservas'!$D$4:$I$33,6,FALSE)-VLOOKUP(D241,'Primas Netas Y Reservas'!$D$4:$I$33,5,FALSE))*(E241/12))/1000)</f>
        <v>0.55007076255803133</v>
      </c>
      <c r="O241">
        <f t="shared" si="72"/>
        <v>-6.1992623688553294E-2</v>
      </c>
      <c r="P241">
        <f>VLOOKUP(D241,Hipotesis!$D$9:$S$38,15,FALSE)*N241</f>
        <v>0.55007076255803133</v>
      </c>
      <c r="Q241">
        <f t="shared" si="59"/>
        <v>0.10464212984222891</v>
      </c>
      <c r="R241">
        <f t="shared" si="60"/>
        <v>0</v>
      </c>
      <c r="S241">
        <f t="shared" si="61"/>
        <v>0.10464212984222891</v>
      </c>
      <c r="T241">
        <f>G241*(VLOOKUP(D241,Hipotesis!$D$9:$N$38,9,FALSE)+VLOOKUP(D241,Hipotesis!$D$9:$N$38,10,FALSE)+VLOOKUP(D241,Hipotesis!$D$9:$N$38,11,FALSE))</f>
        <v>0</v>
      </c>
      <c r="U241">
        <v>0</v>
      </c>
      <c r="V241">
        <f>G241*VLOOKUP(D241,Hipotesis!$D$9:$S$38,16,FALSE)+((VLOOKUP(D241,Hipotesis!$D$9:$T$38,17,FALSE)/$B$4)*M240)/12</f>
        <v>8.5341545707095113E-3</v>
      </c>
      <c r="W241">
        <f>(1+VLOOKUP(D241,Hipotesis!$D$9:$P$38,13,FALSE))^(1/12)-1</f>
        <v>0</v>
      </c>
      <c r="X241">
        <f t="shared" si="73"/>
        <v>0</v>
      </c>
      <c r="Y241">
        <f t="shared" si="62"/>
        <v>0.32183631916838112</v>
      </c>
      <c r="Z241">
        <f>(1+VLOOKUP(D241,Hipotesis!$D$9:$O$38,12,))^(1/12)-1</f>
        <v>2.5851889115713345E-3</v>
      </c>
      <c r="AA241">
        <f t="shared" si="74"/>
        <v>0.32302279333721989</v>
      </c>
      <c r="AB241">
        <f t="shared" si="75"/>
        <v>-1.1864741688387592E-3</v>
      </c>
      <c r="AC241" s="68">
        <f t="shared" si="63"/>
        <v>-8.5341545707095113E-3</v>
      </c>
      <c r="AD241">
        <f t="shared" si="64"/>
        <v>-0.44955160885835543</v>
      </c>
      <c r="AE241" s="67">
        <f t="shared" si="65"/>
        <v>-7.4256820572130525E-2</v>
      </c>
      <c r="AF241" s="67">
        <f t="shared" si="66"/>
        <v>-2.2277046171639156E-2</v>
      </c>
      <c r="AG241" s="67">
        <f t="shared" si="67"/>
        <v>-5.1979774400491369E-2</v>
      </c>
    </row>
    <row r="242" spans="4:33" x14ac:dyDescent="0.2">
      <c r="D242" s="50">
        <v>20</v>
      </c>
      <c r="E242">
        <v>12</v>
      </c>
      <c r="F242">
        <f t="shared" si="76"/>
        <v>69</v>
      </c>
      <c r="G242">
        <f t="shared" si="68"/>
        <v>0</v>
      </c>
      <c r="H242" s="64">
        <f>IF(E242="Anual",VLOOKUP(F242,Hipotesis!$E$9:$J$38,6,FALSE),1-(1-VLOOKUP(F242,Hipotesis!$E$9:$J$38,6,FALSE))^(1/12))</f>
        <v>1.5155696274234964E-3</v>
      </c>
      <c r="I242">
        <f t="shared" si="69"/>
        <v>0.34409843190008721</v>
      </c>
      <c r="J242">
        <v>0</v>
      </c>
      <c r="K242">
        <f>1-(1-VLOOKUP(D242,Hipotesis!$D$9:$K$38,8,FALSE))^(1/12)</f>
        <v>8.3717735912058888E-4</v>
      </c>
      <c r="L242">
        <f t="shared" si="70"/>
        <v>0.18978661158264765</v>
      </c>
      <c r="M242">
        <f t="shared" si="71"/>
        <v>226.50842675387264</v>
      </c>
      <c r="N242">
        <f>IF(D242=1,(VLOOKUP(D242,'Primas Netas Y Reservas'!$D$4:$I$33,5,FALSE)+(VLOOKUP(D242,'Primas Netas Y Reservas'!$D$4:$I$33,6,FALSE)-VLOOKUP(D242,'Primas Netas Y Reservas'!$D$4:$I$33,5,FALSE))*(E242/12))/1000,((VLOOKUP(D242-1,'Primas Netas Y Reservas'!$D$4:$I$33,6,FALSE)+VLOOKUP(D242,'Primas Netas Y Reservas'!$D$4:$I$33,5,FALSE))+(VLOOKUP(D242,'Primas Netas Y Reservas'!$D$4:$I$33,6,FALSE)-VLOOKUP(D242-1,'Primas Netas Y Reservas'!$D$4:$I$33,6,FALSE)-VLOOKUP(D242,'Primas Netas Y Reservas'!$D$4:$I$33,5,FALSE))*(E242/12))/1000)</f>
        <v>0.55109183965051423</v>
      </c>
      <c r="O242">
        <f t="shared" si="72"/>
        <v>-6.2391987174152064E-2</v>
      </c>
      <c r="P242">
        <f>VLOOKUP(D242,Hipotesis!$D$9:$S$38,15,FALSE)*N242</f>
        <v>0.55109183965051423</v>
      </c>
      <c r="Q242">
        <f t="shared" si="59"/>
        <v>0.10458985291811888</v>
      </c>
      <c r="R242">
        <f t="shared" si="60"/>
        <v>0</v>
      </c>
      <c r="S242">
        <f t="shared" si="61"/>
        <v>0.10458985291811888</v>
      </c>
      <c r="T242">
        <f>G242*(VLOOKUP(D242,Hipotesis!$D$9:$N$38,9,FALSE)+VLOOKUP(D242,Hipotesis!$D$9:$N$38,10,FALSE)+VLOOKUP(D242,Hipotesis!$D$9:$N$38,11,FALSE))</f>
        <v>0</v>
      </c>
      <c r="U242">
        <v>0</v>
      </c>
      <c r="V242">
        <f>G242*VLOOKUP(D242,Hipotesis!$D$9:$S$38,16,FALSE)+((VLOOKUP(D242,Hipotesis!$D$9:$T$38,17,FALSE)/$B$4)*M241)/12</f>
        <v>8.5140866924008265E-3</v>
      </c>
      <c r="W242">
        <f>(1+VLOOKUP(D242,Hipotesis!$D$9:$P$38,13,FALSE))^(1/12)-1</f>
        <v>0</v>
      </c>
      <c r="X242">
        <f t="shared" si="73"/>
        <v>0</v>
      </c>
      <c r="Y242">
        <f t="shared" si="62"/>
        <v>0.32167834433695203</v>
      </c>
      <c r="Z242">
        <f>(1+VLOOKUP(D242,Hipotesis!$D$9:$O$38,12,))^(1/12)-1</f>
        <v>2.5851889115713345E-3</v>
      </c>
      <c r="AA242">
        <f t="shared" si="74"/>
        <v>0.32286253069386106</v>
      </c>
      <c r="AB242">
        <f t="shared" si="75"/>
        <v>-1.1841863569090258E-3</v>
      </c>
      <c r="AC242" s="68">
        <f t="shared" si="63"/>
        <v>-8.5140866924008265E-3</v>
      </c>
      <c r="AD242">
        <f t="shared" si="64"/>
        <v>-0.44868828481820611</v>
      </c>
      <c r="AE242" s="67">
        <f t="shared" si="65"/>
        <v>-7.3132039999502838E-2</v>
      </c>
      <c r="AF242" s="67">
        <f t="shared" si="66"/>
        <v>-2.1939611999850849E-2</v>
      </c>
      <c r="AG242" s="67">
        <f t="shared" si="67"/>
        <v>-5.1192427999651985E-2</v>
      </c>
    </row>
    <row r="243" spans="4:33" x14ac:dyDescent="0.2">
      <c r="D243" s="50">
        <v>21</v>
      </c>
      <c r="E243">
        <v>1</v>
      </c>
      <c r="F243">
        <f t="shared" si="76"/>
        <v>70</v>
      </c>
      <c r="G243">
        <f t="shared" si="68"/>
        <v>0</v>
      </c>
      <c r="H243" s="64">
        <f>IF(E243="Anual",VLOOKUP(F243,Hipotesis!$E$9:$J$38,6,FALSE),1-(1-VLOOKUP(F243,Hipotesis!$E$9:$J$38,6,FALSE))^(1/12))</f>
        <v>1.6302635305590618E-3</v>
      </c>
      <c r="I243">
        <f t="shared" si="69"/>
        <v>0.36926842750114708</v>
      </c>
      <c r="J243">
        <v>0</v>
      </c>
      <c r="K243">
        <f>1-(1-VLOOKUP(D243,Hipotesis!$D$9:$K$38,8,FALSE))^(1/12)</f>
        <v>8.3717735912058888E-4</v>
      </c>
      <c r="L243">
        <f t="shared" si="70"/>
        <v>0.18931858336142443</v>
      </c>
      <c r="M243">
        <f t="shared" si="71"/>
        <v>225.94983974301007</v>
      </c>
      <c r="N243">
        <f>IF(D243=1,(VLOOKUP(D243,'Primas Netas Y Reservas'!$D$4:$I$33,5,FALSE)+(VLOOKUP(D243,'Primas Netas Y Reservas'!$D$4:$I$33,6,FALSE)-VLOOKUP(D243,'Primas Netas Y Reservas'!$D$4:$I$33,5,FALSE))*(E243/12))/1000,((VLOOKUP(D243-1,'Primas Netas Y Reservas'!$D$4:$I$33,6,FALSE)+VLOOKUP(D243,'Primas Netas Y Reservas'!$D$4:$I$33,5,FALSE))+(VLOOKUP(D243,'Primas Netas Y Reservas'!$D$4:$I$33,6,FALSE)-VLOOKUP(D243-1,'Primas Netas Y Reservas'!$D$4:$I$33,6,FALSE)-VLOOKUP(D243,'Primas Netas Y Reservas'!$D$4:$I$33,5,FALSE))*(E243/12))/1000)</f>
        <v>0.55211323614220786</v>
      </c>
      <c r="O243">
        <f t="shared" si="72"/>
        <v>-7.7048369808892403E-2</v>
      </c>
      <c r="P243">
        <f>VLOOKUP(D243,Hipotesis!$D$9:$S$38,15,FALSE)*N243</f>
        <v>0.55211323614220786</v>
      </c>
      <c r="Q243">
        <f t="shared" si="59"/>
        <v>0.10452529572153439</v>
      </c>
      <c r="R243">
        <f t="shared" si="60"/>
        <v>0</v>
      </c>
      <c r="S243">
        <f t="shared" si="61"/>
        <v>0.10452529572153439</v>
      </c>
      <c r="T243">
        <f>G243*(VLOOKUP(D243,Hipotesis!$D$9:$N$38,9,FALSE)+VLOOKUP(D243,Hipotesis!$D$9:$N$38,10,FALSE)+VLOOKUP(D243,Hipotesis!$D$9:$N$38,11,FALSE))</f>
        <v>0</v>
      </c>
      <c r="U243">
        <v>0</v>
      </c>
      <c r="V243">
        <f>G243*VLOOKUP(D243,Hipotesis!$D$9:$S$38,16,FALSE)+((VLOOKUP(D243,Hipotesis!$D$9:$T$38,17,FALSE)/$B$4)*M242)/12</f>
        <v>8.4940660032702241E-3</v>
      </c>
      <c r="W243">
        <f>(1+VLOOKUP(D243,Hipotesis!$D$9:$P$38,13,FALSE))^(1/12)-1</f>
        <v>0</v>
      </c>
      <c r="X243">
        <f t="shared" si="73"/>
        <v>0</v>
      </c>
      <c r="Y243">
        <f t="shared" si="62"/>
        <v>0.31276445909008677</v>
      </c>
      <c r="Z243">
        <f>(1+VLOOKUP(D243,Hipotesis!$D$9:$O$38,12,))^(1/12)-1</f>
        <v>2.514795002650061E-3</v>
      </c>
      <c r="AA243">
        <f t="shared" si="74"/>
        <v>0.31391417898123242</v>
      </c>
      <c r="AB243">
        <f t="shared" si="75"/>
        <v>-1.1497198911456558E-3</v>
      </c>
      <c r="AC243" s="68">
        <f t="shared" si="63"/>
        <v>-8.4940660032702241E-3</v>
      </c>
      <c r="AD243">
        <f t="shared" si="64"/>
        <v>-0.47379372322268148</v>
      </c>
      <c r="AE243" s="67">
        <f t="shared" si="65"/>
        <v>-9.2474960326972541E-2</v>
      </c>
      <c r="AF243" s="67">
        <f t="shared" si="66"/>
        <v>-2.7742488098091763E-2</v>
      </c>
      <c r="AG243" s="67">
        <f t="shared" si="67"/>
        <v>-6.4732472228880775E-2</v>
      </c>
    </row>
    <row r="244" spans="4:33" x14ac:dyDescent="0.2">
      <c r="D244" s="50">
        <v>21</v>
      </c>
      <c r="E244">
        <v>2</v>
      </c>
      <c r="F244">
        <f t="shared" si="76"/>
        <v>70</v>
      </c>
      <c r="G244">
        <f t="shared" si="68"/>
        <v>0</v>
      </c>
      <c r="H244" s="64">
        <f>IF(E244="Anual",VLOOKUP(F244,Hipotesis!$E$9:$J$38,6,FALSE),1-(1-VLOOKUP(F244,Hipotesis!$E$9:$J$38,6,FALSE))^(1/12))</f>
        <v>1.6302635305590618E-3</v>
      </c>
      <c r="I244">
        <f t="shared" si="69"/>
        <v>0.36835778346869386</v>
      </c>
      <c r="J244">
        <v>0</v>
      </c>
      <c r="K244">
        <f>1-(1-VLOOKUP(D244,Hipotesis!$D$9:$K$38,8,FALSE))^(1/12)</f>
        <v>8.3717735912058888E-4</v>
      </c>
      <c r="L244">
        <f t="shared" si="70"/>
        <v>0.18885170933339762</v>
      </c>
      <c r="M244">
        <f t="shared" si="71"/>
        <v>225.39263025020799</v>
      </c>
      <c r="N244">
        <f>IF(D244=1,(VLOOKUP(D244,'Primas Netas Y Reservas'!$D$4:$I$33,5,FALSE)+(VLOOKUP(D244,'Primas Netas Y Reservas'!$D$4:$I$33,6,FALSE)-VLOOKUP(D244,'Primas Netas Y Reservas'!$D$4:$I$33,5,FALSE))*(E244/12))/1000,((VLOOKUP(D244-1,'Primas Netas Y Reservas'!$D$4:$I$33,6,FALSE)+VLOOKUP(D244,'Primas Netas Y Reservas'!$D$4:$I$33,5,FALSE))+(VLOOKUP(D244,'Primas Netas Y Reservas'!$D$4:$I$33,6,FALSE)-VLOOKUP(D244-1,'Primas Netas Y Reservas'!$D$4:$I$33,6,FALSE)-VLOOKUP(D244,'Primas Netas Y Reservas'!$D$4:$I$33,5,FALSE))*(E244/12))/1000)</f>
        <v>0.5531346326339015</v>
      </c>
      <c r="O244">
        <f t="shared" si="72"/>
        <v>-7.7427494488944149E-2</v>
      </c>
      <c r="P244">
        <f>VLOOKUP(D244,Hipotesis!$D$9:$S$38,15,FALSE)*N244</f>
        <v>0.5531346326339015</v>
      </c>
      <c r="Q244">
        <f t="shared" si="59"/>
        <v>0.10446042086441325</v>
      </c>
      <c r="R244">
        <f t="shared" si="60"/>
        <v>0</v>
      </c>
      <c r="S244">
        <f t="shared" si="61"/>
        <v>0.10446042086441325</v>
      </c>
      <c r="T244">
        <f>G244*(VLOOKUP(D244,Hipotesis!$D$9:$N$38,9,FALSE)+VLOOKUP(D244,Hipotesis!$D$9:$N$38,10,FALSE)+VLOOKUP(D244,Hipotesis!$D$9:$N$38,11,FALSE))</f>
        <v>0</v>
      </c>
      <c r="U244">
        <v>0</v>
      </c>
      <c r="V244">
        <f>G244*VLOOKUP(D244,Hipotesis!$D$9:$S$38,16,FALSE)+((VLOOKUP(D244,Hipotesis!$D$9:$T$38,17,FALSE)/$B$4)*M243)/12</f>
        <v>8.4731189903628785E-3</v>
      </c>
      <c r="W244">
        <f>(1+VLOOKUP(D244,Hipotesis!$D$9:$P$38,13,FALSE))^(1/12)-1</f>
        <v>0</v>
      </c>
      <c r="X244">
        <f t="shared" si="73"/>
        <v>0</v>
      </c>
      <c r="Y244">
        <f t="shared" si="62"/>
        <v>0.31250761588113352</v>
      </c>
      <c r="Z244">
        <f>(1+VLOOKUP(D244,Hipotesis!$D$9:$O$38,12,))^(1/12)-1</f>
        <v>2.514795002650061E-3</v>
      </c>
      <c r="AA244">
        <f t="shared" si="74"/>
        <v>0.3137204181258747</v>
      </c>
      <c r="AB244">
        <f t="shared" si="75"/>
        <v>-1.2128022447411896E-3</v>
      </c>
      <c r="AC244" s="68">
        <f t="shared" si="63"/>
        <v>-8.4731189903628785E-3</v>
      </c>
      <c r="AD244">
        <f t="shared" si="64"/>
        <v>-0.47281820433310712</v>
      </c>
      <c r="AE244" s="67">
        <f t="shared" si="65"/>
        <v>-9.135621295339233E-2</v>
      </c>
      <c r="AF244" s="67">
        <f t="shared" si="66"/>
        <v>-2.7406863886017697E-2</v>
      </c>
      <c r="AG244" s="67">
        <f t="shared" si="67"/>
        <v>-6.3949349067374636E-2</v>
      </c>
    </row>
    <row r="245" spans="4:33" x14ac:dyDescent="0.2">
      <c r="D245" s="50">
        <v>21</v>
      </c>
      <c r="E245">
        <v>3</v>
      </c>
      <c r="F245">
        <f t="shared" si="76"/>
        <v>70</v>
      </c>
      <c r="G245">
        <f t="shared" si="68"/>
        <v>0</v>
      </c>
      <c r="H245" s="64">
        <f>IF(E245="Anual",VLOOKUP(F245,Hipotesis!$E$9:$J$38,6,FALSE),1-(1-VLOOKUP(F245,Hipotesis!$E$9:$J$38,6,FALSE))^(1/12))</f>
        <v>1.6302635305590618E-3</v>
      </c>
      <c r="I245">
        <f t="shared" si="69"/>
        <v>0.36744938515369724</v>
      </c>
      <c r="J245">
        <v>0</v>
      </c>
      <c r="K245">
        <f>1-(1-VLOOKUP(D245,Hipotesis!$D$9:$K$38,8,FALSE))^(1/12)</f>
        <v>8.3717735912058888E-4</v>
      </c>
      <c r="L245">
        <f t="shared" si="70"/>
        <v>0.18838598665223902</v>
      </c>
      <c r="M245">
        <f t="shared" si="71"/>
        <v>224.83679487840206</v>
      </c>
      <c r="N245">
        <f>IF(D245=1,(VLOOKUP(D245,'Primas Netas Y Reservas'!$D$4:$I$33,5,FALSE)+(VLOOKUP(D245,'Primas Netas Y Reservas'!$D$4:$I$33,6,FALSE)-VLOOKUP(D245,'Primas Netas Y Reservas'!$D$4:$I$33,5,FALSE))*(E245/12))/1000,((VLOOKUP(D245-1,'Primas Netas Y Reservas'!$D$4:$I$33,6,FALSE)+VLOOKUP(D245,'Primas Netas Y Reservas'!$D$4:$I$33,5,FALSE))+(VLOOKUP(D245,'Primas Netas Y Reservas'!$D$4:$I$33,6,FALSE)-VLOOKUP(D245-1,'Primas Netas Y Reservas'!$D$4:$I$33,6,FALSE)-VLOOKUP(D245,'Primas Netas Y Reservas'!$D$4:$I$33,5,FALSE))*(E245/12))/1000)</f>
        <v>0.55415602912559503</v>
      </c>
      <c r="O245">
        <f t="shared" si="72"/>
        <v>-7.7804280696383898E-2</v>
      </c>
      <c r="P245">
        <f>VLOOKUP(D245,Hipotesis!$D$9:$S$38,15,FALSE)*N245</f>
        <v>0.55415602912559503</v>
      </c>
      <c r="Q245">
        <f t="shared" si="59"/>
        <v>0.10439523030611213</v>
      </c>
      <c r="R245">
        <f t="shared" si="60"/>
        <v>0</v>
      </c>
      <c r="S245">
        <f t="shared" si="61"/>
        <v>0.10439523030611213</v>
      </c>
      <c r="T245">
        <f>G245*(VLOOKUP(D245,Hipotesis!$D$9:$N$38,9,FALSE)+VLOOKUP(D245,Hipotesis!$D$9:$N$38,10,FALSE)+VLOOKUP(D245,Hipotesis!$D$9:$N$38,11,FALSE))</f>
        <v>0</v>
      </c>
      <c r="U245">
        <v>0</v>
      </c>
      <c r="V245">
        <f>G245*VLOOKUP(D245,Hipotesis!$D$9:$S$38,16,FALSE)+((VLOOKUP(D245,Hipotesis!$D$9:$T$38,17,FALSE)/$B$4)*M244)/12</f>
        <v>8.4522236343827998E-3</v>
      </c>
      <c r="W245">
        <f>(1+VLOOKUP(D245,Hipotesis!$D$9:$P$38,13,FALSE))^(1/12)-1</f>
        <v>0</v>
      </c>
      <c r="X245">
        <f t="shared" si="73"/>
        <v>0</v>
      </c>
      <c r="Y245">
        <f t="shared" si="62"/>
        <v>0.31231540738249025</v>
      </c>
      <c r="Z245">
        <f>(1+VLOOKUP(D245,Hipotesis!$D$9:$O$38,12,))^(1/12)-1</f>
        <v>2.514795002650061E-3</v>
      </c>
      <c r="AA245">
        <f t="shared" si="74"/>
        <v>0.31352570384966616</v>
      </c>
      <c r="AB245">
        <f t="shared" si="75"/>
        <v>-1.2102964671758998E-3</v>
      </c>
      <c r="AC245" s="68">
        <f t="shared" si="63"/>
        <v>-8.4522236343827998E-3</v>
      </c>
      <c r="AD245">
        <f t="shared" si="64"/>
        <v>-0.47184461545980938</v>
      </c>
      <c r="AE245" s="67">
        <f t="shared" si="65"/>
        <v>-9.0177151015318036E-2</v>
      </c>
      <c r="AF245" s="67">
        <f t="shared" si="66"/>
        <v>-2.7053145304595409E-2</v>
      </c>
      <c r="AG245" s="67">
        <f t="shared" si="67"/>
        <v>-6.312400571072263E-2</v>
      </c>
    </row>
    <row r="246" spans="4:33" x14ac:dyDescent="0.2">
      <c r="D246" s="50">
        <v>21</v>
      </c>
      <c r="E246">
        <v>4</v>
      </c>
      <c r="F246">
        <f t="shared" si="76"/>
        <v>70</v>
      </c>
      <c r="G246">
        <f t="shared" si="68"/>
        <v>0</v>
      </c>
      <c r="H246" s="64">
        <f>IF(E246="Anual",VLOOKUP(F246,Hipotesis!$E$9:$J$38,6,FALSE),1-(1-VLOOKUP(F246,Hipotesis!$E$9:$J$38,6,FALSE))^(1/12))</f>
        <v>1.6302635305590618E-3</v>
      </c>
      <c r="I246">
        <f t="shared" si="69"/>
        <v>0.36654322701804731</v>
      </c>
      <c r="J246">
        <v>0</v>
      </c>
      <c r="K246">
        <f>1-(1-VLOOKUP(D246,Hipotesis!$D$9:$K$38,8,FALSE))^(1/12)</f>
        <v>8.3717735912058888E-4</v>
      </c>
      <c r="L246">
        <f t="shared" si="70"/>
        <v>0.18792141247863967</v>
      </c>
      <c r="M246">
        <f t="shared" si="71"/>
        <v>224.28233023890539</v>
      </c>
      <c r="N246">
        <f>IF(D246=1,(VLOOKUP(D246,'Primas Netas Y Reservas'!$D$4:$I$33,5,FALSE)+(VLOOKUP(D246,'Primas Netas Y Reservas'!$D$4:$I$33,6,FALSE)-VLOOKUP(D246,'Primas Netas Y Reservas'!$D$4:$I$33,5,FALSE))*(E246/12))/1000,((VLOOKUP(D246-1,'Primas Netas Y Reservas'!$D$4:$I$33,6,FALSE)+VLOOKUP(D246,'Primas Netas Y Reservas'!$D$4:$I$33,5,FALSE))+(VLOOKUP(D246,'Primas Netas Y Reservas'!$D$4:$I$33,6,FALSE)-VLOOKUP(D246-1,'Primas Netas Y Reservas'!$D$4:$I$33,6,FALSE)-VLOOKUP(D246,'Primas Netas Y Reservas'!$D$4:$I$33,5,FALSE))*(E246/12))/1000)</f>
        <v>0.55517742561728867</v>
      </c>
      <c r="O246">
        <f t="shared" si="72"/>
        <v>-7.8178737659143849E-2</v>
      </c>
      <c r="P246">
        <f>VLOOKUP(D246,Hipotesis!$D$9:$S$38,15,FALSE)*N246</f>
        <v>0.55517742561728867</v>
      </c>
      <c r="Q246">
        <f t="shared" si="59"/>
        <v>0.1043297259982558</v>
      </c>
      <c r="R246">
        <f t="shared" si="60"/>
        <v>0</v>
      </c>
      <c r="S246">
        <f t="shared" si="61"/>
        <v>0.1043297259982558</v>
      </c>
      <c r="T246">
        <f>G246*(VLOOKUP(D246,Hipotesis!$D$9:$N$38,9,FALSE)+VLOOKUP(D246,Hipotesis!$D$9:$N$38,10,FALSE)+VLOOKUP(D246,Hipotesis!$D$9:$N$38,11,FALSE))</f>
        <v>0</v>
      </c>
      <c r="U246">
        <v>0</v>
      </c>
      <c r="V246">
        <f>G246*VLOOKUP(D246,Hipotesis!$D$9:$S$38,16,FALSE)+((VLOOKUP(D246,Hipotesis!$D$9:$T$38,17,FALSE)/$B$4)*M245)/12</f>
        <v>8.431379807940077E-3</v>
      </c>
      <c r="W246">
        <f>(1+VLOOKUP(D246,Hipotesis!$D$9:$P$38,13,FALSE))^(1/12)-1</f>
        <v>0</v>
      </c>
      <c r="X246">
        <f t="shared" si="73"/>
        <v>0</v>
      </c>
      <c r="Y246">
        <f t="shared" si="62"/>
        <v>0.31212224636059399</v>
      </c>
      <c r="Z246">
        <f>(1+VLOOKUP(D246,Hipotesis!$D$9:$O$38,12,))^(1/12)-1</f>
        <v>2.514795002650061E-3</v>
      </c>
      <c r="AA246">
        <f t="shared" si="74"/>
        <v>0.3133300420333861</v>
      </c>
      <c r="AB246">
        <f t="shared" si="75"/>
        <v>-1.2077956727921206E-3</v>
      </c>
      <c r="AC246" s="68">
        <f t="shared" si="63"/>
        <v>-8.431379807940077E-3</v>
      </c>
      <c r="AD246">
        <f t="shared" si="64"/>
        <v>-0.47087295301630311</v>
      </c>
      <c r="AE246" s="67">
        <f t="shared" si="65"/>
        <v>-8.9003348804505347E-2</v>
      </c>
      <c r="AF246" s="67">
        <f t="shared" si="66"/>
        <v>-2.6701004641351604E-2</v>
      </c>
      <c r="AG246" s="67">
        <f t="shared" si="67"/>
        <v>-6.2302344163153743E-2</v>
      </c>
    </row>
    <row r="247" spans="4:33" x14ac:dyDescent="0.2">
      <c r="D247" s="50">
        <v>21</v>
      </c>
      <c r="E247">
        <v>5</v>
      </c>
      <c r="F247">
        <f t="shared" si="76"/>
        <v>70</v>
      </c>
      <c r="G247">
        <f t="shared" si="68"/>
        <v>0</v>
      </c>
      <c r="H247" s="64">
        <f>IF(E247="Anual",VLOOKUP(F247,Hipotesis!$E$9:$J$38,6,FALSE),1-(1-VLOOKUP(F247,Hipotesis!$E$9:$J$38,6,FALSE))^(1/12))</f>
        <v>1.6302635305590618E-3</v>
      </c>
      <c r="I247">
        <f t="shared" si="69"/>
        <v>0.36563930353729135</v>
      </c>
      <c r="J247">
        <v>0</v>
      </c>
      <c r="K247">
        <f>1-(1-VLOOKUP(D247,Hipotesis!$D$9:$K$38,8,FALSE))^(1/12)</f>
        <v>8.3717735912058888E-4</v>
      </c>
      <c r="L247">
        <f t="shared" si="70"/>
        <v>0.18745798398029256</v>
      </c>
      <c r="M247">
        <f t="shared" si="71"/>
        <v>223.72923295138781</v>
      </c>
      <c r="N247">
        <f>IF(D247=1,(VLOOKUP(D247,'Primas Netas Y Reservas'!$D$4:$I$33,5,FALSE)+(VLOOKUP(D247,'Primas Netas Y Reservas'!$D$4:$I$33,6,FALSE)-VLOOKUP(D247,'Primas Netas Y Reservas'!$D$4:$I$33,5,FALSE))*(E247/12))/1000,((VLOOKUP(D247-1,'Primas Netas Y Reservas'!$D$4:$I$33,6,FALSE)+VLOOKUP(D247,'Primas Netas Y Reservas'!$D$4:$I$33,5,FALSE))+(VLOOKUP(D247,'Primas Netas Y Reservas'!$D$4:$I$33,6,FALSE)-VLOOKUP(D247-1,'Primas Netas Y Reservas'!$D$4:$I$33,6,FALSE)-VLOOKUP(D247,'Primas Netas Y Reservas'!$D$4:$I$33,5,FALSE))*(E247/12))/1000)</f>
        <v>0.5561988221089823</v>
      </c>
      <c r="O247">
        <f t="shared" si="72"/>
        <v>-7.8550874574048635E-2</v>
      </c>
      <c r="P247">
        <f>VLOOKUP(D247,Hipotesis!$D$9:$S$38,15,FALSE)*N247</f>
        <v>0.5561988221089823</v>
      </c>
      <c r="Q247">
        <f t="shared" si="59"/>
        <v>0.1042639098847632</v>
      </c>
      <c r="R247">
        <f t="shared" si="60"/>
        <v>0</v>
      </c>
      <c r="S247">
        <f t="shared" si="61"/>
        <v>0.1042639098847632</v>
      </c>
      <c r="T247">
        <f>G247*(VLOOKUP(D247,Hipotesis!$D$9:$N$38,9,FALSE)+VLOOKUP(D247,Hipotesis!$D$9:$N$38,10,FALSE)+VLOOKUP(D247,Hipotesis!$D$9:$N$38,11,FALSE))</f>
        <v>0</v>
      </c>
      <c r="U247">
        <v>0</v>
      </c>
      <c r="V247">
        <f>G247*VLOOKUP(D247,Hipotesis!$D$9:$S$38,16,FALSE)+((VLOOKUP(D247,Hipotesis!$D$9:$T$38,17,FALSE)/$B$4)*M246)/12</f>
        <v>8.4105873839589521E-3</v>
      </c>
      <c r="W247">
        <f>(1+VLOOKUP(D247,Hipotesis!$D$9:$P$38,13,FALSE))^(1/12)-1</f>
        <v>0</v>
      </c>
      <c r="X247">
        <f t="shared" si="73"/>
        <v>0</v>
      </c>
      <c r="Y247">
        <f t="shared" si="62"/>
        <v>0.31192813868235642</v>
      </c>
      <c r="Z247">
        <f>(1+VLOOKUP(D247,Hipotesis!$D$9:$O$38,12,))^(1/12)-1</f>
        <v>2.514795002650061E-3</v>
      </c>
      <c r="AA247">
        <f t="shared" si="74"/>
        <v>0.3131334385346074</v>
      </c>
      <c r="AB247">
        <f t="shared" si="75"/>
        <v>-1.2052998522510076E-3</v>
      </c>
      <c r="AC247" s="68">
        <f t="shared" si="63"/>
        <v>-8.4105873839589521E-3</v>
      </c>
      <c r="AD247">
        <f t="shared" si="64"/>
        <v>-0.46990321342205454</v>
      </c>
      <c r="AE247" s="67">
        <f t="shared" si="65"/>
        <v>-8.783478754960844E-2</v>
      </c>
      <c r="AF247" s="67">
        <f t="shared" si="66"/>
        <v>-2.635043626488253E-2</v>
      </c>
      <c r="AG247" s="67">
        <f t="shared" si="67"/>
        <v>-6.1484351284725909E-2</v>
      </c>
    </row>
    <row r="248" spans="4:33" x14ac:dyDescent="0.2">
      <c r="D248" s="50">
        <v>21</v>
      </c>
      <c r="E248">
        <v>6</v>
      </c>
      <c r="F248">
        <f t="shared" si="76"/>
        <v>70</v>
      </c>
      <c r="G248">
        <f t="shared" si="68"/>
        <v>0</v>
      </c>
      <c r="H248" s="64">
        <f>IF(E248="Anual",VLOOKUP(F248,Hipotesis!$E$9:$J$38,6,FALSE),1-(1-VLOOKUP(F248,Hipotesis!$E$9:$J$38,6,FALSE))^(1/12))</f>
        <v>1.6302635305590618E-3</v>
      </c>
      <c r="I248">
        <f t="shared" si="69"/>
        <v>0.36473760920060028</v>
      </c>
      <c r="J248">
        <v>0</v>
      </c>
      <c r="K248">
        <f>1-(1-VLOOKUP(D248,Hipotesis!$D$9:$K$38,8,FALSE))^(1/12)</f>
        <v>8.3717735912058888E-4</v>
      </c>
      <c r="L248">
        <f t="shared" si="70"/>
        <v>0.18699569833187538</v>
      </c>
      <c r="M248">
        <f t="shared" si="71"/>
        <v>223.17749964385533</v>
      </c>
      <c r="N248">
        <f>IF(D248=1,(VLOOKUP(D248,'Primas Netas Y Reservas'!$D$4:$I$33,5,FALSE)+(VLOOKUP(D248,'Primas Netas Y Reservas'!$D$4:$I$33,6,FALSE)-VLOOKUP(D248,'Primas Netas Y Reservas'!$D$4:$I$33,5,FALSE))*(E248/12))/1000,((VLOOKUP(D248-1,'Primas Netas Y Reservas'!$D$4:$I$33,6,FALSE)+VLOOKUP(D248,'Primas Netas Y Reservas'!$D$4:$I$33,5,FALSE))+(VLOOKUP(D248,'Primas Netas Y Reservas'!$D$4:$I$33,6,FALSE)-VLOOKUP(D248-1,'Primas Netas Y Reservas'!$D$4:$I$33,6,FALSE)-VLOOKUP(D248,'Primas Netas Y Reservas'!$D$4:$I$33,5,FALSE))*(E248/12))/1000)</f>
        <v>0.55722021860067594</v>
      </c>
      <c r="O248">
        <f t="shared" si="72"/>
        <v>-7.8920700606673222E-2</v>
      </c>
      <c r="P248">
        <f>VLOOKUP(D248,Hipotesis!$D$9:$S$38,15,FALSE)*N248</f>
        <v>0.55722021860067594</v>
      </c>
      <c r="Q248">
        <f t="shared" si="59"/>
        <v>0.10419778390187365</v>
      </c>
      <c r="R248">
        <f t="shared" si="60"/>
        <v>0</v>
      </c>
      <c r="S248">
        <f t="shared" si="61"/>
        <v>0.10419778390187365</v>
      </c>
      <c r="T248">
        <f>G248*(VLOOKUP(D248,Hipotesis!$D$9:$N$38,9,FALSE)+VLOOKUP(D248,Hipotesis!$D$9:$N$38,10,FALSE)+VLOOKUP(D248,Hipotesis!$D$9:$N$38,11,FALSE))</f>
        <v>0</v>
      </c>
      <c r="U248">
        <v>0</v>
      </c>
      <c r="V248">
        <f>G248*VLOOKUP(D248,Hipotesis!$D$9:$S$38,16,FALSE)+((VLOOKUP(D248,Hipotesis!$D$9:$T$38,17,FALSE)/$B$4)*M247)/12</f>
        <v>8.3898462356770433E-3</v>
      </c>
      <c r="W248">
        <f>(1+VLOOKUP(D248,Hipotesis!$D$9:$P$38,13,FALSE))^(1/12)-1</f>
        <v>0</v>
      </c>
      <c r="X248">
        <f t="shared" si="73"/>
        <v>0</v>
      </c>
      <c r="Y248">
        <f t="shared" si="62"/>
        <v>0.31173309019154533</v>
      </c>
      <c r="Z248">
        <f>(1+VLOOKUP(D248,Hipotesis!$D$9:$O$38,12,))^(1/12)-1</f>
        <v>2.514795002650061E-3</v>
      </c>
      <c r="AA248">
        <f t="shared" si="74"/>
        <v>0.31293589918777481</v>
      </c>
      <c r="AB248">
        <f t="shared" si="75"/>
        <v>-1.202808996229471E-3</v>
      </c>
      <c r="AC248" s="68">
        <f t="shared" si="63"/>
        <v>-8.3898462356770433E-3</v>
      </c>
      <c r="AD248">
        <f t="shared" si="64"/>
        <v>-0.4689353931024739</v>
      </c>
      <c r="AE248" s="67">
        <f t="shared" si="65"/>
        <v>-8.6671448539932416E-2</v>
      </c>
      <c r="AF248" s="67">
        <f t="shared" si="66"/>
        <v>-2.6001434561979724E-2</v>
      </c>
      <c r="AG248" s="67">
        <f t="shared" si="67"/>
        <v>-6.0670013977952693E-2</v>
      </c>
    </row>
    <row r="249" spans="4:33" x14ac:dyDescent="0.2">
      <c r="D249" s="50">
        <v>21</v>
      </c>
      <c r="E249">
        <v>7</v>
      </c>
      <c r="F249">
        <f t="shared" si="76"/>
        <v>70</v>
      </c>
      <c r="G249">
        <f t="shared" si="68"/>
        <v>0</v>
      </c>
      <c r="H249" s="64">
        <f>IF(E249="Anual",VLOOKUP(F249,Hipotesis!$E$9:$J$38,6,FALSE),1-(1-VLOOKUP(F249,Hipotesis!$E$9:$J$38,6,FALSE))^(1/12))</f>
        <v>1.6302635305590618E-3</v>
      </c>
      <c r="I249">
        <f t="shared" si="69"/>
        <v>0.36383813851073538</v>
      </c>
      <c r="J249">
        <v>0</v>
      </c>
      <c r="K249">
        <f>1-(1-VLOOKUP(D249,Hipotesis!$D$9:$K$38,8,FALSE))^(1/12)</f>
        <v>8.3717735912058888E-4</v>
      </c>
      <c r="L249">
        <f t="shared" si="70"/>
        <v>0.18653455271503319</v>
      </c>
      <c r="M249">
        <f t="shared" si="71"/>
        <v>222.62712695262954</v>
      </c>
      <c r="N249">
        <f>IF(D249=1,(VLOOKUP(D249,'Primas Netas Y Reservas'!$D$4:$I$33,5,FALSE)+(VLOOKUP(D249,'Primas Netas Y Reservas'!$D$4:$I$33,6,FALSE)-VLOOKUP(D249,'Primas Netas Y Reservas'!$D$4:$I$33,5,FALSE))*(E249/12))/1000,((VLOOKUP(D249-1,'Primas Netas Y Reservas'!$D$4:$I$33,6,FALSE)+VLOOKUP(D249,'Primas Netas Y Reservas'!$D$4:$I$33,5,FALSE))+(VLOOKUP(D249,'Primas Netas Y Reservas'!$D$4:$I$33,6,FALSE)-VLOOKUP(D249-1,'Primas Netas Y Reservas'!$D$4:$I$33,6,FALSE)-VLOOKUP(D249,'Primas Netas Y Reservas'!$D$4:$I$33,5,FALSE))*(E249/12))/1000)</f>
        <v>0.55824161509236958</v>
      </c>
      <c r="O249">
        <f t="shared" si="72"/>
        <v>-7.9288224891428172E-2</v>
      </c>
      <c r="P249">
        <f>VLOOKUP(D249,Hipotesis!$D$9:$S$38,15,FALSE)*N249</f>
        <v>0.55824161509236958</v>
      </c>
      <c r="Q249">
        <f t="shared" si="59"/>
        <v>0.10413134997817289</v>
      </c>
      <c r="R249">
        <f t="shared" si="60"/>
        <v>0</v>
      </c>
      <c r="S249">
        <f t="shared" si="61"/>
        <v>0.10413134997817289</v>
      </c>
      <c r="T249">
        <f>G249*(VLOOKUP(D249,Hipotesis!$D$9:$N$38,9,FALSE)+VLOOKUP(D249,Hipotesis!$D$9:$N$38,10,FALSE)+VLOOKUP(D249,Hipotesis!$D$9:$N$38,11,FALSE))</f>
        <v>0</v>
      </c>
      <c r="U249">
        <v>0</v>
      </c>
      <c r="V249">
        <f>G249*VLOOKUP(D249,Hipotesis!$D$9:$S$38,16,FALSE)+((VLOOKUP(D249,Hipotesis!$D$9:$T$38,17,FALSE)/$B$4)*M248)/12</f>
        <v>8.3691562366445746E-3</v>
      </c>
      <c r="W249">
        <f>(1+VLOOKUP(D249,Hipotesis!$D$9:$P$38,13,FALSE))^(1/12)-1</f>
        <v>0</v>
      </c>
      <c r="X249">
        <f t="shared" si="73"/>
        <v>0</v>
      </c>
      <c r="Y249">
        <f t="shared" si="62"/>
        <v>0.31153710670886331</v>
      </c>
      <c r="Z249">
        <f>(1+VLOOKUP(D249,Hipotesis!$D$9:$O$38,12,))^(1/12)-1</f>
        <v>2.514795002650061E-3</v>
      </c>
      <c r="AA249">
        <f t="shared" si="74"/>
        <v>0.31273742980428348</v>
      </c>
      <c r="AB249">
        <f t="shared" si="75"/>
        <v>-1.2003230954201545E-3</v>
      </c>
      <c r="AC249" s="68">
        <f t="shared" si="63"/>
        <v>-8.3691562366445746E-3</v>
      </c>
      <c r="AD249">
        <f t="shared" si="64"/>
        <v>-0.46796948848890829</v>
      </c>
      <c r="AE249" s="67">
        <f t="shared" si="65"/>
        <v>-8.5513313125261364E-2</v>
      </c>
      <c r="AF249" s="67">
        <f t="shared" si="66"/>
        <v>-2.5653993937578407E-2</v>
      </c>
      <c r="AG249" s="67">
        <f t="shared" si="67"/>
        <v>-5.9859319187682961E-2</v>
      </c>
    </row>
    <row r="250" spans="4:33" x14ac:dyDescent="0.2">
      <c r="D250" s="50">
        <v>21</v>
      </c>
      <c r="E250">
        <v>8</v>
      </c>
      <c r="F250">
        <f t="shared" si="76"/>
        <v>70</v>
      </c>
      <c r="G250">
        <f t="shared" si="68"/>
        <v>0</v>
      </c>
      <c r="H250" s="64">
        <f>IF(E250="Anual",VLOOKUP(F250,Hipotesis!$E$9:$J$38,6,FALSE),1-(1-VLOOKUP(F250,Hipotesis!$E$9:$J$38,6,FALSE))^(1/12))</f>
        <v>1.6302635305590618E-3</v>
      </c>
      <c r="I250">
        <f t="shared" si="69"/>
        <v>0.36294088598401431</v>
      </c>
      <c r="J250">
        <v>0</v>
      </c>
      <c r="K250">
        <f>1-(1-VLOOKUP(D250,Hipotesis!$D$9:$K$38,8,FALSE))^(1/12)</f>
        <v>8.3717735912058888E-4</v>
      </c>
      <c r="L250">
        <f t="shared" si="70"/>
        <v>0.18607454431836148</v>
      </c>
      <c r="M250">
        <f t="shared" si="71"/>
        <v>222.07811152232716</v>
      </c>
      <c r="N250">
        <f>IF(D250=1,(VLOOKUP(D250,'Primas Netas Y Reservas'!$D$4:$I$33,5,FALSE)+(VLOOKUP(D250,'Primas Netas Y Reservas'!$D$4:$I$33,6,FALSE)-VLOOKUP(D250,'Primas Netas Y Reservas'!$D$4:$I$33,5,FALSE))*(E250/12))/1000,((VLOOKUP(D250-1,'Primas Netas Y Reservas'!$D$4:$I$33,6,FALSE)+VLOOKUP(D250,'Primas Netas Y Reservas'!$D$4:$I$33,5,FALSE))+(VLOOKUP(D250,'Primas Netas Y Reservas'!$D$4:$I$33,6,FALSE)-VLOOKUP(D250-1,'Primas Netas Y Reservas'!$D$4:$I$33,6,FALSE)-VLOOKUP(D250,'Primas Netas Y Reservas'!$D$4:$I$33,5,FALSE))*(E250/12))/1000)</f>
        <v>0.55926301158406322</v>
      </c>
      <c r="O250">
        <f t="shared" si="72"/>
        <v>-7.9653456531772804E-2</v>
      </c>
      <c r="P250">
        <f>VLOOKUP(D250,Hipotesis!$D$9:$S$38,15,FALSE)*N250</f>
        <v>0.55926301158406322</v>
      </c>
      <c r="Q250">
        <f t="shared" si="59"/>
        <v>0.10406461003461909</v>
      </c>
      <c r="R250">
        <f t="shared" si="60"/>
        <v>0</v>
      </c>
      <c r="S250">
        <f t="shared" si="61"/>
        <v>0.10406461003461909</v>
      </c>
      <c r="T250">
        <f>G250*(VLOOKUP(D250,Hipotesis!$D$9:$N$38,9,FALSE)+VLOOKUP(D250,Hipotesis!$D$9:$N$38,10,FALSE)+VLOOKUP(D250,Hipotesis!$D$9:$N$38,11,FALSE))</f>
        <v>0</v>
      </c>
      <c r="U250">
        <v>0</v>
      </c>
      <c r="V250">
        <f>G250*VLOOKUP(D250,Hipotesis!$D$9:$S$38,16,FALSE)+((VLOOKUP(D250,Hipotesis!$D$9:$T$38,17,FALSE)/$B$4)*M249)/12</f>
        <v>8.3485172607236074E-3</v>
      </c>
      <c r="W250">
        <f>(1+VLOOKUP(D250,Hipotesis!$D$9:$P$38,13,FALSE))^(1/12)-1</f>
        <v>0</v>
      </c>
      <c r="X250">
        <f t="shared" si="73"/>
        <v>0</v>
      </c>
      <c r="Y250">
        <f t="shared" si="62"/>
        <v>0.31134019403202612</v>
      </c>
      <c r="Z250">
        <f>(1+VLOOKUP(D250,Hipotesis!$D$9:$O$38,12,))^(1/12)-1</f>
        <v>2.514795002650061E-3</v>
      </c>
      <c r="AA250">
        <f t="shared" si="74"/>
        <v>0.31253803617255754</v>
      </c>
      <c r="AB250">
        <f t="shared" si="75"/>
        <v>-1.1978421405314174E-3</v>
      </c>
      <c r="AC250" s="68">
        <f t="shared" si="63"/>
        <v>-8.3485172607236074E-3</v>
      </c>
      <c r="AD250">
        <f t="shared" si="64"/>
        <v>-0.46700549601863339</v>
      </c>
      <c r="AE250" s="67">
        <f t="shared" si="65"/>
        <v>-8.4360362715558079E-2</v>
      </c>
      <c r="AF250" s="67">
        <f t="shared" si="66"/>
        <v>-2.5308108814667423E-2</v>
      </c>
      <c r="AG250" s="67">
        <f t="shared" si="67"/>
        <v>-5.9052253900890653E-2</v>
      </c>
    </row>
    <row r="251" spans="4:33" x14ac:dyDescent="0.2">
      <c r="D251" s="50">
        <v>21</v>
      </c>
      <c r="E251">
        <v>9</v>
      </c>
      <c r="F251">
        <f t="shared" si="76"/>
        <v>70</v>
      </c>
      <c r="G251">
        <f t="shared" si="68"/>
        <v>0</v>
      </c>
      <c r="H251" s="64">
        <f>IF(E251="Anual",VLOOKUP(F251,Hipotesis!$E$9:$J$38,6,FALSE),1-(1-VLOOKUP(F251,Hipotesis!$E$9:$J$38,6,FALSE))^(1/12))</f>
        <v>1.6302635305590618E-3</v>
      </c>
      <c r="I251">
        <f t="shared" si="69"/>
        <v>0.36204584615027818</v>
      </c>
      <c r="J251">
        <v>0</v>
      </c>
      <c r="K251">
        <f>1-(1-VLOOKUP(D251,Hipotesis!$D$9:$K$38,8,FALSE))^(1/12)</f>
        <v>8.3717735912058888E-4</v>
      </c>
      <c r="L251">
        <f t="shared" si="70"/>
        <v>0.18561567033738882</v>
      </c>
      <c r="M251">
        <f t="shared" si="71"/>
        <v>221.5304500058395</v>
      </c>
      <c r="N251">
        <f>IF(D251=1,(VLOOKUP(D251,'Primas Netas Y Reservas'!$D$4:$I$33,5,FALSE)+(VLOOKUP(D251,'Primas Netas Y Reservas'!$D$4:$I$33,6,FALSE)-VLOOKUP(D251,'Primas Netas Y Reservas'!$D$4:$I$33,5,FALSE))*(E251/12))/1000,((VLOOKUP(D251-1,'Primas Netas Y Reservas'!$D$4:$I$33,6,FALSE)+VLOOKUP(D251,'Primas Netas Y Reservas'!$D$4:$I$33,5,FALSE))+(VLOOKUP(D251,'Primas Netas Y Reservas'!$D$4:$I$33,6,FALSE)-VLOOKUP(D251-1,'Primas Netas Y Reservas'!$D$4:$I$33,6,FALSE)-VLOOKUP(D251,'Primas Netas Y Reservas'!$D$4:$I$33,5,FALSE))*(E251/12))/1000)</f>
        <v>0.56028440807575675</v>
      </c>
      <c r="O251">
        <f t="shared" si="72"/>
        <v>-8.0016404600343094E-2</v>
      </c>
      <c r="P251">
        <f>VLOOKUP(D251,Hipotesis!$D$9:$S$38,15,FALSE)*N251</f>
        <v>0.56028440807575675</v>
      </c>
      <c r="Q251">
        <f t="shared" si="59"/>
        <v>0.10399756598456869</v>
      </c>
      <c r="R251">
        <f t="shared" si="60"/>
        <v>0</v>
      </c>
      <c r="S251">
        <f t="shared" si="61"/>
        <v>0.10399756598456869</v>
      </c>
      <c r="T251">
        <f>G251*(VLOOKUP(D251,Hipotesis!$D$9:$N$38,9,FALSE)+VLOOKUP(D251,Hipotesis!$D$9:$N$38,10,FALSE)+VLOOKUP(D251,Hipotesis!$D$9:$N$38,11,FALSE))</f>
        <v>0</v>
      </c>
      <c r="U251">
        <v>0</v>
      </c>
      <c r="V251">
        <f>G251*VLOOKUP(D251,Hipotesis!$D$9:$S$38,16,FALSE)+((VLOOKUP(D251,Hipotesis!$D$9:$T$38,17,FALSE)/$B$4)*M250)/12</f>
        <v>8.3279291820872684E-3</v>
      </c>
      <c r="W251">
        <f>(1+VLOOKUP(D251,Hipotesis!$D$9:$P$38,13,FALSE))^(1/12)-1</f>
        <v>0</v>
      </c>
      <c r="X251">
        <f t="shared" si="73"/>
        <v>0</v>
      </c>
      <c r="Y251">
        <f t="shared" si="62"/>
        <v>0.31114235793584033</v>
      </c>
      <c r="Z251">
        <f>(1+VLOOKUP(D251,Hipotesis!$D$9:$O$38,12,))^(1/12)-1</f>
        <v>2.514795002650061E-3</v>
      </c>
      <c r="AA251">
        <f t="shared" si="74"/>
        <v>0.31233772405812765</v>
      </c>
      <c r="AB251">
        <f t="shared" si="75"/>
        <v>-1.1953661222873088E-3</v>
      </c>
      <c r="AC251" s="68">
        <f t="shared" si="63"/>
        <v>-8.3279291820872684E-3</v>
      </c>
      <c r="AD251">
        <f t="shared" si="64"/>
        <v>-0.4660434121348469</v>
      </c>
      <c r="AE251" s="67">
        <f t="shared" si="65"/>
        <v>-8.3212578780750723E-2</v>
      </c>
      <c r="AF251" s="67">
        <f t="shared" si="66"/>
        <v>-2.4963773634225216E-2</v>
      </c>
      <c r="AG251" s="67">
        <f t="shared" si="67"/>
        <v>-5.8248805146525508E-2</v>
      </c>
    </row>
    <row r="252" spans="4:33" x14ac:dyDescent="0.2">
      <c r="D252" s="50">
        <v>21</v>
      </c>
      <c r="E252">
        <v>10</v>
      </c>
      <c r="F252">
        <f t="shared" si="76"/>
        <v>70</v>
      </c>
      <c r="G252">
        <f t="shared" si="68"/>
        <v>0</v>
      </c>
      <c r="H252" s="64">
        <f>IF(E252="Anual",VLOOKUP(F252,Hipotesis!$E$9:$J$38,6,FALSE),1-(1-VLOOKUP(F252,Hipotesis!$E$9:$J$38,6,FALSE))^(1/12))</f>
        <v>1.6302635305590618E-3</v>
      </c>
      <c r="I252">
        <f t="shared" si="69"/>
        <v>0.36115301355285762</v>
      </c>
      <c r="J252">
        <v>0</v>
      </c>
      <c r="K252">
        <f>1-(1-VLOOKUP(D252,Hipotesis!$D$9:$K$38,8,FALSE))^(1/12)</f>
        <v>8.3717735912058888E-4</v>
      </c>
      <c r="L252">
        <f t="shared" si="70"/>
        <v>0.18515792797455974</v>
      </c>
      <c r="M252">
        <f t="shared" si="71"/>
        <v>220.98413906431207</v>
      </c>
      <c r="N252">
        <f>IF(D252=1,(VLOOKUP(D252,'Primas Netas Y Reservas'!$D$4:$I$33,5,FALSE)+(VLOOKUP(D252,'Primas Netas Y Reservas'!$D$4:$I$33,6,FALSE)-VLOOKUP(D252,'Primas Netas Y Reservas'!$D$4:$I$33,5,FALSE))*(E252/12))/1000,((VLOOKUP(D252-1,'Primas Netas Y Reservas'!$D$4:$I$33,6,FALSE)+VLOOKUP(D252,'Primas Netas Y Reservas'!$D$4:$I$33,5,FALSE))+(VLOOKUP(D252,'Primas Netas Y Reservas'!$D$4:$I$33,6,FALSE)-VLOOKUP(D252-1,'Primas Netas Y Reservas'!$D$4:$I$33,6,FALSE)-VLOOKUP(D252,'Primas Netas Y Reservas'!$D$4:$I$33,5,FALSE))*(E252/12))/1000)</f>
        <v>0.56130580456745038</v>
      </c>
      <c r="O252">
        <f t="shared" si="72"/>
        <v>-8.0377078138766933E-2</v>
      </c>
      <c r="P252">
        <f>VLOOKUP(D252,Hipotesis!$D$9:$S$38,15,FALSE)*N252</f>
        <v>0.56130580456745038</v>
      </c>
      <c r="Q252">
        <f t="shared" si="59"/>
        <v>0.10393021973380229</v>
      </c>
      <c r="R252">
        <f t="shared" si="60"/>
        <v>0</v>
      </c>
      <c r="S252">
        <f t="shared" si="61"/>
        <v>0.10393021973380229</v>
      </c>
      <c r="T252">
        <f>G252*(VLOOKUP(D252,Hipotesis!$D$9:$N$38,9,FALSE)+VLOOKUP(D252,Hipotesis!$D$9:$N$38,10,FALSE)+VLOOKUP(D252,Hipotesis!$D$9:$N$38,11,FALSE))</f>
        <v>0</v>
      </c>
      <c r="U252">
        <v>0</v>
      </c>
      <c r="V252">
        <f>G252*VLOOKUP(D252,Hipotesis!$D$9:$S$38,16,FALSE)+((VLOOKUP(D252,Hipotesis!$D$9:$T$38,17,FALSE)/$B$4)*M251)/12</f>
        <v>8.3073918752189814E-3</v>
      </c>
      <c r="W252">
        <f>(1+VLOOKUP(D252,Hipotesis!$D$9:$P$38,13,FALSE))^(1/12)-1</f>
        <v>0</v>
      </c>
      <c r="X252">
        <f t="shared" si="73"/>
        <v>0</v>
      </c>
      <c r="Y252">
        <f t="shared" si="62"/>
        <v>0.31094360417228112</v>
      </c>
      <c r="Z252">
        <f>(1+VLOOKUP(D252,Hipotesis!$D$9:$O$38,12,))^(1/12)-1</f>
        <v>2.514795002650061E-3</v>
      </c>
      <c r="AA252">
        <f t="shared" si="74"/>
        <v>0.31213649920370867</v>
      </c>
      <c r="AB252">
        <f t="shared" si="75"/>
        <v>-1.1928950314275522E-3</v>
      </c>
      <c r="AC252" s="68">
        <f t="shared" si="63"/>
        <v>-8.3073918752189814E-3</v>
      </c>
      <c r="AD252">
        <f t="shared" si="64"/>
        <v>-0.4650832332866599</v>
      </c>
      <c r="AE252" s="67">
        <f t="shared" si="65"/>
        <v>-8.2069942850830829E-2</v>
      </c>
      <c r="AF252" s="67">
        <f t="shared" si="66"/>
        <v>-2.4620982855249249E-2</v>
      </c>
      <c r="AG252" s="67">
        <f t="shared" si="67"/>
        <v>-5.7448959995581583E-2</v>
      </c>
    </row>
    <row r="253" spans="4:33" x14ac:dyDescent="0.2">
      <c r="D253" s="50">
        <v>21</v>
      </c>
      <c r="E253">
        <v>11</v>
      </c>
      <c r="F253">
        <f t="shared" si="76"/>
        <v>70</v>
      </c>
      <c r="G253">
        <f t="shared" si="68"/>
        <v>0</v>
      </c>
      <c r="H253" s="64">
        <f>IF(E253="Anual",VLOOKUP(F253,Hipotesis!$E$9:$J$38,6,FALSE),1-(1-VLOOKUP(F253,Hipotesis!$E$9:$J$38,6,FALSE))^(1/12))</f>
        <v>1.6302635305590618E-3</v>
      </c>
      <c r="I253">
        <f t="shared" si="69"/>
        <v>0.36026238274854011</v>
      </c>
      <c r="J253">
        <v>0</v>
      </c>
      <c r="K253">
        <f>1-(1-VLOOKUP(D253,Hipotesis!$D$9:$K$38,8,FALSE))^(1/12)</f>
        <v>8.3717735912058888E-4</v>
      </c>
      <c r="L253">
        <f t="shared" si="70"/>
        <v>0.18470131443921783</v>
      </c>
      <c r="M253">
        <f t="shared" si="71"/>
        <v>220.43917536712431</v>
      </c>
      <c r="N253">
        <f>IF(D253=1,(VLOOKUP(D253,'Primas Netas Y Reservas'!$D$4:$I$33,5,FALSE)+(VLOOKUP(D253,'Primas Netas Y Reservas'!$D$4:$I$33,6,FALSE)-VLOOKUP(D253,'Primas Netas Y Reservas'!$D$4:$I$33,5,FALSE))*(E253/12))/1000,((VLOOKUP(D253-1,'Primas Netas Y Reservas'!$D$4:$I$33,6,FALSE)+VLOOKUP(D253,'Primas Netas Y Reservas'!$D$4:$I$33,5,FALSE))+(VLOOKUP(D253,'Primas Netas Y Reservas'!$D$4:$I$33,6,FALSE)-VLOOKUP(D253-1,'Primas Netas Y Reservas'!$D$4:$I$33,6,FALSE)-VLOOKUP(D253,'Primas Netas Y Reservas'!$D$4:$I$33,5,FALSE))*(E253/12))/1000)</f>
        <v>0.56232720105914402</v>
      </c>
      <c r="O253">
        <f t="shared" si="72"/>
        <v>-8.073548615821835E-2</v>
      </c>
      <c r="P253">
        <f>VLOOKUP(D253,Hipotesis!$D$9:$S$38,15,FALSE)*N253</f>
        <v>0.56232720105914402</v>
      </c>
      <c r="Q253">
        <f t="shared" si="59"/>
        <v>0.10386257318055023</v>
      </c>
      <c r="R253">
        <f t="shared" si="60"/>
        <v>0</v>
      </c>
      <c r="S253">
        <f t="shared" si="61"/>
        <v>0.10386257318055023</v>
      </c>
      <c r="T253">
        <f>G253*(VLOOKUP(D253,Hipotesis!$D$9:$N$38,9,FALSE)+VLOOKUP(D253,Hipotesis!$D$9:$N$38,10,FALSE)+VLOOKUP(D253,Hipotesis!$D$9:$N$38,11,FALSE))</f>
        <v>0</v>
      </c>
      <c r="U253">
        <v>0</v>
      </c>
      <c r="V253">
        <f>G253*VLOOKUP(D253,Hipotesis!$D$9:$S$38,16,FALSE)+((VLOOKUP(D253,Hipotesis!$D$9:$T$38,17,FALSE)/$B$4)*M252)/12</f>
        <v>8.2869052149117019E-3</v>
      </c>
      <c r="W253">
        <f>(1+VLOOKUP(D253,Hipotesis!$D$9:$P$38,13,FALSE))^(1/12)-1</f>
        <v>0</v>
      </c>
      <c r="X253">
        <f t="shared" si="73"/>
        <v>0</v>
      </c>
      <c r="Y253">
        <f t="shared" si="62"/>
        <v>0.31074393847057019</v>
      </c>
      <c r="Z253">
        <f>(1+VLOOKUP(D253,Hipotesis!$D$9:$O$38,12,))^(1/12)-1</f>
        <v>2.514795002650061E-3</v>
      </c>
      <c r="AA253">
        <f t="shared" si="74"/>
        <v>0.31193436732927771</v>
      </c>
      <c r="AB253">
        <f t="shared" si="75"/>
        <v>-1.1904288587075195E-3</v>
      </c>
      <c r="AC253" s="68">
        <f t="shared" si="63"/>
        <v>-8.2869052149117019E-3</v>
      </c>
      <c r="AD253">
        <f t="shared" si="64"/>
        <v>-0.46412495592909031</v>
      </c>
      <c r="AE253" s="67">
        <f t="shared" si="65"/>
        <v>-8.0932436515213493E-2</v>
      </c>
      <c r="AF253" s="67">
        <f t="shared" si="66"/>
        <v>-2.4279730954564049E-2</v>
      </c>
      <c r="AG253" s="67">
        <f t="shared" si="67"/>
        <v>-5.6652705560649441E-2</v>
      </c>
    </row>
    <row r="254" spans="4:33" x14ac:dyDescent="0.2">
      <c r="D254" s="50">
        <v>21</v>
      </c>
      <c r="E254">
        <v>12</v>
      </c>
      <c r="F254">
        <f t="shared" si="76"/>
        <v>70</v>
      </c>
      <c r="G254">
        <f t="shared" si="68"/>
        <v>0</v>
      </c>
      <c r="H254" s="64">
        <f>IF(E254="Anual",VLOOKUP(F254,Hipotesis!$E$9:$J$38,6,FALSE),1-(1-VLOOKUP(F254,Hipotesis!$E$9:$J$38,6,FALSE))^(1/12))</f>
        <v>1.6302635305590618E-3</v>
      </c>
      <c r="I254">
        <f t="shared" si="69"/>
        <v>0.35937394830753627</v>
      </c>
      <c r="J254">
        <v>0</v>
      </c>
      <c r="K254">
        <f>1-(1-VLOOKUP(D254,Hipotesis!$D$9:$K$38,8,FALSE))^(1/12)</f>
        <v>8.3717735912058888E-4</v>
      </c>
      <c r="L254">
        <f t="shared" si="70"/>
        <v>0.18424582694758865</v>
      </c>
      <c r="M254">
        <f t="shared" si="71"/>
        <v>219.89555559186917</v>
      </c>
      <c r="N254">
        <f>IF(D254=1,(VLOOKUP(D254,'Primas Netas Y Reservas'!$D$4:$I$33,5,FALSE)+(VLOOKUP(D254,'Primas Netas Y Reservas'!$D$4:$I$33,6,FALSE)-VLOOKUP(D254,'Primas Netas Y Reservas'!$D$4:$I$33,5,FALSE))*(E254/12))/1000,((VLOOKUP(D254-1,'Primas Netas Y Reservas'!$D$4:$I$33,6,FALSE)+VLOOKUP(D254,'Primas Netas Y Reservas'!$D$4:$I$33,5,FALSE))+(VLOOKUP(D254,'Primas Netas Y Reservas'!$D$4:$I$33,6,FALSE)-VLOOKUP(D254-1,'Primas Netas Y Reservas'!$D$4:$I$33,6,FALSE)-VLOOKUP(D254,'Primas Netas Y Reservas'!$D$4:$I$33,5,FALSE))*(E254/12))/1000)</f>
        <v>0.56334859755083766</v>
      </c>
      <c r="O254">
        <f t="shared" si="72"/>
        <v>-8.1091637639062242E-2</v>
      </c>
      <c r="P254">
        <f>VLOOKUP(D254,Hipotesis!$D$9:$S$38,15,FALSE)*N254</f>
        <v>0.56334859755083766</v>
      </c>
      <c r="Q254">
        <f t="shared" si="59"/>
        <v>0.10379462821551839</v>
      </c>
      <c r="R254">
        <f t="shared" si="60"/>
        <v>0</v>
      </c>
      <c r="S254">
        <f t="shared" si="61"/>
        <v>0.10379462821551839</v>
      </c>
      <c r="T254">
        <f>G254*(VLOOKUP(D254,Hipotesis!$D$9:$N$38,9,FALSE)+VLOOKUP(D254,Hipotesis!$D$9:$N$38,10,FALSE)+VLOOKUP(D254,Hipotesis!$D$9:$N$38,11,FALSE))</f>
        <v>0</v>
      </c>
      <c r="U254">
        <v>0</v>
      </c>
      <c r="V254">
        <f>G254*VLOOKUP(D254,Hipotesis!$D$9:$S$38,16,FALSE)+((VLOOKUP(D254,Hipotesis!$D$9:$T$38,17,FALSE)/$B$4)*M253)/12</f>
        <v>8.2664690762671612E-3</v>
      </c>
      <c r="W254">
        <f>(1+VLOOKUP(D254,Hipotesis!$D$9:$P$38,13,FALSE))^(1/12)-1</f>
        <v>0</v>
      </c>
      <c r="X254">
        <f t="shared" si="73"/>
        <v>0</v>
      </c>
      <c r="Y254">
        <f t="shared" si="62"/>
        <v>0.31054336653725229</v>
      </c>
      <c r="Z254">
        <f>(1+VLOOKUP(D254,Hipotesis!$D$9:$O$38,12,))^(1/12)-1</f>
        <v>2.514795002650061E-3</v>
      </c>
      <c r="AA254">
        <f t="shared" si="74"/>
        <v>0.31173133413215048</v>
      </c>
      <c r="AB254">
        <f t="shared" si="75"/>
        <v>-1.1879675948982141E-3</v>
      </c>
      <c r="AC254" s="68">
        <f t="shared" si="63"/>
        <v>-8.2664690762671612E-3</v>
      </c>
      <c r="AD254">
        <f t="shared" si="64"/>
        <v>-0.46316857652305465</v>
      </c>
      <c r="AE254" s="67">
        <f t="shared" si="65"/>
        <v>-7.9800041423007284E-2</v>
      </c>
      <c r="AF254" s="67">
        <f t="shared" si="66"/>
        <v>-2.3940012426902184E-2</v>
      </c>
      <c r="AG254" s="67">
        <f t="shared" si="67"/>
        <v>-5.58600289961051E-2</v>
      </c>
    </row>
    <row r="255" spans="4:33" x14ac:dyDescent="0.2">
      <c r="D255" s="50">
        <v>22</v>
      </c>
      <c r="E255">
        <v>1</v>
      </c>
      <c r="F255">
        <f t="shared" si="76"/>
        <v>71</v>
      </c>
      <c r="G255">
        <f t="shared" si="68"/>
        <v>0</v>
      </c>
      <c r="H255" s="64">
        <f>IF(E255="Anual",VLOOKUP(F255,Hipotesis!$E$9:$J$38,6,FALSE),1-(1-VLOOKUP(F255,Hipotesis!$E$9:$J$38,6,FALSE))^(1/12))</f>
        <v>1.7534747526143368E-3</v>
      </c>
      <c r="I255">
        <f t="shared" si="69"/>
        <v>0.38558130494244491</v>
      </c>
      <c r="J255">
        <v>0</v>
      </c>
      <c r="K255">
        <f>1-(1-VLOOKUP(D255,Hipotesis!$D$9:$K$38,8,FALSE))^(1/12)</f>
        <v>8.3717735912058888E-4</v>
      </c>
      <c r="L255">
        <f t="shared" si="70"/>
        <v>0.18376878057415769</v>
      </c>
      <c r="M255">
        <f t="shared" si="71"/>
        <v>219.32620550635258</v>
      </c>
      <c r="N255">
        <f>IF(D255=1,(VLOOKUP(D255,'Primas Netas Y Reservas'!$D$4:$I$33,5,FALSE)+(VLOOKUP(D255,'Primas Netas Y Reservas'!$D$4:$I$33,6,FALSE)-VLOOKUP(D255,'Primas Netas Y Reservas'!$D$4:$I$33,5,FALSE))*(E255/12))/1000,((VLOOKUP(D255-1,'Primas Netas Y Reservas'!$D$4:$I$33,6,FALSE)+VLOOKUP(D255,'Primas Netas Y Reservas'!$D$4:$I$33,5,FALSE))+(VLOOKUP(D255,'Primas Netas Y Reservas'!$D$4:$I$33,6,FALSE)-VLOOKUP(D255-1,'Primas Netas Y Reservas'!$D$4:$I$33,6,FALSE)-VLOOKUP(D255,'Primas Netas Y Reservas'!$D$4:$I$33,5,FALSE))*(E255/12))/1000)</f>
        <v>0.56436923465844568</v>
      </c>
      <c r="O255">
        <f t="shared" si="72"/>
        <v>-9.6890108180573975E-2</v>
      </c>
      <c r="P255">
        <f>VLOOKUP(D255,Hipotesis!$D$9:$S$38,15,FALSE)*N255</f>
        <v>0.56436923465844568</v>
      </c>
      <c r="Q255">
        <f t="shared" si="59"/>
        <v>0.10371344604675321</v>
      </c>
      <c r="R255">
        <f t="shared" si="60"/>
        <v>0</v>
      </c>
      <c r="S255">
        <f t="shared" si="61"/>
        <v>0.10371344604675321</v>
      </c>
      <c r="T255">
        <f>G255*(VLOOKUP(D255,Hipotesis!$D$9:$N$38,9,FALSE)+VLOOKUP(D255,Hipotesis!$D$9:$N$38,10,FALSE)+VLOOKUP(D255,Hipotesis!$D$9:$N$38,11,FALSE))</f>
        <v>0</v>
      </c>
      <c r="U255">
        <v>0</v>
      </c>
      <c r="V255">
        <f>G255*VLOOKUP(D255,Hipotesis!$D$9:$S$38,16,FALSE)+((VLOOKUP(D255,Hipotesis!$D$9:$T$38,17,FALSE)/$B$4)*M254)/12</f>
        <v>8.2460833346950941E-3</v>
      </c>
      <c r="W255">
        <f>(1+VLOOKUP(D255,Hipotesis!$D$9:$P$38,13,FALSE))^(1/12)-1</f>
        <v>0</v>
      </c>
      <c r="X255">
        <f t="shared" si="73"/>
        <v>0</v>
      </c>
      <c r="Y255">
        <f t="shared" si="62"/>
        <v>0.40457510981136907</v>
      </c>
      <c r="Z255">
        <f>(1+VLOOKUP(D255,Hipotesis!$D$9:$O$38,12,))^(1/12)-1</f>
        <v>3.2783954852249053E-3</v>
      </c>
      <c r="AA255">
        <f t="shared" si="74"/>
        <v>0.40612059350391555</v>
      </c>
      <c r="AB255">
        <f t="shared" si="75"/>
        <v>-1.5454836925464812E-3</v>
      </c>
      <c r="AC255" s="68">
        <f t="shared" si="63"/>
        <v>-8.2460833346950941E-3</v>
      </c>
      <c r="AD255">
        <f t="shared" si="64"/>
        <v>-0.48929475098919811</v>
      </c>
      <c r="AE255" s="67">
        <f t="shared" si="65"/>
        <v>3.9243836680498256E-3</v>
      </c>
      <c r="AF255" s="67">
        <f t="shared" si="66"/>
        <v>1.1773151004149476E-3</v>
      </c>
      <c r="AG255" s="67">
        <f t="shared" si="67"/>
        <v>2.747068567634878E-3</v>
      </c>
    </row>
    <row r="256" spans="4:33" x14ac:dyDescent="0.2">
      <c r="D256" s="50">
        <v>22</v>
      </c>
      <c r="E256">
        <v>2</v>
      </c>
      <c r="F256">
        <f t="shared" si="76"/>
        <v>71</v>
      </c>
      <c r="G256">
        <f t="shared" si="68"/>
        <v>0</v>
      </c>
      <c r="H256" s="64">
        <f>IF(E256="Anual",VLOOKUP(F256,Hipotesis!$E$9:$J$38,6,FALSE),1-(1-VLOOKUP(F256,Hipotesis!$E$9:$J$38,6,FALSE))^(1/12))</f>
        <v>1.7534747526143368E-3</v>
      </c>
      <c r="I256">
        <f t="shared" si="69"/>
        <v>0.38458296394209279</v>
      </c>
      <c r="J256">
        <v>0</v>
      </c>
      <c r="K256">
        <f>1-(1-VLOOKUP(D256,Hipotesis!$D$9:$K$38,8,FALSE))^(1/12)</f>
        <v>8.3717735912058888E-4</v>
      </c>
      <c r="L256">
        <f t="shared" si="70"/>
        <v>0.183292969361632</v>
      </c>
      <c r="M256">
        <f t="shared" si="71"/>
        <v>218.75832957304885</v>
      </c>
      <c r="N256">
        <f>IF(D256=1,(VLOOKUP(D256,'Primas Netas Y Reservas'!$D$4:$I$33,5,FALSE)+(VLOOKUP(D256,'Primas Netas Y Reservas'!$D$4:$I$33,6,FALSE)-VLOOKUP(D256,'Primas Netas Y Reservas'!$D$4:$I$33,5,FALSE))*(E256/12))/1000,((VLOOKUP(D256-1,'Primas Netas Y Reservas'!$D$4:$I$33,6,FALSE)+VLOOKUP(D256,'Primas Netas Y Reservas'!$D$4:$I$33,5,FALSE))+(VLOOKUP(D256,'Primas Netas Y Reservas'!$D$4:$I$33,6,FALSE)-VLOOKUP(D256-1,'Primas Netas Y Reservas'!$D$4:$I$33,6,FALSE)-VLOOKUP(D256,'Primas Netas Y Reservas'!$D$4:$I$33,5,FALSE))*(E256/12))/1000)</f>
        <v>0.5653898717660536</v>
      </c>
      <c r="O256">
        <f t="shared" si="72"/>
        <v>-9.7218837098992594E-2</v>
      </c>
      <c r="P256">
        <f>VLOOKUP(D256,Hipotesis!$D$9:$S$38,15,FALSE)*N256</f>
        <v>0.5653898717660536</v>
      </c>
      <c r="Q256">
        <f t="shared" si="59"/>
        <v>0.1036319884429923</v>
      </c>
      <c r="R256">
        <f t="shared" si="60"/>
        <v>0</v>
      </c>
      <c r="S256">
        <f t="shared" si="61"/>
        <v>0.1036319884429923</v>
      </c>
      <c r="T256">
        <f>G256*(VLOOKUP(D256,Hipotesis!$D$9:$N$38,9,FALSE)+VLOOKUP(D256,Hipotesis!$D$9:$N$38,10,FALSE)+VLOOKUP(D256,Hipotesis!$D$9:$N$38,11,FALSE))</f>
        <v>0</v>
      </c>
      <c r="U256">
        <v>0</v>
      </c>
      <c r="V256">
        <f>G256*VLOOKUP(D256,Hipotesis!$D$9:$S$38,16,FALSE)+((VLOOKUP(D256,Hipotesis!$D$9:$T$38,17,FALSE)/$B$4)*M255)/12</f>
        <v>8.2247327064882223E-3</v>
      </c>
      <c r="W256">
        <f>(1+VLOOKUP(D256,Hipotesis!$D$9:$P$38,13,FALSE))^(1/12)-1</f>
        <v>0</v>
      </c>
      <c r="X256">
        <f t="shared" si="73"/>
        <v>0</v>
      </c>
      <c r="Y256">
        <f t="shared" si="62"/>
        <v>0.40417188378153407</v>
      </c>
      <c r="Z256">
        <f>(1+VLOOKUP(D256,Hipotesis!$D$9:$O$38,12,))^(1/12)-1</f>
        <v>3.2783954852249053E-3</v>
      </c>
      <c r="AA256">
        <f t="shared" si="74"/>
        <v>0.40580294941069345</v>
      </c>
      <c r="AB256">
        <f t="shared" si="75"/>
        <v>-1.631065629159364E-3</v>
      </c>
      <c r="AC256" s="68">
        <f t="shared" si="63"/>
        <v>-8.2247327064882223E-3</v>
      </c>
      <c r="AD256">
        <f t="shared" si="64"/>
        <v>-0.48821495238508511</v>
      </c>
      <c r="AE256" s="67">
        <f t="shared" si="65"/>
        <v>4.9510357889533448E-3</v>
      </c>
      <c r="AF256" s="67">
        <f t="shared" si="66"/>
        <v>1.4853107366860033E-3</v>
      </c>
      <c r="AG256" s="67">
        <f t="shared" si="67"/>
        <v>3.4657250522673417E-3</v>
      </c>
    </row>
    <row r="257" spans="4:33" x14ac:dyDescent="0.2">
      <c r="D257" s="50">
        <v>22</v>
      </c>
      <c r="E257">
        <v>3</v>
      </c>
      <c r="F257">
        <f t="shared" si="76"/>
        <v>71</v>
      </c>
      <c r="G257">
        <f t="shared" si="68"/>
        <v>0</v>
      </c>
      <c r="H257" s="64">
        <f>IF(E257="Anual",VLOOKUP(F257,Hipotesis!$E$9:$J$38,6,FALSE),1-(1-VLOOKUP(F257,Hipotesis!$E$9:$J$38,6,FALSE))^(1/12))</f>
        <v>1.7534747526143368E-3</v>
      </c>
      <c r="I257">
        <f t="shared" si="69"/>
        <v>0.38358720783042743</v>
      </c>
      <c r="J257">
        <v>0</v>
      </c>
      <c r="K257">
        <f>1-(1-VLOOKUP(D257,Hipotesis!$D$9:$K$38,8,FALSE))^(1/12)</f>
        <v>8.3717735912058888E-4</v>
      </c>
      <c r="L257">
        <f t="shared" si="70"/>
        <v>0.18281839011195253</v>
      </c>
      <c r="M257">
        <f t="shared" si="71"/>
        <v>218.19192397510648</v>
      </c>
      <c r="N257">
        <f>IF(D257=1,(VLOOKUP(D257,'Primas Netas Y Reservas'!$D$4:$I$33,5,FALSE)+(VLOOKUP(D257,'Primas Netas Y Reservas'!$D$4:$I$33,6,FALSE)-VLOOKUP(D257,'Primas Netas Y Reservas'!$D$4:$I$33,5,FALSE))*(E257/12))/1000,((VLOOKUP(D257-1,'Primas Netas Y Reservas'!$D$4:$I$33,6,FALSE)+VLOOKUP(D257,'Primas Netas Y Reservas'!$D$4:$I$33,5,FALSE))+(VLOOKUP(D257,'Primas Netas Y Reservas'!$D$4:$I$33,6,FALSE)-VLOOKUP(D257-1,'Primas Netas Y Reservas'!$D$4:$I$33,6,FALSE)-VLOOKUP(D257,'Primas Netas Y Reservas'!$D$4:$I$33,5,FALSE))*(E257/12))/1000)</f>
        <v>0.56641050887366162</v>
      </c>
      <c r="O257">
        <f t="shared" si="72"/>
        <v>-9.7545214198831331E-2</v>
      </c>
      <c r="P257">
        <f>VLOOKUP(D257,Hipotesis!$D$9:$S$38,15,FALSE)*N257</f>
        <v>0.56641050887366162</v>
      </c>
      <c r="Q257">
        <f t="shared" si="59"/>
        <v>0.10355025737477462</v>
      </c>
      <c r="R257">
        <f t="shared" si="60"/>
        <v>0</v>
      </c>
      <c r="S257">
        <f t="shared" si="61"/>
        <v>0.10355025737477462</v>
      </c>
      <c r="T257">
        <f>G257*(VLOOKUP(D257,Hipotesis!$D$9:$N$38,9,FALSE)+VLOOKUP(D257,Hipotesis!$D$9:$N$38,10,FALSE)+VLOOKUP(D257,Hipotesis!$D$9:$N$38,11,FALSE))</f>
        <v>0</v>
      </c>
      <c r="U257">
        <v>0</v>
      </c>
      <c r="V257">
        <f>G257*VLOOKUP(D257,Hipotesis!$D$9:$S$38,16,FALSE)+((VLOOKUP(D257,Hipotesis!$D$9:$T$38,17,FALSE)/$B$4)*M256)/12</f>
        <v>8.2034373589893322E-3</v>
      </c>
      <c r="W257">
        <f>(1+VLOOKUP(D257,Hipotesis!$D$9:$P$38,13,FALSE))^(1/12)-1</f>
        <v>0</v>
      </c>
      <c r="X257">
        <f t="shared" si="73"/>
        <v>0</v>
      </c>
      <c r="Y257">
        <f t="shared" si="62"/>
        <v>0.40385677180634966</v>
      </c>
      <c r="Z257">
        <f>(1+VLOOKUP(D257,Hipotesis!$D$9:$O$38,12,))^(1/12)-1</f>
        <v>3.2783954852249053E-3</v>
      </c>
      <c r="AA257">
        <f t="shared" si="74"/>
        <v>0.40548422761406927</v>
      </c>
      <c r="AB257">
        <f t="shared" si="75"/>
        <v>-1.627455807719591E-3</v>
      </c>
      <c r="AC257" s="68">
        <f t="shared" si="63"/>
        <v>-8.2034373589893322E-3</v>
      </c>
      <c r="AD257">
        <f t="shared" si="64"/>
        <v>-0.48713746520520207</v>
      </c>
      <c r="AE257" s="67">
        <f t="shared" si="65"/>
        <v>6.0610834409896008E-3</v>
      </c>
      <c r="AF257" s="67">
        <f t="shared" si="66"/>
        <v>1.8183250322968802E-3</v>
      </c>
      <c r="AG257" s="67">
        <f t="shared" si="67"/>
        <v>4.2427584086927204E-3</v>
      </c>
    </row>
    <row r="258" spans="4:33" x14ac:dyDescent="0.2">
      <c r="D258" s="50">
        <v>22</v>
      </c>
      <c r="E258">
        <v>4</v>
      </c>
      <c r="F258">
        <f t="shared" si="76"/>
        <v>71</v>
      </c>
      <c r="G258">
        <f t="shared" si="68"/>
        <v>0</v>
      </c>
      <c r="H258" s="64">
        <f>IF(E258="Anual",VLOOKUP(F258,Hipotesis!$E$9:$J$38,6,FALSE),1-(1-VLOOKUP(F258,Hipotesis!$E$9:$J$38,6,FALSE))^(1/12))</f>
        <v>1.7534747526143368E-3</v>
      </c>
      <c r="I258">
        <f t="shared" si="69"/>
        <v>0.38259402991469604</v>
      </c>
      <c r="J258">
        <v>0</v>
      </c>
      <c r="K258">
        <f>1-(1-VLOOKUP(D258,Hipotesis!$D$9:$K$38,8,FALSE))^(1/12)</f>
        <v>8.3717735912058888E-4</v>
      </c>
      <c r="L258">
        <f t="shared" si="70"/>
        <v>0.18234503963534066</v>
      </c>
      <c r="M258">
        <f t="shared" si="71"/>
        <v>217.62698490555644</v>
      </c>
      <c r="N258">
        <f>IF(D258=1,(VLOOKUP(D258,'Primas Netas Y Reservas'!$D$4:$I$33,5,FALSE)+(VLOOKUP(D258,'Primas Netas Y Reservas'!$D$4:$I$33,6,FALSE)-VLOOKUP(D258,'Primas Netas Y Reservas'!$D$4:$I$33,5,FALSE))*(E258/12))/1000,((VLOOKUP(D258-1,'Primas Netas Y Reservas'!$D$4:$I$33,6,FALSE)+VLOOKUP(D258,'Primas Netas Y Reservas'!$D$4:$I$33,5,FALSE))+(VLOOKUP(D258,'Primas Netas Y Reservas'!$D$4:$I$33,6,FALSE)-VLOOKUP(D258-1,'Primas Netas Y Reservas'!$D$4:$I$33,6,FALSE)-VLOOKUP(D258,'Primas Netas Y Reservas'!$D$4:$I$33,5,FALSE))*(E258/12))/1000)</f>
        <v>0.56743114598126954</v>
      </c>
      <c r="O258">
        <f t="shared" si="72"/>
        <v>-9.7869249455015961E-2</v>
      </c>
      <c r="P258">
        <f>VLOOKUP(D258,Hipotesis!$D$9:$S$38,15,FALSE)*N258</f>
        <v>0.56743114598126954</v>
      </c>
      <c r="Q258">
        <f t="shared" si="59"/>
        <v>0.10346825480428136</v>
      </c>
      <c r="R258">
        <f t="shared" si="60"/>
        <v>0</v>
      </c>
      <c r="S258">
        <f t="shared" si="61"/>
        <v>0.10346825480428136</v>
      </c>
      <c r="T258">
        <f>G258*(VLOOKUP(D258,Hipotesis!$D$9:$N$38,9,FALSE)+VLOOKUP(D258,Hipotesis!$D$9:$N$38,10,FALSE)+VLOOKUP(D258,Hipotesis!$D$9:$N$38,11,FALSE))</f>
        <v>0</v>
      </c>
      <c r="U258">
        <v>0</v>
      </c>
      <c r="V258">
        <f>G258*VLOOKUP(D258,Hipotesis!$D$9:$S$38,16,FALSE)+((VLOOKUP(D258,Hipotesis!$D$9:$T$38,17,FALSE)/$B$4)*M257)/12</f>
        <v>8.1821971490664922E-3</v>
      </c>
      <c r="W258">
        <f>(1+VLOOKUP(D258,Hipotesis!$D$9:$P$38,13,FALSE))^(1/12)-1</f>
        <v>0</v>
      </c>
      <c r="X258">
        <f t="shared" si="73"/>
        <v>0</v>
      </c>
      <c r="Y258">
        <f t="shared" si="62"/>
        <v>0.40354058207942917</v>
      </c>
      <c r="Z258">
        <f>(1+VLOOKUP(D258,Hipotesis!$D$9:$O$38,12,))^(1/12)-1</f>
        <v>3.2783954852249053E-3</v>
      </c>
      <c r="AA258">
        <f t="shared" si="74"/>
        <v>0.4051644358242345</v>
      </c>
      <c r="AB258">
        <f t="shared" si="75"/>
        <v>-1.6238537448053584E-3</v>
      </c>
      <c r="AC258" s="68">
        <f t="shared" si="63"/>
        <v>-8.1821971490664922E-3</v>
      </c>
      <c r="AD258">
        <f t="shared" si="64"/>
        <v>-0.48606228471897739</v>
      </c>
      <c r="AE258" s="67">
        <f t="shared" si="65"/>
        <v>7.1653496664012325E-3</v>
      </c>
      <c r="AF258" s="67">
        <f t="shared" si="66"/>
        <v>2.1496048999203698E-3</v>
      </c>
      <c r="AG258" s="67">
        <f t="shared" si="67"/>
        <v>5.0157447664808622E-3</v>
      </c>
    </row>
    <row r="259" spans="4:33" x14ac:dyDescent="0.2">
      <c r="D259" s="50">
        <v>22</v>
      </c>
      <c r="E259">
        <v>5</v>
      </c>
      <c r="F259">
        <f t="shared" si="76"/>
        <v>71</v>
      </c>
      <c r="G259">
        <f t="shared" si="68"/>
        <v>0</v>
      </c>
      <c r="H259" s="64">
        <f>IF(E259="Anual",VLOOKUP(F259,Hipotesis!$E$9:$J$38,6,FALSE),1-(1-VLOOKUP(F259,Hipotesis!$E$9:$J$38,6,FALSE))^(1/12))</f>
        <v>1.7534747526143368E-3</v>
      </c>
      <c r="I259">
        <f t="shared" si="69"/>
        <v>0.38160342351947457</v>
      </c>
      <c r="J259">
        <v>0</v>
      </c>
      <c r="K259">
        <f>1-(1-VLOOKUP(D259,Hipotesis!$D$9:$K$38,8,FALSE))^(1/12)</f>
        <v>8.3717735912058888E-4</v>
      </c>
      <c r="L259">
        <f t="shared" si="70"/>
        <v>0.18187291475027659</v>
      </c>
      <c r="M259">
        <f t="shared" si="71"/>
        <v>217.0635085672867</v>
      </c>
      <c r="N259">
        <f>IF(D259=1,(VLOOKUP(D259,'Primas Netas Y Reservas'!$D$4:$I$33,5,FALSE)+(VLOOKUP(D259,'Primas Netas Y Reservas'!$D$4:$I$33,6,FALSE)-VLOOKUP(D259,'Primas Netas Y Reservas'!$D$4:$I$33,5,FALSE))*(E259/12))/1000,((VLOOKUP(D259-1,'Primas Netas Y Reservas'!$D$4:$I$33,6,FALSE)+VLOOKUP(D259,'Primas Netas Y Reservas'!$D$4:$I$33,5,FALSE))+(VLOOKUP(D259,'Primas Netas Y Reservas'!$D$4:$I$33,6,FALSE)-VLOOKUP(D259-1,'Primas Netas Y Reservas'!$D$4:$I$33,6,FALSE)-VLOOKUP(D259,'Primas Netas Y Reservas'!$D$4:$I$33,5,FALSE))*(E259/12))/1000)</f>
        <v>0.56845178308887756</v>
      </c>
      <c r="O259">
        <f t="shared" si="72"/>
        <v>-9.8190952806362475E-2</v>
      </c>
      <c r="P259">
        <f>VLOOKUP(D259,Hipotesis!$D$9:$S$38,15,FALSE)*N259</f>
        <v>0.56845178308887756</v>
      </c>
      <c r="Q259">
        <f t="shared" si="59"/>
        <v>0.10338598268536614</v>
      </c>
      <c r="R259">
        <f t="shared" si="60"/>
        <v>0</v>
      </c>
      <c r="S259">
        <f t="shared" si="61"/>
        <v>0.10338598268536614</v>
      </c>
      <c r="T259">
        <f>G259*(VLOOKUP(D259,Hipotesis!$D$9:$N$38,9,FALSE)+VLOOKUP(D259,Hipotesis!$D$9:$N$38,10,FALSE)+VLOOKUP(D259,Hipotesis!$D$9:$N$38,11,FALSE))</f>
        <v>0</v>
      </c>
      <c r="U259">
        <v>0</v>
      </c>
      <c r="V259">
        <f>G259*VLOOKUP(D259,Hipotesis!$D$9:$S$38,16,FALSE)+((VLOOKUP(D259,Hipotesis!$D$9:$T$38,17,FALSE)/$B$4)*M258)/12</f>
        <v>8.1610119339583665E-3</v>
      </c>
      <c r="W259">
        <f>(1+VLOOKUP(D259,Hipotesis!$D$9:$P$38,13,FALSE))^(1/12)-1</f>
        <v>0</v>
      </c>
      <c r="X259">
        <f t="shared" si="73"/>
        <v>0</v>
      </c>
      <c r="Y259">
        <f t="shared" si="62"/>
        <v>0.40322332229423891</v>
      </c>
      <c r="Z259">
        <f>(1+VLOOKUP(D259,Hipotesis!$D$9:$O$38,12,))^(1/12)-1</f>
        <v>3.2783954852249053E-3</v>
      </c>
      <c r="AA259">
        <f t="shared" si="74"/>
        <v>0.40484358171867885</v>
      </c>
      <c r="AB259">
        <f t="shared" si="75"/>
        <v>-1.6202594244399536E-3</v>
      </c>
      <c r="AC259" s="68">
        <f t="shared" si="63"/>
        <v>-8.1610119339583665E-3</v>
      </c>
      <c r="AD259">
        <f t="shared" si="64"/>
        <v>-0.48498940620484071</v>
      </c>
      <c r="AE259" s="67">
        <f t="shared" si="65"/>
        <v>8.2638569618023027E-3</v>
      </c>
      <c r="AF259" s="67">
        <f t="shared" si="66"/>
        <v>2.4791570885406909E-3</v>
      </c>
      <c r="AG259" s="67">
        <f t="shared" si="67"/>
        <v>5.7846998732616114E-3</v>
      </c>
    </row>
    <row r="260" spans="4:33" x14ac:dyDescent="0.2">
      <c r="D260" s="50">
        <v>22</v>
      </c>
      <c r="E260">
        <v>6</v>
      </c>
      <c r="F260">
        <f t="shared" si="76"/>
        <v>71</v>
      </c>
      <c r="G260">
        <f t="shared" si="68"/>
        <v>0</v>
      </c>
      <c r="H260" s="64">
        <f>IF(E260="Anual",VLOOKUP(F260,Hipotesis!$E$9:$J$38,6,FALSE),1-(1-VLOOKUP(F260,Hipotesis!$E$9:$J$38,6,FALSE))^(1/12))</f>
        <v>1.7534747526143368E-3</v>
      </c>
      <c r="I260">
        <f t="shared" si="69"/>
        <v>0.38061538198662304</v>
      </c>
      <c r="J260">
        <v>0</v>
      </c>
      <c r="K260">
        <f>1-(1-VLOOKUP(D260,Hipotesis!$D$9:$K$38,8,FALSE))^(1/12)</f>
        <v>8.3717735912058888E-4</v>
      </c>
      <c r="L260">
        <f t="shared" si="70"/>
        <v>0.18140201228347819</v>
      </c>
      <c r="M260">
        <f t="shared" si="71"/>
        <v>216.5014911730166</v>
      </c>
      <c r="N260">
        <f>IF(D260=1,(VLOOKUP(D260,'Primas Netas Y Reservas'!$D$4:$I$33,5,FALSE)+(VLOOKUP(D260,'Primas Netas Y Reservas'!$D$4:$I$33,6,FALSE)-VLOOKUP(D260,'Primas Netas Y Reservas'!$D$4:$I$33,5,FALSE))*(E260/12))/1000,((VLOOKUP(D260-1,'Primas Netas Y Reservas'!$D$4:$I$33,6,FALSE)+VLOOKUP(D260,'Primas Netas Y Reservas'!$D$4:$I$33,5,FALSE))+(VLOOKUP(D260,'Primas Netas Y Reservas'!$D$4:$I$33,6,FALSE)-VLOOKUP(D260-1,'Primas Netas Y Reservas'!$D$4:$I$33,6,FALSE)-VLOOKUP(D260,'Primas Netas Y Reservas'!$D$4:$I$33,5,FALSE))*(E260/12))/1000)</f>
        <v>0.56947242019648547</v>
      </c>
      <c r="O260">
        <f t="shared" si="72"/>
        <v>-9.851033415617394E-2</v>
      </c>
      <c r="P260">
        <f>VLOOKUP(D260,Hipotesis!$D$9:$S$38,15,FALSE)*N260</f>
        <v>0.56947242019648547</v>
      </c>
      <c r="Q260">
        <f t="shared" ref="Q260:Q323" si="77">L260*P260</f>
        <v>0.10330344296358492</v>
      </c>
      <c r="R260">
        <f t="shared" ref="R260:R323" si="78">J260*N260</f>
        <v>0</v>
      </c>
      <c r="S260">
        <f t="shared" ref="S260:S323" si="79">L260*P260+J260*N260</f>
        <v>0.10330344296358492</v>
      </c>
      <c r="T260">
        <f>G260*(VLOOKUP(D260,Hipotesis!$D$9:$N$38,9,FALSE)+VLOOKUP(D260,Hipotesis!$D$9:$N$38,10,FALSE)+VLOOKUP(D260,Hipotesis!$D$9:$N$38,11,FALSE))</f>
        <v>0</v>
      </c>
      <c r="U260">
        <v>0</v>
      </c>
      <c r="V260">
        <f>G260*VLOOKUP(D260,Hipotesis!$D$9:$S$38,16,FALSE)+((VLOOKUP(D260,Hipotesis!$D$9:$T$38,17,FALSE)/$B$4)*M259)/12</f>
        <v>8.1398815712732508E-3</v>
      </c>
      <c r="W260">
        <f>(1+VLOOKUP(D260,Hipotesis!$D$9:$P$38,13,FALSE))^(1/12)-1</f>
        <v>0</v>
      </c>
      <c r="X260">
        <f t="shared" si="73"/>
        <v>0</v>
      </c>
      <c r="Y260">
        <f t="shared" ref="Y260:Y323" si="80">AA260+AB260</f>
        <v>0.40290500011163116</v>
      </c>
      <c r="Z260">
        <f>(1+VLOOKUP(D260,Hipotesis!$D$9:$O$38,12,))^(1/12)-1</f>
        <v>3.2783954852249053E-3</v>
      </c>
      <c r="AA260">
        <f t="shared" si="74"/>
        <v>0.40452167294230856</v>
      </c>
      <c r="AB260">
        <f t="shared" si="75"/>
        <v>-1.6166728306773852E-3</v>
      </c>
      <c r="AC260" s="68">
        <f t="shared" ref="AC260:AC323" si="81">G260-T260-U260-V260</f>
        <v>-8.1398815712732508E-3</v>
      </c>
      <c r="AD260">
        <f t="shared" ref="AD260:AD323" si="82">-(I260+S260)</f>
        <v>-0.48391882495020794</v>
      </c>
      <c r="AE260" s="67">
        <f t="shared" ref="AE260:AE323" si="83">G260+Y260-I260-S260-O260-T260-U260-V260</f>
        <v>9.3566277463238996E-3</v>
      </c>
      <c r="AF260" s="67">
        <f t="shared" ref="AF260:AF323" si="84">(30%)*AE260</f>
        <v>2.8069883238971698E-3</v>
      </c>
      <c r="AG260" s="67">
        <f t="shared" ref="AG260:AG323" si="85">AE260-AF260</f>
        <v>6.5496394224267302E-3</v>
      </c>
    </row>
    <row r="261" spans="4:33" x14ac:dyDescent="0.2">
      <c r="D261" s="50">
        <v>22</v>
      </c>
      <c r="E261">
        <v>7</v>
      </c>
      <c r="F261">
        <f t="shared" si="76"/>
        <v>71</v>
      </c>
      <c r="G261">
        <f t="shared" ref="G261:G324" si="86">IF(E261=1,IF(D261&lt;=$B$7,($B$1+($B$3/$B$4*1000))*M260/$B$2,0),0)</f>
        <v>0</v>
      </c>
      <c r="H261" s="64">
        <f>IF(E261="Anual",VLOOKUP(F261,Hipotesis!$E$9:$J$38,6,FALSE),1-(1-VLOOKUP(F261,Hipotesis!$E$9:$J$38,6,FALSE))^(1/12))</f>
        <v>1.7534747526143368E-3</v>
      </c>
      <c r="I261">
        <f t="shared" ref="I261:I324" si="87">H261*1000*(M260/$B$2)</f>
        <v>0.37962989867524027</v>
      </c>
      <c r="J261">
        <v>0</v>
      </c>
      <c r="K261">
        <f>1-(1-VLOOKUP(D261,Hipotesis!$D$9:$K$38,8,FALSE))^(1/12)</f>
        <v>8.3717735912058888E-4</v>
      </c>
      <c r="L261">
        <f t="shared" ref="L261:L324" si="88">(M260-I261-J261)*K261</f>
        <v>0.18093232906987938</v>
      </c>
      <c r="M261">
        <f t="shared" ref="M261:M324" si="89">M260-I261-L261-J261</f>
        <v>215.94092894527148</v>
      </c>
      <c r="N261">
        <f>IF(D261=1,(VLOOKUP(D261,'Primas Netas Y Reservas'!$D$4:$I$33,5,FALSE)+(VLOOKUP(D261,'Primas Netas Y Reservas'!$D$4:$I$33,6,FALSE)-VLOOKUP(D261,'Primas Netas Y Reservas'!$D$4:$I$33,5,FALSE))*(E261/12))/1000,((VLOOKUP(D261-1,'Primas Netas Y Reservas'!$D$4:$I$33,6,FALSE)+VLOOKUP(D261,'Primas Netas Y Reservas'!$D$4:$I$33,5,FALSE))+(VLOOKUP(D261,'Primas Netas Y Reservas'!$D$4:$I$33,6,FALSE)-VLOOKUP(D261-1,'Primas Netas Y Reservas'!$D$4:$I$33,6,FALSE)-VLOOKUP(D261,'Primas Netas Y Reservas'!$D$4:$I$33,5,FALSE))*(E261/12))/1000)</f>
        <v>0.57049305730409361</v>
      </c>
      <c r="O261">
        <f t="shared" ref="O261:O324" si="90">(M261*N261-M260*N260)</f>
        <v>-9.8827403371828382E-2</v>
      </c>
      <c r="P261">
        <f>VLOOKUP(D261,Hipotesis!$D$9:$S$38,15,FALSE)*N261</f>
        <v>0.57049305730409361</v>
      </c>
      <c r="Q261">
        <f t="shared" si="77"/>
        <v>0.10322063757622582</v>
      </c>
      <c r="R261">
        <f t="shared" si="78"/>
        <v>0</v>
      </c>
      <c r="S261">
        <f t="shared" si="79"/>
        <v>0.10322063757622582</v>
      </c>
      <c r="T261">
        <f>G261*(VLOOKUP(D261,Hipotesis!$D$9:$N$38,9,FALSE)+VLOOKUP(D261,Hipotesis!$D$9:$N$38,10,FALSE)+VLOOKUP(D261,Hipotesis!$D$9:$N$38,11,FALSE))</f>
        <v>0</v>
      </c>
      <c r="U261">
        <v>0</v>
      </c>
      <c r="V261">
        <f>G261*VLOOKUP(D261,Hipotesis!$D$9:$S$38,16,FALSE)+((VLOOKUP(D261,Hipotesis!$D$9:$T$38,17,FALSE)/$B$4)*M260)/12</f>
        <v>8.1188059189881232E-3</v>
      </c>
      <c r="W261">
        <f>(1+VLOOKUP(D261,Hipotesis!$D$9:$P$38,13,FALSE))^(1/12)-1</f>
        <v>0</v>
      </c>
      <c r="X261">
        <f t="shared" ref="X261:X324" si="91">(1+X260)*(1+W261)-1</f>
        <v>0</v>
      </c>
      <c r="Y261">
        <f t="shared" si="80"/>
        <v>0.4025856231599606</v>
      </c>
      <c r="Z261">
        <f>(1+VLOOKUP(D261,Hipotesis!$D$9:$O$38,12,))^(1/12)-1</f>
        <v>3.2783954852249053E-3</v>
      </c>
      <c r="AA261">
        <f t="shared" ref="AA261:AA324" si="92">N260*M260*Z261</f>
        <v>0.40419871710756294</v>
      </c>
      <c r="AB261">
        <f t="shared" ref="AB261:AB324" si="93">(AD260+AC261)*Z261</f>
        <v>-1.6130939476023309E-3</v>
      </c>
      <c r="AC261" s="68">
        <f t="shared" si="81"/>
        <v>-8.1188059189881232E-3</v>
      </c>
      <c r="AD261">
        <f t="shared" si="82"/>
        <v>-0.48285053625146612</v>
      </c>
      <c r="AE261" s="67">
        <f t="shared" si="83"/>
        <v>1.0443684361334768E-2</v>
      </c>
      <c r="AF261" s="67">
        <f t="shared" si="84"/>
        <v>3.1331053084004304E-3</v>
      </c>
      <c r="AG261" s="67">
        <f t="shared" si="85"/>
        <v>7.3105790529343368E-3</v>
      </c>
    </row>
    <row r="262" spans="4:33" x14ac:dyDescent="0.2">
      <c r="D262" s="50">
        <v>22</v>
      </c>
      <c r="E262">
        <v>8</v>
      </c>
      <c r="F262">
        <f t="shared" si="76"/>
        <v>71</v>
      </c>
      <c r="G262">
        <f t="shared" si="86"/>
        <v>0</v>
      </c>
      <c r="H262" s="64">
        <f>IF(E262="Anual",VLOOKUP(F262,Hipotesis!$E$9:$J$38,6,FALSE),1-(1-VLOOKUP(F262,Hipotesis!$E$9:$J$38,6,FALSE))^(1/12))</f>
        <v>1.7534747526143368E-3</v>
      </c>
      <c r="I262">
        <f t="shared" si="87"/>
        <v>0.37864696696161998</v>
      </c>
      <c r="J262">
        <v>0</v>
      </c>
      <c r="K262">
        <f>1-(1-VLOOKUP(D262,Hipotesis!$D$9:$K$38,8,FALSE))^(1/12)</f>
        <v>8.3717735912058888E-4</v>
      </c>
      <c r="L262">
        <f t="shared" si="88"/>
        <v>0.18046386195260916</v>
      </c>
      <c r="M262">
        <f t="shared" si="89"/>
        <v>215.38181811635727</v>
      </c>
      <c r="N262">
        <f>IF(D262=1,(VLOOKUP(D262,'Primas Netas Y Reservas'!$D$4:$I$33,5,FALSE)+(VLOOKUP(D262,'Primas Netas Y Reservas'!$D$4:$I$33,6,FALSE)-VLOOKUP(D262,'Primas Netas Y Reservas'!$D$4:$I$33,5,FALSE))*(E262/12))/1000,((VLOOKUP(D262-1,'Primas Netas Y Reservas'!$D$4:$I$33,6,FALSE)+VLOOKUP(D262,'Primas Netas Y Reservas'!$D$4:$I$33,5,FALSE))+(VLOOKUP(D262,'Primas Netas Y Reservas'!$D$4:$I$33,6,FALSE)-VLOOKUP(D262-1,'Primas Netas Y Reservas'!$D$4:$I$33,6,FALSE)-VLOOKUP(D262,'Primas Netas Y Reservas'!$D$4:$I$33,5,FALSE))*(E262/12))/1000)</f>
        <v>0.57151369441170152</v>
      </c>
      <c r="O262">
        <f t="shared" si="90"/>
        <v>-9.9142170285489328E-2</v>
      </c>
      <c r="P262">
        <f>VLOOKUP(D262,Hipotesis!$D$9:$S$38,15,FALSE)*N262</f>
        <v>0.57151369441170152</v>
      </c>
      <c r="Q262">
        <f t="shared" si="77"/>
        <v>0.10313756845233896</v>
      </c>
      <c r="R262">
        <f t="shared" si="78"/>
        <v>0</v>
      </c>
      <c r="S262">
        <f t="shared" si="79"/>
        <v>0.10313756845233896</v>
      </c>
      <c r="T262">
        <f>G262*(VLOOKUP(D262,Hipotesis!$D$9:$N$38,9,FALSE)+VLOOKUP(D262,Hipotesis!$D$9:$N$38,10,FALSE)+VLOOKUP(D262,Hipotesis!$D$9:$N$38,11,FALSE))</f>
        <v>0</v>
      </c>
      <c r="U262">
        <v>0</v>
      </c>
      <c r="V262">
        <f>G262*VLOOKUP(D262,Hipotesis!$D$9:$S$38,16,FALSE)+((VLOOKUP(D262,Hipotesis!$D$9:$T$38,17,FALSE)/$B$4)*M261)/12</f>
        <v>8.09778483544768E-3</v>
      </c>
      <c r="W262">
        <f>(1+VLOOKUP(D262,Hipotesis!$D$9:$P$38,13,FALSE))^(1/12)-1</f>
        <v>0</v>
      </c>
      <c r="X262">
        <f t="shared" si="91"/>
        <v>0</v>
      </c>
      <c r="Y262">
        <f t="shared" si="80"/>
        <v>0.40226519903520219</v>
      </c>
      <c r="Z262">
        <f>(1+VLOOKUP(D262,Hipotesis!$D$9:$O$38,12,))^(1/12)-1</f>
        <v>3.2783954852249053E-3</v>
      </c>
      <c r="AA262">
        <f t="shared" si="92"/>
        <v>0.40387472179453227</v>
      </c>
      <c r="AB262">
        <f t="shared" si="93"/>
        <v>-1.6095227593300853E-3</v>
      </c>
      <c r="AC262" s="68">
        <f t="shared" si="81"/>
        <v>-8.09778483544768E-3</v>
      </c>
      <c r="AD262">
        <f t="shared" si="82"/>
        <v>-0.48178453541395894</v>
      </c>
      <c r="AE262" s="67">
        <f t="shared" si="83"/>
        <v>1.1525049071284904E-2</v>
      </c>
      <c r="AF262" s="67">
        <f t="shared" si="84"/>
        <v>3.457514721385471E-3</v>
      </c>
      <c r="AG262" s="67">
        <f t="shared" si="85"/>
        <v>8.0675343498994335E-3</v>
      </c>
    </row>
    <row r="263" spans="4:33" x14ac:dyDescent="0.2">
      <c r="D263" s="50">
        <v>22</v>
      </c>
      <c r="E263">
        <v>9</v>
      </c>
      <c r="F263">
        <f t="shared" si="76"/>
        <v>71</v>
      </c>
      <c r="G263">
        <f t="shared" si="86"/>
        <v>0</v>
      </c>
      <c r="H263" s="64">
        <f>IF(E263="Anual",VLOOKUP(F263,Hipotesis!$E$9:$J$38,6,FALSE),1-(1-VLOOKUP(F263,Hipotesis!$E$9:$J$38,6,FALSE))^(1/12))</f>
        <v>1.7534747526143368E-3</v>
      </c>
      <c r="I263">
        <f t="shared" si="87"/>
        <v>0.37766658023920563</v>
      </c>
      <c r="J263">
        <v>0</v>
      </c>
      <c r="K263">
        <f>1-(1-VLOOKUP(D263,Hipotesis!$D$9:$K$38,8,FALSE))^(1/12)</f>
        <v>8.3717735912058888E-4</v>
      </c>
      <c r="L263">
        <f t="shared" si="88"/>
        <v>0.17999660778297022</v>
      </c>
      <c r="M263">
        <f t="shared" si="89"/>
        <v>214.82415492833508</v>
      </c>
      <c r="N263">
        <f>IF(D263=1,(VLOOKUP(D263,'Primas Netas Y Reservas'!$D$4:$I$33,5,FALSE)+(VLOOKUP(D263,'Primas Netas Y Reservas'!$D$4:$I$33,6,FALSE)-VLOOKUP(D263,'Primas Netas Y Reservas'!$D$4:$I$33,5,FALSE))*(E263/12))/1000,((VLOOKUP(D263-1,'Primas Netas Y Reservas'!$D$4:$I$33,6,FALSE)+VLOOKUP(D263,'Primas Netas Y Reservas'!$D$4:$I$33,5,FALSE))+(VLOOKUP(D263,'Primas Netas Y Reservas'!$D$4:$I$33,6,FALSE)-VLOOKUP(D263-1,'Primas Netas Y Reservas'!$D$4:$I$33,6,FALSE)-VLOOKUP(D263,'Primas Netas Y Reservas'!$D$4:$I$33,5,FALSE))*(E263/12))/1000)</f>
        <v>0.57253433151930944</v>
      </c>
      <c r="O263">
        <f t="shared" si="90"/>
        <v>-9.9454644693594219E-2</v>
      </c>
      <c r="P263">
        <f>VLOOKUP(D263,Hipotesis!$D$9:$S$38,15,FALSE)*N263</f>
        <v>0.57253433151930944</v>
      </c>
      <c r="Q263">
        <f t="shared" si="77"/>
        <v>0.10305423751276618</v>
      </c>
      <c r="R263">
        <f t="shared" si="78"/>
        <v>0</v>
      </c>
      <c r="S263">
        <f t="shared" si="79"/>
        <v>0.10305423751276618</v>
      </c>
      <c r="T263">
        <f>G263*(VLOOKUP(D263,Hipotesis!$D$9:$N$38,9,FALSE)+VLOOKUP(D263,Hipotesis!$D$9:$N$38,10,FALSE)+VLOOKUP(D263,Hipotesis!$D$9:$N$38,11,FALSE))</f>
        <v>0</v>
      </c>
      <c r="U263">
        <v>0</v>
      </c>
      <c r="V263">
        <f>G263*VLOOKUP(D263,Hipotesis!$D$9:$S$38,16,FALSE)+((VLOOKUP(D263,Hipotesis!$D$9:$T$38,17,FALSE)/$B$4)*M262)/12</f>
        <v>8.0768181793633969E-3</v>
      </c>
      <c r="W263">
        <f>(1+VLOOKUP(D263,Hipotesis!$D$9:$P$38,13,FALSE))^(1/12)-1</f>
        <v>0</v>
      </c>
      <c r="X263">
        <f t="shared" si="91"/>
        <v>0</v>
      </c>
      <c r="Y263">
        <f t="shared" si="80"/>
        <v>0.40194373530106636</v>
      </c>
      <c r="Z263">
        <f>(1+VLOOKUP(D263,Hipotesis!$D$9:$O$38,12,))^(1/12)-1</f>
        <v>3.2783954852249053E-3</v>
      </c>
      <c r="AA263">
        <f t="shared" si="92"/>
        <v>0.40354969455107287</v>
      </c>
      <c r="AB263">
        <f t="shared" si="93"/>
        <v>-1.6059592500065089E-3</v>
      </c>
      <c r="AC263" s="68">
        <f t="shared" si="81"/>
        <v>-8.0768181793633969E-3</v>
      </c>
      <c r="AD263">
        <f t="shared" si="82"/>
        <v>-0.48072081775197184</v>
      </c>
      <c r="AE263" s="67">
        <f t="shared" si="83"/>
        <v>1.2600744063325372E-2</v>
      </c>
      <c r="AF263" s="67">
        <f t="shared" si="84"/>
        <v>3.7802232189976114E-3</v>
      </c>
      <c r="AG263" s="67">
        <f t="shared" si="85"/>
        <v>8.8205208443277606E-3</v>
      </c>
    </row>
    <row r="264" spans="4:33" x14ac:dyDescent="0.2">
      <c r="D264" s="50">
        <v>22</v>
      </c>
      <c r="E264">
        <v>10</v>
      </c>
      <c r="F264">
        <f t="shared" si="76"/>
        <v>71</v>
      </c>
      <c r="G264">
        <f t="shared" si="86"/>
        <v>0</v>
      </c>
      <c r="H264" s="64">
        <f>IF(E264="Anual",VLOOKUP(F264,Hipotesis!$E$9:$J$38,6,FALSE),1-(1-VLOOKUP(F264,Hipotesis!$E$9:$J$38,6,FALSE))^(1/12))</f>
        <v>1.7534747526143368E-3</v>
      </c>
      <c r="I264">
        <f t="shared" si="87"/>
        <v>0.37668873191854629</v>
      </c>
      <c r="J264">
        <v>0</v>
      </c>
      <c r="K264">
        <f>1-(1-VLOOKUP(D264,Hipotesis!$D$9:$K$38,8,FALSE))^(1/12)</f>
        <v>8.3717735912058888E-4</v>
      </c>
      <c r="L264">
        <f t="shared" si="88"/>
        <v>0.17953056342041776</v>
      </c>
      <c r="M264">
        <f t="shared" si="89"/>
        <v>214.26793563299611</v>
      </c>
      <c r="N264">
        <f>IF(D264=1,(VLOOKUP(D264,'Primas Netas Y Reservas'!$D$4:$I$33,5,FALSE)+(VLOOKUP(D264,'Primas Netas Y Reservas'!$D$4:$I$33,6,FALSE)-VLOOKUP(D264,'Primas Netas Y Reservas'!$D$4:$I$33,5,FALSE))*(E264/12))/1000,((VLOOKUP(D264-1,'Primas Netas Y Reservas'!$D$4:$I$33,6,FALSE)+VLOOKUP(D264,'Primas Netas Y Reservas'!$D$4:$I$33,5,FALSE))+(VLOOKUP(D264,'Primas Netas Y Reservas'!$D$4:$I$33,6,FALSE)-VLOOKUP(D264-1,'Primas Netas Y Reservas'!$D$4:$I$33,6,FALSE)-VLOOKUP(D264,'Primas Netas Y Reservas'!$D$4:$I$33,5,FALSE))*(E264/12))/1000)</f>
        <v>0.57355496862691746</v>
      </c>
      <c r="O264">
        <f t="shared" si="90"/>
        <v>-9.9764836357437048E-2</v>
      </c>
      <c r="P264">
        <f>VLOOKUP(D264,Hipotesis!$D$9:$S$38,15,FALSE)*N264</f>
        <v>0.57355496862691746</v>
      </c>
      <c r="Q264">
        <f t="shared" si="77"/>
        <v>0.10297064667017053</v>
      </c>
      <c r="R264">
        <f t="shared" si="78"/>
        <v>0</v>
      </c>
      <c r="S264">
        <f t="shared" si="79"/>
        <v>0.10297064667017053</v>
      </c>
      <c r="T264">
        <f>G264*(VLOOKUP(D264,Hipotesis!$D$9:$N$38,9,FALSE)+VLOOKUP(D264,Hipotesis!$D$9:$N$38,10,FALSE)+VLOOKUP(D264,Hipotesis!$D$9:$N$38,11,FALSE))</f>
        <v>0</v>
      </c>
      <c r="U264">
        <v>0</v>
      </c>
      <c r="V264">
        <f>G264*VLOOKUP(D264,Hipotesis!$D$9:$S$38,16,FALSE)+((VLOOKUP(D264,Hipotesis!$D$9:$T$38,17,FALSE)/$B$4)*M263)/12</f>
        <v>8.0559058098125646E-3</v>
      </c>
      <c r="W264">
        <f>(1+VLOOKUP(D264,Hipotesis!$D$9:$P$38,13,FALSE))^(1/12)-1</f>
        <v>0</v>
      </c>
      <c r="X264">
        <f t="shared" si="91"/>
        <v>0</v>
      </c>
      <c r="Y264">
        <f t="shared" si="80"/>
        <v>0.40162123948911682</v>
      </c>
      <c r="Z264">
        <f>(1+VLOOKUP(D264,Hipotesis!$D$9:$O$38,12,))^(1/12)-1</f>
        <v>3.2783954852249053E-3</v>
      </c>
      <c r="AA264">
        <f t="shared" si="92"/>
        <v>0.40322364289292478</v>
      </c>
      <c r="AB264">
        <f t="shared" si="93"/>
        <v>-1.6024034038079756E-3</v>
      </c>
      <c r="AC264" s="68">
        <f t="shared" si="81"/>
        <v>-8.0559058098125646E-3</v>
      </c>
      <c r="AD264">
        <f t="shared" si="82"/>
        <v>-0.47965937858871682</v>
      </c>
      <c r="AE264" s="67">
        <f t="shared" si="83"/>
        <v>1.3670791448024482E-2</v>
      </c>
      <c r="AF264" s="67">
        <f t="shared" si="84"/>
        <v>4.1012374344073441E-3</v>
      </c>
      <c r="AG264" s="67">
        <f t="shared" si="85"/>
        <v>9.5695540136171379E-3</v>
      </c>
    </row>
    <row r="265" spans="4:33" x14ac:dyDescent="0.2">
      <c r="D265" s="50">
        <v>22</v>
      </c>
      <c r="E265">
        <v>11</v>
      </c>
      <c r="F265">
        <f t="shared" si="76"/>
        <v>71</v>
      </c>
      <c r="G265">
        <f t="shared" si="86"/>
        <v>0</v>
      </c>
      <c r="H265" s="64">
        <f>IF(E265="Anual",VLOOKUP(F265,Hipotesis!$E$9:$J$38,6,FALSE),1-(1-VLOOKUP(F265,Hipotesis!$E$9:$J$38,6,FALSE))^(1/12))</f>
        <v>1.7534747526143368E-3</v>
      </c>
      <c r="I265">
        <f t="shared" si="87"/>
        <v>0.37571341542725251</v>
      </c>
      <c r="J265">
        <v>0</v>
      </c>
      <c r="K265">
        <f>1-(1-VLOOKUP(D265,Hipotesis!$D$9:$K$38,8,FALSE))^(1/12)</f>
        <v>8.3717735912058888E-4</v>
      </c>
      <c r="L265">
        <f t="shared" si="88"/>
        <v>0.17906572573253846</v>
      </c>
      <c r="M265">
        <f t="shared" si="89"/>
        <v>213.71315649183634</v>
      </c>
      <c r="N265">
        <f>IF(D265=1,(VLOOKUP(D265,'Primas Netas Y Reservas'!$D$4:$I$33,5,FALSE)+(VLOOKUP(D265,'Primas Netas Y Reservas'!$D$4:$I$33,6,FALSE)-VLOOKUP(D265,'Primas Netas Y Reservas'!$D$4:$I$33,5,FALSE))*(E265/12))/1000,((VLOOKUP(D265-1,'Primas Netas Y Reservas'!$D$4:$I$33,6,FALSE)+VLOOKUP(D265,'Primas Netas Y Reservas'!$D$4:$I$33,5,FALSE))+(VLOOKUP(D265,'Primas Netas Y Reservas'!$D$4:$I$33,6,FALSE)-VLOOKUP(D265-1,'Primas Netas Y Reservas'!$D$4:$I$33,6,FALSE)-VLOOKUP(D265,'Primas Netas Y Reservas'!$D$4:$I$33,5,FALSE))*(E265/12))/1000)</f>
        <v>0.57457560573452537</v>
      </c>
      <c r="O265">
        <f t="shared" si="90"/>
        <v>-0.10007275500316837</v>
      </c>
      <c r="P265">
        <f>VLOOKUP(D265,Hipotesis!$D$9:$S$38,15,FALSE)*N265</f>
        <v>0.57457560573452537</v>
      </c>
      <c r="Q265">
        <f t="shared" si="77"/>
        <v>0.10288679782906567</v>
      </c>
      <c r="R265">
        <f t="shared" si="78"/>
        <v>0</v>
      </c>
      <c r="S265">
        <f t="shared" si="79"/>
        <v>0.10288679782906567</v>
      </c>
      <c r="T265">
        <f>G265*(VLOOKUP(D265,Hipotesis!$D$9:$N$38,9,FALSE)+VLOOKUP(D265,Hipotesis!$D$9:$N$38,10,FALSE)+VLOOKUP(D265,Hipotesis!$D$9:$N$38,11,FALSE))</f>
        <v>0</v>
      </c>
      <c r="U265">
        <v>0</v>
      </c>
      <c r="V265">
        <f>G265*VLOOKUP(D265,Hipotesis!$D$9:$S$38,16,FALSE)+((VLOOKUP(D265,Hipotesis!$D$9:$T$38,17,FALSE)/$B$4)*M264)/12</f>
        <v>8.0350475862373538E-3</v>
      </c>
      <c r="W265">
        <f>(1+VLOOKUP(D265,Hipotesis!$D$9:$P$38,13,FALSE))^(1/12)-1</f>
        <v>0</v>
      </c>
      <c r="X265">
        <f t="shared" si="91"/>
        <v>0</v>
      </c>
      <c r="Y265">
        <f t="shared" si="80"/>
        <v>0.40129771909888506</v>
      </c>
      <c r="Z265">
        <f>(1+VLOOKUP(D265,Hipotesis!$D$9:$O$38,12,))^(1/12)-1</f>
        <v>3.2783954852249053E-3</v>
      </c>
      <c r="AA265">
        <f t="shared" si="92"/>
        <v>0.40289657430382636</v>
      </c>
      <c r="AB265">
        <f t="shared" si="93"/>
        <v>-1.5988552049413206E-3</v>
      </c>
      <c r="AC265" s="68">
        <f t="shared" si="81"/>
        <v>-8.0350475862373538E-3</v>
      </c>
      <c r="AD265">
        <f t="shared" si="82"/>
        <v>-0.47860021325631819</v>
      </c>
      <c r="AE265" s="67">
        <f t="shared" si="83"/>
        <v>1.4735213259497906E-2</v>
      </c>
      <c r="AF265" s="67">
        <f t="shared" si="84"/>
        <v>4.4205639778493715E-3</v>
      </c>
      <c r="AG265" s="67">
        <f t="shared" si="85"/>
        <v>1.0314649281648535E-2</v>
      </c>
    </row>
    <row r="266" spans="4:33" x14ac:dyDescent="0.2">
      <c r="D266" s="50">
        <v>22</v>
      </c>
      <c r="E266">
        <v>12</v>
      </c>
      <c r="F266">
        <f t="shared" si="76"/>
        <v>71</v>
      </c>
      <c r="G266">
        <f t="shared" si="86"/>
        <v>0</v>
      </c>
      <c r="H266" s="64">
        <f>IF(E266="Anual",VLOOKUP(F266,Hipotesis!$E$9:$J$38,6,FALSE),1-(1-VLOOKUP(F266,Hipotesis!$E$9:$J$38,6,FALSE))^(1/12))</f>
        <v>1.7534747526143368E-3</v>
      </c>
      <c r="I266">
        <f t="shared" si="87"/>
        <v>0.3747406242099518</v>
      </c>
      <c r="J266">
        <v>0</v>
      </c>
      <c r="K266">
        <f>1-(1-VLOOKUP(D266,Hipotesis!$D$9:$K$38,8,FALSE))^(1/12)</f>
        <v>8.3717735912058888E-4</v>
      </c>
      <c r="L266">
        <f t="shared" si="88"/>
        <v>0.17860209159502941</v>
      </c>
      <c r="M266">
        <f t="shared" si="89"/>
        <v>213.15981377603137</v>
      </c>
      <c r="N266">
        <f>IF(D266=1,(VLOOKUP(D266,'Primas Netas Y Reservas'!$D$4:$I$33,5,FALSE)+(VLOOKUP(D266,'Primas Netas Y Reservas'!$D$4:$I$33,6,FALSE)-VLOOKUP(D266,'Primas Netas Y Reservas'!$D$4:$I$33,5,FALSE))*(E266/12))/1000,((VLOOKUP(D266-1,'Primas Netas Y Reservas'!$D$4:$I$33,6,FALSE)+VLOOKUP(D266,'Primas Netas Y Reservas'!$D$4:$I$33,5,FALSE))+(VLOOKUP(D266,'Primas Netas Y Reservas'!$D$4:$I$33,6,FALSE)-VLOOKUP(D266-1,'Primas Netas Y Reservas'!$D$4:$I$33,6,FALSE)-VLOOKUP(D266,'Primas Netas Y Reservas'!$D$4:$I$33,5,FALSE))*(E266/12))/1000)</f>
        <v>0.5755962428421334</v>
      </c>
      <c r="O266">
        <f t="shared" si="90"/>
        <v>-0.10037841032179529</v>
      </c>
      <c r="P266">
        <f>VLOOKUP(D266,Hipotesis!$D$9:$S$38,15,FALSE)*N266</f>
        <v>0.5755962428421334</v>
      </c>
      <c r="Q266">
        <f t="shared" si="77"/>
        <v>0.1028026928858455</v>
      </c>
      <c r="R266">
        <f t="shared" si="78"/>
        <v>0</v>
      </c>
      <c r="S266">
        <f t="shared" si="79"/>
        <v>0.1028026928858455</v>
      </c>
      <c r="T266">
        <f>G266*(VLOOKUP(D266,Hipotesis!$D$9:$N$38,9,FALSE)+VLOOKUP(D266,Hipotesis!$D$9:$N$38,10,FALSE)+VLOOKUP(D266,Hipotesis!$D$9:$N$38,11,FALSE))</f>
        <v>0</v>
      </c>
      <c r="U266">
        <v>0</v>
      </c>
      <c r="V266">
        <f>G266*VLOOKUP(D266,Hipotesis!$D$9:$S$38,16,FALSE)+((VLOOKUP(D266,Hipotesis!$D$9:$T$38,17,FALSE)/$B$4)*M265)/12</f>
        <v>8.014243368443863E-3</v>
      </c>
      <c r="W266">
        <f>(1+VLOOKUP(D266,Hipotesis!$D$9:$P$38,13,FALSE))^(1/12)-1</f>
        <v>0</v>
      </c>
      <c r="X266">
        <f t="shared" si="91"/>
        <v>0</v>
      </c>
      <c r="Y266">
        <f t="shared" si="80"/>
        <v>0.40097318159798617</v>
      </c>
      <c r="Z266">
        <f>(1+VLOOKUP(D266,Hipotesis!$D$9:$O$38,12,))^(1/12)-1</f>
        <v>3.2783954852249053E-3</v>
      </c>
      <c r="AA266">
        <f t="shared" si="92"/>
        <v>0.40256849623562996</v>
      </c>
      <c r="AB266">
        <f t="shared" si="93"/>
        <v>-1.5953146376437904E-3</v>
      </c>
      <c r="AC266" s="68">
        <f t="shared" si="81"/>
        <v>-8.014243368443863E-3</v>
      </c>
      <c r="AD266">
        <f t="shared" si="82"/>
        <v>-0.47754331709579728</v>
      </c>
      <c r="AE266" s="67">
        <f t="shared" si="83"/>
        <v>1.57940314555403E-2</v>
      </c>
      <c r="AF266" s="67">
        <f t="shared" si="84"/>
        <v>4.7382094366620895E-3</v>
      </c>
      <c r="AG266" s="67">
        <f t="shared" si="85"/>
        <v>1.1055822018878211E-2</v>
      </c>
    </row>
    <row r="267" spans="4:33" x14ac:dyDescent="0.2">
      <c r="D267" s="50">
        <v>23</v>
      </c>
      <c r="E267">
        <v>1</v>
      </c>
      <c r="F267">
        <f t="shared" si="76"/>
        <v>72</v>
      </c>
      <c r="G267">
        <f t="shared" si="86"/>
        <v>0</v>
      </c>
      <c r="H267" s="64">
        <f>IF(E267="Anual",VLOOKUP(F267,Hipotesis!$E$9:$J$38,6,FALSE),1-(1-VLOOKUP(F267,Hipotesis!$E$9:$J$38,6,FALSE))^(1/12))</f>
        <v>1.8858121488409818E-3</v>
      </c>
      <c r="I267">
        <f t="shared" si="87"/>
        <v>0.40197936646352128</v>
      </c>
      <c r="J267">
        <v>0</v>
      </c>
      <c r="K267">
        <f>1-(1-VLOOKUP(D267,Hipotesis!$D$9:$K$38,8,FALSE))^(1/12)</f>
        <v>8.3717735912058888E-4</v>
      </c>
      <c r="L267">
        <f t="shared" si="88"/>
        <v>0.17811604194321759</v>
      </c>
      <c r="M267">
        <f t="shared" si="89"/>
        <v>212.57971836762465</v>
      </c>
      <c r="N267">
        <f>IF(D267=1,(VLOOKUP(D267,'Primas Netas Y Reservas'!$D$4:$I$33,5,FALSE)+(VLOOKUP(D267,'Primas Netas Y Reservas'!$D$4:$I$33,6,FALSE)-VLOOKUP(D267,'Primas Netas Y Reservas'!$D$4:$I$33,5,FALSE))*(E267/12))/1000,((VLOOKUP(D267-1,'Primas Netas Y Reservas'!$D$4:$I$33,6,FALSE)+VLOOKUP(D267,'Primas Netas Y Reservas'!$D$4:$I$33,5,FALSE))+(VLOOKUP(D267,'Primas Netas Y Reservas'!$D$4:$I$33,6,FALSE)-VLOOKUP(D267-1,'Primas Netas Y Reservas'!$D$4:$I$33,6,FALSE)-VLOOKUP(D267,'Primas Netas Y Reservas'!$D$4:$I$33,5,FALSE))*(E267/12))/1000)</f>
        <v>0.57661505660489842</v>
      </c>
      <c r="O267">
        <f t="shared" si="90"/>
        <v>-0.11732159481124427</v>
      </c>
      <c r="P267">
        <f>VLOOKUP(D267,Hipotesis!$D$9:$S$38,15,FALSE)*N267</f>
        <v>0.57661505660489842</v>
      </c>
      <c r="Q267">
        <f t="shared" si="77"/>
        <v>0.10270439160732887</v>
      </c>
      <c r="R267">
        <f t="shared" si="78"/>
        <v>0</v>
      </c>
      <c r="S267">
        <f t="shared" si="79"/>
        <v>0.10270439160732887</v>
      </c>
      <c r="T267">
        <f>G267*(VLOOKUP(D267,Hipotesis!$D$9:$N$38,9,FALSE)+VLOOKUP(D267,Hipotesis!$D$9:$N$38,10,FALSE)+VLOOKUP(D267,Hipotesis!$D$9:$N$38,11,FALSE))</f>
        <v>0</v>
      </c>
      <c r="U267">
        <v>0</v>
      </c>
      <c r="V267">
        <f>G267*VLOOKUP(D267,Hipotesis!$D$9:$S$38,16,FALSE)+((VLOOKUP(D267,Hipotesis!$D$9:$T$38,17,FALSE)/$B$4)*M266)/12</f>
        <v>7.9934930166011761E-3</v>
      </c>
      <c r="W267">
        <f>(1+VLOOKUP(D267,Hipotesis!$D$9:$P$38,13,FALSE))^(1/12)-1</f>
        <v>0</v>
      </c>
      <c r="X267">
        <f t="shared" si="91"/>
        <v>0</v>
      </c>
      <c r="Y267">
        <f t="shared" si="80"/>
        <v>0.40064763442223389</v>
      </c>
      <c r="Z267">
        <f>(1+VLOOKUP(D267,Hipotesis!$D$9:$O$38,12,))^(1/12)-1</f>
        <v>3.2783954852249053E-3</v>
      </c>
      <c r="AA267">
        <f t="shared" si="92"/>
        <v>0.4022394161084169</v>
      </c>
      <c r="AB267">
        <f t="shared" si="93"/>
        <v>-1.5917816861829893E-3</v>
      </c>
      <c r="AC267" s="68">
        <f t="shared" si="81"/>
        <v>-7.9934930166011761E-3</v>
      </c>
      <c r="AD267">
        <f t="shared" si="82"/>
        <v>-0.5046837580708502</v>
      </c>
      <c r="AE267" s="67">
        <f t="shared" si="83"/>
        <v>5.2919781460268253E-3</v>
      </c>
      <c r="AF267" s="67">
        <f t="shared" si="84"/>
        <v>1.5875934438080476E-3</v>
      </c>
      <c r="AG267" s="67">
        <f t="shared" si="85"/>
        <v>3.7043847022187777E-3</v>
      </c>
    </row>
    <row r="268" spans="4:33" x14ac:dyDescent="0.2">
      <c r="D268" s="50">
        <v>23</v>
      </c>
      <c r="E268">
        <v>2</v>
      </c>
      <c r="F268">
        <f t="shared" si="76"/>
        <v>72</v>
      </c>
      <c r="G268">
        <f t="shared" si="86"/>
        <v>0</v>
      </c>
      <c r="H268" s="64">
        <f>IF(E268="Anual",VLOOKUP(F268,Hipotesis!$E$9:$J$38,6,FALSE),1-(1-VLOOKUP(F268,Hipotesis!$E$9:$J$38,6,FALSE))^(1/12))</f>
        <v>1.8858121488409818E-3</v>
      </c>
      <c r="I268">
        <f t="shared" si="87"/>
        <v>0.40088541549486095</v>
      </c>
      <c r="J268">
        <v>0</v>
      </c>
      <c r="K268">
        <f>1-(1-VLOOKUP(D268,Hipotesis!$D$9:$K$38,8,FALSE))^(1/12)</f>
        <v>8.3717735912058888E-4</v>
      </c>
      <c r="L268">
        <f t="shared" si="88"/>
        <v>0.1776313150321526</v>
      </c>
      <c r="M268">
        <f t="shared" si="89"/>
        <v>212.00120163709764</v>
      </c>
      <c r="N268">
        <f>IF(D268=1,(VLOOKUP(D268,'Primas Netas Y Reservas'!$D$4:$I$33,5,FALSE)+(VLOOKUP(D268,'Primas Netas Y Reservas'!$D$4:$I$33,6,FALSE)-VLOOKUP(D268,'Primas Netas Y Reservas'!$D$4:$I$33,5,FALSE))*(E268/12))/1000,((VLOOKUP(D268-1,'Primas Netas Y Reservas'!$D$4:$I$33,6,FALSE)+VLOOKUP(D268,'Primas Netas Y Reservas'!$D$4:$I$33,5,FALSE))+(VLOOKUP(D268,'Primas Netas Y Reservas'!$D$4:$I$33,6,FALSE)-VLOOKUP(D268-1,'Primas Netas Y Reservas'!$D$4:$I$33,6,FALSE)-VLOOKUP(D268,'Primas Netas Y Reservas'!$D$4:$I$33,5,FALSE))*(E268/12))/1000)</f>
        <v>0.57763387036766345</v>
      </c>
      <c r="O268">
        <f t="shared" si="90"/>
        <v>-0.11759171536911595</v>
      </c>
      <c r="P268">
        <f>VLOOKUP(D268,Hipotesis!$D$9:$S$38,15,FALSE)*N268</f>
        <v>0.57763387036766345</v>
      </c>
      <c r="Q268">
        <f t="shared" si="77"/>
        <v>0.10260586400052002</v>
      </c>
      <c r="R268">
        <f t="shared" si="78"/>
        <v>0</v>
      </c>
      <c r="S268">
        <f t="shared" si="79"/>
        <v>0.10260586400052002</v>
      </c>
      <c r="T268">
        <f>G268*(VLOOKUP(D268,Hipotesis!$D$9:$N$38,9,FALSE)+VLOOKUP(D268,Hipotesis!$D$9:$N$38,10,FALSE)+VLOOKUP(D268,Hipotesis!$D$9:$N$38,11,FALSE))</f>
        <v>0</v>
      </c>
      <c r="U268">
        <v>0</v>
      </c>
      <c r="V268">
        <f>G268*VLOOKUP(D268,Hipotesis!$D$9:$S$38,16,FALSE)+((VLOOKUP(D268,Hipotesis!$D$9:$T$38,17,FALSE)/$B$4)*M267)/12</f>
        <v>7.9717394387859245E-3</v>
      </c>
      <c r="W268">
        <f>(1+VLOOKUP(D268,Hipotesis!$D$9:$P$38,13,FALSE))^(1/12)-1</f>
        <v>0</v>
      </c>
      <c r="X268">
        <f t="shared" si="91"/>
        <v>0</v>
      </c>
      <c r="Y268">
        <f t="shared" si="80"/>
        <v>0.40017410205315707</v>
      </c>
      <c r="Z268">
        <f>(1+VLOOKUP(D268,Hipotesis!$D$9:$O$38,12,))^(1/12)-1</f>
        <v>3.2783954852249053E-3</v>
      </c>
      <c r="AA268">
        <f t="shared" si="92"/>
        <v>0.40185478952166837</v>
      </c>
      <c r="AB268">
        <f t="shared" si="93"/>
        <v>-1.6806874685113189E-3</v>
      </c>
      <c r="AC268" s="68">
        <f t="shared" si="81"/>
        <v>-7.9717394387859245E-3</v>
      </c>
      <c r="AD268">
        <f t="shared" si="82"/>
        <v>-0.50349127949538097</v>
      </c>
      <c r="AE268" s="67">
        <f t="shared" si="83"/>
        <v>6.3027984881061146E-3</v>
      </c>
      <c r="AF268" s="67">
        <f t="shared" si="84"/>
        <v>1.8908395464318343E-3</v>
      </c>
      <c r="AG268" s="67">
        <f t="shared" si="85"/>
        <v>4.4119589416742808E-3</v>
      </c>
    </row>
    <row r="269" spans="4:33" x14ac:dyDescent="0.2">
      <c r="D269" s="50">
        <v>23</v>
      </c>
      <c r="E269">
        <v>3</v>
      </c>
      <c r="F269">
        <f t="shared" si="76"/>
        <v>72</v>
      </c>
      <c r="G269">
        <f t="shared" si="86"/>
        <v>0</v>
      </c>
      <c r="H269" s="64">
        <f>IF(E269="Anual",VLOOKUP(F269,Hipotesis!$E$9:$J$38,6,FALSE),1-(1-VLOOKUP(F269,Hipotesis!$E$9:$J$38,6,FALSE))^(1/12))</f>
        <v>1.8858121488409818E-3</v>
      </c>
      <c r="I269">
        <f t="shared" si="87"/>
        <v>0.39979444161612532</v>
      </c>
      <c r="J269">
        <v>0</v>
      </c>
      <c r="K269">
        <f>1-(1-VLOOKUP(D269,Hipotesis!$D$9:$K$38,8,FALSE))^(1/12)</f>
        <v>8.3717735912058888E-4</v>
      </c>
      <c r="L269">
        <f t="shared" si="88"/>
        <v>0.17714790726211357</v>
      </c>
      <c r="M269">
        <f t="shared" si="89"/>
        <v>211.42425928821939</v>
      </c>
      <c r="N269">
        <f>IF(D269=1,(VLOOKUP(D269,'Primas Netas Y Reservas'!$D$4:$I$33,5,FALSE)+(VLOOKUP(D269,'Primas Netas Y Reservas'!$D$4:$I$33,6,FALSE)-VLOOKUP(D269,'Primas Netas Y Reservas'!$D$4:$I$33,5,FALSE))*(E269/12))/1000,((VLOOKUP(D269-1,'Primas Netas Y Reservas'!$D$4:$I$33,6,FALSE)+VLOOKUP(D269,'Primas Netas Y Reservas'!$D$4:$I$33,5,FALSE))+(VLOOKUP(D269,'Primas Netas Y Reservas'!$D$4:$I$33,6,FALSE)-VLOOKUP(D269-1,'Primas Netas Y Reservas'!$D$4:$I$33,6,FALSE)-VLOOKUP(D269,'Primas Netas Y Reservas'!$D$4:$I$33,5,FALSE))*(E269/12))/1000)</f>
        <v>0.57865268413042847</v>
      </c>
      <c r="O269">
        <f t="shared" si="90"/>
        <v>-0.11785949681630825</v>
      </c>
      <c r="P269">
        <f>VLOOKUP(D269,Hipotesis!$D$9:$S$38,15,FALSE)*N269</f>
        <v>0.57865268413042847</v>
      </c>
      <c r="Q269">
        <f t="shared" si="77"/>
        <v>0.10250711202531024</v>
      </c>
      <c r="R269">
        <f t="shared" si="78"/>
        <v>0</v>
      </c>
      <c r="S269">
        <f t="shared" si="79"/>
        <v>0.10250711202531024</v>
      </c>
      <c r="T269">
        <f>G269*(VLOOKUP(D269,Hipotesis!$D$9:$N$38,9,FALSE)+VLOOKUP(D269,Hipotesis!$D$9:$N$38,10,FALSE)+VLOOKUP(D269,Hipotesis!$D$9:$N$38,11,FALSE))</f>
        <v>0</v>
      </c>
      <c r="U269">
        <v>0</v>
      </c>
      <c r="V269">
        <f>G269*VLOOKUP(D269,Hipotesis!$D$9:$S$38,16,FALSE)+((VLOOKUP(D269,Hipotesis!$D$9:$T$38,17,FALSE)/$B$4)*M268)/12</f>
        <v>7.9500450613911606E-3</v>
      </c>
      <c r="W269">
        <f>(1+VLOOKUP(D269,Hipotesis!$D$9:$P$38,13,FALSE))^(1/12)-1</f>
        <v>0</v>
      </c>
      <c r="X269">
        <f t="shared" si="91"/>
        <v>0</v>
      </c>
      <c r="Y269">
        <f t="shared" si="80"/>
        <v>0.39979257044351801</v>
      </c>
      <c r="Z269">
        <f>(1+VLOOKUP(D269,Hipotesis!$D$9:$O$38,12,))^(1/12)-1</f>
        <v>3.2783954852249053E-3</v>
      </c>
      <c r="AA269">
        <f t="shared" si="92"/>
        <v>0.40146927737290239</v>
      </c>
      <c r="AB269">
        <f t="shared" si="93"/>
        <v>-1.6767069293843672E-3</v>
      </c>
      <c r="AC269" s="68">
        <f t="shared" si="81"/>
        <v>-7.9500450613911606E-3</v>
      </c>
      <c r="AD269">
        <f t="shared" si="82"/>
        <v>-0.50230155364143558</v>
      </c>
      <c r="AE269" s="67">
        <f t="shared" si="83"/>
        <v>7.4004685569995492E-3</v>
      </c>
      <c r="AF269" s="67">
        <f t="shared" si="84"/>
        <v>2.2201405670998647E-3</v>
      </c>
      <c r="AG269" s="67">
        <f t="shared" si="85"/>
        <v>5.180327989899685E-3</v>
      </c>
    </row>
    <row r="270" spans="4:33" x14ac:dyDescent="0.2">
      <c r="D270" s="50">
        <v>23</v>
      </c>
      <c r="E270">
        <v>4</v>
      </c>
      <c r="F270">
        <f t="shared" si="76"/>
        <v>72</v>
      </c>
      <c r="G270">
        <f t="shared" si="86"/>
        <v>0</v>
      </c>
      <c r="H270" s="64">
        <f>IF(E270="Anual",VLOOKUP(F270,Hipotesis!$E$9:$J$38,6,FALSE),1-(1-VLOOKUP(F270,Hipotesis!$E$9:$J$38,6,FALSE))^(1/12))</f>
        <v>1.8858121488409818E-3</v>
      </c>
      <c r="I270">
        <f t="shared" si="87"/>
        <v>0.39870643672542994</v>
      </c>
      <c r="J270">
        <v>0</v>
      </c>
      <c r="K270">
        <f>1-(1-VLOOKUP(D270,Hipotesis!$D$9:$K$38,8,FALSE))^(1/12)</f>
        <v>8.3717735912058888E-4</v>
      </c>
      <c r="L270">
        <f t="shared" si="88"/>
        <v>0.17666581504317597</v>
      </c>
      <c r="M270">
        <f t="shared" si="89"/>
        <v>210.84888703645078</v>
      </c>
      <c r="N270">
        <f>IF(D270=1,(VLOOKUP(D270,'Primas Netas Y Reservas'!$D$4:$I$33,5,FALSE)+(VLOOKUP(D270,'Primas Netas Y Reservas'!$D$4:$I$33,6,FALSE)-VLOOKUP(D270,'Primas Netas Y Reservas'!$D$4:$I$33,5,FALSE))*(E270/12))/1000,((VLOOKUP(D270-1,'Primas Netas Y Reservas'!$D$4:$I$33,6,FALSE)+VLOOKUP(D270,'Primas Netas Y Reservas'!$D$4:$I$33,5,FALSE))+(VLOOKUP(D270,'Primas Netas Y Reservas'!$D$4:$I$33,6,FALSE)-VLOOKUP(D270-1,'Primas Netas Y Reservas'!$D$4:$I$33,6,FALSE)-VLOOKUP(D270,'Primas Netas Y Reservas'!$D$4:$I$33,5,FALSE))*(E270/12))/1000)</f>
        <v>0.5796714978931935</v>
      </c>
      <c r="O270">
        <f t="shared" si="90"/>
        <v>-0.11812494988365074</v>
      </c>
      <c r="P270">
        <f>VLOOKUP(D270,Hipotesis!$D$9:$S$38,15,FALSE)*N270</f>
        <v>0.5796714978931935</v>
      </c>
      <c r="Q270">
        <f t="shared" si="77"/>
        <v>0.10240813763259969</v>
      </c>
      <c r="R270">
        <f t="shared" si="78"/>
        <v>0</v>
      </c>
      <c r="S270">
        <f t="shared" si="79"/>
        <v>0.10240813763259969</v>
      </c>
      <c r="T270">
        <f>G270*(VLOOKUP(D270,Hipotesis!$D$9:$N$38,9,FALSE)+VLOOKUP(D270,Hipotesis!$D$9:$N$38,10,FALSE)+VLOOKUP(D270,Hipotesis!$D$9:$N$38,11,FALSE))</f>
        <v>0</v>
      </c>
      <c r="U270">
        <v>0</v>
      </c>
      <c r="V270">
        <f>G270*VLOOKUP(D270,Hipotesis!$D$9:$S$38,16,FALSE)+((VLOOKUP(D270,Hipotesis!$D$9:$T$38,17,FALSE)/$B$4)*M269)/12</f>
        <v>7.9284097233082267E-3</v>
      </c>
      <c r="W270">
        <f>(1+VLOOKUP(D270,Hipotesis!$D$9:$P$38,13,FALSE))^(1/12)-1</f>
        <v>0</v>
      </c>
      <c r="X270">
        <f t="shared" si="91"/>
        <v>0</v>
      </c>
      <c r="Y270">
        <f t="shared" si="80"/>
        <v>0.39941015172232747</v>
      </c>
      <c r="Z270">
        <f>(1+VLOOKUP(D270,Hipotesis!$D$9:$O$38,12,))^(1/12)-1</f>
        <v>3.2783954852249053E-3</v>
      </c>
      <c r="AA270">
        <f t="shared" si="92"/>
        <v>0.4010828873306489</v>
      </c>
      <c r="AB270">
        <f t="shared" si="93"/>
        <v>-1.6727356083214449E-3</v>
      </c>
      <c r="AC270" s="68">
        <f t="shared" si="81"/>
        <v>-7.9284097233082267E-3</v>
      </c>
      <c r="AD270">
        <f t="shared" si="82"/>
        <v>-0.50111457435802964</v>
      </c>
      <c r="AE270" s="67">
        <f t="shared" si="83"/>
        <v>8.4921175246403559E-3</v>
      </c>
      <c r="AF270" s="67">
        <f t="shared" si="84"/>
        <v>2.5476352573921067E-3</v>
      </c>
      <c r="AG270" s="67">
        <f t="shared" si="85"/>
        <v>5.9444822672482488E-3</v>
      </c>
    </row>
    <row r="271" spans="4:33" x14ac:dyDescent="0.2">
      <c r="D271" s="50">
        <v>23</v>
      </c>
      <c r="E271">
        <v>5</v>
      </c>
      <c r="F271">
        <f t="shared" si="76"/>
        <v>72</v>
      </c>
      <c r="G271">
        <f t="shared" si="86"/>
        <v>0</v>
      </c>
      <c r="H271" s="64">
        <f>IF(E271="Anual",VLOOKUP(F271,Hipotesis!$E$9:$J$38,6,FALSE),1-(1-VLOOKUP(F271,Hipotesis!$E$9:$J$38,6,FALSE))^(1/12))</f>
        <v>1.8858121488409818E-3</v>
      </c>
      <c r="I271">
        <f t="shared" si="87"/>
        <v>0.39762139274293867</v>
      </c>
      <c r="J271">
        <v>0</v>
      </c>
      <c r="K271">
        <f>1-(1-VLOOKUP(D271,Hipotesis!$D$9:$K$38,8,FALSE))^(1/12)</f>
        <v>8.3717735912058888E-4</v>
      </c>
      <c r="L271">
        <f t="shared" si="88"/>
        <v>0.17618503479518485</v>
      </c>
      <c r="M271">
        <f t="shared" si="89"/>
        <v>210.27508060891265</v>
      </c>
      <c r="N271">
        <f>IF(D271=1,(VLOOKUP(D271,'Primas Netas Y Reservas'!$D$4:$I$33,5,FALSE)+(VLOOKUP(D271,'Primas Netas Y Reservas'!$D$4:$I$33,6,FALSE)-VLOOKUP(D271,'Primas Netas Y Reservas'!$D$4:$I$33,5,FALSE))*(E271/12))/1000,((VLOOKUP(D271-1,'Primas Netas Y Reservas'!$D$4:$I$33,6,FALSE)+VLOOKUP(D271,'Primas Netas Y Reservas'!$D$4:$I$33,5,FALSE))+(VLOOKUP(D271,'Primas Netas Y Reservas'!$D$4:$I$33,6,FALSE)-VLOOKUP(D271-1,'Primas Netas Y Reservas'!$D$4:$I$33,6,FALSE)-VLOOKUP(D271,'Primas Netas Y Reservas'!$D$4:$I$33,5,FALSE))*(E271/12))/1000)</f>
        <v>0.58069031165595852</v>
      </c>
      <c r="O271">
        <f t="shared" si="90"/>
        <v>-0.1183880852608894</v>
      </c>
      <c r="P271">
        <f>VLOOKUP(D271,Hipotesis!$D$9:$S$38,15,FALSE)*N271</f>
        <v>0.58069031165595852</v>
      </c>
      <c r="Q271">
        <f t="shared" si="77"/>
        <v>0.10230894276433179</v>
      </c>
      <c r="R271">
        <f t="shared" si="78"/>
        <v>0</v>
      </c>
      <c r="S271">
        <f t="shared" si="79"/>
        <v>0.10230894276433179</v>
      </c>
      <c r="T271">
        <f>G271*(VLOOKUP(D271,Hipotesis!$D$9:$N$38,9,FALSE)+VLOOKUP(D271,Hipotesis!$D$9:$N$38,10,FALSE)+VLOOKUP(D271,Hipotesis!$D$9:$N$38,11,FALSE))</f>
        <v>0</v>
      </c>
      <c r="U271">
        <v>0</v>
      </c>
      <c r="V271">
        <f>G271*VLOOKUP(D271,Hipotesis!$D$9:$S$38,16,FALSE)+((VLOOKUP(D271,Hipotesis!$D$9:$T$38,17,FALSE)/$B$4)*M270)/12</f>
        <v>7.9068332638669043E-3</v>
      </c>
      <c r="W271">
        <f>(1+VLOOKUP(D271,Hipotesis!$D$9:$P$38,13,FALSE))^(1/12)-1</f>
        <v>0</v>
      </c>
      <c r="X271">
        <f t="shared" si="91"/>
        <v>0</v>
      </c>
      <c r="Y271">
        <f t="shared" si="80"/>
        <v>0.39902685354362749</v>
      </c>
      <c r="Z271">
        <f>(1+VLOOKUP(D271,Hipotesis!$D$9:$O$38,12,))^(1/12)-1</f>
        <v>3.2783954852249053E-3</v>
      </c>
      <c r="AA271">
        <f t="shared" si="92"/>
        <v>0.40069562702825795</v>
      </c>
      <c r="AB271">
        <f t="shared" si="93"/>
        <v>-1.6687734846304518E-3</v>
      </c>
      <c r="AC271" s="68">
        <f t="shared" si="81"/>
        <v>-7.9068332638669043E-3</v>
      </c>
      <c r="AD271">
        <f t="shared" si="82"/>
        <v>-0.49993033550727045</v>
      </c>
      <c r="AE271" s="67">
        <f t="shared" si="83"/>
        <v>9.577770033379519E-3</v>
      </c>
      <c r="AF271" s="67">
        <f t="shared" si="84"/>
        <v>2.8733310100138554E-3</v>
      </c>
      <c r="AG271" s="67">
        <f t="shared" si="85"/>
        <v>6.7044390233656631E-3</v>
      </c>
    </row>
    <row r="272" spans="4:33" x14ac:dyDescent="0.2">
      <c r="D272" s="50">
        <v>23</v>
      </c>
      <c r="E272">
        <v>6</v>
      </c>
      <c r="F272">
        <f t="shared" si="76"/>
        <v>72</v>
      </c>
      <c r="G272">
        <f t="shared" si="86"/>
        <v>0</v>
      </c>
      <c r="H272" s="64">
        <f>IF(E272="Anual",VLOOKUP(F272,Hipotesis!$E$9:$J$38,6,FALSE),1-(1-VLOOKUP(F272,Hipotesis!$E$9:$J$38,6,FALSE))^(1/12))</f>
        <v>1.8858121488409818E-3</v>
      </c>
      <c r="I272">
        <f t="shared" si="87"/>
        <v>0.3965393016108042</v>
      </c>
      <c r="J272">
        <v>0</v>
      </c>
      <c r="K272">
        <f>1-(1-VLOOKUP(D272,Hipotesis!$D$9:$K$38,8,FALSE))^(1/12)</f>
        <v>8.3717735912058888E-4</v>
      </c>
      <c r="L272">
        <f t="shared" si="88"/>
        <v>0.17570556294772838</v>
      </c>
      <c r="M272">
        <f t="shared" si="89"/>
        <v>209.7028357443541</v>
      </c>
      <c r="N272">
        <f>IF(D272=1,(VLOOKUP(D272,'Primas Netas Y Reservas'!$D$4:$I$33,5,FALSE)+(VLOOKUP(D272,'Primas Netas Y Reservas'!$D$4:$I$33,6,FALSE)-VLOOKUP(D272,'Primas Netas Y Reservas'!$D$4:$I$33,5,FALSE))*(E272/12))/1000,((VLOOKUP(D272-1,'Primas Netas Y Reservas'!$D$4:$I$33,6,FALSE)+VLOOKUP(D272,'Primas Netas Y Reservas'!$D$4:$I$33,5,FALSE))+(VLOOKUP(D272,'Primas Netas Y Reservas'!$D$4:$I$33,6,FALSE)-VLOOKUP(D272-1,'Primas Netas Y Reservas'!$D$4:$I$33,6,FALSE)-VLOOKUP(D272,'Primas Netas Y Reservas'!$D$4:$I$33,5,FALSE))*(E272/12))/1000)</f>
        <v>0.58170912541872366</v>
      </c>
      <c r="O272">
        <f t="shared" si="90"/>
        <v>-0.1186489135968003</v>
      </c>
      <c r="P272">
        <f>VLOOKUP(D272,Hipotesis!$D$9:$S$38,15,FALSE)*N272</f>
        <v>0.58170912541872366</v>
      </c>
      <c r="Q272">
        <f t="shared" si="77"/>
        <v>0.10220952935352758</v>
      </c>
      <c r="R272">
        <f t="shared" si="78"/>
        <v>0</v>
      </c>
      <c r="S272">
        <f t="shared" si="79"/>
        <v>0.10220952935352758</v>
      </c>
      <c r="T272">
        <f>G272*(VLOOKUP(D272,Hipotesis!$D$9:$N$38,9,FALSE)+VLOOKUP(D272,Hipotesis!$D$9:$N$38,10,FALSE)+VLOOKUP(D272,Hipotesis!$D$9:$N$38,11,FALSE))</f>
        <v>0</v>
      </c>
      <c r="U272">
        <v>0</v>
      </c>
      <c r="V272">
        <f>G272*VLOOKUP(D272,Hipotesis!$D$9:$S$38,16,FALSE)+((VLOOKUP(D272,Hipotesis!$D$9:$T$38,17,FALSE)/$B$4)*M271)/12</f>
        <v>7.8853155228342242E-3</v>
      </c>
      <c r="W272">
        <f>(1+VLOOKUP(D272,Hipotesis!$D$9:$P$38,13,FALSE))^(1/12)-1</f>
        <v>0</v>
      </c>
      <c r="X272">
        <f t="shared" si="91"/>
        <v>0</v>
      </c>
      <c r="Y272">
        <f t="shared" si="80"/>
        <v>0.39864268352637056</v>
      </c>
      <c r="Z272">
        <f>(1+VLOOKUP(D272,Hipotesis!$D$9:$O$38,12,))^(1/12)-1</f>
        <v>3.2783954852249053E-3</v>
      </c>
      <c r="AA272">
        <f t="shared" si="92"/>
        <v>0.4003075040640342</v>
      </c>
      <c r="AB272">
        <f t="shared" si="93"/>
        <v>-1.6648205376636411E-3</v>
      </c>
      <c r="AC272" s="68">
        <f t="shared" si="81"/>
        <v>-7.8853155228342242E-3</v>
      </c>
      <c r="AD272">
        <f t="shared" si="82"/>
        <v>-0.49874883096433176</v>
      </c>
      <c r="AE272" s="67">
        <f t="shared" si="83"/>
        <v>1.0657450636004859E-2</v>
      </c>
      <c r="AF272" s="67">
        <f t="shared" si="84"/>
        <v>3.1972351908014576E-3</v>
      </c>
      <c r="AG272" s="67">
        <f t="shared" si="85"/>
        <v>7.4602154452034011E-3</v>
      </c>
    </row>
    <row r="273" spans="4:33" x14ac:dyDescent="0.2">
      <c r="D273" s="50">
        <v>23</v>
      </c>
      <c r="E273">
        <v>7</v>
      </c>
      <c r="F273">
        <f t="shared" si="76"/>
        <v>72</v>
      </c>
      <c r="G273">
        <f t="shared" si="86"/>
        <v>0</v>
      </c>
      <c r="H273" s="64">
        <f>IF(E273="Anual",VLOOKUP(F273,Hipotesis!$E$9:$J$38,6,FALSE),1-(1-VLOOKUP(F273,Hipotesis!$E$9:$J$38,6,FALSE))^(1/12))</f>
        <v>1.8858121488409818E-3</v>
      </c>
      <c r="I273">
        <f t="shared" si="87"/>
        <v>0.39546015529310785</v>
      </c>
      <c r="J273">
        <v>0</v>
      </c>
      <c r="K273">
        <f>1-(1-VLOOKUP(D273,Hipotesis!$D$9:$K$38,8,FALSE))^(1/12)</f>
        <v>8.3717735912058888E-4</v>
      </c>
      <c r="L273">
        <f t="shared" si="88"/>
        <v>0.1752273959401113</v>
      </c>
      <c r="M273">
        <f t="shared" si="89"/>
        <v>209.13214819312088</v>
      </c>
      <c r="N273">
        <f>IF(D273=1,(VLOOKUP(D273,'Primas Netas Y Reservas'!$D$4:$I$33,5,FALSE)+(VLOOKUP(D273,'Primas Netas Y Reservas'!$D$4:$I$33,6,FALSE)-VLOOKUP(D273,'Primas Netas Y Reservas'!$D$4:$I$33,5,FALSE))*(E273/12))/1000,((VLOOKUP(D273-1,'Primas Netas Y Reservas'!$D$4:$I$33,6,FALSE)+VLOOKUP(D273,'Primas Netas Y Reservas'!$D$4:$I$33,5,FALSE))+(VLOOKUP(D273,'Primas Netas Y Reservas'!$D$4:$I$33,6,FALSE)-VLOOKUP(D273-1,'Primas Netas Y Reservas'!$D$4:$I$33,6,FALSE)-VLOOKUP(D273,'Primas Netas Y Reservas'!$D$4:$I$33,5,FALSE))*(E273/12))/1000)</f>
        <v>0.5827279391814888</v>
      </c>
      <c r="O273">
        <f t="shared" si="90"/>
        <v>-0.11890744549943122</v>
      </c>
      <c r="P273">
        <f>VLOOKUP(D273,Hipotesis!$D$9:$S$38,15,FALSE)*N273</f>
        <v>0.5827279391814888</v>
      </c>
      <c r="Q273">
        <f t="shared" si="77"/>
        <v>0.10210989932431984</v>
      </c>
      <c r="R273">
        <f t="shared" si="78"/>
        <v>0</v>
      </c>
      <c r="S273">
        <f t="shared" si="79"/>
        <v>0.10210989932431984</v>
      </c>
      <c r="T273">
        <f>G273*(VLOOKUP(D273,Hipotesis!$D$9:$N$38,9,FALSE)+VLOOKUP(D273,Hipotesis!$D$9:$N$38,10,FALSE)+VLOOKUP(D273,Hipotesis!$D$9:$N$38,11,FALSE))</f>
        <v>0</v>
      </c>
      <c r="U273">
        <v>0</v>
      </c>
      <c r="V273">
        <f>G273*VLOOKUP(D273,Hipotesis!$D$9:$S$38,16,FALSE)+((VLOOKUP(D273,Hipotesis!$D$9:$T$38,17,FALSE)/$B$4)*M272)/12</f>
        <v>7.8638563404132781E-3</v>
      </c>
      <c r="W273">
        <f>(1+VLOOKUP(D273,Hipotesis!$D$9:$P$38,13,FALSE))^(1/12)-1</f>
        <v>0</v>
      </c>
      <c r="X273">
        <f t="shared" si="91"/>
        <v>0</v>
      </c>
      <c r="Y273">
        <f t="shared" si="80"/>
        <v>0.39825764925455409</v>
      </c>
      <c r="Z273">
        <f>(1+VLOOKUP(D273,Hipotesis!$D$9:$O$38,12,))^(1/12)-1</f>
        <v>3.2783954852249053E-3</v>
      </c>
      <c r="AA273">
        <f t="shared" si="92"/>
        <v>0.39991852600137162</v>
      </c>
      <c r="AB273">
        <f t="shared" si="93"/>
        <v>-1.6608767468175329E-3</v>
      </c>
      <c r="AC273" s="68">
        <f t="shared" si="81"/>
        <v>-7.8638563404132781E-3</v>
      </c>
      <c r="AD273">
        <f t="shared" si="82"/>
        <v>-0.4975700546174277</v>
      </c>
      <c r="AE273" s="67">
        <f t="shared" si="83"/>
        <v>1.1731183796144342E-2</v>
      </c>
      <c r="AF273" s="67">
        <f t="shared" si="84"/>
        <v>3.5193551388433024E-3</v>
      </c>
      <c r="AG273" s="67">
        <f t="shared" si="85"/>
        <v>8.2118286573010409E-3</v>
      </c>
    </row>
    <row r="274" spans="4:33" x14ac:dyDescent="0.2">
      <c r="D274" s="50">
        <v>23</v>
      </c>
      <c r="E274">
        <v>8</v>
      </c>
      <c r="F274">
        <f t="shared" si="76"/>
        <v>72</v>
      </c>
      <c r="G274">
        <f t="shared" si="86"/>
        <v>0</v>
      </c>
      <c r="H274" s="64">
        <f>IF(E274="Anual",VLOOKUP(F274,Hipotesis!$E$9:$J$38,6,FALSE),1-(1-VLOOKUP(F274,Hipotesis!$E$9:$J$38,6,FALSE))^(1/12))</f>
        <v>1.8858121488409818E-3</v>
      </c>
      <c r="I274">
        <f t="shared" si="87"/>
        <v>0.39438394577579994</v>
      </c>
      <c r="J274">
        <v>0</v>
      </c>
      <c r="K274">
        <f>1-(1-VLOOKUP(D274,Hipotesis!$D$9:$K$38,8,FALSE))^(1/12)</f>
        <v>8.3717735912058888E-4</v>
      </c>
      <c r="L274">
        <f t="shared" si="88"/>
        <v>0.17475053022132844</v>
      </c>
      <c r="M274">
        <f t="shared" si="89"/>
        <v>208.56301371712377</v>
      </c>
      <c r="N274">
        <f>IF(D274=1,(VLOOKUP(D274,'Primas Netas Y Reservas'!$D$4:$I$33,5,FALSE)+(VLOOKUP(D274,'Primas Netas Y Reservas'!$D$4:$I$33,6,FALSE)-VLOOKUP(D274,'Primas Netas Y Reservas'!$D$4:$I$33,5,FALSE))*(E274/12))/1000,((VLOOKUP(D274-1,'Primas Netas Y Reservas'!$D$4:$I$33,6,FALSE)+VLOOKUP(D274,'Primas Netas Y Reservas'!$D$4:$I$33,5,FALSE))+(VLOOKUP(D274,'Primas Netas Y Reservas'!$D$4:$I$33,6,FALSE)-VLOOKUP(D274-1,'Primas Netas Y Reservas'!$D$4:$I$33,6,FALSE)-VLOOKUP(D274,'Primas Netas Y Reservas'!$D$4:$I$33,5,FALSE))*(E274/12))/1000)</f>
        <v>0.58374675294425382</v>
      </c>
      <c r="O274">
        <f t="shared" si="90"/>
        <v>-0.11916369153618689</v>
      </c>
      <c r="P274">
        <f>VLOOKUP(D274,Hipotesis!$D$9:$S$38,15,FALSE)*N274</f>
        <v>0.58374675294425382</v>
      </c>
      <c r="Q274">
        <f t="shared" si="77"/>
        <v>0.10201005459198717</v>
      </c>
      <c r="R274">
        <f t="shared" si="78"/>
        <v>0</v>
      </c>
      <c r="S274">
        <f t="shared" si="79"/>
        <v>0.10201005459198717</v>
      </c>
      <c r="T274">
        <f>G274*(VLOOKUP(D274,Hipotesis!$D$9:$N$38,9,FALSE)+VLOOKUP(D274,Hipotesis!$D$9:$N$38,10,FALSE)+VLOOKUP(D274,Hipotesis!$D$9:$N$38,11,FALSE))</f>
        <v>0</v>
      </c>
      <c r="U274">
        <v>0</v>
      </c>
      <c r="V274">
        <f>G274*VLOOKUP(D274,Hipotesis!$D$9:$S$38,16,FALSE)+((VLOOKUP(D274,Hipotesis!$D$9:$T$38,17,FALSE)/$B$4)*M273)/12</f>
        <v>7.8424555572420337E-3</v>
      </c>
      <c r="W274">
        <f>(1+VLOOKUP(D274,Hipotesis!$D$9:$P$38,13,FALSE))^(1/12)-1</f>
        <v>0</v>
      </c>
      <c r="X274">
        <f t="shared" si="91"/>
        <v>0</v>
      </c>
      <c r="Y274">
        <f t="shared" si="80"/>
        <v>0.39787175827735383</v>
      </c>
      <c r="Z274">
        <f>(1+VLOOKUP(D274,Hipotesis!$D$9:$O$38,12,))^(1/12)-1</f>
        <v>3.2783954852249053E-3</v>
      </c>
      <c r="AA274">
        <f t="shared" si="92"/>
        <v>0.39952870036888666</v>
      </c>
      <c r="AB274">
        <f t="shared" si="93"/>
        <v>-1.6569420915328236E-3</v>
      </c>
      <c r="AC274" s="68">
        <f t="shared" si="81"/>
        <v>-7.8424555572420337E-3</v>
      </c>
      <c r="AD274">
        <f t="shared" si="82"/>
        <v>-0.49639400036778714</v>
      </c>
      <c r="AE274" s="67">
        <f t="shared" si="83"/>
        <v>1.2798993888511573E-2</v>
      </c>
      <c r="AF274" s="67">
        <f t="shared" si="84"/>
        <v>3.8396981665534719E-3</v>
      </c>
      <c r="AG274" s="67">
        <f t="shared" si="85"/>
        <v>8.9592957219581017E-3</v>
      </c>
    </row>
    <row r="275" spans="4:33" x14ac:dyDescent="0.2">
      <c r="D275" s="50">
        <v>23</v>
      </c>
      <c r="E275">
        <v>9</v>
      </c>
      <c r="F275">
        <f t="shared" si="76"/>
        <v>72</v>
      </c>
      <c r="G275">
        <f t="shared" si="86"/>
        <v>0</v>
      </c>
      <c r="H275" s="64">
        <f>IF(E275="Anual",VLOOKUP(F275,Hipotesis!$E$9:$J$38,6,FALSE),1-(1-VLOOKUP(F275,Hipotesis!$E$9:$J$38,6,FALSE))^(1/12))</f>
        <v>1.8858121488409818E-3</v>
      </c>
      <c r="I275">
        <f t="shared" si="87"/>
        <v>0.39331066506664036</v>
      </c>
      <c r="J275">
        <v>0</v>
      </c>
      <c r="K275">
        <f>1-(1-VLOOKUP(D275,Hipotesis!$D$9:$K$38,8,FALSE))^(1/12)</f>
        <v>8.3717735912058888E-4</v>
      </c>
      <c r="L275">
        <f t="shared" si="88"/>
        <v>0.17427496225003836</v>
      </c>
      <c r="M275">
        <f t="shared" si="89"/>
        <v>207.99542808980709</v>
      </c>
      <c r="N275">
        <f>IF(D275=1,(VLOOKUP(D275,'Primas Netas Y Reservas'!$D$4:$I$33,5,FALSE)+(VLOOKUP(D275,'Primas Netas Y Reservas'!$D$4:$I$33,6,FALSE)-VLOOKUP(D275,'Primas Netas Y Reservas'!$D$4:$I$33,5,FALSE))*(E275/12))/1000,((VLOOKUP(D275-1,'Primas Netas Y Reservas'!$D$4:$I$33,6,FALSE)+VLOOKUP(D275,'Primas Netas Y Reservas'!$D$4:$I$33,5,FALSE))+(VLOOKUP(D275,'Primas Netas Y Reservas'!$D$4:$I$33,6,FALSE)-VLOOKUP(D275-1,'Primas Netas Y Reservas'!$D$4:$I$33,6,FALSE)-VLOOKUP(D275,'Primas Netas Y Reservas'!$D$4:$I$33,5,FALSE))*(E275/12))/1000)</f>
        <v>0.58476556670701885</v>
      </c>
      <c r="O275">
        <f t="shared" si="90"/>
        <v>-0.11941766223382899</v>
      </c>
      <c r="P275">
        <f>VLOOKUP(D275,Hipotesis!$D$9:$S$38,15,FALSE)*N275</f>
        <v>0.58476556670701885</v>
      </c>
      <c r="Q275">
        <f t="shared" si="77"/>
        <v>0.10190999706298799</v>
      </c>
      <c r="R275">
        <f t="shared" si="78"/>
        <v>0</v>
      </c>
      <c r="S275">
        <f t="shared" si="79"/>
        <v>0.10190999706298799</v>
      </c>
      <c r="T275">
        <f>G275*(VLOOKUP(D275,Hipotesis!$D$9:$N$38,9,FALSE)+VLOOKUP(D275,Hipotesis!$D$9:$N$38,10,FALSE)+VLOOKUP(D275,Hipotesis!$D$9:$N$38,11,FALSE))</f>
        <v>0</v>
      </c>
      <c r="U275">
        <v>0</v>
      </c>
      <c r="V275">
        <f>G275*VLOOKUP(D275,Hipotesis!$D$9:$S$38,16,FALSE)+((VLOOKUP(D275,Hipotesis!$D$9:$T$38,17,FALSE)/$B$4)*M274)/12</f>
        <v>7.8211130143921413E-3</v>
      </c>
      <c r="W275">
        <f>(1+VLOOKUP(D275,Hipotesis!$D$9:$P$38,13,FALSE))^(1/12)-1</f>
        <v>0</v>
      </c>
      <c r="X275">
        <f t="shared" si="91"/>
        <v>0</v>
      </c>
      <c r="Y275">
        <f t="shared" si="80"/>
        <v>0.3974850181092574</v>
      </c>
      <c r="Z275">
        <f>(1+VLOOKUP(D275,Hipotesis!$D$9:$O$38,12,))^(1/12)-1</f>
        <v>3.2783954852249053E-3</v>
      </c>
      <c r="AA275">
        <f t="shared" si="92"/>
        <v>0.3991380346605517</v>
      </c>
      <c r="AB275">
        <f t="shared" si="93"/>
        <v>-1.6530165512943003E-3</v>
      </c>
      <c r="AC275" s="68">
        <f t="shared" si="81"/>
        <v>-7.8211130143921413E-3</v>
      </c>
      <c r="AD275">
        <f t="shared" si="82"/>
        <v>-0.49522066212962834</v>
      </c>
      <c r="AE275" s="67">
        <f t="shared" si="83"/>
        <v>1.3860905199065899E-2</v>
      </c>
      <c r="AF275" s="67">
        <f t="shared" si="84"/>
        <v>4.1582715597197695E-3</v>
      </c>
      <c r="AG275" s="67">
        <f t="shared" si="85"/>
        <v>9.7026336393461303E-3</v>
      </c>
    </row>
    <row r="276" spans="4:33" x14ac:dyDescent="0.2">
      <c r="D276" s="50">
        <v>23</v>
      </c>
      <c r="E276">
        <v>10</v>
      </c>
      <c r="F276">
        <f t="shared" si="76"/>
        <v>72</v>
      </c>
      <c r="G276">
        <f t="shared" si="86"/>
        <v>0</v>
      </c>
      <c r="H276" s="64">
        <f>IF(E276="Anual",VLOOKUP(F276,Hipotesis!$E$9:$J$38,6,FALSE),1-(1-VLOOKUP(F276,Hipotesis!$E$9:$J$38,6,FALSE))^(1/12))</f>
        <v>1.8858121488409818E-3</v>
      </c>
      <c r="I276">
        <f t="shared" si="87"/>
        <v>0.39224030519513903</v>
      </c>
      <c r="J276">
        <v>0</v>
      </c>
      <c r="K276">
        <f>1-(1-VLOOKUP(D276,Hipotesis!$D$9:$K$38,8,FALSE))^(1/12)</f>
        <v>8.3717735912058888E-4</v>
      </c>
      <c r="L276">
        <f t="shared" si="88"/>
        <v>0.17380068849453711</v>
      </c>
      <c r="M276">
        <f t="shared" si="89"/>
        <v>207.42938709611741</v>
      </c>
      <c r="N276">
        <f>IF(D276=1,(VLOOKUP(D276,'Primas Netas Y Reservas'!$D$4:$I$33,5,FALSE)+(VLOOKUP(D276,'Primas Netas Y Reservas'!$D$4:$I$33,6,FALSE)-VLOOKUP(D276,'Primas Netas Y Reservas'!$D$4:$I$33,5,FALSE))*(E276/12))/1000,((VLOOKUP(D276-1,'Primas Netas Y Reservas'!$D$4:$I$33,6,FALSE)+VLOOKUP(D276,'Primas Netas Y Reservas'!$D$4:$I$33,5,FALSE))+(VLOOKUP(D276,'Primas Netas Y Reservas'!$D$4:$I$33,6,FALSE)-VLOOKUP(D276-1,'Primas Netas Y Reservas'!$D$4:$I$33,6,FALSE)-VLOOKUP(D276,'Primas Netas Y Reservas'!$D$4:$I$33,5,FALSE))*(E276/12))/1000)</f>
        <v>0.58578438046978387</v>
      </c>
      <c r="O276">
        <f t="shared" si="90"/>
        <v>-0.1196693680789167</v>
      </c>
      <c r="P276">
        <f>VLOOKUP(D276,Hipotesis!$D$9:$S$38,15,FALSE)*N276</f>
        <v>0.58578438046978387</v>
      </c>
      <c r="Q276">
        <f t="shared" si="77"/>
        <v>0.10180972863499432</v>
      </c>
      <c r="R276">
        <f t="shared" si="78"/>
        <v>0</v>
      </c>
      <c r="S276">
        <f t="shared" si="79"/>
        <v>0.10180972863499432</v>
      </c>
      <c r="T276">
        <f>G276*(VLOOKUP(D276,Hipotesis!$D$9:$N$38,9,FALSE)+VLOOKUP(D276,Hipotesis!$D$9:$N$38,10,FALSE)+VLOOKUP(D276,Hipotesis!$D$9:$N$38,11,FALSE))</f>
        <v>0</v>
      </c>
      <c r="U276">
        <v>0</v>
      </c>
      <c r="V276">
        <f>G276*VLOOKUP(D276,Hipotesis!$D$9:$S$38,16,FALSE)+((VLOOKUP(D276,Hipotesis!$D$9:$T$38,17,FALSE)/$B$4)*M275)/12</f>
        <v>7.7998285533677656E-3</v>
      </c>
      <c r="W276">
        <f>(1+VLOOKUP(D276,Hipotesis!$D$9:$P$38,13,FALSE))^(1/12)-1</f>
        <v>0</v>
      </c>
      <c r="X276">
        <f t="shared" si="91"/>
        <v>0</v>
      </c>
      <c r="Y276">
        <f t="shared" si="80"/>
        <v>0.39709743623019744</v>
      </c>
      <c r="Z276">
        <f>(1+VLOOKUP(D276,Hipotesis!$D$9:$O$38,12,))^(1/12)-1</f>
        <v>3.2783954852249053E-3</v>
      </c>
      <c r="AA276">
        <f t="shared" si="92"/>
        <v>0.39874653633582818</v>
      </c>
      <c r="AB276">
        <f t="shared" si="93"/>
        <v>-1.649100105630751E-3</v>
      </c>
      <c r="AC276" s="68">
        <f t="shared" si="81"/>
        <v>-7.7998285533677656E-3</v>
      </c>
      <c r="AD276">
        <f t="shared" si="82"/>
        <v>-0.49405003383013335</v>
      </c>
      <c r="AE276" s="67">
        <f t="shared" si="83"/>
        <v>1.491694192561303E-2</v>
      </c>
      <c r="AF276" s="67">
        <f t="shared" si="84"/>
        <v>4.4750825776839085E-3</v>
      </c>
      <c r="AG276" s="67">
        <f t="shared" si="85"/>
        <v>1.0441859347929121E-2</v>
      </c>
    </row>
    <row r="277" spans="4:33" x14ac:dyDescent="0.2">
      <c r="D277" s="50">
        <v>23</v>
      </c>
      <c r="E277">
        <v>11</v>
      </c>
      <c r="F277">
        <f t="shared" si="76"/>
        <v>72</v>
      </c>
      <c r="G277">
        <f t="shared" si="86"/>
        <v>0</v>
      </c>
      <c r="H277" s="64">
        <f>IF(E277="Anual",VLOOKUP(F277,Hipotesis!$E$9:$J$38,6,FALSE),1-(1-VLOOKUP(F277,Hipotesis!$E$9:$J$38,6,FALSE))^(1/12))</f>
        <v>1.8858121488409818E-3</v>
      </c>
      <c r="I277">
        <f t="shared" si="87"/>
        <v>0.39117285821249698</v>
      </c>
      <c r="J277">
        <v>0</v>
      </c>
      <c r="K277">
        <f>1-(1-VLOOKUP(D277,Hipotesis!$D$9:$K$38,8,FALSE))^(1/12)</f>
        <v>8.3717735912058888E-4</v>
      </c>
      <c r="L277">
        <f t="shared" si="88"/>
        <v>0.17332770543273196</v>
      </c>
      <c r="M277">
        <f t="shared" si="89"/>
        <v>206.86488653247218</v>
      </c>
      <c r="N277">
        <f>IF(D277=1,(VLOOKUP(D277,'Primas Netas Y Reservas'!$D$4:$I$33,5,FALSE)+(VLOOKUP(D277,'Primas Netas Y Reservas'!$D$4:$I$33,6,FALSE)-VLOOKUP(D277,'Primas Netas Y Reservas'!$D$4:$I$33,5,FALSE))*(E277/12))/1000,((VLOOKUP(D277-1,'Primas Netas Y Reservas'!$D$4:$I$33,6,FALSE)+VLOOKUP(D277,'Primas Netas Y Reservas'!$D$4:$I$33,5,FALSE))+(VLOOKUP(D277,'Primas Netas Y Reservas'!$D$4:$I$33,6,FALSE)-VLOOKUP(D277-1,'Primas Netas Y Reservas'!$D$4:$I$33,6,FALSE)-VLOOKUP(D277,'Primas Netas Y Reservas'!$D$4:$I$33,5,FALSE))*(E277/12))/1000)</f>
        <v>0.5868031942325489</v>
      </c>
      <c r="O277">
        <f t="shared" si="90"/>
        <v>-0.11991881951765038</v>
      </c>
      <c r="P277">
        <f>VLOOKUP(D277,Hipotesis!$D$9:$S$38,15,FALSE)*N277</f>
        <v>0.5868031942325489</v>
      </c>
      <c r="Q277">
        <f t="shared" si="77"/>
        <v>0.10170925119692543</v>
      </c>
      <c r="R277">
        <f t="shared" si="78"/>
        <v>0</v>
      </c>
      <c r="S277">
        <f t="shared" si="79"/>
        <v>0.10170925119692543</v>
      </c>
      <c r="T277">
        <f>G277*(VLOOKUP(D277,Hipotesis!$D$9:$N$38,9,FALSE)+VLOOKUP(D277,Hipotesis!$D$9:$N$38,10,FALSE)+VLOOKUP(D277,Hipotesis!$D$9:$N$38,11,FALSE))</f>
        <v>0</v>
      </c>
      <c r="U277">
        <v>0</v>
      </c>
      <c r="V277">
        <f>G277*VLOOKUP(D277,Hipotesis!$D$9:$S$38,16,FALSE)+((VLOOKUP(D277,Hipotesis!$D$9:$T$38,17,FALSE)/$B$4)*M276)/12</f>
        <v>7.7786020161044024E-3</v>
      </c>
      <c r="W277">
        <f>(1+VLOOKUP(D277,Hipotesis!$D$9:$P$38,13,FALSE))^(1/12)-1</f>
        <v>0</v>
      </c>
      <c r="X277">
        <f t="shared" si="91"/>
        <v>0</v>
      </c>
      <c r="Y277">
        <f t="shared" si="80"/>
        <v>0.39670902008568365</v>
      </c>
      <c r="Z277">
        <f>(1+VLOOKUP(D277,Hipotesis!$D$9:$O$38,12,))^(1/12)-1</f>
        <v>3.2783954852249053E-3</v>
      </c>
      <c r="AA277">
        <f t="shared" si="92"/>
        <v>0.39835421281979855</v>
      </c>
      <c r="AB277">
        <f t="shared" si="93"/>
        <v>-1.6451927341148789E-3</v>
      </c>
      <c r="AC277" s="68">
        <f t="shared" si="81"/>
        <v>-7.7786020161044024E-3</v>
      </c>
      <c r="AD277">
        <f t="shared" si="82"/>
        <v>-0.4928821094094224</v>
      </c>
      <c r="AE277" s="67">
        <f t="shared" si="83"/>
        <v>1.5967128177807214E-2</v>
      </c>
      <c r="AF277" s="67">
        <f t="shared" si="84"/>
        <v>4.7901384533421644E-3</v>
      </c>
      <c r="AG277" s="67">
        <f t="shared" si="85"/>
        <v>1.1176989724465049E-2</v>
      </c>
    </row>
    <row r="278" spans="4:33" x14ac:dyDescent="0.2">
      <c r="D278" s="50">
        <v>23</v>
      </c>
      <c r="E278">
        <v>12</v>
      </c>
      <c r="F278">
        <f t="shared" si="76"/>
        <v>72</v>
      </c>
      <c r="G278">
        <f t="shared" si="86"/>
        <v>0</v>
      </c>
      <c r="H278" s="64">
        <f>IF(E278="Anual",VLOOKUP(F278,Hipotesis!$E$9:$J$38,6,FALSE),1-(1-VLOOKUP(F278,Hipotesis!$E$9:$J$38,6,FALSE))^(1/12))</f>
        <v>1.8858121488409818E-3</v>
      </c>
      <c r="I278">
        <f t="shared" si="87"/>
        <v>0.39010831619154723</v>
      </c>
      <c r="J278">
        <v>0</v>
      </c>
      <c r="K278">
        <f>1-(1-VLOOKUP(D278,Hipotesis!$D$9:$K$38,8,FALSE))^(1/12)</f>
        <v>8.3717735912058888E-4</v>
      </c>
      <c r="L278">
        <f t="shared" si="88"/>
        <v>0.17285600955211511</v>
      </c>
      <c r="M278">
        <f t="shared" si="89"/>
        <v>206.30192220672853</v>
      </c>
      <c r="N278">
        <f>IF(D278=1,(VLOOKUP(D278,'Primas Netas Y Reservas'!$D$4:$I$33,5,FALSE)+(VLOOKUP(D278,'Primas Netas Y Reservas'!$D$4:$I$33,6,FALSE)-VLOOKUP(D278,'Primas Netas Y Reservas'!$D$4:$I$33,5,FALSE))*(E278/12))/1000,((VLOOKUP(D278-1,'Primas Netas Y Reservas'!$D$4:$I$33,6,FALSE)+VLOOKUP(D278,'Primas Netas Y Reservas'!$D$4:$I$33,5,FALSE))+(VLOOKUP(D278,'Primas Netas Y Reservas'!$D$4:$I$33,6,FALSE)-VLOOKUP(D278-1,'Primas Netas Y Reservas'!$D$4:$I$33,6,FALSE)-VLOOKUP(D278,'Primas Netas Y Reservas'!$D$4:$I$33,5,FALSE))*(E278/12))/1000)</f>
        <v>0.58782200799531392</v>
      </c>
      <c r="O278">
        <f t="shared" si="90"/>
        <v>-0.12016602695625522</v>
      </c>
      <c r="P278">
        <f>VLOOKUP(D278,Hipotesis!$D$9:$S$38,15,FALSE)*N278</f>
        <v>0.58782200799531392</v>
      </c>
      <c r="Q278">
        <f t="shared" si="77"/>
        <v>0.10160856662898146</v>
      </c>
      <c r="R278">
        <f t="shared" si="78"/>
        <v>0</v>
      </c>
      <c r="S278">
        <f t="shared" si="79"/>
        <v>0.10160856662898146</v>
      </c>
      <c r="T278">
        <f>G278*(VLOOKUP(D278,Hipotesis!$D$9:$N$38,9,FALSE)+VLOOKUP(D278,Hipotesis!$D$9:$N$38,10,FALSE)+VLOOKUP(D278,Hipotesis!$D$9:$N$38,11,FALSE))</f>
        <v>0</v>
      </c>
      <c r="U278">
        <v>0</v>
      </c>
      <c r="V278">
        <f>G278*VLOOKUP(D278,Hipotesis!$D$9:$S$38,16,FALSE)+((VLOOKUP(D278,Hipotesis!$D$9:$T$38,17,FALSE)/$B$4)*M277)/12</f>
        <v>7.7574332449677069E-3</v>
      </c>
      <c r="W278">
        <f>(1+VLOOKUP(D278,Hipotesis!$D$9:$P$38,13,FALSE))^(1/12)-1</f>
        <v>0</v>
      </c>
      <c r="X278">
        <f t="shared" si="91"/>
        <v>0</v>
      </c>
      <c r="Y278">
        <f t="shared" si="80"/>
        <v>0.39631977708693517</v>
      </c>
      <c r="Z278">
        <f>(1+VLOOKUP(D278,Hipotesis!$D$9:$O$38,12,))^(1/12)-1</f>
        <v>3.2783954852249053E-3</v>
      </c>
      <c r="AA278">
        <f t="shared" si="92"/>
        <v>0.3979610715032984</v>
      </c>
      <c r="AB278">
        <f t="shared" si="93"/>
        <v>-1.641294416363214E-3</v>
      </c>
      <c r="AC278" s="68">
        <f t="shared" si="81"/>
        <v>-7.7574332449677069E-3</v>
      </c>
      <c r="AD278">
        <f t="shared" si="82"/>
        <v>-0.49171688282052872</v>
      </c>
      <c r="AE278" s="67">
        <f t="shared" si="83"/>
        <v>1.7011487977693987E-2</v>
      </c>
      <c r="AF278" s="67">
        <f t="shared" si="84"/>
        <v>5.1034463933081961E-3</v>
      </c>
      <c r="AG278" s="67">
        <f t="shared" si="85"/>
        <v>1.1908041584385791E-2</v>
      </c>
    </row>
    <row r="279" spans="4:33" x14ac:dyDescent="0.2">
      <c r="D279" s="50">
        <v>24</v>
      </c>
      <c r="E279">
        <v>1</v>
      </c>
      <c r="F279">
        <f t="shared" si="76"/>
        <v>73</v>
      </c>
      <c r="G279">
        <f t="shared" si="86"/>
        <v>0</v>
      </c>
      <c r="H279" s="64">
        <f>IF(E279="Anual",VLOOKUP(F279,Hipotesis!$E$9:$J$38,6,FALSE),1-(1-VLOOKUP(F279,Hipotesis!$E$9:$J$38,6,FALSE))^(1/12))</f>
        <v>2.027833159969239E-3</v>
      </c>
      <c r="I279">
        <f t="shared" si="87"/>
        <v>0.41834587881619839</v>
      </c>
      <c r="J279">
        <v>0</v>
      </c>
      <c r="K279">
        <f>1-(1-VLOOKUP(D279,Hipotesis!$D$9:$K$38,8,FALSE))^(1/12)</f>
        <v>8.3717735912058888E-4</v>
      </c>
      <c r="L279">
        <f t="shared" si="88"/>
        <v>0.17236106871650383</v>
      </c>
      <c r="M279">
        <f t="shared" si="89"/>
        <v>205.71121525919582</v>
      </c>
      <c r="N279">
        <f>IF(D279=1,(VLOOKUP(D279,'Primas Netas Y Reservas'!$D$4:$I$33,5,FALSE)+(VLOOKUP(D279,'Primas Netas Y Reservas'!$D$4:$I$33,6,FALSE)-VLOOKUP(D279,'Primas Netas Y Reservas'!$D$4:$I$33,5,FALSE))*(E279/12))/1000,((VLOOKUP(D279-1,'Primas Netas Y Reservas'!$D$4:$I$33,6,FALSE)+VLOOKUP(D279,'Primas Netas Y Reservas'!$D$4:$I$33,5,FALSE))+(VLOOKUP(D279,'Primas Netas Y Reservas'!$D$4:$I$33,6,FALSE)-VLOOKUP(D279-1,'Primas Netas Y Reservas'!$D$4:$I$33,6,FALSE)-VLOOKUP(D279,'Primas Netas Y Reservas'!$D$4:$I$33,5,FALSE))*(E279/12))/1000)</f>
        <v>0.58883801575174088</v>
      </c>
      <c r="O279">
        <f t="shared" si="90"/>
        <v>-0.13822635374809522</v>
      </c>
      <c r="P279">
        <f>VLOOKUP(D279,Hipotesis!$D$9:$S$38,15,FALSE)*N279</f>
        <v>0.58883801575174088</v>
      </c>
      <c r="Q279">
        <f t="shared" si="77"/>
        <v>0.10149274969587557</v>
      </c>
      <c r="R279">
        <f t="shared" si="78"/>
        <v>0</v>
      </c>
      <c r="S279">
        <f t="shared" si="79"/>
        <v>0.10149274969587557</v>
      </c>
      <c r="T279">
        <f>G279*(VLOOKUP(D279,Hipotesis!$D$9:$N$38,9,FALSE)+VLOOKUP(D279,Hipotesis!$D$9:$N$38,10,FALSE)+VLOOKUP(D279,Hipotesis!$D$9:$N$38,11,FALSE))</f>
        <v>0</v>
      </c>
      <c r="U279">
        <v>0</v>
      </c>
      <c r="V279">
        <f>G279*VLOOKUP(D279,Hipotesis!$D$9:$S$38,16,FALSE)+((VLOOKUP(D279,Hipotesis!$D$9:$T$38,17,FALSE)/$B$4)*M278)/12</f>
        <v>7.7363220827523201E-3</v>
      </c>
      <c r="W279">
        <f>(1+VLOOKUP(D279,Hipotesis!$D$9:$P$38,13,FALSE))^(1/12)-1</f>
        <v>0</v>
      </c>
      <c r="X279">
        <f t="shared" si="91"/>
        <v>0</v>
      </c>
      <c r="Y279">
        <f t="shared" si="80"/>
        <v>0.36778118060924708</v>
      </c>
      <c r="Z279">
        <f>(1+VLOOKUP(D279,Hipotesis!$D$9:$O$38,12,))^(1/12)-1</f>
        <v>3.0453186956291844E-3</v>
      </c>
      <c r="AA279">
        <f t="shared" si="92"/>
        <v>0.36930217479173094</v>
      </c>
      <c r="AB279">
        <f t="shared" si="93"/>
        <v>-1.5209941824838756E-3</v>
      </c>
      <c r="AC279" s="68">
        <f t="shared" si="81"/>
        <v>-7.7363220827523201E-3</v>
      </c>
      <c r="AD279">
        <f t="shared" si="82"/>
        <v>-0.51983862851207396</v>
      </c>
      <c r="AE279" s="67">
        <f t="shared" si="83"/>
        <v>-2.1567416237483979E-2</v>
      </c>
      <c r="AF279" s="67">
        <f t="shared" si="84"/>
        <v>-6.4702248712451933E-3</v>
      </c>
      <c r="AG279" s="67">
        <f t="shared" si="85"/>
        <v>-1.5097191366238785E-2</v>
      </c>
    </row>
    <row r="280" spans="4:33" x14ac:dyDescent="0.2">
      <c r="D280" s="50">
        <v>24</v>
      </c>
      <c r="E280">
        <v>2</v>
      </c>
      <c r="F280">
        <f t="shared" si="76"/>
        <v>73</v>
      </c>
      <c r="G280">
        <f t="shared" si="86"/>
        <v>0</v>
      </c>
      <c r="H280" s="64">
        <f>IF(E280="Anual",VLOOKUP(F280,Hipotesis!$E$9:$J$38,6,FALSE),1-(1-VLOOKUP(F280,Hipotesis!$E$9:$J$38,6,FALSE))^(1/12))</f>
        <v>2.027833159969239E-3</v>
      </c>
      <c r="I280">
        <f t="shared" si="87"/>
        <v>0.4171480236801674</v>
      </c>
      <c r="J280">
        <v>0</v>
      </c>
      <c r="K280">
        <f>1-(1-VLOOKUP(D280,Hipotesis!$D$9:$K$38,8,FALSE))^(1/12)</f>
        <v>8.3717735912058888E-4</v>
      </c>
      <c r="L280">
        <f t="shared" si="88"/>
        <v>0.1718675450513536</v>
      </c>
      <c r="M280">
        <f t="shared" si="89"/>
        <v>205.1221996904643</v>
      </c>
      <c r="N280">
        <f>IF(D280=1,(VLOOKUP(D280,'Primas Netas Y Reservas'!$D$4:$I$33,5,FALSE)+(VLOOKUP(D280,'Primas Netas Y Reservas'!$D$4:$I$33,6,FALSE)-VLOOKUP(D280,'Primas Netas Y Reservas'!$D$4:$I$33,5,FALSE))*(E280/12))/1000,((VLOOKUP(D280-1,'Primas Netas Y Reservas'!$D$4:$I$33,6,FALSE)+VLOOKUP(D280,'Primas Netas Y Reservas'!$D$4:$I$33,5,FALSE))+(VLOOKUP(D280,'Primas Netas Y Reservas'!$D$4:$I$33,6,FALSE)-VLOOKUP(D280-1,'Primas Netas Y Reservas'!$D$4:$I$33,6,FALSE)-VLOOKUP(D280,'Primas Netas Y Reservas'!$D$4:$I$33,5,FALSE))*(E280/12))/1000)</f>
        <v>0.58985402350816762</v>
      </c>
      <c r="O280">
        <f t="shared" si="90"/>
        <v>-0.13842901283793196</v>
      </c>
      <c r="P280">
        <f>VLOOKUP(D280,Hipotesis!$D$9:$S$38,15,FALSE)*N280</f>
        <v>0.58985402350816762</v>
      </c>
      <c r="Q280">
        <f t="shared" si="77"/>
        <v>0.10137676295901218</v>
      </c>
      <c r="R280">
        <f t="shared" si="78"/>
        <v>0</v>
      </c>
      <c r="S280">
        <f t="shared" si="79"/>
        <v>0.10137676295901218</v>
      </c>
      <c r="T280">
        <f>G280*(VLOOKUP(D280,Hipotesis!$D$9:$N$38,9,FALSE)+VLOOKUP(D280,Hipotesis!$D$9:$N$38,10,FALSE)+VLOOKUP(D280,Hipotesis!$D$9:$N$38,11,FALSE))</f>
        <v>0</v>
      </c>
      <c r="U280">
        <v>0</v>
      </c>
      <c r="V280">
        <f>G280*VLOOKUP(D280,Hipotesis!$D$9:$S$38,16,FALSE)+((VLOOKUP(D280,Hipotesis!$D$9:$T$38,17,FALSE)/$B$4)*M279)/12</f>
        <v>7.7141705722198438E-3</v>
      </c>
      <c r="W280">
        <f>(1+VLOOKUP(D280,Hipotesis!$D$9:$P$38,13,FALSE))^(1/12)-1</f>
        <v>0</v>
      </c>
      <c r="X280">
        <f t="shared" si="91"/>
        <v>0</v>
      </c>
      <c r="Y280">
        <f t="shared" si="80"/>
        <v>0.36727466509045026</v>
      </c>
      <c r="Z280">
        <f>(1+VLOOKUP(D280,Hipotesis!$D$9:$O$38,12,))^(1/12)-1</f>
        <v>3.0453186956291844E-3</v>
      </c>
      <c r="AA280">
        <f t="shared" si="92"/>
        <v>0.36888123149243318</v>
      </c>
      <c r="AB280">
        <f t="shared" si="93"/>
        <v>-1.6065664019829066E-3</v>
      </c>
      <c r="AC280" s="68">
        <f t="shared" si="81"/>
        <v>-7.7141705722198438E-3</v>
      </c>
      <c r="AD280">
        <f t="shared" si="82"/>
        <v>-0.51852478663917956</v>
      </c>
      <c r="AE280" s="67">
        <f t="shared" si="83"/>
        <v>-2.0535279283017207E-2</v>
      </c>
      <c r="AF280" s="67">
        <f t="shared" si="84"/>
        <v>-6.1605837849051616E-3</v>
      </c>
      <c r="AG280" s="67">
        <f t="shared" si="85"/>
        <v>-1.4374695498112045E-2</v>
      </c>
    </row>
    <row r="281" spans="4:33" x14ac:dyDescent="0.2">
      <c r="D281" s="50">
        <v>24</v>
      </c>
      <c r="E281">
        <v>3</v>
      </c>
      <c r="F281">
        <f t="shared" si="76"/>
        <v>73</v>
      </c>
      <c r="G281">
        <f t="shared" si="86"/>
        <v>0</v>
      </c>
      <c r="H281" s="64">
        <f>IF(E281="Anual",VLOOKUP(F281,Hipotesis!$E$9:$J$38,6,FALSE),1-(1-VLOOKUP(F281,Hipotesis!$E$9:$J$38,6,FALSE))^(1/12))</f>
        <v>2.027833159969239E-3</v>
      </c>
      <c r="I281">
        <f t="shared" si="87"/>
        <v>0.41595359837815549</v>
      </c>
      <c r="J281">
        <v>0</v>
      </c>
      <c r="K281">
        <f>1-(1-VLOOKUP(D281,Hipotesis!$D$9:$K$38,8,FALSE))^(1/12)</f>
        <v>8.3717735912058888E-4</v>
      </c>
      <c r="L281">
        <f t="shared" si="88"/>
        <v>0.17137543449886203</v>
      </c>
      <c r="M281">
        <f t="shared" si="89"/>
        <v>204.53487065758728</v>
      </c>
      <c r="N281">
        <f>IF(D281=1,(VLOOKUP(D281,'Primas Netas Y Reservas'!$D$4:$I$33,5,FALSE)+(VLOOKUP(D281,'Primas Netas Y Reservas'!$D$4:$I$33,6,FALSE)-VLOOKUP(D281,'Primas Netas Y Reservas'!$D$4:$I$33,5,FALSE))*(E281/12))/1000,((VLOOKUP(D281-1,'Primas Netas Y Reservas'!$D$4:$I$33,6,FALSE)+VLOOKUP(D281,'Primas Netas Y Reservas'!$D$4:$I$33,5,FALSE))+(VLOOKUP(D281,'Primas Netas Y Reservas'!$D$4:$I$33,6,FALSE)-VLOOKUP(D281-1,'Primas Netas Y Reservas'!$D$4:$I$33,6,FALSE)-VLOOKUP(D281,'Primas Netas Y Reservas'!$D$4:$I$33,5,FALSE))*(E281/12))/1000)</f>
        <v>0.59087003126459459</v>
      </c>
      <c r="O281">
        <f t="shared" si="90"/>
        <v>-0.13862937811778409</v>
      </c>
      <c r="P281">
        <f>VLOOKUP(D281,Hipotesis!$D$9:$S$38,15,FALSE)*N281</f>
        <v>0.59087003126459459</v>
      </c>
      <c r="Q281">
        <f t="shared" si="77"/>
        <v>0.10126060834032609</v>
      </c>
      <c r="R281">
        <f t="shared" si="78"/>
        <v>0</v>
      </c>
      <c r="S281">
        <f t="shared" si="79"/>
        <v>0.10126060834032609</v>
      </c>
      <c r="T281">
        <f>G281*(VLOOKUP(D281,Hipotesis!$D$9:$N$38,9,FALSE)+VLOOKUP(D281,Hipotesis!$D$9:$N$38,10,FALSE)+VLOOKUP(D281,Hipotesis!$D$9:$N$38,11,FALSE))</f>
        <v>0</v>
      </c>
      <c r="U281">
        <v>0</v>
      </c>
      <c r="V281">
        <f>G281*VLOOKUP(D281,Hipotesis!$D$9:$S$38,16,FALSE)+((VLOOKUP(D281,Hipotesis!$D$9:$T$38,17,FALSE)/$B$4)*M280)/12</f>
        <v>7.6920824883924118E-3</v>
      </c>
      <c r="W281">
        <f>(1+VLOOKUP(D281,Hipotesis!$D$9:$P$38,13,FALSE))^(1/12)-1</f>
        <v>0</v>
      </c>
      <c r="X281">
        <f t="shared" si="91"/>
        <v>0</v>
      </c>
      <c r="Y281">
        <f t="shared" si="80"/>
        <v>0.36685717296211073</v>
      </c>
      <c r="Z281">
        <f>(1+VLOOKUP(D281,Hipotesis!$D$9:$O$38,12,))^(1/12)-1</f>
        <v>3.0453186956291844E-3</v>
      </c>
      <c r="AA281">
        <f t="shared" si="92"/>
        <v>0.36845967103162036</v>
      </c>
      <c r="AB281">
        <f t="shared" si="93"/>
        <v>-1.6024980695096506E-3</v>
      </c>
      <c r="AC281" s="68">
        <f t="shared" si="81"/>
        <v>-7.6920824883924118E-3</v>
      </c>
      <c r="AD281">
        <f t="shared" si="82"/>
        <v>-0.51721420671848162</v>
      </c>
      <c r="AE281" s="67">
        <f t="shared" si="83"/>
        <v>-1.9419738126979155E-2</v>
      </c>
      <c r="AF281" s="67">
        <f t="shared" si="84"/>
        <v>-5.8259214380937466E-3</v>
      </c>
      <c r="AG281" s="67">
        <f t="shared" si="85"/>
        <v>-1.3593816688885409E-2</v>
      </c>
    </row>
    <row r="282" spans="4:33" x14ac:dyDescent="0.2">
      <c r="D282" s="50">
        <v>24</v>
      </c>
      <c r="E282">
        <v>4</v>
      </c>
      <c r="F282">
        <f t="shared" si="76"/>
        <v>73</v>
      </c>
      <c r="G282">
        <f t="shared" si="86"/>
        <v>0</v>
      </c>
      <c r="H282" s="64">
        <f>IF(E282="Anual",VLOOKUP(F282,Hipotesis!$E$9:$J$38,6,FALSE),1-(1-VLOOKUP(F282,Hipotesis!$E$9:$J$38,6,FALSE))^(1/12))</f>
        <v>2.027833159969239E-3</v>
      </c>
      <c r="I282">
        <f t="shared" si="87"/>
        <v>0.41476259308947477</v>
      </c>
      <c r="J282">
        <v>0</v>
      </c>
      <c r="K282">
        <f>1-(1-VLOOKUP(D282,Hipotesis!$D$9:$K$38,8,FALSE))^(1/12)</f>
        <v>8.3717735912058888E-4</v>
      </c>
      <c r="L282">
        <f t="shared" si="88"/>
        <v>0.17088473301284549</v>
      </c>
      <c r="M282">
        <f t="shared" si="89"/>
        <v>203.94922333148494</v>
      </c>
      <c r="N282">
        <f>IF(D282=1,(VLOOKUP(D282,'Primas Netas Y Reservas'!$D$4:$I$33,5,FALSE)+(VLOOKUP(D282,'Primas Netas Y Reservas'!$D$4:$I$33,6,FALSE)-VLOOKUP(D282,'Primas Netas Y Reservas'!$D$4:$I$33,5,FALSE))*(E282/12))/1000,((VLOOKUP(D282-1,'Primas Netas Y Reservas'!$D$4:$I$33,6,FALSE)+VLOOKUP(D282,'Primas Netas Y Reservas'!$D$4:$I$33,5,FALSE))+(VLOOKUP(D282,'Primas Netas Y Reservas'!$D$4:$I$33,6,FALSE)-VLOOKUP(D282-1,'Primas Netas Y Reservas'!$D$4:$I$33,6,FALSE)-VLOOKUP(D282,'Primas Netas Y Reservas'!$D$4:$I$33,5,FALSE))*(E282/12))/1000)</f>
        <v>0.59188603902102144</v>
      </c>
      <c r="O282">
        <f t="shared" si="90"/>
        <v>-0.13882746106209254</v>
      </c>
      <c r="P282">
        <f>VLOOKUP(D282,Hipotesis!$D$9:$S$38,15,FALSE)*N282</f>
        <v>0.59188603902102144</v>
      </c>
      <c r="Q282">
        <f t="shared" si="77"/>
        <v>0.10114428775213789</v>
      </c>
      <c r="R282">
        <f t="shared" si="78"/>
        <v>0</v>
      </c>
      <c r="S282">
        <f t="shared" si="79"/>
        <v>0.10114428775213789</v>
      </c>
      <c r="T282">
        <f>G282*(VLOOKUP(D282,Hipotesis!$D$9:$N$38,9,FALSE)+VLOOKUP(D282,Hipotesis!$D$9:$N$38,10,FALSE)+VLOOKUP(D282,Hipotesis!$D$9:$N$38,11,FALSE))</f>
        <v>0</v>
      </c>
      <c r="U282">
        <v>0</v>
      </c>
      <c r="V282">
        <f>G282*VLOOKUP(D282,Hipotesis!$D$9:$S$38,16,FALSE)+((VLOOKUP(D282,Hipotesis!$D$9:$T$38,17,FALSE)/$B$4)*M281)/12</f>
        <v>7.6700576496595224E-3</v>
      </c>
      <c r="W282">
        <f>(1+VLOOKUP(D282,Hipotesis!$D$9:$P$38,13,FALSE))^(1/12)-1</f>
        <v>0</v>
      </c>
      <c r="X282">
        <f t="shared" si="91"/>
        <v>0</v>
      </c>
      <c r="Y282">
        <f t="shared" si="80"/>
        <v>0.36643906053135294</v>
      </c>
      <c r="Z282">
        <f>(1+VLOOKUP(D282,Hipotesis!$D$9:$O$38,12,))^(1/12)-1</f>
        <v>3.0453186956291844E-3</v>
      </c>
      <c r="AA282">
        <f t="shared" si="92"/>
        <v>0.36803750039467481</v>
      </c>
      <c r="AB282">
        <f t="shared" si="93"/>
        <v>-1.5984398633218718E-3</v>
      </c>
      <c r="AC282" s="68">
        <f t="shared" si="81"/>
        <v>-7.6700576496595224E-3</v>
      </c>
      <c r="AD282">
        <f t="shared" si="82"/>
        <v>-0.51590688084161263</v>
      </c>
      <c r="AE282" s="67">
        <f t="shared" si="83"/>
        <v>-1.8310416897826719E-2</v>
      </c>
      <c r="AF282" s="67">
        <f t="shared" si="84"/>
        <v>-5.4931250693480158E-3</v>
      </c>
      <c r="AG282" s="67">
        <f t="shared" si="85"/>
        <v>-1.2817291828478704E-2</v>
      </c>
    </row>
    <row r="283" spans="4:33" x14ac:dyDescent="0.2">
      <c r="D283" s="50">
        <v>24</v>
      </c>
      <c r="E283">
        <v>5</v>
      </c>
      <c r="F283">
        <f t="shared" si="76"/>
        <v>73</v>
      </c>
      <c r="G283">
        <f t="shared" si="86"/>
        <v>0</v>
      </c>
      <c r="H283" s="64">
        <f>IF(E283="Anual",VLOOKUP(F283,Hipotesis!$E$9:$J$38,6,FALSE),1-(1-VLOOKUP(F283,Hipotesis!$E$9:$J$38,6,FALSE))^(1/12))</f>
        <v>2.027833159969239E-3</v>
      </c>
      <c r="I283">
        <f t="shared" si="87"/>
        <v>0.41357499802155712</v>
      </c>
      <c r="J283">
        <v>0</v>
      </c>
      <c r="K283">
        <f>1-(1-VLOOKUP(D283,Hipotesis!$D$9:$K$38,8,FALSE))^(1/12)</f>
        <v>8.3717735912058888E-4</v>
      </c>
      <c r="L283">
        <f t="shared" si="88"/>
        <v>0.17039543655870579</v>
      </c>
      <c r="M283">
        <f t="shared" si="89"/>
        <v>203.36525289690471</v>
      </c>
      <c r="N283">
        <f>IF(D283=1,(VLOOKUP(D283,'Primas Netas Y Reservas'!$D$4:$I$33,5,FALSE)+(VLOOKUP(D283,'Primas Netas Y Reservas'!$D$4:$I$33,6,FALSE)-VLOOKUP(D283,'Primas Netas Y Reservas'!$D$4:$I$33,5,FALSE))*(E283/12))/1000,((VLOOKUP(D283-1,'Primas Netas Y Reservas'!$D$4:$I$33,6,FALSE)+VLOOKUP(D283,'Primas Netas Y Reservas'!$D$4:$I$33,5,FALSE))+(VLOOKUP(D283,'Primas Netas Y Reservas'!$D$4:$I$33,6,FALSE)-VLOOKUP(D283-1,'Primas Netas Y Reservas'!$D$4:$I$33,6,FALSE)-VLOOKUP(D283,'Primas Netas Y Reservas'!$D$4:$I$33,5,FALSE))*(E283/12))/1000)</f>
        <v>0.59290204677744829</v>
      </c>
      <c r="O283">
        <f t="shared" si="90"/>
        <v>-0.13902327309811824</v>
      </c>
      <c r="P283">
        <f>VLOOKUP(D283,Hipotesis!$D$9:$S$38,15,FALSE)*N283</f>
        <v>0.59290204677744829</v>
      </c>
      <c r="Q283">
        <f t="shared" si="77"/>
        <v>0.1010278030971935</v>
      </c>
      <c r="R283">
        <f t="shared" si="78"/>
        <v>0</v>
      </c>
      <c r="S283">
        <f t="shared" si="79"/>
        <v>0.1010278030971935</v>
      </c>
      <c r="T283">
        <f>G283*(VLOOKUP(D283,Hipotesis!$D$9:$N$38,9,FALSE)+VLOOKUP(D283,Hipotesis!$D$9:$N$38,10,FALSE)+VLOOKUP(D283,Hipotesis!$D$9:$N$38,11,FALSE))</f>
        <v>0</v>
      </c>
      <c r="U283">
        <v>0</v>
      </c>
      <c r="V283">
        <f>G283*VLOOKUP(D283,Hipotesis!$D$9:$S$38,16,FALSE)+((VLOOKUP(D283,Hipotesis!$D$9:$T$38,17,FALSE)/$B$4)*M282)/12</f>
        <v>7.6480958749306849E-3</v>
      </c>
      <c r="W283">
        <f>(1+VLOOKUP(D283,Hipotesis!$D$9:$P$38,13,FALSE))^(1/12)-1</f>
        <v>0</v>
      </c>
      <c r="X283">
        <f t="shared" si="91"/>
        <v>0</v>
      </c>
      <c r="Y283">
        <f t="shared" si="80"/>
        <v>0.36602033477325108</v>
      </c>
      <c r="Z283">
        <f>(1+VLOOKUP(D283,Hipotesis!$D$9:$O$38,12,))^(1/12)-1</f>
        <v>3.0453186956291844E-3</v>
      </c>
      <c r="AA283">
        <f t="shared" si="92"/>
        <v>0.3676147265320357</v>
      </c>
      <c r="AB283">
        <f t="shared" si="93"/>
        <v>-1.5943917587845915E-3</v>
      </c>
      <c r="AC283" s="68">
        <f t="shared" si="81"/>
        <v>-7.6480958749306849E-3</v>
      </c>
      <c r="AD283">
        <f t="shared" si="82"/>
        <v>-0.51460280111875067</v>
      </c>
      <c r="AE283" s="67">
        <f t="shared" si="83"/>
        <v>-1.7207289122311988E-2</v>
      </c>
      <c r="AF283" s="67">
        <f t="shared" si="84"/>
        <v>-5.1621867366935959E-3</v>
      </c>
      <c r="AG283" s="67">
        <f t="shared" si="85"/>
        <v>-1.2045102385618392E-2</v>
      </c>
    </row>
    <row r="284" spans="4:33" x14ac:dyDescent="0.2">
      <c r="D284" s="50">
        <v>24</v>
      </c>
      <c r="E284">
        <v>6</v>
      </c>
      <c r="F284">
        <f t="shared" si="76"/>
        <v>73</v>
      </c>
      <c r="G284">
        <f t="shared" si="86"/>
        <v>0</v>
      </c>
      <c r="H284" s="64">
        <f>IF(E284="Anual",VLOOKUP(F284,Hipotesis!$E$9:$J$38,6,FALSE),1-(1-VLOOKUP(F284,Hipotesis!$E$9:$J$38,6,FALSE))^(1/12))</f>
        <v>2.027833159969239E-3</v>
      </c>
      <c r="I284">
        <f t="shared" si="87"/>
        <v>0.41239080340987372</v>
      </c>
      <c r="J284">
        <v>0</v>
      </c>
      <c r="K284">
        <f>1-(1-VLOOKUP(D284,Hipotesis!$D$9:$K$38,8,FALSE))^(1/12)</f>
        <v>8.3717735912058888E-4</v>
      </c>
      <c r="L284">
        <f t="shared" si="88"/>
        <v>0.16990754111339709</v>
      </c>
      <c r="M284">
        <f t="shared" si="89"/>
        <v>202.78295455238145</v>
      </c>
      <c r="N284">
        <f>IF(D284=1,(VLOOKUP(D284,'Primas Netas Y Reservas'!$D$4:$I$33,5,FALSE)+(VLOOKUP(D284,'Primas Netas Y Reservas'!$D$4:$I$33,6,FALSE)-VLOOKUP(D284,'Primas Netas Y Reservas'!$D$4:$I$33,5,FALSE))*(E284/12))/1000,((VLOOKUP(D284-1,'Primas Netas Y Reservas'!$D$4:$I$33,6,FALSE)+VLOOKUP(D284,'Primas Netas Y Reservas'!$D$4:$I$33,5,FALSE))+(VLOOKUP(D284,'Primas Netas Y Reservas'!$D$4:$I$33,6,FALSE)-VLOOKUP(D284-1,'Primas Netas Y Reservas'!$D$4:$I$33,6,FALSE)-VLOOKUP(D284,'Primas Netas Y Reservas'!$D$4:$I$33,5,FALSE))*(E284/12))/1000)</f>
        <v>0.59391805453387514</v>
      </c>
      <c r="O284">
        <f t="shared" si="90"/>
        <v>-0.13921682560658155</v>
      </c>
      <c r="P284">
        <f>VLOOKUP(D284,Hipotesis!$D$9:$S$38,15,FALSE)*N284</f>
        <v>0.59391805453387514</v>
      </c>
      <c r="Q284">
        <f t="shared" si="77"/>
        <v>0.1009111562687032</v>
      </c>
      <c r="R284">
        <f t="shared" si="78"/>
        <v>0</v>
      </c>
      <c r="S284">
        <f t="shared" si="79"/>
        <v>0.1009111562687032</v>
      </c>
      <c r="T284">
        <f>G284*(VLOOKUP(D284,Hipotesis!$D$9:$N$38,9,FALSE)+VLOOKUP(D284,Hipotesis!$D$9:$N$38,10,FALSE)+VLOOKUP(D284,Hipotesis!$D$9:$N$38,11,FALSE))</f>
        <v>0</v>
      </c>
      <c r="U284">
        <v>0</v>
      </c>
      <c r="V284">
        <f>G284*VLOOKUP(D284,Hipotesis!$D$9:$S$38,16,FALSE)+((VLOOKUP(D284,Hipotesis!$D$9:$T$38,17,FALSE)/$B$4)*M283)/12</f>
        <v>7.6261969836339261E-3</v>
      </c>
      <c r="W284">
        <f>(1+VLOOKUP(D284,Hipotesis!$D$9:$P$38,13,FALSE))^(1/12)-1</f>
        <v>0</v>
      </c>
      <c r="X284">
        <f t="shared" si="91"/>
        <v>0</v>
      </c>
      <c r="Y284">
        <f t="shared" si="80"/>
        <v>0.36560100262802153</v>
      </c>
      <c r="Z284">
        <f>(1+VLOOKUP(D284,Hipotesis!$D$9:$O$38,12,))^(1/12)-1</f>
        <v>3.0453186956291844E-3</v>
      </c>
      <c r="AA284">
        <f t="shared" si="92"/>
        <v>0.36719135635934241</v>
      </c>
      <c r="AB284">
        <f t="shared" si="93"/>
        <v>-1.5903537313208898E-3</v>
      </c>
      <c r="AC284" s="68">
        <f t="shared" si="81"/>
        <v>-7.6261969836339261E-3</v>
      </c>
      <c r="AD284">
        <f t="shared" si="82"/>
        <v>-0.51330195967857695</v>
      </c>
      <c r="AE284" s="67">
        <f t="shared" si="83"/>
        <v>-1.6110328427607762E-2</v>
      </c>
      <c r="AF284" s="67">
        <f t="shared" si="84"/>
        <v>-4.8330985282823286E-3</v>
      </c>
      <c r="AG284" s="67">
        <f t="shared" si="85"/>
        <v>-1.1277229899325433E-2</v>
      </c>
    </row>
    <row r="285" spans="4:33" x14ac:dyDescent="0.2">
      <c r="D285" s="50">
        <v>24</v>
      </c>
      <c r="E285">
        <v>7</v>
      </c>
      <c r="F285">
        <f t="shared" si="76"/>
        <v>73</v>
      </c>
      <c r="G285">
        <f t="shared" si="86"/>
        <v>0</v>
      </c>
      <c r="H285" s="64">
        <f>IF(E285="Anual",VLOOKUP(F285,Hipotesis!$E$9:$J$38,6,FALSE),1-(1-VLOOKUP(F285,Hipotesis!$E$9:$J$38,6,FALSE))^(1/12))</f>
        <v>2.027833159969239E-3</v>
      </c>
      <c r="I285">
        <f t="shared" si="87"/>
        <v>0.41120999951785425</v>
      </c>
      <c r="J285">
        <v>0</v>
      </c>
      <c r="K285">
        <f>1-(1-VLOOKUP(D285,Hipotesis!$D$9:$K$38,8,FALSE))^(1/12)</f>
        <v>8.3717735912058888E-4</v>
      </c>
      <c r="L285">
        <f t="shared" si="88"/>
        <v>0.16942104266539276</v>
      </c>
      <c r="M285">
        <f t="shared" si="89"/>
        <v>202.2023235101982</v>
      </c>
      <c r="N285">
        <f>IF(D285=1,(VLOOKUP(D285,'Primas Netas Y Reservas'!$D$4:$I$33,5,FALSE)+(VLOOKUP(D285,'Primas Netas Y Reservas'!$D$4:$I$33,6,FALSE)-VLOOKUP(D285,'Primas Netas Y Reservas'!$D$4:$I$33,5,FALSE))*(E285/12))/1000,((VLOOKUP(D285-1,'Primas Netas Y Reservas'!$D$4:$I$33,6,FALSE)+VLOOKUP(D285,'Primas Netas Y Reservas'!$D$4:$I$33,5,FALSE))+(VLOOKUP(D285,'Primas Netas Y Reservas'!$D$4:$I$33,6,FALSE)-VLOOKUP(D285-1,'Primas Netas Y Reservas'!$D$4:$I$33,6,FALSE)-VLOOKUP(D285,'Primas Netas Y Reservas'!$D$4:$I$33,5,FALSE))*(E285/12))/1000)</f>
        <v>0.5949340622903021</v>
      </c>
      <c r="O285">
        <f t="shared" si="90"/>
        <v>-0.1394081299215344</v>
      </c>
      <c r="P285">
        <f>VLOOKUP(D285,Hipotesis!$D$9:$S$38,15,FALSE)*N285</f>
        <v>0.5949340622903021</v>
      </c>
      <c r="Q285">
        <f t="shared" si="77"/>
        <v>0.10079434915038071</v>
      </c>
      <c r="R285">
        <f t="shared" si="78"/>
        <v>0</v>
      </c>
      <c r="S285">
        <f t="shared" si="79"/>
        <v>0.10079434915038071</v>
      </c>
      <c r="T285">
        <f>G285*(VLOOKUP(D285,Hipotesis!$D$9:$N$38,9,FALSE)+VLOOKUP(D285,Hipotesis!$D$9:$N$38,10,FALSE)+VLOOKUP(D285,Hipotesis!$D$9:$N$38,11,FALSE))</f>
        <v>0</v>
      </c>
      <c r="U285">
        <v>0</v>
      </c>
      <c r="V285">
        <f>G285*VLOOKUP(D285,Hipotesis!$D$9:$S$38,16,FALSE)+((VLOOKUP(D285,Hipotesis!$D$9:$T$38,17,FALSE)/$B$4)*M284)/12</f>
        <v>7.6043607957143045E-3</v>
      </c>
      <c r="W285">
        <f>(1+VLOOKUP(D285,Hipotesis!$D$9:$P$38,13,FALSE))^(1/12)-1</f>
        <v>0</v>
      </c>
      <c r="X285">
        <f t="shared" si="91"/>
        <v>0</v>
      </c>
      <c r="Y285">
        <f t="shared" si="80"/>
        <v>0.36518107100116481</v>
      </c>
      <c r="Z285">
        <f>(1+VLOOKUP(D285,Hipotesis!$D$9:$O$38,12,))^(1/12)-1</f>
        <v>3.0453186956291844E-3</v>
      </c>
      <c r="AA285">
        <f t="shared" si="92"/>
        <v>0.36676739675757658</v>
      </c>
      <c r="AB285">
        <f t="shared" si="93"/>
        <v>-1.5863257564117663E-3</v>
      </c>
      <c r="AC285" s="68">
        <f t="shared" si="81"/>
        <v>-7.6043607957143045E-3</v>
      </c>
      <c r="AD285">
        <f t="shared" si="82"/>
        <v>-0.51200434866823497</v>
      </c>
      <c r="AE285" s="67">
        <f t="shared" si="83"/>
        <v>-1.501950854125006E-2</v>
      </c>
      <c r="AF285" s="67">
        <f t="shared" si="84"/>
        <v>-4.5058525623750175E-3</v>
      </c>
      <c r="AG285" s="67">
        <f t="shared" si="85"/>
        <v>-1.0513655978875042E-2</v>
      </c>
    </row>
    <row r="286" spans="4:33" x14ac:dyDescent="0.2">
      <c r="D286" s="50">
        <v>24</v>
      </c>
      <c r="E286">
        <v>8</v>
      </c>
      <c r="F286">
        <f t="shared" si="76"/>
        <v>73</v>
      </c>
      <c r="G286">
        <f t="shared" si="86"/>
        <v>0</v>
      </c>
      <c r="H286" s="64">
        <f>IF(E286="Anual",VLOOKUP(F286,Hipotesis!$E$9:$J$38,6,FALSE),1-(1-VLOOKUP(F286,Hipotesis!$E$9:$J$38,6,FALSE))^(1/12))</f>
        <v>2.027833159969239E-3</v>
      </c>
      <c r="I286">
        <f t="shared" si="87"/>
        <v>0.41003257663680759</v>
      </c>
      <c r="J286">
        <v>0</v>
      </c>
      <c r="K286">
        <f>1-(1-VLOOKUP(D286,Hipotesis!$D$9:$K$38,8,FALSE))^(1/12)</f>
        <v>8.3717735912058888E-4</v>
      </c>
      <c r="L286">
        <f t="shared" si="88"/>
        <v>0.16893593721465247</v>
      </c>
      <c r="M286">
        <f t="shared" si="89"/>
        <v>201.62335499634673</v>
      </c>
      <c r="N286">
        <f>IF(D286=1,(VLOOKUP(D286,'Primas Netas Y Reservas'!$D$4:$I$33,5,FALSE)+(VLOOKUP(D286,'Primas Netas Y Reservas'!$D$4:$I$33,6,FALSE)-VLOOKUP(D286,'Primas Netas Y Reservas'!$D$4:$I$33,5,FALSE))*(E286/12))/1000,((VLOOKUP(D286-1,'Primas Netas Y Reservas'!$D$4:$I$33,6,FALSE)+VLOOKUP(D286,'Primas Netas Y Reservas'!$D$4:$I$33,5,FALSE))+(VLOOKUP(D286,'Primas Netas Y Reservas'!$D$4:$I$33,6,FALSE)-VLOOKUP(D286-1,'Primas Netas Y Reservas'!$D$4:$I$33,6,FALSE)-VLOOKUP(D286,'Primas Netas Y Reservas'!$D$4:$I$33,5,FALSE))*(E286/12))/1000)</f>
        <v>0.59595007004672895</v>
      </c>
      <c r="O286">
        <f t="shared" si="90"/>
        <v>-0.13959719733074394</v>
      </c>
      <c r="P286">
        <f>VLOOKUP(D286,Hipotesis!$D$9:$S$38,15,FALSE)*N286</f>
        <v>0.59595007004672895</v>
      </c>
      <c r="Q286">
        <f t="shared" si="77"/>
        <v>0.10067738361648194</v>
      </c>
      <c r="R286">
        <f t="shared" si="78"/>
        <v>0</v>
      </c>
      <c r="S286">
        <f t="shared" si="79"/>
        <v>0.10067738361648194</v>
      </c>
      <c r="T286">
        <f>G286*(VLOOKUP(D286,Hipotesis!$D$9:$N$38,9,FALSE)+VLOOKUP(D286,Hipotesis!$D$9:$N$38,10,FALSE)+VLOOKUP(D286,Hipotesis!$D$9:$N$38,11,FALSE))</f>
        <v>0</v>
      </c>
      <c r="U286">
        <v>0</v>
      </c>
      <c r="V286">
        <f>G286*VLOOKUP(D286,Hipotesis!$D$9:$S$38,16,FALSE)+((VLOOKUP(D286,Hipotesis!$D$9:$T$38,17,FALSE)/$B$4)*M285)/12</f>
        <v>7.5825871316324324E-3</v>
      </c>
      <c r="W286">
        <f>(1+VLOOKUP(D286,Hipotesis!$D$9:$P$38,13,FALSE))^(1/12)-1</f>
        <v>0</v>
      </c>
      <c r="X286">
        <f t="shared" si="91"/>
        <v>0</v>
      </c>
      <c r="Y286">
        <f t="shared" si="80"/>
        <v>0.36476054676360781</v>
      </c>
      <c r="Z286">
        <f>(1+VLOOKUP(D286,Hipotesis!$D$9:$O$38,12,))^(1/12)-1</f>
        <v>3.0453186956291844E-3</v>
      </c>
      <c r="AA286">
        <f t="shared" si="92"/>
        <v>0.36634285457320381</v>
      </c>
      <c r="AB286">
        <f t="shared" si="93"/>
        <v>-1.582307809596017E-3</v>
      </c>
      <c r="AC286" s="68">
        <f t="shared" si="81"/>
        <v>-7.5825871316324324E-3</v>
      </c>
      <c r="AD286">
        <f t="shared" si="82"/>
        <v>-0.51070996025328952</v>
      </c>
      <c r="AE286" s="67">
        <f t="shared" si="83"/>
        <v>-1.3934803290570206E-2</v>
      </c>
      <c r="AF286" s="67">
        <f t="shared" si="84"/>
        <v>-4.1804409871710616E-3</v>
      </c>
      <c r="AG286" s="67">
        <f t="shared" si="85"/>
        <v>-9.7543623033991451E-3</v>
      </c>
    </row>
    <row r="287" spans="4:33" x14ac:dyDescent="0.2">
      <c r="D287" s="50">
        <v>24</v>
      </c>
      <c r="E287">
        <v>9</v>
      </c>
      <c r="F287">
        <f t="shared" si="76"/>
        <v>73</v>
      </c>
      <c r="G287">
        <f t="shared" si="86"/>
        <v>0</v>
      </c>
      <c r="H287" s="64">
        <f>IF(E287="Anual",VLOOKUP(F287,Hipotesis!$E$9:$J$38,6,FALSE),1-(1-VLOOKUP(F287,Hipotesis!$E$9:$J$38,6,FALSE))^(1/12))</f>
        <v>2.027833159969239E-3</v>
      </c>
      <c r="I287">
        <f t="shared" si="87"/>
        <v>0.40885852508584142</v>
      </c>
      <c r="J287">
        <v>0</v>
      </c>
      <c r="K287">
        <f>1-(1-VLOOKUP(D287,Hipotesis!$D$9:$K$38,8,FALSE))^(1/12)</f>
        <v>8.3717735912058888E-4</v>
      </c>
      <c r="L287">
        <f t="shared" si="88"/>
        <v>0.16845222077258926</v>
      </c>
      <c r="M287">
        <f t="shared" si="89"/>
        <v>201.04604425048831</v>
      </c>
      <c r="N287">
        <f>IF(D287=1,(VLOOKUP(D287,'Primas Netas Y Reservas'!$D$4:$I$33,5,FALSE)+(VLOOKUP(D287,'Primas Netas Y Reservas'!$D$4:$I$33,6,FALSE)-VLOOKUP(D287,'Primas Netas Y Reservas'!$D$4:$I$33,5,FALSE))*(E287/12))/1000,((VLOOKUP(D287-1,'Primas Netas Y Reservas'!$D$4:$I$33,6,FALSE)+VLOOKUP(D287,'Primas Netas Y Reservas'!$D$4:$I$33,5,FALSE))+(VLOOKUP(D287,'Primas Netas Y Reservas'!$D$4:$I$33,6,FALSE)-VLOOKUP(D287-1,'Primas Netas Y Reservas'!$D$4:$I$33,6,FALSE)-VLOOKUP(D287,'Primas Netas Y Reservas'!$D$4:$I$33,5,FALSE))*(E287/12))/1000)</f>
        <v>0.5969660778031558</v>
      </c>
      <c r="O287">
        <f t="shared" si="90"/>
        <v>-0.13978403907562154</v>
      </c>
      <c r="P287">
        <f>VLOOKUP(D287,Hipotesis!$D$9:$S$38,15,FALSE)*N287</f>
        <v>0.5969660778031558</v>
      </c>
      <c r="Q287">
        <f t="shared" si="77"/>
        <v>0.1005602615318439</v>
      </c>
      <c r="R287">
        <f t="shared" si="78"/>
        <v>0</v>
      </c>
      <c r="S287">
        <f t="shared" si="79"/>
        <v>0.1005602615318439</v>
      </c>
      <c r="T287">
        <f>G287*(VLOOKUP(D287,Hipotesis!$D$9:$N$38,9,FALSE)+VLOOKUP(D287,Hipotesis!$D$9:$N$38,10,FALSE)+VLOOKUP(D287,Hipotesis!$D$9:$N$38,11,FALSE))</f>
        <v>0</v>
      </c>
      <c r="U287">
        <v>0</v>
      </c>
      <c r="V287">
        <f>G287*VLOOKUP(D287,Hipotesis!$D$9:$S$38,16,FALSE)+((VLOOKUP(D287,Hipotesis!$D$9:$T$38,17,FALSE)/$B$4)*M286)/12</f>
        <v>7.5608758123630023E-3</v>
      </c>
      <c r="W287">
        <f>(1+VLOOKUP(D287,Hipotesis!$D$9:$P$38,13,FALSE))^(1/12)-1</f>
        <v>0</v>
      </c>
      <c r="X287">
        <f t="shared" si="91"/>
        <v>0</v>
      </c>
      <c r="Y287">
        <f t="shared" si="80"/>
        <v>0.36433943675184494</v>
      </c>
      <c r="Z287">
        <f>(1+VLOOKUP(D287,Hipotesis!$D$9:$O$38,12,))^(1/12)-1</f>
        <v>3.0453186956291844E-3</v>
      </c>
      <c r="AA287">
        <f t="shared" si="92"/>
        <v>0.36591773661831506</v>
      </c>
      <c r="AB287">
        <f t="shared" si="93"/>
        <v>-1.5782998664700997E-3</v>
      </c>
      <c r="AC287" s="68">
        <f t="shared" si="81"/>
        <v>-7.5608758123630023E-3</v>
      </c>
      <c r="AD287">
        <f t="shared" si="82"/>
        <v>-0.50941878661768536</v>
      </c>
      <c r="AE287" s="67">
        <f t="shared" si="83"/>
        <v>-1.2856186602581834E-2</v>
      </c>
      <c r="AF287" s="67">
        <f t="shared" si="84"/>
        <v>-3.8568559807745499E-3</v>
      </c>
      <c r="AG287" s="67">
        <f t="shared" si="85"/>
        <v>-8.9993306218072843E-3</v>
      </c>
    </row>
    <row r="288" spans="4:33" x14ac:dyDescent="0.2">
      <c r="D288" s="50">
        <v>24</v>
      </c>
      <c r="E288">
        <v>10</v>
      </c>
      <c r="F288">
        <f t="shared" si="76"/>
        <v>73</v>
      </c>
      <c r="G288">
        <f t="shared" si="86"/>
        <v>0</v>
      </c>
      <c r="H288" s="64">
        <f>IF(E288="Anual",VLOOKUP(F288,Hipotesis!$E$9:$J$38,6,FALSE),1-(1-VLOOKUP(F288,Hipotesis!$E$9:$J$38,6,FALSE))^(1/12))</f>
        <v>2.027833159969239E-3</v>
      </c>
      <c r="I288">
        <f t="shared" si="87"/>
        <v>0.40768783521178314</v>
      </c>
      <c r="J288">
        <v>0</v>
      </c>
      <c r="K288">
        <f>1-(1-VLOOKUP(D288,Hipotesis!$D$9:$K$38,8,FALSE))^(1/12)</f>
        <v>8.3717735912058888E-4</v>
      </c>
      <c r="L288">
        <f t="shared" si="88"/>
        <v>0.16796988936203666</v>
      </c>
      <c r="M288">
        <f t="shared" si="89"/>
        <v>200.47038652591448</v>
      </c>
      <c r="N288">
        <f>IF(D288=1,(VLOOKUP(D288,'Primas Netas Y Reservas'!$D$4:$I$33,5,FALSE)+(VLOOKUP(D288,'Primas Netas Y Reservas'!$D$4:$I$33,6,FALSE)-VLOOKUP(D288,'Primas Netas Y Reservas'!$D$4:$I$33,5,FALSE))*(E288/12))/1000,((VLOOKUP(D288-1,'Primas Netas Y Reservas'!$D$4:$I$33,6,FALSE)+VLOOKUP(D288,'Primas Netas Y Reservas'!$D$4:$I$33,5,FALSE))+(VLOOKUP(D288,'Primas Netas Y Reservas'!$D$4:$I$33,6,FALSE)-VLOOKUP(D288-1,'Primas Netas Y Reservas'!$D$4:$I$33,6,FALSE)-VLOOKUP(D288,'Primas Netas Y Reservas'!$D$4:$I$33,5,FALSE))*(E288/12))/1000)</f>
        <v>0.59798208555958277</v>
      </c>
      <c r="O288">
        <f t="shared" si="90"/>
        <v>-0.1399686663516917</v>
      </c>
      <c r="P288">
        <f>VLOOKUP(D288,Hipotesis!$D$9:$S$38,15,FALSE)*N288</f>
        <v>0.59798208555958277</v>
      </c>
      <c r="Q288">
        <f t="shared" si="77"/>
        <v>0.10044298475192306</v>
      </c>
      <c r="R288">
        <f t="shared" si="78"/>
        <v>0</v>
      </c>
      <c r="S288">
        <f t="shared" si="79"/>
        <v>0.10044298475192306</v>
      </c>
      <c r="T288">
        <f>G288*(VLOOKUP(D288,Hipotesis!$D$9:$N$38,9,FALSE)+VLOOKUP(D288,Hipotesis!$D$9:$N$38,10,FALSE)+VLOOKUP(D288,Hipotesis!$D$9:$N$38,11,FALSE))</f>
        <v>0</v>
      </c>
      <c r="U288">
        <v>0</v>
      </c>
      <c r="V288">
        <f>G288*VLOOKUP(D288,Hipotesis!$D$9:$S$38,16,FALSE)+((VLOOKUP(D288,Hipotesis!$D$9:$T$38,17,FALSE)/$B$4)*M287)/12</f>
        <v>7.5392266593933112E-3</v>
      </c>
      <c r="W288">
        <f>(1+VLOOKUP(D288,Hipotesis!$D$9:$P$38,13,FALSE))^(1/12)-1</f>
        <v>0</v>
      </c>
      <c r="X288">
        <f t="shared" si="91"/>
        <v>0</v>
      </c>
      <c r="Y288">
        <f t="shared" si="80"/>
        <v>0.3639177477680795</v>
      </c>
      <c r="Z288">
        <f>(1+VLOOKUP(D288,Hipotesis!$D$9:$O$38,12,))^(1/12)-1</f>
        <v>3.0453186956291844E-3</v>
      </c>
      <c r="AA288">
        <f t="shared" si="92"/>
        <v>0.36549204967076748</v>
      </c>
      <c r="AB288">
        <f t="shared" si="93"/>
        <v>-1.5743019026880078E-3</v>
      </c>
      <c r="AC288" s="68">
        <f t="shared" si="81"/>
        <v>-7.5392266593933112E-3</v>
      </c>
      <c r="AD288">
        <f t="shared" si="82"/>
        <v>-0.50813081996370624</v>
      </c>
      <c r="AE288" s="67">
        <f t="shared" si="83"/>
        <v>-1.1783632503328322E-2</v>
      </c>
      <c r="AF288" s="67">
        <f t="shared" si="84"/>
        <v>-3.5350897509984964E-3</v>
      </c>
      <c r="AG288" s="67">
        <f t="shared" si="85"/>
        <v>-8.2485427523298262E-3</v>
      </c>
    </row>
    <row r="289" spans="4:33" x14ac:dyDescent="0.2">
      <c r="D289" s="50">
        <v>24</v>
      </c>
      <c r="E289">
        <v>11</v>
      </c>
      <c r="F289">
        <f t="shared" si="76"/>
        <v>73</v>
      </c>
      <c r="G289">
        <f t="shared" si="86"/>
        <v>0</v>
      </c>
      <c r="H289" s="64">
        <f>IF(E289="Anual",VLOOKUP(F289,Hipotesis!$E$9:$J$38,6,FALSE),1-(1-VLOOKUP(F289,Hipotesis!$E$9:$J$38,6,FALSE))^(1/12))</f>
        <v>2.027833159969239E-3</v>
      </c>
      <c r="I289">
        <f t="shared" si="87"/>
        <v>0.4065204973890999</v>
      </c>
      <c r="J289">
        <v>0</v>
      </c>
      <c r="K289">
        <f>1-(1-VLOOKUP(D289,Hipotesis!$D$9:$K$38,8,FALSE))^(1/12)</f>
        <v>8.3717735912058888E-4</v>
      </c>
      <c r="L289">
        <f t="shared" si="88"/>
        <v>0.16748893901721618</v>
      </c>
      <c r="M289">
        <f t="shared" si="89"/>
        <v>199.89637708950818</v>
      </c>
      <c r="N289">
        <f>IF(D289=1,(VLOOKUP(D289,'Primas Netas Y Reservas'!$D$4:$I$33,5,FALSE)+(VLOOKUP(D289,'Primas Netas Y Reservas'!$D$4:$I$33,6,FALSE)-VLOOKUP(D289,'Primas Netas Y Reservas'!$D$4:$I$33,5,FALSE))*(E289/12))/1000,((VLOOKUP(D289-1,'Primas Netas Y Reservas'!$D$4:$I$33,6,FALSE)+VLOOKUP(D289,'Primas Netas Y Reservas'!$D$4:$I$33,5,FALSE))+(VLOOKUP(D289,'Primas Netas Y Reservas'!$D$4:$I$33,6,FALSE)-VLOOKUP(D289-1,'Primas Netas Y Reservas'!$D$4:$I$33,6,FALSE)-VLOOKUP(D289,'Primas Netas Y Reservas'!$D$4:$I$33,5,FALSE))*(E289/12))/1000)</f>
        <v>0.59899809331600951</v>
      </c>
      <c r="O289">
        <f t="shared" si="90"/>
        <v>-0.14015109030857786</v>
      </c>
      <c r="P289">
        <f>VLOOKUP(D289,Hipotesis!$D$9:$S$38,15,FALSE)*N289</f>
        <v>0.59899809331600951</v>
      </c>
      <c r="Q289">
        <f t="shared" si="77"/>
        <v>0.10032555512283388</v>
      </c>
      <c r="R289">
        <f t="shared" si="78"/>
        <v>0</v>
      </c>
      <c r="S289">
        <f t="shared" si="79"/>
        <v>0.10032555512283388</v>
      </c>
      <c r="T289">
        <f>G289*(VLOOKUP(D289,Hipotesis!$D$9:$N$38,9,FALSE)+VLOOKUP(D289,Hipotesis!$D$9:$N$38,10,FALSE)+VLOOKUP(D289,Hipotesis!$D$9:$N$38,11,FALSE))</f>
        <v>0</v>
      </c>
      <c r="U289">
        <v>0</v>
      </c>
      <c r="V289">
        <f>G289*VLOOKUP(D289,Hipotesis!$D$9:$S$38,16,FALSE)+((VLOOKUP(D289,Hipotesis!$D$9:$T$38,17,FALSE)/$B$4)*M288)/12</f>
        <v>7.5176394947217935E-3</v>
      </c>
      <c r="W289">
        <f>(1+VLOOKUP(D289,Hipotesis!$D$9:$P$38,13,FALSE))^(1/12)-1</f>
        <v>0</v>
      </c>
      <c r="X289">
        <f t="shared" si="91"/>
        <v>0</v>
      </c>
      <c r="Y289">
        <f t="shared" si="80"/>
        <v>0.36349548658036329</v>
      </c>
      <c r="Z289">
        <f>(1+VLOOKUP(D289,Hipotesis!$D$9:$O$38,12,))^(1/12)-1</f>
        <v>3.0453186956291844E-3</v>
      </c>
      <c r="AA289">
        <f t="shared" si="92"/>
        <v>0.36506580047432441</v>
      </c>
      <c r="AB289">
        <f t="shared" si="93"/>
        <v>-1.5703138939611387E-3</v>
      </c>
      <c r="AC289" s="68">
        <f t="shared" si="81"/>
        <v>-7.5176394947217935E-3</v>
      </c>
      <c r="AD289">
        <f t="shared" si="82"/>
        <v>-0.50684605251193382</v>
      </c>
      <c r="AE289" s="67">
        <f t="shared" si="83"/>
        <v>-1.0717115117714403E-2</v>
      </c>
      <c r="AF289" s="67">
        <f t="shared" si="84"/>
        <v>-3.2151345353143208E-3</v>
      </c>
      <c r="AG289" s="67">
        <f t="shared" si="85"/>
        <v>-7.5019805824000831E-3</v>
      </c>
    </row>
    <row r="290" spans="4:33" x14ac:dyDescent="0.2">
      <c r="D290" s="50">
        <v>24</v>
      </c>
      <c r="E290">
        <v>12</v>
      </c>
      <c r="F290">
        <f t="shared" si="76"/>
        <v>73</v>
      </c>
      <c r="G290">
        <f t="shared" si="86"/>
        <v>0</v>
      </c>
      <c r="H290" s="64">
        <f>IF(E290="Anual",VLOOKUP(F290,Hipotesis!$E$9:$J$38,6,FALSE),1-(1-VLOOKUP(F290,Hipotesis!$E$9:$J$38,6,FALSE))^(1/12))</f>
        <v>2.027833159969239E-3</v>
      </c>
      <c r="I290">
        <f t="shared" si="87"/>
        <v>0.40535650201981993</v>
      </c>
      <c r="J290">
        <v>0</v>
      </c>
      <c r="K290">
        <f>1-(1-VLOOKUP(D290,Hipotesis!$D$9:$K$38,8,FALSE))^(1/12)</f>
        <v>8.3717735912058888E-4</v>
      </c>
      <c r="L290">
        <f t="shared" si="88"/>
        <v>0.16700936578370451</v>
      </c>
      <c r="M290">
        <f t="shared" si="89"/>
        <v>199.32401122170464</v>
      </c>
      <c r="N290">
        <f>IF(D290=1,(VLOOKUP(D290,'Primas Netas Y Reservas'!$D$4:$I$33,5,FALSE)+(VLOOKUP(D290,'Primas Netas Y Reservas'!$D$4:$I$33,6,FALSE)-VLOOKUP(D290,'Primas Netas Y Reservas'!$D$4:$I$33,5,FALSE))*(E290/12))/1000,((VLOOKUP(D290-1,'Primas Netas Y Reservas'!$D$4:$I$33,6,FALSE)+VLOOKUP(D290,'Primas Netas Y Reservas'!$D$4:$I$33,5,FALSE))+(VLOOKUP(D290,'Primas Netas Y Reservas'!$D$4:$I$33,6,FALSE)-VLOOKUP(D290-1,'Primas Netas Y Reservas'!$D$4:$I$33,6,FALSE)-VLOOKUP(D290,'Primas Netas Y Reservas'!$D$4:$I$33,5,FALSE))*(E290/12))/1000)</f>
        <v>0.60001410107243647</v>
      </c>
      <c r="O290">
        <f t="shared" si="90"/>
        <v>-0.14033132205008769</v>
      </c>
      <c r="P290">
        <f>VLOOKUP(D290,Hipotesis!$D$9:$S$38,15,FALSE)*N290</f>
        <v>0.60001410107243647</v>
      </c>
      <c r="Q290">
        <f t="shared" si="77"/>
        <v>0.10020797448138719</v>
      </c>
      <c r="R290">
        <f t="shared" si="78"/>
        <v>0</v>
      </c>
      <c r="S290">
        <f t="shared" si="79"/>
        <v>0.10020797448138719</v>
      </c>
      <c r="T290">
        <f>G290*(VLOOKUP(D290,Hipotesis!$D$9:$N$38,9,FALSE)+VLOOKUP(D290,Hipotesis!$D$9:$N$38,10,FALSE)+VLOOKUP(D290,Hipotesis!$D$9:$N$38,11,FALSE))</f>
        <v>0</v>
      </c>
      <c r="U290">
        <v>0</v>
      </c>
      <c r="V290">
        <f>G290*VLOOKUP(D290,Hipotesis!$D$9:$S$38,16,FALSE)+((VLOOKUP(D290,Hipotesis!$D$9:$T$38,17,FALSE)/$B$4)*M289)/12</f>
        <v>7.4961141408565564E-3</v>
      </c>
      <c r="W290">
        <f>(1+VLOOKUP(D290,Hipotesis!$D$9:$P$38,13,FALSE))^(1/12)-1</f>
        <v>0</v>
      </c>
      <c r="X290">
        <f t="shared" si="91"/>
        <v>0</v>
      </c>
      <c r="Y290">
        <f t="shared" si="80"/>
        <v>0.36307265992273674</v>
      </c>
      <c r="Z290">
        <f>(1+VLOOKUP(D290,Hipotesis!$D$9:$O$38,12,))^(1/12)-1</f>
        <v>3.0453186956291844E-3</v>
      </c>
      <c r="AA290">
        <f t="shared" si="92"/>
        <v>0.36463899573879488</v>
      </c>
      <c r="AB290">
        <f t="shared" si="93"/>
        <v>-1.5663358160581643E-3</v>
      </c>
      <c r="AC290" s="68">
        <f t="shared" si="81"/>
        <v>-7.4961141408565564E-3</v>
      </c>
      <c r="AD290">
        <f t="shared" si="82"/>
        <v>-0.50556447650120706</v>
      </c>
      <c r="AE290" s="67">
        <f t="shared" si="83"/>
        <v>-9.656608669239241E-3</v>
      </c>
      <c r="AF290" s="67">
        <f t="shared" si="84"/>
        <v>-2.8969826007717724E-3</v>
      </c>
      <c r="AG290" s="67">
        <f t="shared" si="85"/>
        <v>-6.759626068467469E-3</v>
      </c>
    </row>
    <row r="291" spans="4:33" x14ac:dyDescent="0.2">
      <c r="D291" s="50">
        <v>25</v>
      </c>
      <c r="E291">
        <v>1</v>
      </c>
      <c r="F291">
        <f t="shared" si="76"/>
        <v>74</v>
      </c>
      <c r="G291">
        <f t="shared" si="86"/>
        <v>0</v>
      </c>
      <c r="H291" s="64">
        <f>IF(E291="Anual",VLOOKUP(F291,Hipotesis!$E$9:$J$38,6,FALSE),1-(1-VLOOKUP(F291,Hipotesis!$E$9:$J$38,6,FALSE))^(1/12))</f>
        <v>2.1803320681725857E-3</v>
      </c>
      <c r="I291">
        <f t="shared" si="87"/>
        <v>0.434592533623475</v>
      </c>
      <c r="J291">
        <v>0</v>
      </c>
      <c r="K291">
        <f>1-(1-VLOOKUP(D291,Hipotesis!$D$9:$K$38,8,FALSE))^(1/12)</f>
        <v>8.3717735912058888E-4</v>
      </c>
      <c r="L291">
        <f t="shared" si="88"/>
        <v>0.16650571829431687</v>
      </c>
      <c r="M291">
        <f t="shared" si="89"/>
        <v>198.72291296978685</v>
      </c>
      <c r="N291">
        <f>IF(D291=1,(VLOOKUP(D291,'Primas Netas Y Reservas'!$D$4:$I$33,5,FALSE)+(VLOOKUP(D291,'Primas Netas Y Reservas'!$D$4:$I$33,6,FALSE)-VLOOKUP(D291,'Primas Netas Y Reservas'!$D$4:$I$33,5,FALSE))*(E291/12))/1000,((VLOOKUP(D291-1,'Primas Netas Y Reservas'!$D$4:$I$33,6,FALSE)+VLOOKUP(D291,'Primas Netas Y Reservas'!$D$4:$I$33,5,FALSE))+(VLOOKUP(D291,'Primas Netas Y Reservas'!$D$4:$I$33,6,FALSE)-VLOOKUP(D291-1,'Primas Netas Y Reservas'!$D$4:$I$33,6,FALSE)-VLOOKUP(D291,'Primas Netas Y Reservas'!$D$4:$I$33,5,FALSE))*(E291/12))/1000)</f>
        <v>0.60102629949011122</v>
      </c>
      <c r="O291">
        <f t="shared" si="90"/>
        <v>-0.15952040921693822</v>
      </c>
      <c r="P291">
        <f>VLOOKUP(D291,Hipotesis!$D$9:$S$38,15,FALSE)*N291</f>
        <v>0.60102629949011122</v>
      </c>
      <c r="Q291">
        <f t="shared" si="77"/>
        <v>0.10007431571037619</v>
      </c>
      <c r="R291">
        <f t="shared" si="78"/>
        <v>0</v>
      </c>
      <c r="S291">
        <f t="shared" si="79"/>
        <v>0.10007431571037619</v>
      </c>
      <c r="T291">
        <f>G291*(VLOOKUP(D291,Hipotesis!$D$9:$N$38,9,FALSE)+VLOOKUP(D291,Hipotesis!$D$9:$N$38,10,FALSE)+VLOOKUP(D291,Hipotesis!$D$9:$N$38,11,FALSE))</f>
        <v>0</v>
      </c>
      <c r="U291">
        <v>0</v>
      </c>
      <c r="V291">
        <f>G291*VLOOKUP(D291,Hipotesis!$D$9:$S$38,16,FALSE)+((VLOOKUP(D291,Hipotesis!$D$9:$T$38,17,FALSE)/$B$4)*M290)/12</f>
        <v>7.4746504208139239E-3</v>
      </c>
      <c r="W291">
        <f>(1+VLOOKUP(D291,Hipotesis!$D$9:$P$38,13,FALSE))^(1/12)-1</f>
        <v>0</v>
      </c>
      <c r="X291">
        <f t="shared" si="91"/>
        <v>0</v>
      </c>
      <c r="Y291">
        <f t="shared" si="80"/>
        <v>0.39410044653534482</v>
      </c>
      <c r="Z291">
        <f>(1+VLOOKUP(D291,Hipotesis!$D$9:$O$38,12,))^(1/12)-1</f>
        <v>3.3094274335994101E-3</v>
      </c>
      <c r="AA291">
        <f t="shared" si="92"/>
        <v>0.39579831229649043</v>
      </c>
      <c r="AB291">
        <f t="shared" si="93"/>
        <v>-1.6978657611456261E-3</v>
      </c>
      <c r="AC291" s="68">
        <f t="shared" si="81"/>
        <v>-7.4746504208139239E-3</v>
      </c>
      <c r="AD291">
        <f t="shared" si="82"/>
        <v>-0.53466684933385122</v>
      </c>
      <c r="AE291" s="67">
        <f t="shared" si="83"/>
        <v>1.1479355997617943E-2</v>
      </c>
      <c r="AF291" s="67">
        <f t="shared" si="84"/>
        <v>3.4438067992853829E-3</v>
      </c>
      <c r="AG291" s="67">
        <f t="shared" si="85"/>
        <v>8.0355491983325599E-3</v>
      </c>
    </row>
    <row r="292" spans="4:33" x14ac:dyDescent="0.2">
      <c r="D292" s="50">
        <v>25</v>
      </c>
      <c r="E292">
        <v>2</v>
      </c>
      <c r="F292">
        <f t="shared" si="76"/>
        <v>74</v>
      </c>
      <c r="G292">
        <f t="shared" si="86"/>
        <v>0</v>
      </c>
      <c r="H292" s="64">
        <f>IF(E292="Anual",VLOOKUP(F292,Hipotesis!$E$9:$J$38,6,FALSE),1-(1-VLOOKUP(F292,Hipotesis!$E$9:$J$38,6,FALSE))^(1/12))</f>
        <v>2.1803320681725857E-3</v>
      </c>
      <c r="I292">
        <f t="shared" si="87"/>
        <v>0.43328193982869612</v>
      </c>
      <c r="J292">
        <v>0</v>
      </c>
      <c r="K292">
        <f>1-(1-VLOOKUP(D292,Hipotesis!$D$9:$K$38,8,FALSE))^(1/12)</f>
        <v>8.3717735912058888E-4</v>
      </c>
      <c r="L292">
        <f t="shared" si="88"/>
        <v>0.16600358964665635</v>
      </c>
      <c r="M292">
        <f t="shared" si="89"/>
        <v>198.12362744031148</v>
      </c>
      <c r="N292">
        <f>IF(D292=1,(VLOOKUP(D292,'Primas Netas Y Reservas'!$D$4:$I$33,5,FALSE)+(VLOOKUP(D292,'Primas Netas Y Reservas'!$D$4:$I$33,6,FALSE)-VLOOKUP(D292,'Primas Netas Y Reservas'!$D$4:$I$33,5,FALSE))*(E292/12))/1000,((VLOOKUP(D292-1,'Primas Netas Y Reservas'!$D$4:$I$33,6,FALSE)+VLOOKUP(D292,'Primas Netas Y Reservas'!$D$4:$I$33,5,FALSE))+(VLOOKUP(D292,'Primas Netas Y Reservas'!$D$4:$I$33,6,FALSE)-VLOOKUP(D292-1,'Primas Netas Y Reservas'!$D$4:$I$33,6,FALSE)-VLOOKUP(D292,'Primas Netas Y Reservas'!$D$4:$I$33,5,FALSE))*(E292/12))/1000)</f>
        <v>0.60203849790778596</v>
      </c>
      <c r="O292">
        <f t="shared" si="90"/>
        <v>-0.15964594191947867</v>
      </c>
      <c r="P292">
        <f>VLOOKUP(D292,Hipotesis!$D$9:$S$38,15,FALSE)*N292</f>
        <v>0.60203849790778596</v>
      </c>
      <c r="Q292">
        <f t="shared" si="77"/>
        <v>9.9940551758173471E-2</v>
      </c>
      <c r="R292">
        <f t="shared" si="78"/>
        <v>0</v>
      </c>
      <c r="S292">
        <f t="shared" si="79"/>
        <v>9.9940551758173471E-2</v>
      </c>
      <c r="T292">
        <f>G292*(VLOOKUP(D292,Hipotesis!$D$9:$N$38,9,FALSE)+VLOOKUP(D292,Hipotesis!$D$9:$N$38,10,FALSE)+VLOOKUP(D292,Hipotesis!$D$9:$N$38,11,FALSE))</f>
        <v>0</v>
      </c>
      <c r="U292">
        <v>0</v>
      </c>
      <c r="V292">
        <f>G292*VLOOKUP(D292,Hipotesis!$D$9:$S$38,16,FALSE)+((VLOOKUP(D292,Hipotesis!$D$9:$T$38,17,FALSE)/$B$4)*M291)/12</f>
        <v>7.4521092363670069E-3</v>
      </c>
      <c r="W292">
        <f>(1+VLOOKUP(D292,Hipotesis!$D$9:$P$38,13,FALSE))^(1/12)-1</f>
        <v>0</v>
      </c>
      <c r="X292">
        <f t="shared" si="91"/>
        <v>0</v>
      </c>
      <c r="Y292">
        <f t="shared" si="80"/>
        <v>0.39347628772424226</v>
      </c>
      <c r="Z292">
        <f>(1+VLOOKUP(D292,Hipotesis!$D$9:$O$38,12,))^(1/12)-1</f>
        <v>3.3094274335994101E-3</v>
      </c>
      <c r="AA292">
        <f t="shared" si="92"/>
        <v>0.39527039107800888</v>
      </c>
      <c r="AB292">
        <f t="shared" si="93"/>
        <v>-1.7941033537666221E-3</v>
      </c>
      <c r="AC292" s="68">
        <f t="shared" si="81"/>
        <v>-7.4521092363670069E-3</v>
      </c>
      <c r="AD292">
        <f t="shared" si="82"/>
        <v>-0.53322249158686963</v>
      </c>
      <c r="AE292" s="67">
        <f t="shared" si="83"/>
        <v>1.2447628820484349E-2</v>
      </c>
      <c r="AF292" s="67">
        <f t="shared" si="84"/>
        <v>3.7342886461453045E-3</v>
      </c>
      <c r="AG292" s="67">
        <f t="shared" si="85"/>
        <v>8.7133401743390449E-3</v>
      </c>
    </row>
    <row r="293" spans="4:33" x14ac:dyDescent="0.2">
      <c r="D293" s="50">
        <v>25</v>
      </c>
      <c r="E293">
        <v>3</v>
      </c>
      <c r="F293">
        <f t="shared" si="76"/>
        <v>74</v>
      </c>
      <c r="G293">
        <f t="shared" si="86"/>
        <v>0</v>
      </c>
      <c r="H293" s="64">
        <f>IF(E293="Anual",VLOOKUP(F293,Hipotesis!$E$9:$J$38,6,FALSE),1-(1-VLOOKUP(F293,Hipotesis!$E$9:$J$38,6,FALSE))^(1/12))</f>
        <v>2.1803320681725857E-3</v>
      </c>
      <c r="I293">
        <f t="shared" si="87"/>
        <v>0.43197529837078918</v>
      </c>
      <c r="J293">
        <v>0</v>
      </c>
      <c r="K293">
        <f>1-(1-VLOOKUP(D293,Hipotesis!$D$9:$K$38,8,FALSE))^(1/12)</f>
        <v>8.3717735912058888E-4</v>
      </c>
      <c r="L293">
        <f t="shared" si="88"/>
        <v>0.16550297526037602</v>
      </c>
      <c r="M293">
        <f t="shared" si="89"/>
        <v>197.52614916668031</v>
      </c>
      <c r="N293">
        <f>IF(D293=1,(VLOOKUP(D293,'Primas Netas Y Reservas'!$D$4:$I$33,5,FALSE)+(VLOOKUP(D293,'Primas Netas Y Reservas'!$D$4:$I$33,6,FALSE)-VLOOKUP(D293,'Primas Netas Y Reservas'!$D$4:$I$33,5,FALSE))*(E293/12))/1000,((VLOOKUP(D293-1,'Primas Netas Y Reservas'!$D$4:$I$33,6,FALSE)+VLOOKUP(D293,'Primas Netas Y Reservas'!$D$4:$I$33,5,FALSE))+(VLOOKUP(D293,'Primas Netas Y Reservas'!$D$4:$I$33,6,FALSE)-VLOOKUP(D293-1,'Primas Netas Y Reservas'!$D$4:$I$33,6,FALSE)-VLOOKUP(D293,'Primas Netas Y Reservas'!$D$4:$I$33,5,FALSE))*(E293/12))/1000)</f>
        <v>0.60305069632546071</v>
      </c>
      <c r="O293">
        <f t="shared" si="90"/>
        <v>-0.15976926675355685</v>
      </c>
      <c r="P293">
        <f>VLOOKUP(D293,Hipotesis!$D$9:$S$38,15,FALSE)*N293</f>
        <v>0.60305069632546071</v>
      </c>
      <c r="Q293">
        <f t="shared" si="77"/>
        <v>9.9806684474705254E-2</v>
      </c>
      <c r="R293">
        <f t="shared" si="78"/>
        <v>0</v>
      </c>
      <c r="S293">
        <f t="shared" si="79"/>
        <v>9.9806684474705254E-2</v>
      </c>
      <c r="T293">
        <f>G293*(VLOOKUP(D293,Hipotesis!$D$9:$N$38,9,FALSE)+VLOOKUP(D293,Hipotesis!$D$9:$N$38,10,FALSE)+VLOOKUP(D293,Hipotesis!$D$9:$N$38,11,FALSE))</f>
        <v>0</v>
      </c>
      <c r="U293">
        <v>0</v>
      </c>
      <c r="V293">
        <f>G293*VLOOKUP(D293,Hipotesis!$D$9:$S$38,16,FALSE)+((VLOOKUP(D293,Hipotesis!$D$9:$T$38,17,FALSE)/$B$4)*M292)/12</f>
        <v>7.429636029011681E-3</v>
      </c>
      <c r="W293">
        <f>(1+VLOOKUP(D293,Hipotesis!$D$9:$P$38,13,FALSE))^(1/12)-1</f>
        <v>0</v>
      </c>
      <c r="X293">
        <f t="shared" si="91"/>
        <v>0</v>
      </c>
      <c r="Y293">
        <f t="shared" si="80"/>
        <v>0.39295280543499184</v>
      </c>
      <c r="Z293">
        <f>(1+VLOOKUP(D293,Hipotesis!$D$9:$O$38,12,))^(1/12)-1</f>
        <v>3.3094274335994101E-3</v>
      </c>
      <c r="AA293">
        <f t="shared" si="92"/>
        <v>0.39474205441815774</v>
      </c>
      <c r="AB293">
        <f t="shared" si="93"/>
        <v>-1.7892489831658868E-3</v>
      </c>
      <c r="AC293" s="68">
        <f t="shared" si="81"/>
        <v>-7.429636029011681E-3</v>
      </c>
      <c r="AD293">
        <f t="shared" si="82"/>
        <v>-0.53178198284549438</v>
      </c>
      <c r="AE293" s="67">
        <f t="shared" si="83"/>
        <v>1.3510453314042565E-2</v>
      </c>
      <c r="AF293" s="67">
        <f t="shared" si="84"/>
        <v>4.0531359942127696E-3</v>
      </c>
      <c r="AG293" s="67">
        <f t="shared" si="85"/>
        <v>9.4573173198297944E-3</v>
      </c>
    </row>
    <row r="294" spans="4:33" x14ac:dyDescent="0.2">
      <c r="D294" s="50">
        <v>25</v>
      </c>
      <c r="E294">
        <v>4</v>
      </c>
      <c r="F294">
        <f t="shared" si="76"/>
        <v>74</v>
      </c>
      <c r="G294">
        <f t="shared" si="86"/>
        <v>0</v>
      </c>
      <c r="H294" s="64">
        <f>IF(E294="Anual",VLOOKUP(F294,Hipotesis!$E$9:$J$38,6,FALSE),1-(1-VLOOKUP(F294,Hipotesis!$E$9:$J$38,6,FALSE))^(1/12))</f>
        <v>2.1803320681725857E-3</v>
      </c>
      <c r="I294">
        <f t="shared" si="87"/>
        <v>0.4306725973307548</v>
      </c>
      <c r="J294">
        <v>0</v>
      </c>
      <c r="K294">
        <f>1-(1-VLOOKUP(D294,Hipotesis!$D$9:$K$38,8,FALSE))^(1/12)</f>
        <v>8.3717735912058888E-4</v>
      </c>
      <c r="L294">
        <f t="shared" si="88"/>
        <v>0.16500387056894197</v>
      </c>
      <c r="M294">
        <f t="shared" si="89"/>
        <v>196.93047269878062</v>
      </c>
      <c r="N294">
        <f>IF(D294=1,(VLOOKUP(D294,'Primas Netas Y Reservas'!$D$4:$I$33,5,FALSE)+(VLOOKUP(D294,'Primas Netas Y Reservas'!$D$4:$I$33,6,FALSE)-VLOOKUP(D294,'Primas Netas Y Reservas'!$D$4:$I$33,5,FALSE))*(E294/12))/1000,((VLOOKUP(D294-1,'Primas Netas Y Reservas'!$D$4:$I$33,6,FALSE)+VLOOKUP(D294,'Primas Netas Y Reservas'!$D$4:$I$33,5,FALSE))+(VLOOKUP(D294,'Primas Netas Y Reservas'!$D$4:$I$33,6,FALSE)-VLOOKUP(D294-1,'Primas Netas Y Reservas'!$D$4:$I$33,6,FALSE)-VLOOKUP(D294,'Primas Netas Y Reservas'!$D$4:$I$33,5,FALSE))*(E294/12))/1000)</f>
        <v>0.60406289474313557</v>
      </c>
      <c r="O294">
        <f t="shared" si="90"/>
        <v>-0.15989039589392462</v>
      </c>
      <c r="P294">
        <f>VLOOKUP(D294,Hipotesis!$D$9:$S$38,15,FALSE)*N294</f>
        <v>0.60406289474313557</v>
      </c>
      <c r="Q294">
        <f t="shared" si="77"/>
        <v>9.9672715699696754E-2</v>
      </c>
      <c r="R294">
        <f t="shared" si="78"/>
        <v>0</v>
      </c>
      <c r="S294">
        <f t="shared" si="79"/>
        <v>9.9672715699696754E-2</v>
      </c>
      <c r="T294">
        <f>G294*(VLOOKUP(D294,Hipotesis!$D$9:$N$38,9,FALSE)+VLOOKUP(D294,Hipotesis!$D$9:$N$38,10,FALSE)+VLOOKUP(D294,Hipotesis!$D$9:$N$38,11,FALSE))</f>
        <v>0</v>
      </c>
      <c r="U294">
        <v>0</v>
      </c>
      <c r="V294">
        <f>G294*VLOOKUP(D294,Hipotesis!$D$9:$S$38,16,FALSE)+((VLOOKUP(D294,Hipotesis!$D$9:$T$38,17,FALSE)/$B$4)*M293)/12</f>
        <v>7.4072305937505113E-3</v>
      </c>
      <c r="W294">
        <f>(1+VLOOKUP(D294,Hipotesis!$D$9:$P$38,13,FALSE))^(1/12)-1</f>
        <v>0</v>
      </c>
      <c r="X294">
        <f t="shared" si="91"/>
        <v>0</v>
      </c>
      <c r="Y294">
        <f t="shared" si="80"/>
        <v>0.39242890204886077</v>
      </c>
      <c r="Z294">
        <f>(1+VLOOKUP(D294,Hipotesis!$D$9:$O$38,12,))^(1/12)-1</f>
        <v>3.3094274335994101E-3</v>
      </c>
      <c r="AA294">
        <f t="shared" si="92"/>
        <v>0.39421330962371748</v>
      </c>
      <c r="AB294">
        <f t="shared" si="93"/>
        <v>-1.7844075748567247E-3</v>
      </c>
      <c r="AC294" s="68">
        <f t="shared" si="81"/>
        <v>-7.4072305937505113E-3</v>
      </c>
      <c r="AD294">
        <f t="shared" si="82"/>
        <v>-0.53034531303045152</v>
      </c>
      <c r="AE294" s="67">
        <f t="shared" si="83"/>
        <v>1.456675431858331E-2</v>
      </c>
      <c r="AF294" s="67">
        <f t="shared" si="84"/>
        <v>4.3700262955749932E-3</v>
      </c>
      <c r="AG294" s="67">
        <f t="shared" si="85"/>
        <v>1.0196728023008316E-2</v>
      </c>
    </row>
    <row r="295" spans="4:33" x14ac:dyDescent="0.2">
      <c r="D295" s="50">
        <v>25</v>
      </c>
      <c r="E295">
        <v>5</v>
      </c>
      <c r="F295">
        <f t="shared" si="76"/>
        <v>74</v>
      </c>
      <c r="G295">
        <f t="shared" si="86"/>
        <v>0</v>
      </c>
      <c r="H295" s="64">
        <f>IF(E295="Anual",VLOOKUP(F295,Hipotesis!$E$9:$J$38,6,FALSE),1-(1-VLOOKUP(F295,Hipotesis!$E$9:$J$38,6,FALSE))^(1/12))</f>
        <v>2.1803320681725857E-3</v>
      </c>
      <c r="I295">
        <f t="shared" si="87"/>
        <v>0.42937382482553726</v>
      </c>
      <c r="J295">
        <v>0</v>
      </c>
      <c r="K295">
        <f>1-(1-VLOOKUP(D295,Hipotesis!$D$9:$K$38,8,FALSE))^(1/12)</f>
        <v>8.3717735912058888E-4</v>
      </c>
      <c r="L295">
        <f t="shared" si="88"/>
        <v>0.16450627101959142</v>
      </c>
      <c r="M295">
        <f t="shared" si="89"/>
        <v>196.33659260293547</v>
      </c>
      <c r="N295">
        <f>IF(D295=1,(VLOOKUP(D295,'Primas Netas Y Reservas'!$D$4:$I$33,5,FALSE)+(VLOOKUP(D295,'Primas Netas Y Reservas'!$D$4:$I$33,6,FALSE)-VLOOKUP(D295,'Primas Netas Y Reservas'!$D$4:$I$33,5,FALSE))*(E295/12))/1000,((VLOOKUP(D295-1,'Primas Netas Y Reservas'!$D$4:$I$33,6,FALSE)+VLOOKUP(D295,'Primas Netas Y Reservas'!$D$4:$I$33,5,FALSE))+(VLOOKUP(D295,'Primas Netas Y Reservas'!$D$4:$I$33,6,FALSE)-VLOOKUP(D295-1,'Primas Netas Y Reservas'!$D$4:$I$33,6,FALSE)-VLOOKUP(D295,'Primas Netas Y Reservas'!$D$4:$I$33,5,FALSE))*(E295/12))/1000)</f>
        <v>0.60507509316081032</v>
      </c>
      <c r="O295">
        <f t="shared" si="90"/>
        <v>-0.16000934146221368</v>
      </c>
      <c r="P295">
        <f>VLOOKUP(D295,Hipotesis!$D$9:$S$38,15,FALSE)*N295</f>
        <v>0.60507509316081032</v>
      </c>
      <c r="Q295">
        <f t="shared" si="77"/>
        <v>9.9538647262716787E-2</v>
      </c>
      <c r="R295">
        <f t="shared" si="78"/>
        <v>0</v>
      </c>
      <c r="S295">
        <f t="shared" si="79"/>
        <v>9.9538647262716787E-2</v>
      </c>
      <c r="T295">
        <f>G295*(VLOOKUP(D295,Hipotesis!$D$9:$N$38,9,FALSE)+VLOOKUP(D295,Hipotesis!$D$9:$N$38,10,FALSE)+VLOOKUP(D295,Hipotesis!$D$9:$N$38,11,FALSE))</f>
        <v>0</v>
      </c>
      <c r="U295">
        <v>0</v>
      </c>
      <c r="V295">
        <f>G295*VLOOKUP(D295,Hipotesis!$D$9:$S$38,16,FALSE)+((VLOOKUP(D295,Hipotesis!$D$9:$T$38,17,FALSE)/$B$4)*M294)/12</f>
        <v>7.3848927262042735E-3</v>
      </c>
      <c r="W295">
        <f>(1+VLOOKUP(D295,Hipotesis!$D$9:$P$38,13,FALSE))^(1/12)-1</f>
        <v>0</v>
      </c>
      <c r="X295">
        <f t="shared" si="91"/>
        <v>0</v>
      </c>
      <c r="Y295">
        <f t="shared" si="80"/>
        <v>0.39190458486637086</v>
      </c>
      <c r="Z295">
        <f>(1+VLOOKUP(D295,Hipotesis!$D$9:$O$38,12,))^(1/12)-1</f>
        <v>3.3094274335994101E-3</v>
      </c>
      <c r="AA295">
        <f t="shared" si="92"/>
        <v>0.393684163961177</v>
      </c>
      <c r="AB295">
        <f t="shared" si="93"/>
        <v>-1.779579094806132E-3</v>
      </c>
      <c r="AC295" s="68">
        <f t="shared" si="81"/>
        <v>-7.3848927262042735E-3</v>
      </c>
      <c r="AD295">
        <f t="shared" si="82"/>
        <v>-0.52891247208825409</v>
      </c>
      <c r="AE295" s="67">
        <f t="shared" si="83"/>
        <v>1.5616561514126236E-2</v>
      </c>
      <c r="AF295" s="67">
        <f t="shared" si="84"/>
        <v>4.6849684542378707E-3</v>
      </c>
      <c r="AG295" s="67">
        <f t="shared" si="85"/>
        <v>1.0931593059888365E-2</v>
      </c>
    </row>
    <row r="296" spans="4:33" x14ac:dyDescent="0.2">
      <c r="D296" s="50">
        <v>25</v>
      </c>
      <c r="E296">
        <v>6</v>
      </c>
      <c r="F296">
        <f t="shared" si="76"/>
        <v>74</v>
      </c>
      <c r="G296">
        <f t="shared" si="86"/>
        <v>0</v>
      </c>
      <c r="H296" s="64">
        <f>IF(E296="Anual",VLOOKUP(F296,Hipotesis!$E$9:$J$38,6,FALSE),1-(1-VLOOKUP(F296,Hipotesis!$E$9:$J$38,6,FALSE))^(1/12))</f>
        <v>2.1803320681725857E-3</v>
      </c>
      <c r="I296">
        <f t="shared" si="87"/>
        <v>0.42807896900791664</v>
      </c>
      <c r="J296">
        <v>0</v>
      </c>
      <c r="K296">
        <f>1-(1-VLOOKUP(D296,Hipotesis!$D$9:$K$38,8,FALSE))^(1/12)</f>
        <v>8.3717735912058888E-4</v>
      </c>
      <c r="L296">
        <f t="shared" si="88"/>
        <v>0.16401017207329135</v>
      </c>
      <c r="M296">
        <f t="shared" si="89"/>
        <v>195.74450346185426</v>
      </c>
      <c r="N296">
        <f>IF(D296=1,(VLOOKUP(D296,'Primas Netas Y Reservas'!$D$4:$I$33,5,FALSE)+(VLOOKUP(D296,'Primas Netas Y Reservas'!$D$4:$I$33,6,FALSE)-VLOOKUP(D296,'Primas Netas Y Reservas'!$D$4:$I$33,5,FALSE))*(E296/12))/1000,((VLOOKUP(D296-1,'Primas Netas Y Reservas'!$D$4:$I$33,6,FALSE)+VLOOKUP(D296,'Primas Netas Y Reservas'!$D$4:$I$33,5,FALSE))+(VLOOKUP(D296,'Primas Netas Y Reservas'!$D$4:$I$33,6,FALSE)-VLOOKUP(D296-1,'Primas Netas Y Reservas'!$D$4:$I$33,6,FALSE)-VLOOKUP(D296,'Primas Netas Y Reservas'!$D$4:$I$33,5,FALSE))*(E296/12))/1000)</f>
        <v>0.60608729157848507</v>
      </c>
      <c r="O296">
        <f t="shared" si="90"/>
        <v>-0.1601261155265945</v>
      </c>
      <c r="P296">
        <f>VLOOKUP(D296,Hipotesis!$D$9:$S$38,15,FALSE)*N296</f>
        <v>0.60608729157848507</v>
      </c>
      <c r="Q296">
        <f t="shared" si="77"/>
        <v>9.9404480983222451E-2</v>
      </c>
      <c r="R296">
        <f t="shared" si="78"/>
        <v>0</v>
      </c>
      <c r="S296">
        <f t="shared" si="79"/>
        <v>9.9404480983222451E-2</v>
      </c>
      <c r="T296">
        <f>G296*(VLOOKUP(D296,Hipotesis!$D$9:$N$38,9,FALSE)+VLOOKUP(D296,Hipotesis!$D$9:$N$38,10,FALSE)+VLOOKUP(D296,Hipotesis!$D$9:$N$38,11,FALSE))</f>
        <v>0</v>
      </c>
      <c r="U296">
        <v>0</v>
      </c>
      <c r="V296">
        <f>G296*VLOOKUP(D296,Hipotesis!$D$9:$S$38,16,FALSE)+((VLOOKUP(D296,Hipotesis!$D$9:$T$38,17,FALSE)/$B$4)*M295)/12</f>
        <v>7.3626222226100798E-3</v>
      </c>
      <c r="W296">
        <f>(1+VLOOKUP(D296,Hipotesis!$D$9:$P$38,13,FALSE))^(1/12)-1</f>
        <v>0</v>
      </c>
      <c r="X296">
        <f t="shared" si="91"/>
        <v>0</v>
      </c>
      <c r="Y296">
        <f t="shared" si="80"/>
        <v>0.39137986114784135</v>
      </c>
      <c r="Z296">
        <f>(1+VLOOKUP(D296,Hipotesis!$D$9:$O$38,12,))^(1/12)-1</f>
        <v>3.3094274335994101E-3</v>
      </c>
      <c r="AA296">
        <f t="shared" si="92"/>
        <v>0.39315462465690981</v>
      </c>
      <c r="AB296">
        <f t="shared" si="93"/>
        <v>-1.7747635090684848E-3</v>
      </c>
      <c r="AC296" s="68">
        <f t="shared" si="81"/>
        <v>-7.3626222226100798E-3</v>
      </c>
      <c r="AD296">
        <f t="shared" si="82"/>
        <v>-0.52748344999113905</v>
      </c>
      <c r="AE296" s="67">
        <f t="shared" si="83"/>
        <v>1.6659904460686662E-2</v>
      </c>
      <c r="AF296" s="67">
        <f t="shared" si="84"/>
        <v>4.9979713382059983E-3</v>
      </c>
      <c r="AG296" s="67">
        <f t="shared" si="85"/>
        <v>1.1661933122480664E-2</v>
      </c>
    </row>
    <row r="297" spans="4:33" x14ac:dyDescent="0.2">
      <c r="D297" s="50">
        <v>25</v>
      </c>
      <c r="E297">
        <v>7</v>
      </c>
      <c r="F297">
        <f t="shared" si="76"/>
        <v>74</v>
      </c>
      <c r="G297">
        <f t="shared" si="86"/>
        <v>0</v>
      </c>
      <c r="H297" s="64">
        <f>IF(E297="Anual",VLOOKUP(F297,Hipotesis!$E$9:$J$38,6,FALSE),1-(1-VLOOKUP(F297,Hipotesis!$E$9:$J$38,6,FALSE))^(1/12))</f>
        <v>2.1803320681725857E-3</v>
      </c>
      <c r="I297">
        <f t="shared" si="87"/>
        <v>0.4267880180664006</v>
      </c>
      <c r="J297">
        <v>0</v>
      </c>
      <c r="K297">
        <f>1-(1-VLOOKUP(D297,Hipotesis!$D$9:$K$38,8,FALSE))^(1/12)</f>
        <v>8.3717735912058888E-4</v>
      </c>
      <c r="L297">
        <f t="shared" si="88"/>
        <v>0.16351556920469698</v>
      </c>
      <c r="M297">
        <f t="shared" si="89"/>
        <v>195.15419987458318</v>
      </c>
      <c r="N297">
        <f>IF(D297=1,(VLOOKUP(D297,'Primas Netas Y Reservas'!$D$4:$I$33,5,FALSE)+(VLOOKUP(D297,'Primas Netas Y Reservas'!$D$4:$I$33,6,FALSE)-VLOOKUP(D297,'Primas Netas Y Reservas'!$D$4:$I$33,5,FALSE))*(E297/12))/1000,((VLOOKUP(D297-1,'Primas Netas Y Reservas'!$D$4:$I$33,6,FALSE)+VLOOKUP(D297,'Primas Netas Y Reservas'!$D$4:$I$33,5,FALSE))+(VLOOKUP(D297,'Primas Netas Y Reservas'!$D$4:$I$33,6,FALSE)-VLOOKUP(D297-1,'Primas Netas Y Reservas'!$D$4:$I$33,6,FALSE)-VLOOKUP(D297,'Primas Netas Y Reservas'!$D$4:$I$33,5,FALSE))*(E297/12))/1000)</f>
        <v>0.60709948999615992</v>
      </c>
      <c r="O297">
        <f t="shared" si="90"/>
        <v>-0.16024073010252948</v>
      </c>
      <c r="P297">
        <f>VLOOKUP(D297,Hipotesis!$D$9:$S$38,15,FALSE)*N297</f>
        <v>0.60709948999615992</v>
      </c>
      <c r="Q297">
        <f t="shared" si="77"/>
        <v>9.927021867060333E-2</v>
      </c>
      <c r="R297">
        <f t="shared" si="78"/>
        <v>0</v>
      </c>
      <c r="S297">
        <f t="shared" si="79"/>
        <v>9.927021867060333E-2</v>
      </c>
      <c r="T297">
        <f>G297*(VLOOKUP(D297,Hipotesis!$D$9:$N$38,9,FALSE)+VLOOKUP(D297,Hipotesis!$D$9:$N$38,10,FALSE)+VLOOKUP(D297,Hipotesis!$D$9:$N$38,11,FALSE))</f>
        <v>0</v>
      </c>
      <c r="U297">
        <v>0</v>
      </c>
      <c r="V297">
        <f>G297*VLOOKUP(D297,Hipotesis!$D$9:$S$38,16,FALSE)+((VLOOKUP(D297,Hipotesis!$D$9:$T$38,17,FALSE)/$B$4)*M296)/12</f>
        <v>7.3404188798195345E-3</v>
      </c>
      <c r="W297">
        <f>(1+VLOOKUP(D297,Hipotesis!$D$9:$P$38,13,FALSE))^(1/12)-1</f>
        <v>0</v>
      </c>
      <c r="X297">
        <f t="shared" si="91"/>
        <v>0</v>
      </c>
      <c r="Y297">
        <f t="shared" si="80"/>
        <v>0.39085473811356503</v>
      </c>
      <c r="Z297">
        <f>(1+VLOOKUP(D297,Hipotesis!$D$9:$O$38,12,))^(1/12)-1</f>
        <v>3.3094274335994101E-3</v>
      </c>
      <c r="AA297">
        <f t="shared" si="92"/>
        <v>0.39262469889735035</v>
      </c>
      <c r="AB297">
        <f t="shared" si="93"/>
        <v>-1.7699607837853239E-3</v>
      </c>
      <c r="AC297" s="68">
        <f t="shared" si="81"/>
        <v>-7.3404188798195345E-3</v>
      </c>
      <c r="AD297">
        <f t="shared" si="82"/>
        <v>-0.52605823673700391</v>
      </c>
      <c r="AE297" s="67">
        <f t="shared" si="83"/>
        <v>1.7696812599271059E-2</v>
      </c>
      <c r="AF297" s="67">
        <f t="shared" si="84"/>
        <v>5.3090437797813179E-3</v>
      </c>
      <c r="AG297" s="67">
        <f t="shared" si="85"/>
        <v>1.238776881948974E-2</v>
      </c>
    </row>
    <row r="298" spans="4:33" x14ac:dyDescent="0.2">
      <c r="D298" s="50">
        <v>25</v>
      </c>
      <c r="E298">
        <v>8</v>
      </c>
      <c r="F298">
        <f t="shared" si="76"/>
        <v>74</v>
      </c>
      <c r="G298">
        <f t="shared" si="86"/>
        <v>0</v>
      </c>
      <c r="H298" s="64">
        <f>IF(E298="Anual",VLOOKUP(F298,Hipotesis!$E$9:$J$38,6,FALSE),1-(1-VLOOKUP(F298,Hipotesis!$E$9:$J$38,6,FALSE))^(1/12))</f>
        <v>2.1803320681725857E-3</v>
      </c>
      <c r="I298">
        <f t="shared" si="87"/>
        <v>0.42550096022511613</v>
      </c>
      <c r="J298">
        <v>0</v>
      </c>
      <c r="K298">
        <f>1-(1-VLOOKUP(D298,Hipotesis!$D$9:$K$38,8,FALSE))^(1/12)</f>
        <v>8.3717735912058888E-4</v>
      </c>
      <c r="L298">
        <f t="shared" si="88"/>
        <v>0.16302245790211056</v>
      </c>
      <c r="M298">
        <f t="shared" si="89"/>
        <v>194.56567645645595</v>
      </c>
      <c r="N298">
        <f>IF(D298=1,(VLOOKUP(D298,'Primas Netas Y Reservas'!$D$4:$I$33,5,FALSE)+(VLOOKUP(D298,'Primas Netas Y Reservas'!$D$4:$I$33,6,FALSE)-VLOOKUP(D298,'Primas Netas Y Reservas'!$D$4:$I$33,5,FALSE))*(E298/12))/1000,((VLOOKUP(D298-1,'Primas Netas Y Reservas'!$D$4:$I$33,6,FALSE)+VLOOKUP(D298,'Primas Netas Y Reservas'!$D$4:$I$33,5,FALSE))+(VLOOKUP(D298,'Primas Netas Y Reservas'!$D$4:$I$33,6,FALSE)-VLOOKUP(D298-1,'Primas Netas Y Reservas'!$D$4:$I$33,6,FALSE)-VLOOKUP(D298,'Primas Netas Y Reservas'!$D$4:$I$33,5,FALSE))*(E298/12))/1000)</f>
        <v>0.60811168841383467</v>
      </c>
      <c r="O298">
        <f t="shared" si="90"/>
        <v>-0.16035319715280139</v>
      </c>
      <c r="P298">
        <f>VLOOKUP(D298,Hipotesis!$D$9:$S$38,15,FALSE)*N298</f>
        <v>0.60811168841383467</v>
      </c>
      <c r="Q298">
        <f t="shared" si="77"/>
        <v>9.9135862124225732E-2</v>
      </c>
      <c r="R298">
        <f t="shared" si="78"/>
        <v>0</v>
      </c>
      <c r="S298">
        <f t="shared" si="79"/>
        <v>9.9135862124225732E-2</v>
      </c>
      <c r="T298">
        <f>G298*(VLOOKUP(D298,Hipotesis!$D$9:$N$38,9,FALSE)+VLOOKUP(D298,Hipotesis!$D$9:$N$38,10,FALSE)+VLOOKUP(D298,Hipotesis!$D$9:$N$38,11,FALSE))</f>
        <v>0</v>
      </c>
      <c r="U298">
        <v>0</v>
      </c>
      <c r="V298">
        <f>G298*VLOOKUP(D298,Hipotesis!$D$9:$S$38,16,FALSE)+((VLOOKUP(D298,Hipotesis!$D$9:$T$38,17,FALSE)/$B$4)*M297)/12</f>
        <v>7.3182824952968692E-3</v>
      </c>
      <c r="W298">
        <f>(1+VLOOKUP(D298,Hipotesis!$D$9:$P$38,13,FALSE))^(1/12)-1</f>
        <v>0</v>
      </c>
      <c r="X298">
        <f t="shared" si="91"/>
        <v>0</v>
      </c>
      <c r="Y298">
        <f t="shared" si="80"/>
        <v>0.39032922294398392</v>
      </c>
      <c r="Z298">
        <f>(1+VLOOKUP(D298,Hipotesis!$D$9:$O$38,12,))^(1/12)-1</f>
        <v>3.3094274335994101E-3</v>
      </c>
      <c r="AA298">
        <f t="shared" si="92"/>
        <v>0.39209439382916905</v>
      </c>
      <c r="AB298">
        <f t="shared" si="93"/>
        <v>-1.7651708851851395E-3</v>
      </c>
      <c r="AC298" s="68">
        <f t="shared" si="81"/>
        <v>-7.3182824952968692E-3</v>
      </c>
      <c r="AD298">
        <f t="shared" si="82"/>
        <v>-0.52463682234934184</v>
      </c>
      <c r="AE298" s="67">
        <f t="shared" si="83"/>
        <v>1.8727315252146576E-2</v>
      </c>
      <c r="AF298" s="67">
        <f t="shared" si="84"/>
        <v>5.6181945756439726E-3</v>
      </c>
      <c r="AG298" s="67">
        <f t="shared" si="85"/>
        <v>1.3109120676502602E-2</v>
      </c>
    </row>
    <row r="299" spans="4:33" x14ac:dyDescent="0.2">
      <c r="D299" s="50">
        <v>25</v>
      </c>
      <c r="E299">
        <v>9</v>
      </c>
      <c r="F299">
        <f t="shared" si="76"/>
        <v>74</v>
      </c>
      <c r="G299">
        <f t="shared" si="86"/>
        <v>0</v>
      </c>
      <c r="H299" s="64">
        <f>IF(E299="Anual",VLOOKUP(F299,Hipotesis!$E$9:$J$38,6,FALSE),1-(1-VLOOKUP(F299,Hipotesis!$E$9:$J$38,6,FALSE))^(1/12))</f>
        <v>2.1803320681725857E-3</v>
      </c>
      <c r="I299">
        <f t="shared" si="87"/>
        <v>0.42421778374370278</v>
      </c>
      <c r="J299">
        <v>0</v>
      </c>
      <c r="K299">
        <f>1-(1-VLOOKUP(D299,Hipotesis!$D$9:$K$38,8,FALSE))^(1/12)</f>
        <v>8.3717735912058888E-4</v>
      </c>
      <c r="L299">
        <f t="shared" si="88"/>
        <v>0.16253083366744017</v>
      </c>
      <c r="M299">
        <f t="shared" si="89"/>
        <v>193.97892783904481</v>
      </c>
      <c r="N299">
        <f>IF(D299=1,(VLOOKUP(D299,'Primas Netas Y Reservas'!$D$4:$I$33,5,FALSE)+(VLOOKUP(D299,'Primas Netas Y Reservas'!$D$4:$I$33,6,FALSE)-VLOOKUP(D299,'Primas Netas Y Reservas'!$D$4:$I$33,5,FALSE))*(E299/12))/1000,((VLOOKUP(D299-1,'Primas Netas Y Reservas'!$D$4:$I$33,6,FALSE)+VLOOKUP(D299,'Primas Netas Y Reservas'!$D$4:$I$33,5,FALSE))+(VLOOKUP(D299,'Primas Netas Y Reservas'!$D$4:$I$33,6,FALSE)-VLOOKUP(D299-1,'Primas Netas Y Reservas'!$D$4:$I$33,6,FALSE)-VLOOKUP(D299,'Primas Netas Y Reservas'!$D$4:$I$33,5,FALSE))*(E299/12))/1000)</f>
        <v>0.60912388683150953</v>
      </c>
      <c r="O299">
        <f t="shared" si="90"/>
        <v>-0.16046352858742807</v>
      </c>
      <c r="P299">
        <f>VLOOKUP(D299,Hipotesis!$D$9:$S$38,15,FALSE)*N299</f>
        <v>0.60912388683150953</v>
      </c>
      <c r="Q299">
        <f t="shared" si="77"/>
        <v>9.9001413133476726E-2</v>
      </c>
      <c r="R299">
        <f t="shared" si="78"/>
        <v>0</v>
      </c>
      <c r="S299">
        <f t="shared" si="79"/>
        <v>9.9001413133476726E-2</v>
      </c>
      <c r="T299">
        <f>G299*(VLOOKUP(D299,Hipotesis!$D$9:$N$38,9,FALSE)+VLOOKUP(D299,Hipotesis!$D$9:$N$38,10,FALSE)+VLOOKUP(D299,Hipotesis!$D$9:$N$38,11,FALSE))</f>
        <v>0</v>
      </c>
      <c r="U299">
        <v>0</v>
      </c>
      <c r="V299">
        <f>G299*VLOOKUP(D299,Hipotesis!$D$9:$S$38,16,FALSE)+((VLOOKUP(D299,Hipotesis!$D$9:$T$38,17,FALSE)/$B$4)*M298)/12</f>
        <v>7.2962128671170976E-3</v>
      </c>
      <c r="W299">
        <f>(1+VLOOKUP(D299,Hipotesis!$D$9:$P$38,13,FALSE))^(1/12)-1</f>
        <v>0</v>
      </c>
      <c r="X299">
        <f t="shared" si="91"/>
        <v>0</v>
      </c>
      <c r="Y299">
        <f t="shared" si="80"/>
        <v>0.38980332277986307</v>
      </c>
      <c r="Z299">
        <f>(1+VLOOKUP(D299,Hipotesis!$D$9:$O$38,12,))^(1/12)-1</f>
        <v>3.3094274335994101E-3</v>
      </c>
      <c r="AA299">
        <f t="shared" si="92"/>
        <v>0.39156371655944622</v>
      </c>
      <c r="AB299">
        <f t="shared" si="93"/>
        <v>-1.7603937795831505E-3</v>
      </c>
      <c r="AC299" s="68">
        <f t="shared" si="81"/>
        <v>-7.2962128671170976E-3</v>
      </c>
      <c r="AD299">
        <f t="shared" si="82"/>
        <v>-0.52321919687717955</v>
      </c>
      <c r="AE299" s="67">
        <f t="shared" si="83"/>
        <v>1.9751441622994553E-2</v>
      </c>
      <c r="AF299" s="67">
        <f t="shared" si="84"/>
        <v>5.9254324868983658E-3</v>
      </c>
      <c r="AG299" s="67">
        <f t="shared" si="85"/>
        <v>1.3826009136096187E-2</v>
      </c>
    </row>
    <row r="300" spans="4:33" x14ac:dyDescent="0.2">
      <c r="D300" s="50">
        <v>25</v>
      </c>
      <c r="E300">
        <v>10</v>
      </c>
      <c r="F300">
        <f t="shared" ref="F300:F358" si="94">$B$5+D300-1</f>
        <v>74</v>
      </c>
      <c r="G300">
        <f t="shared" si="86"/>
        <v>0</v>
      </c>
      <c r="H300" s="64">
        <f>IF(E300="Anual",VLOOKUP(F300,Hipotesis!$E$9:$J$38,6,FALSE),1-(1-VLOOKUP(F300,Hipotesis!$E$9:$J$38,6,FALSE))^(1/12))</f>
        <v>2.1803320681725857E-3</v>
      </c>
      <c r="I300">
        <f t="shared" si="87"/>
        <v>0.42293847691720532</v>
      </c>
      <c r="J300">
        <v>0</v>
      </c>
      <c r="K300">
        <f>1-(1-VLOOKUP(D300,Hipotesis!$D$9:$K$38,8,FALSE))^(1/12)</f>
        <v>8.3717735912058888E-4</v>
      </c>
      <c r="L300">
        <f t="shared" si="88"/>
        <v>0.16204069201615878</v>
      </c>
      <c r="M300">
        <f t="shared" si="89"/>
        <v>193.39394867011146</v>
      </c>
      <c r="N300">
        <f>IF(D300=1,(VLOOKUP(D300,'Primas Netas Y Reservas'!$D$4:$I$33,5,FALSE)+(VLOOKUP(D300,'Primas Netas Y Reservas'!$D$4:$I$33,6,FALSE)-VLOOKUP(D300,'Primas Netas Y Reservas'!$D$4:$I$33,5,FALSE))*(E300/12))/1000,((VLOOKUP(D300-1,'Primas Netas Y Reservas'!$D$4:$I$33,6,FALSE)+VLOOKUP(D300,'Primas Netas Y Reservas'!$D$4:$I$33,5,FALSE))+(VLOOKUP(D300,'Primas Netas Y Reservas'!$D$4:$I$33,6,FALSE)-VLOOKUP(D300-1,'Primas Netas Y Reservas'!$D$4:$I$33,6,FALSE)-VLOOKUP(D300,'Primas Netas Y Reservas'!$D$4:$I$33,5,FALSE))*(E300/12))/1000)</f>
        <v>0.61013608524918428</v>
      </c>
      <c r="O300">
        <f t="shared" si="90"/>
        <v>-0.16057173626438725</v>
      </c>
      <c r="P300">
        <f>VLOOKUP(D300,Hipotesis!$D$9:$S$38,15,FALSE)*N300</f>
        <v>0.61013608524918428</v>
      </c>
      <c r="Q300">
        <f t="shared" si="77"/>
        <v>9.8866873477807871E-2</v>
      </c>
      <c r="R300">
        <f t="shared" si="78"/>
        <v>0</v>
      </c>
      <c r="S300">
        <f t="shared" si="79"/>
        <v>9.8866873477807871E-2</v>
      </c>
      <c r="T300">
        <f>G300*(VLOOKUP(D300,Hipotesis!$D$9:$N$38,9,FALSE)+VLOOKUP(D300,Hipotesis!$D$9:$N$38,10,FALSE)+VLOOKUP(D300,Hipotesis!$D$9:$N$38,11,FALSE))</f>
        <v>0</v>
      </c>
      <c r="U300">
        <v>0</v>
      </c>
      <c r="V300">
        <f>G300*VLOOKUP(D300,Hipotesis!$D$9:$S$38,16,FALSE)+((VLOOKUP(D300,Hipotesis!$D$9:$T$38,17,FALSE)/$B$4)*M299)/12</f>
        <v>7.2742097939641802E-3</v>
      </c>
      <c r="W300">
        <f>(1+VLOOKUP(D300,Hipotesis!$D$9:$P$38,13,FALSE))^(1/12)-1</f>
        <v>0</v>
      </c>
      <c r="X300">
        <f t="shared" si="91"/>
        <v>0</v>
      </c>
      <c r="Y300">
        <f t="shared" si="80"/>
        <v>0.38927704472246571</v>
      </c>
      <c r="Z300">
        <f>(1+VLOOKUP(D300,Hipotesis!$D$9:$O$38,12,))^(1/12)-1</f>
        <v>3.3094274335994101E-3</v>
      </c>
      <c r="AA300">
        <f t="shared" si="92"/>
        <v>0.3910326741558468</v>
      </c>
      <c r="AB300">
        <f t="shared" si="93"/>
        <v>-1.7556294333810915E-3</v>
      </c>
      <c r="AC300" s="68">
        <f t="shared" si="81"/>
        <v>-7.2742097939641802E-3</v>
      </c>
      <c r="AD300">
        <f t="shared" si="82"/>
        <v>-0.52180535039501319</v>
      </c>
      <c r="AE300" s="67">
        <f t="shared" si="83"/>
        <v>2.07692207978756E-2</v>
      </c>
      <c r="AF300" s="67">
        <f t="shared" si="84"/>
        <v>6.2307662393626803E-3</v>
      </c>
      <c r="AG300" s="67">
        <f t="shared" si="85"/>
        <v>1.4538454558512919E-2</v>
      </c>
    </row>
    <row r="301" spans="4:33" x14ac:dyDescent="0.2">
      <c r="D301" s="50">
        <v>25</v>
      </c>
      <c r="E301">
        <v>11</v>
      </c>
      <c r="F301">
        <f t="shared" si="94"/>
        <v>74</v>
      </c>
      <c r="G301">
        <f t="shared" si="86"/>
        <v>0</v>
      </c>
      <c r="H301" s="64">
        <f>IF(E301="Anual",VLOOKUP(F301,Hipotesis!$E$9:$J$38,6,FALSE),1-(1-VLOOKUP(F301,Hipotesis!$E$9:$J$38,6,FALSE))^(1/12))</f>
        <v>2.1803320681725857E-3</v>
      </c>
      <c r="I301">
        <f t="shared" si="87"/>
        <v>0.42166302807596701</v>
      </c>
      <c r="J301">
        <v>0</v>
      </c>
      <c r="K301">
        <f>1-(1-VLOOKUP(D301,Hipotesis!$D$9:$K$38,8,FALSE))^(1/12)</f>
        <v>8.3717735912058888E-4</v>
      </c>
      <c r="L301">
        <f t="shared" si="88"/>
        <v>0.16155202847726322</v>
      </c>
      <c r="M301">
        <f t="shared" si="89"/>
        <v>192.81073361355823</v>
      </c>
      <c r="N301">
        <f>IF(D301=1,(VLOOKUP(D301,'Primas Netas Y Reservas'!$D$4:$I$33,5,FALSE)+(VLOOKUP(D301,'Primas Netas Y Reservas'!$D$4:$I$33,6,FALSE)-VLOOKUP(D301,'Primas Netas Y Reservas'!$D$4:$I$33,5,FALSE))*(E301/12))/1000,((VLOOKUP(D301-1,'Primas Netas Y Reservas'!$D$4:$I$33,6,FALSE)+VLOOKUP(D301,'Primas Netas Y Reservas'!$D$4:$I$33,5,FALSE))+(VLOOKUP(D301,'Primas Netas Y Reservas'!$D$4:$I$33,6,FALSE)-VLOOKUP(D301-1,'Primas Netas Y Reservas'!$D$4:$I$33,6,FALSE)-VLOOKUP(D301,'Primas Netas Y Reservas'!$D$4:$I$33,5,FALSE))*(E301/12))/1000)</f>
        <v>0.61114828366685903</v>
      </c>
      <c r="O301">
        <f t="shared" si="90"/>
        <v>-0.16067783198941754</v>
      </c>
      <c r="P301">
        <f>VLOOKUP(D301,Hipotesis!$D$9:$S$38,15,FALSE)*N301</f>
        <v>0.61114828366685903</v>
      </c>
      <c r="Q301">
        <f t="shared" si="77"/>
        <v>9.8732244926778942E-2</v>
      </c>
      <c r="R301">
        <f t="shared" si="78"/>
        <v>0</v>
      </c>
      <c r="S301">
        <f t="shared" si="79"/>
        <v>9.8732244926778942E-2</v>
      </c>
      <c r="T301">
        <f>G301*(VLOOKUP(D301,Hipotesis!$D$9:$N$38,9,FALSE)+VLOOKUP(D301,Hipotesis!$D$9:$N$38,10,FALSE)+VLOOKUP(D301,Hipotesis!$D$9:$N$38,11,FALSE))</f>
        <v>0</v>
      </c>
      <c r="U301">
        <v>0</v>
      </c>
      <c r="V301">
        <f>G301*VLOOKUP(D301,Hipotesis!$D$9:$S$38,16,FALSE)+((VLOOKUP(D301,Hipotesis!$D$9:$T$38,17,FALSE)/$B$4)*M300)/12</f>
        <v>7.2522730751291798E-3</v>
      </c>
      <c r="W301">
        <f>(1+VLOOKUP(D301,Hipotesis!$D$9:$P$38,13,FALSE))^(1/12)-1</f>
        <v>0</v>
      </c>
      <c r="X301">
        <f t="shared" si="91"/>
        <v>0</v>
      </c>
      <c r="Y301">
        <f t="shared" si="80"/>
        <v>0.38875039583372578</v>
      </c>
      <c r="Z301">
        <f>(1+VLOOKUP(D301,Hipotesis!$D$9:$O$38,12,))^(1/12)-1</f>
        <v>3.3094274335994101E-3</v>
      </c>
      <c r="AA301">
        <f t="shared" si="92"/>
        <v>0.39050127364679277</v>
      </c>
      <c r="AB301">
        <f t="shared" si="93"/>
        <v>-1.7508778130669964E-3</v>
      </c>
      <c r="AC301" s="68">
        <f t="shared" si="81"/>
        <v>-7.2522730751291798E-3</v>
      </c>
      <c r="AD301">
        <f t="shared" si="82"/>
        <v>-0.52039527300274591</v>
      </c>
      <c r="AE301" s="67">
        <f t="shared" si="83"/>
        <v>2.178068174526818E-2</v>
      </c>
      <c r="AF301" s="67">
        <f t="shared" si="84"/>
        <v>6.5342045235804542E-3</v>
      </c>
      <c r="AG301" s="67">
        <f t="shared" si="85"/>
        <v>1.5246477221687725E-2</v>
      </c>
    </row>
    <row r="302" spans="4:33" x14ac:dyDescent="0.2">
      <c r="D302" s="50">
        <v>25</v>
      </c>
      <c r="E302">
        <v>12</v>
      </c>
      <c r="F302">
        <f t="shared" si="94"/>
        <v>74</v>
      </c>
      <c r="G302">
        <f t="shared" si="86"/>
        <v>0</v>
      </c>
      <c r="H302" s="64">
        <f>IF(E302="Anual",VLOOKUP(F302,Hipotesis!$E$9:$J$38,6,FALSE),1-(1-VLOOKUP(F302,Hipotesis!$E$9:$J$38,6,FALSE))^(1/12))</f>
        <v>2.1803320681725857E-3</v>
      </c>
      <c r="I302">
        <f t="shared" si="87"/>
        <v>0.42039142558552289</v>
      </c>
      <c r="J302">
        <v>0</v>
      </c>
      <c r="K302">
        <f>1-(1-VLOOKUP(D302,Hipotesis!$D$9:$K$38,8,FALSE))^(1/12)</f>
        <v>8.3717735912058888E-4</v>
      </c>
      <c r="L302">
        <f t="shared" si="88"/>
        <v>0.16106483859323339</v>
      </c>
      <c r="M302">
        <f t="shared" si="89"/>
        <v>192.22927734937946</v>
      </c>
      <c r="N302">
        <f>IF(D302=1,(VLOOKUP(D302,'Primas Netas Y Reservas'!$D$4:$I$33,5,FALSE)+(VLOOKUP(D302,'Primas Netas Y Reservas'!$D$4:$I$33,6,FALSE)-VLOOKUP(D302,'Primas Netas Y Reservas'!$D$4:$I$33,5,FALSE))*(E302/12))/1000,((VLOOKUP(D302-1,'Primas Netas Y Reservas'!$D$4:$I$33,6,FALSE)+VLOOKUP(D302,'Primas Netas Y Reservas'!$D$4:$I$33,5,FALSE))+(VLOOKUP(D302,'Primas Netas Y Reservas'!$D$4:$I$33,6,FALSE)-VLOOKUP(D302-1,'Primas Netas Y Reservas'!$D$4:$I$33,6,FALSE)-VLOOKUP(D302,'Primas Netas Y Reservas'!$D$4:$I$33,5,FALSE))*(E302/12))/1000)</f>
        <v>0.61216048208453377</v>
      </c>
      <c r="O302">
        <f t="shared" si="90"/>
        <v>-0.16078182751640213</v>
      </c>
      <c r="P302">
        <f>VLOOKUP(D302,Hipotesis!$D$9:$S$38,15,FALSE)*N302</f>
        <v>0.61216048208453377</v>
      </c>
      <c r="Q302">
        <f t="shared" si="77"/>
        <v>9.8597529240101373E-2</v>
      </c>
      <c r="R302">
        <f t="shared" si="78"/>
        <v>0</v>
      </c>
      <c r="S302">
        <f t="shared" si="79"/>
        <v>9.8597529240101373E-2</v>
      </c>
      <c r="T302">
        <f>G302*(VLOOKUP(D302,Hipotesis!$D$9:$N$38,9,FALSE)+VLOOKUP(D302,Hipotesis!$D$9:$N$38,10,FALSE)+VLOOKUP(D302,Hipotesis!$D$9:$N$38,11,FALSE))</f>
        <v>0</v>
      </c>
      <c r="U302">
        <v>0</v>
      </c>
      <c r="V302">
        <f>G302*VLOOKUP(D302,Hipotesis!$D$9:$S$38,16,FALSE)+((VLOOKUP(D302,Hipotesis!$D$9:$T$38,17,FALSE)/$B$4)*M301)/12</f>
        <v>7.2304025105084336E-3</v>
      </c>
      <c r="W302">
        <f>(1+VLOOKUP(D302,Hipotesis!$D$9:$P$38,13,FALSE))^(1/12)-1</f>
        <v>0</v>
      </c>
      <c r="X302">
        <f t="shared" si="91"/>
        <v>0</v>
      </c>
      <c r="Y302">
        <f t="shared" si="80"/>
        <v>0.38822338313642074</v>
      </c>
      <c r="Z302">
        <f>(1+VLOOKUP(D302,Hipotesis!$D$9:$O$38,12,))^(1/12)-1</f>
        <v>3.3094274335994101E-3</v>
      </c>
      <c r="AA302">
        <f t="shared" si="92"/>
        <v>0.38996952202163571</v>
      </c>
      <c r="AB302">
        <f t="shared" si="93"/>
        <v>-1.7461388852149844E-3</v>
      </c>
      <c r="AC302" s="68">
        <f t="shared" si="81"/>
        <v>-7.2304025105084336E-3</v>
      </c>
      <c r="AD302">
        <f t="shared" si="82"/>
        <v>-0.51898895482562424</v>
      </c>
      <c r="AE302" s="67">
        <f t="shared" si="83"/>
        <v>2.2785853316690172E-2</v>
      </c>
      <c r="AF302" s="67">
        <f t="shared" si="84"/>
        <v>6.8357559950070514E-3</v>
      </c>
      <c r="AG302" s="67">
        <f t="shared" si="85"/>
        <v>1.5950097321683121E-2</v>
      </c>
    </row>
    <row r="303" spans="4:33" x14ac:dyDescent="0.2">
      <c r="D303" s="50">
        <v>26</v>
      </c>
      <c r="E303">
        <v>1</v>
      </c>
      <c r="F303">
        <f t="shared" si="94"/>
        <v>75</v>
      </c>
      <c r="G303">
        <f t="shared" si="86"/>
        <v>0</v>
      </c>
      <c r="H303" s="64">
        <f>IF(E303="Anual",VLOOKUP(F303,Hipotesis!$E$9:$J$38,6,FALSE),1-(1-VLOOKUP(F303,Hipotesis!$E$9:$J$38,6,FALSE))^(1/12))</f>
        <v>2.3438809447344777E-3</v>
      </c>
      <c r="I303">
        <f t="shared" si="87"/>
        <v>0.45056254019928943</v>
      </c>
      <c r="J303">
        <v>0</v>
      </c>
      <c r="K303">
        <f>1-(1-VLOOKUP(D303,Hipotesis!$D$9:$K$38,8,FALSE))^(1/12)</f>
        <v>8.3717735912058888E-4</v>
      </c>
      <c r="L303">
        <f t="shared" si="88"/>
        <v>0.16055279799949002</v>
      </c>
      <c r="M303">
        <f t="shared" si="89"/>
        <v>191.61816201118069</v>
      </c>
      <c r="N303">
        <f>IF(D303=1,(VLOOKUP(D303,'Primas Netas Y Reservas'!$D$4:$I$33,5,FALSE)+(VLOOKUP(D303,'Primas Netas Y Reservas'!$D$4:$I$33,6,FALSE)-VLOOKUP(D303,'Primas Netas Y Reservas'!$D$4:$I$33,5,FALSE))*(E303/12))/1000,((VLOOKUP(D303-1,'Primas Netas Y Reservas'!$D$4:$I$33,6,FALSE)+VLOOKUP(D303,'Primas Netas Y Reservas'!$D$4:$I$33,5,FALSE))+(VLOOKUP(D303,'Primas Netas Y Reservas'!$D$4:$I$33,6,FALSE)-VLOOKUP(D303-1,'Primas Netas Y Reservas'!$D$4:$I$33,6,FALSE)-VLOOKUP(D303,'Primas Netas Y Reservas'!$D$4:$I$33,5,FALSE))*(E303/12))/1000)</f>
        <v>0.61316801593751269</v>
      </c>
      <c r="O303">
        <f t="shared" si="90"/>
        <v>-0.18103887496914695</v>
      </c>
      <c r="P303">
        <f>VLOOKUP(D303,Hipotesis!$D$9:$S$38,15,FALSE)*N303</f>
        <v>0.61316801593751269</v>
      </c>
      <c r="Q303">
        <f t="shared" si="77"/>
        <v>9.8445840602563547E-2</v>
      </c>
      <c r="R303">
        <f t="shared" si="78"/>
        <v>0</v>
      </c>
      <c r="S303">
        <f t="shared" si="79"/>
        <v>9.8445840602563547E-2</v>
      </c>
      <c r="T303">
        <f>G303*(VLOOKUP(D303,Hipotesis!$D$9:$N$38,9,FALSE)+VLOOKUP(D303,Hipotesis!$D$9:$N$38,10,FALSE)+VLOOKUP(D303,Hipotesis!$D$9:$N$38,11,FALSE))</f>
        <v>0</v>
      </c>
      <c r="U303">
        <v>0</v>
      </c>
      <c r="V303">
        <f>G303*VLOOKUP(D303,Hipotesis!$D$9:$S$38,16,FALSE)+((VLOOKUP(D303,Hipotesis!$D$9:$T$38,17,FALSE)/$B$4)*M302)/12</f>
        <v>7.2085979006017292E-3</v>
      </c>
      <c r="W303">
        <f>(1+VLOOKUP(D303,Hipotesis!$D$9:$P$38,13,FALSE))^(1/12)-1</f>
        <v>0</v>
      </c>
      <c r="X303">
        <f t="shared" si="91"/>
        <v>0</v>
      </c>
      <c r="Y303">
        <f t="shared" si="80"/>
        <v>0.38678728936952084</v>
      </c>
      <c r="Z303">
        <f>(1+VLOOKUP(D303,Hipotesis!$D$9:$O$38,12,))^(1/12)-1</f>
        <v>3.3016704362618388E-3</v>
      </c>
      <c r="AA303">
        <f t="shared" si="92"/>
        <v>0.38852462027299034</v>
      </c>
      <c r="AB303">
        <f t="shared" si="93"/>
        <v>-1.7373309034695102E-3</v>
      </c>
      <c r="AC303" s="68">
        <f t="shared" si="81"/>
        <v>-7.2085979006017292E-3</v>
      </c>
      <c r="AD303">
        <f t="shared" si="82"/>
        <v>-0.54900838080185299</v>
      </c>
      <c r="AE303" s="67">
        <f t="shared" si="83"/>
        <v>1.1609185636213062E-2</v>
      </c>
      <c r="AF303" s="67">
        <f t="shared" si="84"/>
        <v>3.4827556908639187E-3</v>
      </c>
      <c r="AG303" s="67">
        <f t="shared" si="85"/>
        <v>8.1264299453491437E-3</v>
      </c>
    </row>
    <row r="304" spans="4:33" x14ac:dyDescent="0.2">
      <c r="D304" s="50">
        <v>26</v>
      </c>
      <c r="E304">
        <v>2</v>
      </c>
      <c r="F304">
        <f t="shared" si="94"/>
        <v>75</v>
      </c>
      <c r="G304">
        <f t="shared" si="86"/>
        <v>0</v>
      </c>
      <c r="H304" s="64">
        <f>IF(E304="Anual",VLOOKUP(F304,Hipotesis!$E$9:$J$38,6,FALSE),1-(1-VLOOKUP(F304,Hipotesis!$E$9:$J$38,6,FALSE))^(1/12))</f>
        <v>2.3438809447344777E-3</v>
      </c>
      <c r="I304">
        <f t="shared" si="87"/>
        <v>0.44913015860305039</v>
      </c>
      <c r="J304">
        <v>0</v>
      </c>
      <c r="K304">
        <f>1-(1-VLOOKUP(D304,Hipotesis!$D$9:$K$38,8,FALSE))^(1/12)</f>
        <v>8.3717735912058888E-4</v>
      </c>
      <c r="L304">
        <f t="shared" si="88"/>
        <v>0.16004238523198067</v>
      </c>
      <c r="M304">
        <f t="shared" si="89"/>
        <v>191.00898946734566</v>
      </c>
      <c r="N304">
        <f>IF(D304=1,(VLOOKUP(D304,'Primas Netas Y Reservas'!$D$4:$I$33,5,FALSE)+(VLOOKUP(D304,'Primas Netas Y Reservas'!$D$4:$I$33,6,FALSE)-VLOOKUP(D304,'Primas Netas Y Reservas'!$D$4:$I$33,5,FALSE))*(E304/12))/1000,((VLOOKUP(D304-1,'Primas Netas Y Reservas'!$D$4:$I$33,6,FALSE)+VLOOKUP(D304,'Primas Netas Y Reservas'!$D$4:$I$33,5,FALSE))+(VLOOKUP(D304,'Primas Netas Y Reservas'!$D$4:$I$33,6,FALSE)-VLOOKUP(D304-1,'Primas Netas Y Reservas'!$D$4:$I$33,6,FALSE)-VLOOKUP(D304,'Primas Netas Y Reservas'!$D$4:$I$33,5,FALSE))*(E304/12))/1000)</f>
        <v>0.61417554979049171</v>
      </c>
      <c r="O304">
        <f t="shared" si="90"/>
        <v>-0.18107709695527774</v>
      </c>
      <c r="P304">
        <f>VLOOKUP(D304,Hipotesis!$D$9:$S$38,15,FALSE)*N304</f>
        <v>0.61417554979049171</v>
      </c>
      <c r="Q304">
        <f t="shared" si="77"/>
        <v>9.8294119939633398E-2</v>
      </c>
      <c r="R304">
        <f t="shared" si="78"/>
        <v>0</v>
      </c>
      <c r="S304">
        <f t="shared" si="79"/>
        <v>9.8294119939633398E-2</v>
      </c>
      <c r="T304">
        <f>G304*(VLOOKUP(D304,Hipotesis!$D$9:$N$38,9,FALSE)+VLOOKUP(D304,Hipotesis!$D$9:$N$38,10,FALSE)+VLOOKUP(D304,Hipotesis!$D$9:$N$38,11,FALSE))</f>
        <v>0</v>
      </c>
      <c r="U304">
        <v>0</v>
      </c>
      <c r="V304">
        <f>G304*VLOOKUP(D304,Hipotesis!$D$9:$S$38,16,FALSE)+((VLOOKUP(D304,Hipotesis!$D$9:$T$38,17,FALSE)/$B$4)*M303)/12</f>
        <v>7.1856810754192752E-3</v>
      </c>
      <c r="W304">
        <f>(1+VLOOKUP(D304,Hipotesis!$D$9:$P$38,13,FALSE))^(1/12)-1</f>
        <v>0</v>
      </c>
      <c r="X304">
        <f t="shared" si="91"/>
        <v>0</v>
      </c>
      <c r="Y304">
        <f t="shared" si="80"/>
        <v>0.38609052008076605</v>
      </c>
      <c r="Z304">
        <f>(1+VLOOKUP(D304,Hipotesis!$D$9:$O$38,12,))^(1/12)-1</f>
        <v>3.3016704362618388E-3</v>
      </c>
      <c r="AA304">
        <f t="shared" si="92"/>
        <v>0.38792688957169064</v>
      </c>
      <c r="AB304">
        <f t="shared" si="93"/>
        <v>-1.8363694909245777E-3</v>
      </c>
      <c r="AC304" s="68">
        <f t="shared" si="81"/>
        <v>-7.1856810754192752E-3</v>
      </c>
      <c r="AD304">
        <f t="shared" si="82"/>
        <v>-0.54742427854268383</v>
      </c>
      <c r="AE304" s="67">
        <f t="shared" si="83"/>
        <v>1.2557657417940744E-2</v>
      </c>
      <c r="AF304" s="67">
        <f t="shared" si="84"/>
        <v>3.767297225382223E-3</v>
      </c>
      <c r="AG304" s="67">
        <f t="shared" si="85"/>
        <v>8.7903601925585217E-3</v>
      </c>
    </row>
    <row r="305" spans="4:33" x14ac:dyDescent="0.2">
      <c r="D305" s="50">
        <v>26</v>
      </c>
      <c r="E305">
        <v>3</v>
      </c>
      <c r="F305">
        <f t="shared" si="94"/>
        <v>75</v>
      </c>
      <c r="G305">
        <f t="shared" si="86"/>
        <v>0</v>
      </c>
      <c r="H305" s="64">
        <f>IF(E305="Anual",VLOOKUP(F305,Hipotesis!$E$9:$J$38,6,FALSE),1-(1-VLOOKUP(F305,Hipotesis!$E$9:$J$38,6,FALSE))^(1/12))</f>
        <v>2.3438809447344777E-3</v>
      </c>
      <c r="I305">
        <f t="shared" si="87"/>
        <v>0.44770233068550003</v>
      </c>
      <c r="J305">
        <v>0</v>
      </c>
      <c r="K305">
        <f>1-(1-VLOOKUP(D305,Hipotesis!$D$9:$K$38,8,FALSE))^(1/12)</f>
        <v>8.3717735912058888E-4</v>
      </c>
      <c r="L305">
        <f t="shared" si="88"/>
        <v>0.1595335951156894</v>
      </c>
      <c r="M305">
        <f t="shared" si="89"/>
        <v>190.40175354154448</v>
      </c>
      <c r="N305">
        <f>IF(D305=1,(VLOOKUP(D305,'Primas Netas Y Reservas'!$D$4:$I$33,5,FALSE)+(VLOOKUP(D305,'Primas Netas Y Reservas'!$D$4:$I$33,6,FALSE)-VLOOKUP(D305,'Primas Netas Y Reservas'!$D$4:$I$33,5,FALSE))*(E305/12))/1000,((VLOOKUP(D305-1,'Primas Netas Y Reservas'!$D$4:$I$33,6,FALSE)+VLOOKUP(D305,'Primas Netas Y Reservas'!$D$4:$I$33,5,FALSE))+(VLOOKUP(D305,'Primas Netas Y Reservas'!$D$4:$I$33,6,FALSE)-VLOOKUP(D305-1,'Primas Netas Y Reservas'!$D$4:$I$33,6,FALSE)-VLOOKUP(D305,'Primas Netas Y Reservas'!$D$4:$I$33,5,FALSE))*(E305/12))/1000)</f>
        <v>0.61518308364347063</v>
      </c>
      <c r="O305">
        <f t="shared" si="90"/>
        <v>-0.18111324622181257</v>
      </c>
      <c r="P305">
        <f>VLOOKUP(D305,Hipotesis!$D$9:$S$38,15,FALSE)*N305</f>
        <v>0.61518308364347063</v>
      </c>
      <c r="Q305">
        <f t="shared" si="77"/>
        <v>9.8142368987998732E-2</v>
      </c>
      <c r="R305">
        <f t="shared" si="78"/>
        <v>0</v>
      </c>
      <c r="S305">
        <f t="shared" si="79"/>
        <v>9.8142368987998732E-2</v>
      </c>
      <c r="T305">
        <f>G305*(VLOOKUP(D305,Hipotesis!$D$9:$N$38,9,FALSE)+VLOOKUP(D305,Hipotesis!$D$9:$N$38,10,FALSE)+VLOOKUP(D305,Hipotesis!$D$9:$N$38,11,FALSE))</f>
        <v>0</v>
      </c>
      <c r="U305">
        <v>0</v>
      </c>
      <c r="V305">
        <f>G305*VLOOKUP(D305,Hipotesis!$D$9:$S$38,16,FALSE)+((VLOOKUP(D305,Hipotesis!$D$9:$T$38,17,FALSE)/$B$4)*M304)/12</f>
        <v>7.1628371050254623E-3</v>
      </c>
      <c r="W305">
        <f>(1+VLOOKUP(D305,Hipotesis!$D$9:$P$38,13,FALSE))^(1/12)-1</f>
        <v>0</v>
      </c>
      <c r="X305">
        <f t="shared" si="91"/>
        <v>0</v>
      </c>
      <c r="Y305">
        <f t="shared" si="80"/>
        <v>0.38549796878992348</v>
      </c>
      <c r="Z305">
        <f>(1+VLOOKUP(D305,Hipotesis!$D$9:$O$38,12,))^(1/12)-1</f>
        <v>3.3016704362618388E-3</v>
      </c>
      <c r="AA305">
        <f t="shared" si="92"/>
        <v>0.38732903267398927</v>
      </c>
      <c r="AB305">
        <f t="shared" si="93"/>
        <v>-1.831063884065767E-3</v>
      </c>
      <c r="AC305" s="68">
        <f t="shared" si="81"/>
        <v>-7.1628371050254623E-3</v>
      </c>
      <c r="AD305">
        <f t="shared" si="82"/>
        <v>-0.5458446996734988</v>
      </c>
      <c r="AE305" s="67">
        <f t="shared" si="83"/>
        <v>1.360367823321185E-2</v>
      </c>
      <c r="AF305" s="67">
        <f t="shared" si="84"/>
        <v>4.081103469963555E-3</v>
      </c>
      <c r="AG305" s="67">
        <f t="shared" si="85"/>
        <v>9.5225747632482951E-3</v>
      </c>
    </row>
    <row r="306" spans="4:33" x14ac:dyDescent="0.2">
      <c r="D306" s="50">
        <v>26</v>
      </c>
      <c r="E306">
        <v>4</v>
      </c>
      <c r="F306">
        <f t="shared" si="94"/>
        <v>75</v>
      </c>
      <c r="G306">
        <f t="shared" si="86"/>
        <v>0</v>
      </c>
      <c r="H306" s="64">
        <f>IF(E306="Anual",VLOOKUP(F306,Hipotesis!$E$9:$J$38,6,FALSE),1-(1-VLOOKUP(F306,Hipotesis!$E$9:$J$38,6,FALSE))^(1/12))</f>
        <v>2.3438809447344777E-3</v>
      </c>
      <c r="I306">
        <f t="shared" si="87"/>
        <v>0.44627904197005647</v>
      </c>
      <c r="J306">
        <v>0</v>
      </c>
      <c r="K306">
        <f>1-(1-VLOOKUP(D306,Hipotesis!$D$9:$K$38,8,FALSE))^(1/12)</f>
        <v>8.3717735912058888E-4</v>
      </c>
      <c r="L306">
        <f t="shared" si="88"/>
        <v>0.15902642249205207</v>
      </c>
      <c r="M306">
        <f t="shared" si="89"/>
        <v>189.79644807708237</v>
      </c>
      <c r="N306">
        <f>IF(D306=1,(VLOOKUP(D306,'Primas Netas Y Reservas'!$D$4:$I$33,5,FALSE)+(VLOOKUP(D306,'Primas Netas Y Reservas'!$D$4:$I$33,6,FALSE)-VLOOKUP(D306,'Primas Netas Y Reservas'!$D$4:$I$33,5,FALSE))*(E306/12))/1000,((VLOOKUP(D306-1,'Primas Netas Y Reservas'!$D$4:$I$33,6,FALSE)+VLOOKUP(D306,'Primas Netas Y Reservas'!$D$4:$I$33,5,FALSE))+(VLOOKUP(D306,'Primas Netas Y Reservas'!$D$4:$I$33,6,FALSE)-VLOOKUP(D306-1,'Primas Netas Y Reservas'!$D$4:$I$33,6,FALSE)-VLOOKUP(D306,'Primas Netas Y Reservas'!$D$4:$I$33,5,FALSE))*(E306/12))/1000)</f>
        <v>0.61619061749644943</v>
      </c>
      <c r="O306">
        <f t="shared" si="90"/>
        <v>-0.18114733556124918</v>
      </c>
      <c r="P306">
        <f>VLOOKUP(D306,Hipotesis!$D$9:$S$38,15,FALSE)*N306</f>
        <v>0.61619061749644943</v>
      </c>
      <c r="Q306">
        <f t="shared" si="77"/>
        <v>9.799058947362882E-2</v>
      </c>
      <c r="R306">
        <f t="shared" si="78"/>
        <v>0</v>
      </c>
      <c r="S306">
        <f t="shared" si="79"/>
        <v>9.799058947362882E-2</v>
      </c>
      <c r="T306">
        <f>G306*(VLOOKUP(D306,Hipotesis!$D$9:$N$38,9,FALSE)+VLOOKUP(D306,Hipotesis!$D$9:$N$38,10,FALSE)+VLOOKUP(D306,Hipotesis!$D$9:$N$38,11,FALSE))</f>
        <v>0</v>
      </c>
      <c r="U306">
        <v>0</v>
      </c>
      <c r="V306">
        <f>G306*VLOOKUP(D306,Hipotesis!$D$9:$S$38,16,FALSE)+((VLOOKUP(D306,Hipotesis!$D$9:$T$38,17,FALSE)/$B$4)*M305)/12</f>
        <v>7.1400657578079181E-3</v>
      </c>
      <c r="W306">
        <f>(1+VLOOKUP(D306,Hipotesis!$D$9:$P$38,13,FALSE))^(1/12)-1</f>
        <v>0</v>
      </c>
      <c r="X306">
        <f t="shared" si="91"/>
        <v>0</v>
      </c>
      <c r="Y306">
        <f t="shared" si="80"/>
        <v>0.38490528297159554</v>
      </c>
      <c r="Z306">
        <f>(1+VLOOKUP(D306,Hipotesis!$D$9:$O$38,12,))^(1/12)-1</f>
        <v>3.3016704362618388E-3</v>
      </c>
      <c r="AA306">
        <f t="shared" si="92"/>
        <v>0.38673105642332328</v>
      </c>
      <c r="AB306">
        <f t="shared" si="93"/>
        <v>-1.8257734517277331E-3</v>
      </c>
      <c r="AC306" s="68">
        <f t="shared" si="81"/>
        <v>-7.1400657578079181E-3</v>
      </c>
      <c r="AD306">
        <f t="shared" si="82"/>
        <v>-0.54426963144368523</v>
      </c>
      <c r="AE306" s="67">
        <f t="shared" si="83"/>
        <v>1.4642921331351515E-2</v>
      </c>
      <c r="AF306" s="67">
        <f t="shared" si="84"/>
        <v>4.3928763994054544E-3</v>
      </c>
      <c r="AG306" s="67">
        <f t="shared" si="85"/>
        <v>1.0250044931946062E-2</v>
      </c>
    </row>
    <row r="307" spans="4:33" x14ac:dyDescent="0.2">
      <c r="D307" s="50">
        <v>26</v>
      </c>
      <c r="E307">
        <v>5</v>
      </c>
      <c r="F307">
        <f t="shared" si="94"/>
        <v>75</v>
      </c>
      <c r="G307">
        <f t="shared" si="86"/>
        <v>0</v>
      </c>
      <c r="H307" s="64">
        <f>IF(E307="Anual",VLOOKUP(F307,Hipotesis!$E$9:$J$38,6,FALSE),1-(1-VLOOKUP(F307,Hipotesis!$E$9:$J$38,6,FALSE))^(1/12))</f>
        <v>2.3438809447344777E-3</v>
      </c>
      <c r="I307">
        <f t="shared" si="87"/>
        <v>0.44486027802616007</v>
      </c>
      <c r="J307">
        <v>0</v>
      </c>
      <c r="K307">
        <f>1-(1-VLOOKUP(D307,Hipotesis!$D$9:$K$38,8,FALSE))^(1/12)</f>
        <v>8.3717735912058888E-4</v>
      </c>
      <c r="L307">
        <f t="shared" si="88"/>
        <v>0.15852086221890418</v>
      </c>
      <c r="M307">
        <f t="shared" si="89"/>
        <v>189.19306693683731</v>
      </c>
      <c r="N307">
        <f>IF(D307=1,(VLOOKUP(D307,'Primas Netas Y Reservas'!$D$4:$I$33,5,FALSE)+(VLOOKUP(D307,'Primas Netas Y Reservas'!$D$4:$I$33,6,FALSE)-VLOOKUP(D307,'Primas Netas Y Reservas'!$D$4:$I$33,5,FALSE))*(E307/12))/1000,((VLOOKUP(D307-1,'Primas Netas Y Reservas'!$D$4:$I$33,6,FALSE)+VLOOKUP(D307,'Primas Netas Y Reservas'!$D$4:$I$33,5,FALSE))+(VLOOKUP(D307,'Primas Netas Y Reservas'!$D$4:$I$33,6,FALSE)-VLOOKUP(D307-1,'Primas Netas Y Reservas'!$D$4:$I$33,6,FALSE)-VLOOKUP(D307,'Primas Netas Y Reservas'!$D$4:$I$33,5,FALSE))*(E307/12))/1000)</f>
        <v>0.61719815134942835</v>
      </c>
      <c r="O307">
        <f t="shared" si="90"/>
        <v>-0.18117937770554704</v>
      </c>
      <c r="P307">
        <f>VLOOKUP(D307,Hipotesis!$D$9:$S$38,15,FALSE)*N307</f>
        <v>0.61719815134942835</v>
      </c>
      <c r="Q307">
        <f t="shared" si="77"/>
        <v>9.7838783111825103E-2</v>
      </c>
      <c r="R307">
        <f t="shared" si="78"/>
        <v>0</v>
      </c>
      <c r="S307">
        <f t="shared" si="79"/>
        <v>9.7838783111825103E-2</v>
      </c>
      <c r="T307">
        <f>G307*(VLOOKUP(D307,Hipotesis!$D$9:$N$38,9,FALSE)+VLOOKUP(D307,Hipotesis!$D$9:$N$38,10,FALSE)+VLOOKUP(D307,Hipotesis!$D$9:$N$38,11,FALSE))</f>
        <v>0</v>
      </c>
      <c r="U307">
        <v>0</v>
      </c>
      <c r="V307">
        <f>G307*VLOOKUP(D307,Hipotesis!$D$9:$S$38,16,FALSE)+((VLOOKUP(D307,Hipotesis!$D$9:$T$38,17,FALSE)/$B$4)*M306)/12</f>
        <v>7.1173668028905882E-3</v>
      </c>
      <c r="W307">
        <f>(1+VLOOKUP(D307,Hipotesis!$D$9:$P$38,13,FALSE))^(1/12)-1</f>
        <v>0</v>
      </c>
      <c r="X307">
        <f t="shared" si="91"/>
        <v>0</v>
      </c>
      <c r="Y307">
        <f t="shared" si="80"/>
        <v>0.38431246946984321</v>
      </c>
      <c r="Z307">
        <f>(1+VLOOKUP(D307,Hipotesis!$D$9:$O$38,12,))^(1/12)-1</f>
        <v>3.3016704362618388E-3</v>
      </c>
      <c r="AA307">
        <f t="shared" si="92"/>
        <v>0.38613296762089311</v>
      </c>
      <c r="AB307">
        <f t="shared" si="93"/>
        <v>-1.8204981510498775E-3</v>
      </c>
      <c r="AC307" s="68">
        <f t="shared" si="81"/>
        <v>-7.1173668028905882E-3</v>
      </c>
      <c r="AD307">
        <f t="shared" si="82"/>
        <v>-0.54269906113798516</v>
      </c>
      <c r="AE307" s="67">
        <f t="shared" si="83"/>
        <v>1.5675419234514501E-2</v>
      </c>
      <c r="AF307" s="67">
        <f t="shared" si="84"/>
        <v>4.70262577035435E-3</v>
      </c>
      <c r="AG307" s="67">
        <f t="shared" si="85"/>
        <v>1.0972793464160151E-2</v>
      </c>
    </row>
    <row r="308" spans="4:33" x14ac:dyDescent="0.2">
      <c r="D308" s="50">
        <v>26</v>
      </c>
      <c r="E308">
        <v>6</v>
      </c>
      <c r="F308">
        <f t="shared" si="94"/>
        <v>75</v>
      </c>
      <c r="G308">
        <f t="shared" si="86"/>
        <v>0</v>
      </c>
      <c r="H308" s="64">
        <f>IF(E308="Anual",VLOOKUP(F308,Hipotesis!$E$9:$J$38,6,FALSE),1-(1-VLOOKUP(F308,Hipotesis!$E$9:$J$38,6,FALSE))^(1/12))</f>
        <v>2.3438809447344777E-3</v>
      </c>
      <c r="I308">
        <f t="shared" si="87"/>
        <v>0.44344602446912756</v>
      </c>
      <c r="J308">
        <v>0</v>
      </c>
      <c r="K308">
        <f>1-(1-VLOOKUP(D308,Hipotesis!$D$9:$K$38,8,FALSE))^(1/12)</f>
        <v>8.3717735912058888E-4</v>
      </c>
      <c r="L308">
        <f t="shared" si="88"/>
        <v>0.15801690917042868</v>
      </c>
      <c r="M308">
        <f t="shared" si="89"/>
        <v>188.59160400319774</v>
      </c>
      <c r="N308">
        <f>IF(D308=1,(VLOOKUP(D308,'Primas Netas Y Reservas'!$D$4:$I$33,5,FALSE)+(VLOOKUP(D308,'Primas Netas Y Reservas'!$D$4:$I$33,6,FALSE)-VLOOKUP(D308,'Primas Netas Y Reservas'!$D$4:$I$33,5,FALSE))*(E308/12))/1000,((VLOOKUP(D308-1,'Primas Netas Y Reservas'!$D$4:$I$33,6,FALSE)+VLOOKUP(D308,'Primas Netas Y Reservas'!$D$4:$I$33,5,FALSE))+(VLOOKUP(D308,'Primas Netas Y Reservas'!$D$4:$I$33,6,FALSE)-VLOOKUP(D308-1,'Primas Netas Y Reservas'!$D$4:$I$33,6,FALSE)-VLOOKUP(D308,'Primas Netas Y Reservas'!$D$4:$I$33,5,FALSE))*(E308/12))/1000)</f>
        <v>0.61820568520240726</v>
      </c>
      <c r="O308">
        <f t="shared" si="90"/>
        <v>-0.18120938532672426</v>
      </c>
      <c r="P308">
        <f>VLOOKUP(D308,Hipotesis!$D$9:$S$38,15,FALSE)*N308</f>
        <v>0.61820568520240726</v>
      </c>
      <c r="Q308">
        <f t="shared" si="77"/>
        <v>9.7686951607271422E-2</v>
      </c>
      <c r="R308">
        <f t="shared" si="78"/>
        <v>0</v>
      </c>
      <c r="S308">
        <f t="shared" si="79"/>
        <v>9.7686951607271422E-2</v>
      </c>
      <c r="T308">
        <f>G308*(VLOOKUP(D308,Hipotesis!$D$9:$N$38,9,FALSE)+VLOOKUP(D308,Hipotesis!$D$9:$N$38,10,FALSE)+VLOOKUP(D308,Hipotesis!$D$9:$N$38,11,FALSE))</f>
        <v>0</v>
      </c>
      <c r="U308">
        <v>0</v>
      </c>
      <c r="V308">
        <f>G308*VLOOKUP(D308,Hipotesis!$D$9:$S$38,16,FALSE)+((VLOOKUP(D308,Hipotesis!$D$9:$T$38,17,FALSE)/$B$4)*M307)/12</f>
        <v>7.0947400101313987E-3</v>
      </c>
      <c r="W308">
        <f>(1+VLOOKUP(D308,Hipotesis!$D$9:$P$38,13,FALSE))^(1/12)-1</f>
        <v>0</v>
      </c>
      <c r="X308">
        <f t="shared" si="91"/>
        <v>0</v>
      </c>
      <c r="Y308">
        <f t="shared" si="80"/>
        <v>0.38371953508657158</v>
      </c>
      <c r="Z308">
        <f>(1+VLOOKUP(D308,Hipotesis!$D$9:$O$38,12,))^(1/12)-1</f>
        <v>3.3016704362618388E-3</v>
      </c>
      <c r="AA308">
        <f t="shared" si="92"/>
        <v>0.38553477302586237</v>
      </c>
      <c r="AB308">
        <f t="shared" si="93"/>
        <v>-1.8152379392907569E-3</v>
      </c>
      <c r="AC308" s="68">
        <f t="shared" si="81"/>
        <v>-7.0947400101313987E-3</v>
      </c>
      <c r="AD308">
        <f t="shared" si="82"/>
        <v>-0.54113297607639899</v>
      </c>
      <c r="AE308" s="67">
        <f t="shared" si="83"/>
        <v>1.6701204326765459E-2</v>
      </c>
      <c r="AF308" s="67">
        <f t="shared" si="84"/>
        <v>5.0103612980296379E-3</v>
      </c>
      <c r="AG308" s="67">
        <f t="shared" si="85"/>
        <v>1.1690843028735822E-2</v>
      </c>
    </row>
    <row r="309" spans="4:33" x14ac:dyDescent="0.2">
      <c r="D309" s="50">
        <v>26</v>
      </c>
      <c r="E309">
        <v>7</v>
      </c>
      <c r="F309">
        <f t="shared" si="94"/>
        <v>75</v>
      </c>
      <c r="G309">
        <f t="shared" si="86"/>
        <v>0</v>
      </c>
      <c r="H309" s="64">
        <f>IF(E309="Anual",VLOOKUP(F309,Hipotesis!$E$9:$J$38,6,FALSE),1-(1-VLOOKUP(F309,Hipotesis!$E$9:$J$38,6,FALSE))^(1/12))</f>
        <v>2.3438809447344777E-3</v>
      </c>
      <c r="I309">
        <f t="shared" si="87"/>
        <v>0.44203626696000564</v>
      </c>
      <c r="J309">
        <v>0</v>
      </c>
      <c r="K309">
        <f>1-(1-VLOOKUP(D309,Hipotesis!$D$9:$K$38,8,FALSE))^(1/12)</f>
        <v>8.3717735912058888E-4</v>
      </c>
      <c r="L309">
        <f t="shared" si="88"/>
        <v>0.15751455823710386</v>
      </c>
      <c r="M309">
        <f t="shared" si="89"/>
        <v>187.99205317800065</v>
      </c>
      <c r="N309">
        <f>IF(D309=1,(VLOOKUP(D309,'Primas Netas Y Reservas'!$D$4:$I$33,5,FALSE)+(VLOOKUP(D309,'Primas Netas Y Reservas'!$D$4:$I$33,6,FALSE)-VLOOKUP(D309,'Primas Netas Y Reservas'!$D$4:$I$33,5,FALSE))*(E309/12))/1000,((VLOOKUP(D309-1,'Primas Netas Y Reservas'!$D$4:$I$33,6,FALSE)+VLOOKUP(D309,'Primas Netas Y Reservas'!$D$4:$I$33,5,FALSE))+(VLOOKUP(D309,'Primas Netas Y Reservas'!$D$4:$I$33,6,FALSE)-VLOOKUP(D309-1,'Primas Netas Y Reservas'!$D$4:$I$33,6,FALSE)-VLOOKUP(D309,'Primas Netas Y Reservas'!$D$4:$I$33,5,FALSE))*(E309/12))/1000)</f>
        <v>0.61921321905538629</v>
      </c>
      <c r="O309">
        <f t="shared" si="90"/>
        <v>-0.1812373710367865</v>
      </c>
      <c r="P309">
        <f>VLOOKUP(D309,Hipotesis!$D$9:$S$38,15,FALSE)*N309</f>
        <v>0.61921321905538629</v>
      </c>
      <c r="Q309">
        <f t="shared" si="77"/>
        <v>9.7535096654084191E-2</v>
      </c>
      <c r="R309">
        <f t="shared" si="78"/>
        <v>0</v>
      </c>
      <c r="S309">
        <f t="shared" si="79"/>
        <v>9.7535096654084191E-2</v>
      </c>
      <c r="T309">
        <f>G309*(VLOOKUP(D309,Hipotesis!$D$9:$N$38,9,FALSE)+VLOOKUP(D309,Hipotesis!$D$9:$N$38,10,FALSE)+VLOOKUP(D309,Hipotesis!$D$9:$N$38,11,FALSE))</f>
        <v>0</v>
      </c>
      <c r="U309">
        <v>0</v>
      </c>
      <c r="V309">
        <f>G309*VLOOKUP(D309,Hipotesis!$D$9:$S$38,16,FALSE)+((VLOOKUP(D309,Hipotesis!$D$9:$T$38,17,FALSE)/$B$4)*M308)/12</f>
        <v>7.0721851501199147E-3</v>
      </c>
      <c r="W309">
        <f>(1+VLOOKUP(D309,Hipotesis!$D$9:$P$38,13,FALSE))^(1/12)-1</f>
        <v>0</v>
      </c>
      <c r="X309">
        <f t="shared" si="91"/>
        <v>0</v>
      </c>
      <c r="Y309">
        <f t="shared" si="80"/>
        <v>0.38312648658172821</v>
      </c>
      <c r="Z309">
        <f>(1+VLOOKUP(D309,Hipotesis!$D$9:$O$38,12,))^(1/12)-1</f>
        <v>3.3016704362618388E-3</v>
      </c>
      <c r="AA309">
        <f t="shared" si="92"/>
        <v>0.38493647935555597</v>
      </c>
      <c r="AB309">
        <f t="shared" si="93"/>
        <v>-1.8099927738277522E-3</v>
      </c>
      <c r="AC309" s="68">
        <f t="shared" si="81"/>
        <v>-7.0721851501199147E-3</v>
      </c>
      <c r="AD309">
        <f t="shared" si="82"/>
        <v>-0.53957136361408986</v>
      </c>
      <c r="AE309" s="67">
        <f t="shared" si="83"/>
        <v>1.7720308854304961E-2</v>
      </c>
      <c r="AF309" s="67">
        <f t="shared" si="84"/>
        <v>5.3160926562914879E-3</v>
      </c>
      <c r="AG309" s="67">
        <f t="shared" si="85"/>
        <v>1.2404216198013473E-2</v>
      </c>
    </row>
    <row r="310" spans="4:33" x14ac:dyDescent="0.2">
      <c r="D310" s="50">
        <v>26</v>
      </c>
      <c r="E310">
        <v>8</v>
      </c>
      <c r="F310">
        <f t="shared" si="94"/>
        <v>75</v>
      </c>
      <c r="G310">
        <f t="shared" si="86"/>
        <v>0</v>
      </c>
      <c r="H310" s="64">
        <f>IF(E310="Anual",VLOOKUP(F310,Hipotesis!$E$9:$J$38,6,FALSE),1-(1-VLOOKUP(F310,Hipotesis!$E$9:$J$38,6,FALSE))^(1/12))</f>
        <v>2.3438809447344777E-3</v>
      </c>
      <c r="I310">
        <f t="shared" si="87"/>
        <v>0.44063099120542631</v>
      </c>
      <c r="J310">
        <v>0</v>
      </c>
      <c r="K310">
        <f>1-(1-VLOOKUP(D310,Hipotesis!$D$9:$K$38,8,FALSE))^(1/12)</f>
        <v>8.3717735912058888E-4</v>
      </c>
      <c r="L310">
        <f t="shared" si="88"/>
        <v>0.15701380432565185</v>
      </c>
      <c r="M310">
        <f t="shared" si="89"/>
        <v>187.39440838246955</v>
      </c>
      <c r="N310">
        <f>IF(D310=1,(VLOOKUP(D310,'Primas Netas Y Reservas'!$D$4:$I$33,5,FALSE)+(VLOOKUP(D310,'Primas Netas Y Reservas'!$D$4:$I$33,6,FALSE)-VLOOKUP(D310,'Primas Netas Y Reservas'!$D$4:$I$33,5,FALSE))*(E310/12))/1000,((VLOOKUP(D310-1,'Primas Netas Y Reservas'!$D$4:$I$33,6,FALSE)+VLOOKUP(D310,'Primas Netas Y Reservas'!$D$4:$I$33,5,FALSE))+(VLOOKUP(D310,'Primas Netas Y Reservas'!$D$4:$I$33,6,FALSE)-VLOOKUP(D310-1,'Primas Netas Y Reservas'!$D$4:$I$33,6,FALSE)-VLOOKUP(D310,'Primas Netas Y Reservas'!$D$4:$I$33,5,FALSE))*(E310/12))/1000)</f>
        <v>0.6202207529083652</v>
      </c>
      <c r="O310">
        <f t="shared" si="90"/>
        <v>-0.18126334738821015</v>
      </c>
      <c r="P310">
        <f>VLOOKUP(D310,Hipotesis!$D$9:$S$38,15,FALSE)*N310</f>
        <v>0.6202207529083652</v>
      </c>
      <c r="Q310">
        <f t="shared" si="77"/>
        <v>9.7383219935862519E-2</v>
      </c>
      <c r="R310">
        <f t="shared" si="78"/>
        <v>0</v>
      </c>
      <c r="S310">
        <f t="shared" si="79"/>
        <v>9.7383219935862519E-2</v>
      </c>
      <c r="T310">
        <f>G310*(VLOOKUP(D310,Hipotesis!$D$9:$N$38,9,FALSE)+VLOOKUP(D310,Hipotesis!$D$9:$N$38,10,FALSE)+VLOOKUP(D310,Hipotesis!$D$9:$N$38,11,FALSE))</f>
        <v>0</v>
      </c>
      <c r="U310">
        <v>0</v>
      </c>
      <c r="V310">
        <f>G310*VLOOKUP(D310,Hipotesis!$D$9:$S$38,16,FALSE)+((VLOOKUP(D310,Hipotesis!$D$9:$T$38,17,FALSE)/$B$4)*M309)/12</f>
        <v>7.0497019941750247E-3</v>
      </c>
      <c r="W310">
        <f>(1+VLOOKUP(D310,Hipotesis!$D$9:$P$38,13,FALSE))^(1/12)-1</f>
        <v>0</v>
      </c>
      <c r="X310">
        <f t="shared" si="91"/>
        <v>0</v>
      </c>
      <c r="Y310">
        <f t="shared" si="80"/>
        <v>0.38253333067350126</v>
      </c>
      <c r="Z310">
        <f>(1+VLOOKUP(D310,Hipotesis!$D$9:$O$38,12,))^(1/12)-1</f>
        <v>3.3016704362618388E-3</v>
      </c>
      <c r="AA310">
        <f t="shared" si="92"/>
        <v>0.38433809328565799</v>
      </c>
      <c r="AB310">
        <f t="shared" si="93"/>
        <v>-1.804762612156751E-3</v>
      </c>
      <c r="AC310" s="68">
        <f t="shared" si="81"/>
        <v>-7.0497019941750247E-3</v>
      </c>
      <c r="AD310">
        <f t="shared" si="82"/>
        <v>-0.53801421114128889</v>
      </c>
      <c r="AE310" s="67">
        <f t="shared" si="83"/>
        <v>1.873276492624755E-2</v>
      </c>
      <c r="AF310" s="67">
        <f t="shared" si="84"/>
        <v>5.6198294778742651E-3</v>
      </c>
      <c r="AG310" s="67">
        <f t="shared" si="85"/>
        <v>1.3112935448373286E-2</v>
      </c>
    </row>
    <row r="311" spans="4:33" x14ac:dyDescent="0.2">
      <c r="D311" s="50">
        <v>26</v>
      </c>
      <c r="E311">
        <v>9</v>
      </c>
      <c r="F311">
        <f t="shared" si="94"/>
        <v>75</v>
      </c>
      <c r="G311">
        <f t="shared" si="86"/>
        <v>0</v>
      </c>
      <c r="H311" s="64">
        <f>IF(E311="Anual",VLOOKUP(F311,Hipotesis!$E$9:$J$38,6,FALSE),1-(1-VLOOKUP(F311,Hipotesis!$E$9:$J$38,6,FALSE))^(1/12))</f>
        <v>2.3438809447344777E-3</v>
      </c>
      <c r="I311">
        <f t="shared" si="87"/>
        <v>0.43923018295746125</v>
      </c>
      <c r="J311">
        <v>0</v>
      </c>
      <c r="K311">
        <f>1-(1-VLOOKUP(D311,Hipotesis!$D$9:$K$38,8,FALSE))^(1/12)</f>
        <v>8.3717735912058888E-4</v>
      </c>
      <c r="L311">
        <f t="shared" si="88"/>
        <v>0.15651464235898663</v>
      </c>
      <c r="M311">
        <f t="shared" si="89"/>
        <v>186.79866355715311</v>
      </c>
      <c r="N311">
        <f>IF(D311=1,(VLOOKUP(D311,'Primas Netas Y Reservas'!$D$4:$I$33,5,FALSE)+(VLOOKUP(D311,'Primas Netas Y Reservas'!$D$4:$I$33,6,FALSE)-VLOOKUP(D311,'Primas Netas Y Reservas'!$D$4:$I$33,5,FALSE))*(E311/12))/1000,((VLOOKUP(D311-1,'Primas Netas Y Reservas'!$D$4:$I$33,6,FALSE)+VLOOKUP(D311,'Primas Netas Y Reservas'!$D$4:$I$33,5,FALSE))+(VLOOKUP(D311,'Primas Netas Y Reservas'!$D$4:$I$33,6,FALSE)-VLOOKUP(D311-1,'Primas Netas Y Reservas'!$D$4:$I$33,6,FALSE)-VLOOKUP(D311,'Primas Netas Y Reservas'!$D$4:$I$33,5,FALSE))*(E311/12))/1000)</f>
        <v>0.62122828676134412</v>
      </c>
      <c r="O311">
        <f t="shared" si="90"/>
        <v>-0.18128732687397076</v>
      </c>
      <c r="P311">
        <f>VLOOKUP(D311,Hipotesis!$D$9:$S$38,15,FALSE)*N311</f>
        <v>0.62122828676134412</v>
      </c>
      <c r="Q311">
        <f t="shared" si="77"/>
        <v>9.7231323125737762E-2</v>
      </c>
      <c r="R311">
        <f t="shared" si="78"/>
        <v>0</v>
      </c>
      <c r="S311">
        <f t="shared" si="79"/>
        <v>9.7231323125737762E-2</v>
      </c>
      <c r="T311">
        <f>G311*(VLOOKUP(D311,Hipotesis!$D$9:$N$38,9,FALSE)+VLOOKUP(D311,Hipotesis!$D$9:$N$38,10,FALSE)+VLOOKUP(D311,Hipotesis!$D$9:$N$38,11,FALSE))</f>
        <v>0</v>
      </c>
      <c r="U311">
        <v>0</v>
      </c>
      <c r="V311">
        <f>G311*VLOOKUP(D311,Hipotesis!$D$9:$S$38,16,FALSE)+((VLOOKUP(D311,Hipotesis!$D$9:$T$38,17,FALSE)/$B$4)*M310)/12</f>
        <v>7.0272903143426086E-3</v>
      </c>
      <c r="W311">
        <f>(1+VLOOKUP(D311,Hipotesis!$D$9:$P$38,13,FALSE))^(1/12)-1</f>
        <v>0</v>
      </c>
      <c r="X311">
        <f t="shared" si="91"/>
        <v>0</v>
      </c>
      <c r="Y311">
        <f t="shared" si="80"/>
        <v>0.38194007403851665</v>
      </c>
      <c r="Z311">
        <f>(1+VLOOKUP(D311,Hipotesis!$D$9:$O$38,12,))^(1/12)-1</f>
        <v>3.3016704362618388E-3</v>
      </c>
      <c r="AA311">
        <f t="shared" si="92"/>
        <v>0.38373962145040846</v>
      </c>
      <c r="AB311">
        <f t="shared" si="93"/>
        <v>-1.7995474118918224E-3</v>
      </c>
      <c r="AC311" s="68">
        <f t="shared" si="81"/>
        <v>-7.0272903143426086E-3</v>
      </c>
      <c r="AD311">
        <f t="shared" si="82"/>
        <v>-0.53646150608319898</v>
      </c>
      <c r="AE311" s="67">
        <f t="shared" si="83"/>
        <v>1.9738604514945791E-2</v>
      </c>
      <c r="AF311" s="67">
        <f t="shared" si="84"/>
        <v>5.921581354483737E-3</v>
      </c>
      <c r="AG311" s="67">
        <f t="shared" si="85"/>
        <v>1.3817023160462055E-2</v>
      </c>
    </row>
    <row r="312" spans="4:33" x14ac:dyDescent="0.2">
      <c r="D312" s="50">
        <v>26</v>
      </c>
      <c r="E312">
        <v>10</v>
      </c>
      <c r="F312">
        <f t="shared" si="94"/>
        <v>75</v>
      </c>
      <c r="G312">
        <f t="shared" si="86"/>
        <v>0</v>
      </c>
      <c r="H312" s="64">
        <f>IF(E312="Anual",VLOOKUP(F312,Hipotesis!$E$9:$J$38,6,FALSE),1-(1-VLOOKUP(F312,Hipotesis!$E$9:$J$38,6,FALSE))^(1/12))</f>
        <v>2.3438809447344777E-3</v>
      </c>
      <c r="I312">
        <f t="shared" si="87"/>
        <v>0.43783382801347787</v>
      </c>
      <c r="J312">
        <v>0</v>
      </c>
      <c r="K312">
        <f>1-(1-VLOOKUP(D312,Hipotesis!$D$9:$K$38,8,FALSE))^(1/12)</f>
        <v>8.3717735912058888E-4</v>
      </c>
      <c r="L312">
        <f t="shared" si="88"/>
        <v>0.15601706727616285</v>
      </c>
      <c r="M312">
        <f t="shared" si="89"/>
        <v>186.20481266186346</v>
      </c>
      <c r="N312">
        <f>IF(D312=1,(VLOOKUP(D312,'Primas Netas Y Reservas'!$D$4:$I$33,5,FALSE)+(VLOOKUP(D312,'Primas Netas Y Reservas'!$D$4:$I$33,6,FALSE)-VLOOKUP(D312,'Primas Netas Y Reservas'!$D$4:$I$33,5,FALSE))*(E312/12))/1000,((VLOOKUP(D312-1,'Primas Netas Y Reservas'!$D$4:$I$33,6,FALSE)+VLOOKUP(D312,'Primas Netas Y Reservas'!$D$4:$I$33,5,FALSE))+(VLOOKUP(D312,'Primas Netas Y Reservas'!$D$4:$I$33,6,FALSE)-VLOOKUP(D312-1,'Primas Netas Y Reservas'!$D$4:$I$33,6,FALSE)-VLOOKUP(D312,'Primas Netas Y Reservas'!$D$4:$I$33,5,FALSE))*(E312/12))/1000)</f>
        <v>0.62223582061432303</v>
      </c>
      <c r="O312">
        <f t="shared" si="90"/>
        <v>-0.1813093219280546</v>
      </c>
      <c r="P312">
        <f>VLOOKUP(D312,Hipotesis!$D$9:$S$38,15,FALSE)*N312</f>
        <v>0.62223582061432303</v>
      </c>
      <c r="Q312">
        <f t="shared" si="77"/>
        <v>9.7079407886423233E-2</v>
      </c>
      <c r="R312">
        <f t="shared" si="78"/>
        <v>0</v>
      </c>
      <c r="S312">
        <f t="shared" si="79"/>
        <v>9.7079407886423233E-2</v>
      </c>
      <c r="T312">
        <f>G312*(VLOOKUP(D312,Hipotesis!$D$9:$N$38,9,FALSE)+VLOOKUP(D312,Hipotesis!$D$9:$N$38,10,FALSE)+VLOOKUP(D312,Hipotesis!$D$9:$N$38,11,FALSE))</f>
        <v>0</v>
      </c>
      <c r="U312">
        <v>0</v>
      </c>
      <c r="V312">
        <f>G312*VLOOKUP(D312,Hipotesis!$D$9:$S$38,16,FALSE)+((VLOOKUP(D312,Hipotesis!$D$9:$T$38,17,FALSE)/$B$4)*M311)/12</f>
        <v>7.0049498833932413E-3</v>
      </c>
      <c r="W312">
        <f>(1+VLOOKUP(D312,Hipotesis!$D$9:$P$38,13,FALSE))^(1/12)-1</f>
        <v>0</v>
      </c>
      <c r="X312">
        <f t="shared" si="91"/>
        <v>0</v>
      </c>
      <c r="Y312">
        <f t="shared" si="80"/>
        <v>0.3813467233120349</v>
      </c>
      <c r="Z312">
        <f>(1+VLOOKUP(D312,Hipotesis!$D$9:$O$38,12,))^(1/12)-1</f>
        <v>3.3016704362618388E-3</v>
      </c>
      <c r="AA312">
        <f t="shared" si="92"/>
        <v>0.38314107044279977</v>
      </c>
      <c r="AB312">
        <f t="shared" si="93"/>
        <v>-1.7943471307648941E-3</v>
      </c>
      <c r="AC312" s="68">
        <f t="shared" si="81"/>
        <v>-7.0049498833932413E-3</v>
      </c>
      <c r="AD312">
        <f t="shared" si="82"/>
        <v>-0.53491323589990114</v>
      </c>
      <c r="AE312" s="67">
        <f t="shared" si="83"/>
        <v>2.0737859456795172E-2</v>
      </c>
      <c r="AF312" s="67">
        <f t="shared" si="84"/>
        <v>6.2213578370385516E-3</v>
      </c>
      <c r="AG312" s="67">
        <f t="shared" si="85"/>
        <v>1.451650161975662E-2</v>
      </c>
    </row>
    <row r="313" spans="4:33" x14ac:dyDescent="0.2">
      <c r="D313" s="50">
        <v>26</v>
      </c>
      <c r="E313">
        <v>11</v>
      </c>
      <c r="F313">
        <f t="shared" si="94"/>
        <v>75</v>
      </c>
      <c r="G313">
        <f t="shared" si="86"/>
        <v>0</v>
      </c>
      <c r="H313" s="64">
        <f>IF(E313="Anual",VLOOKUP(F313,Hipotesis!$E$9:$J$38,6,FALSE),1-(1-VLOOKUP(F313,Hipotesis!$E$9:$J$38,6,FALSE))^(1/12))</f>
        <v>2.3438809447344777E-3</v>
      </c>
      <c r="I313">
        <f t="shared" si="87"/>
        <v>0.43644191221599493</v>
      </c>
      <c r="J313">
        <v>0</v>
      </c>
      <c r="K313">
        <f>1-(1-VLOOKUP(D313,Hipotesis!$D$9:$K$38,8,FALSE))^(1/12)</f>
        <v>8.3717735912058888E-4</v>
      </c>
      <c r="L313">
        <f t="shared" si="88"/>
        <v>0.15552107403232432</v>
      </c>
      <c r="M313">
        <f t="shared" si="89"/>
        <v>185.61284967561514</v>
      </c>
      <c r="N313">
        <f>IF(D313=1,(VLOOKUP(D313,'Primas Netas Y Reservas'!$D$4:$I$33,5,FALSE)+(VLOOKUP(D313,'Primas Netas Y Reservas'!$D$4:$I$33,6,FALSE)-VLOOKUP(D313,'Primas Netas Y Reservas'!$D$4:$I$33,5,FALSE))*(E313/12))/1000,((VLOOKUP(D313-1,'Primas Netas Y Reservas'!$D$4:$I$33,6,FALSE)+VLOOKUP(D313,'Primas Netas Y Reservas'!$D$4:$I$33,5,FALSE))+(VLOOKUP(D313,'Primas Netas Y Reservas'!$D$4:$I$33,6,FALSE)-VLOOKUP(D313-1,'Primas Netas Y Reservas'!$D$4:$I$33,6,FALSE)-VLOOKUP(D313,'Primas Netas Y Reservas'!$D$4:$I$33,5,FALSE))*(E313/12))/1000)</f>
        <v>0.62324335446730195</v>
      </c>
      <c r="O313">
        <f t="shared" si="90"/>
        <v>-0.18132934492545871</v>
      </c>
      <c r="P313">
        <f>VLOOKUP(D313,Hipotesis!$D$9:$S$38,15,FALSE)*N313</f>
        <v>0.62324335446730195</v>
      </c>
      <c r="Q313">
        <f t="shared" si="77"/>
        <v>9.6927475870263416E-2</v>
      </c>
      <c r="R313">
        <f t="shared" si="78"/>
        <v>0</v>
      </c>
      <c r="S313">
        <f t="shared" si="79"/>
        <v>9.6927475870263416E-2</v>
      </c>
      <c r="T313">
        <f>G313*(VLOOKUP(D313,Hipotesis!$D$9:$N$38,9,FALSE)+VLOOKUP(D313,Hipotesis!$D$9:$N$38,10,FALSE)+VLOOKUP(D313,Hipotesis!$D$9:$N$38,11,FALSE))</f>
        <v>0</v>
      </c>
      <c r="U313">
        <v>0</v>
      </c>
      <c r="V313">
        <f>G313*VLOOKUP(D313,Hipotesis!$D$9:$S$38,16,FALSE)+((VLOOKUP(D313,Hipotesis!$D$9:$T$38,17,FALSE)/$B$4)*M312)/12</f>
        <v>6.9826804748198794E-3</v>
      </c>
      <c r="W313">
        <f>(1+VLOOKUP(D313,Hipotesis!$D$9:$P$38,13,FALSE))^(1/12)-1</f>
        <v>0</v>
      </c>
      <c r="X313">
        <f t="shared" si="91"/>
        <v>0</v>
      </c>
      <c r="Y313">
        <f t="shared" si="80"/>
        <v>0.38075328508814582</v>
      </c>
      <c r="Z313">
        <f>(1+VLOOKUP(D313,Hipotesis!$D$9:$O$38,12,))^(1/12)-1</f>
        <v>3.3016704362618388E-3</v>
      </c>
      <c r="AA313">
        <f t="shared" si="92"/>
        <v>0.38254244681477123</v>
      </c>
      <c r="AB313">
        <f t="shared" si="93"/>
        <v>-1.7891617266254339E-3</v>
      </c>
      <c r="AC313" s="68">
        <f t="shared" si="81"/>
        <v>-6.9826804748198794E-3</v>
      </c>
      <c r="AD313">
        <f t="shared" si="82"/>
        <v>-0.53336938808625833</v>
      </c>
      <c r="AE313" s="67">
        <f t="shared" si="83"/>
        <v>2.1730561452526321E-2</v>
      </c>
      <c r="AF313" s="67">
        <f t="shared" si="84"/>
        <v>6.5191684357578964E-3</v>
      </c>
      <c r="AG313" s="67">
        <f t="shared" si="85"/>
        <v>1.5211393016768424E-2</v>
      </c>
    </row>
    <row r="314" spans="4:33" x14ac:dyDescent="0.2">
      <c r="D314" s="50">
        <v>26</v>
      </c>
      <c r="E314">
        <v>12</v>
      </c>
      <c r="F314">
        <f t="shared" si="94"/>
        <v>75</v>
      </c>
      <c r="G314">
        <f t="shared" si="86"/>
        <v>0</v>
      </c>
      <c r="H314" s="64">
        <f>IF(E314="Anual",VLOOKUP(F314,Hipotesis!$E$9:$J$38,6,FALSE),1-(1-VLOOKUP(F314,Hipotesis!$E$9:$J$38,6,FALSE))^(1/12))</f>
        <v>2.3438809447344777E-3</v>
      </c>
      <c r="I314">
        <f t="shared" si="87"/>
        <v>0.43505442145253942</v>
      </c>
      <c r="J314">
        <v>0</v>
      </c>
      <c r="K314">
        <f>1-(1-VLOOKUP(D314,Hipotesis!$D$9:$K$38,8,FALSE))^(1/12)</f>
        <v>8.3717735912058888E-4</v>
      </c>
      <c r="L314">
        <f t="shared" si="88"/>
        <v>0.15502665759865294</v>
      </c>
      <c r="M314">
        <f t="shared" si="89"/>
        <v>185.02276859656394</v>
      </c>
      <c r="N314">
        <f>IF(D314=1,(VLOOKUP(D314,'Primas Netas Y Reservas'!$D$4:$I$33,5,FALSE)+(VLOOKUP(D314,'Primas Netas Y Reservas'!$D$4:$I$33,6,FALSE)-VLOOKUP(D314,'Primas Netas Y Reservas'!$D$4:$I$33,5,FALSE))*(E314/12))/1000,((VLOOKUP(D314-1,'Primas Netas Y Reservas'!$D$4:$I$33,6,FALSE)+VLOOKUP(D314,'Primas Netas Y Reservas'!$D$4:$I$33,5,FALSE))+(VLOOKUP(D314,'Primas Netas Y Reservas'!$D$4:$I$33,6,FALSE)-VLOOKUP(D314-1,'Primas Netas Y Reservas'!$D$4:$I$33,6,FALSE)-VLOOKUP(D314,'Primas Netas Y Reservas'!$D$4:$I$33,5,FALSE))*(E314/12))/1000)</f>
        <v>0.62425088832028086</v>
      </c>
      <c r="O314">
        <f t="shared" si="90"/>
        <v>-0.18134740818264561</v>
      </c>
      <c r="P314">
        <f>VLOOKUP(D314,Hipotesis!$D$9:$S$38,15,FALSE)*N314</f>
        <v>0.62425088832028086</v>
      </c>
      <c r="Q314">
        <f t="shared" si="77"/>
        <v>9.6775528719283119E-2</v>
      </c>
      <c r="R314">
        <f t="shared" si="78"/>
        <v>0</v>
      </c>
      <c r="S314">
        <f t="shared" si="79"/>
        <v>9.6775528719283119E-2</v>
      </c>
      <c r="T314">
        <f>G314*(VLOOKUP(D314,Hipotesis!$D$9:$N$38,9,FALSE)+VLOOKUP(D314,Hipotesis!$D$9:$N$38,10,FALSE)+VLOOKUP(D314,Hipotesis!$D$9:$N$38,11,FALSE))</f>
        <v>0</v>
      </c>
      <c r="U314">
        <v>0</v>
      </c>
      <c r="V314">
        <f>G314*VLOOKUP(D314,Hipotesis!$D$9:$S$38,16,FALSE)+((VLOOKUP(D314,Hipotesis!$D$9:$T$38,17,FALSE)/$B$4)*M313)/12</f>
        <v>6.9604818628355679E-3</v>
      </c>
      <c r="W314">
        <f>(1+VLOOKUP(D314,Hipotesis!$D$9:$P$38,13,FALSE))^(1/12)-1</f>
        <v>0</v>
      </c>
      <c r="X314">
        <f t="shared" si="91"/>
        <v>0</v>
      </c>
      <c r="Y314">
        <f t="shared" si="80"/>
        <v>0.38015976591996398</v>
      </c>
      <c r="Z314">
        <f>(1+VLOOKUP(D314,Hipotesis!$D$9:$O$38,12,))^(1/12)-1</f>
        <v>3.3016704362618388E-3</v>
      </c>
      <c r="AA314">
        <f t="shared" si="92"/>
        <v>0.38194375707740408</v>
      </c>
      <c r="AB314">
        <f t="shared" si="93"/>
        <v>-1.7839911574401275E-3</v>
      </c>
      <c r="AC314" s="68">
        <f t="shared" si="81"/>
        <v>-6.9604818628355679E-3</v>
      </c>
      <c r="AD314">
        <f t="shared" si="82"/>
        <v>-0.53182995017182255</v>
      </c>
      <c r="AE314" s="67">
        <f t="shared" si="83"/>
        <v>2.2716742067951465E-2</v>
      </c>
      <c r="AF314" s="67">
        <f t="shared" si="84"/>
        <v>6.8150226203854396E-3</v>
      </c>
      <c r="AG314" s="67">
        <f t="shared" si="85"/>
        <v>1.5901719447566028E-2</v>
      </c>
    </row>
    <row r="315" spans="4:33" x14ac:dyDescent="0.2">
      <c r="D315" s="50">
        <v>27</v>
      </c>
      <c r="E315">
        <v>1</v>
      </c>
      <c r="F315">
        <f t="shared" si="94"/>
        <v>76</v>
      </c>
      <c r="G315">
        <f t="shared" si="86"/>
        <v>0</v>
      </c>
      <c r="H315" s="64">
        <f>IF(E315="Anual",VLOOKUP(F315,Hipotesis!$E$9:$J$38,6,FALSE),1-(1-VLOOKUP(F315,Hipotesis!$E$9:$J$38,6,FALSE))^(1/12))</f>
        <v>2.5194067304546985E-3</v>
      </c>
      <c r="I315">
        <f t="shared" si="87"/>
        <v>0.46614760848954545</v>
      </c>
      <c r="J315">
        <v>0</v>
      </c>
      <c r="K315">
        <f>1-(1-VLOOKUP(D315,Hipotesis!$D$9:$K$38,8,FALSE))^(1/12)</f>
        <v>8.3717735912058888E-4</v>
      </c>
      <c r="L315">
        <f t="shared" si="88"/>
        <v>0.15450662456701558</v>
      </c>
      <c r="M315">
        <f t="shared" si="89"/>
        <v>184.40211436350739</v>
      </c>
      <c r="N315">
        <f>IF(D315=1,(VLOOKUP(D315,'Primas Netas Y Reservas'!$D$4:$I$33,5,FALSE)+(VLOOKUP(D315,'Primas Netas Y Reservas'!$D$4:$I$33,6,FALSE)-VLOOKUP(D315,'Primas Netas Y Reservas'!$D$4:$I$33,5,FALSE))*(E315/12))/1000,((VLOOKUP(D315-1,'Primas Netas Y Reservas'!$D$4:$I$33,6,FALSE)+VLOOKUP(D315,'Primas Netas Y Reservas'!$D$4:$I$33,5,FALSE))+(VLOOKUP(D315,'Primas Netas Y Reservas'!$D$4:$I$33,6,FALSE)-VLOOKUP(D315-1,'Primas Netas Y Reservas'!$D$4:$I$33,6,FALSE)-VLOOKUP(D315,'Primas Netas Y Reservas'!$D$4:$I$33,5,FALSE))*(E315/12))/1000)</f>
        <v>0.6252528967676928</v>
      </c>
      <c r="O315">
        <f t="shared" si="90"/>
        <v>-0.20267148001242674</v>
      </c>
      <c r="P315">
        <f>VLOOKUP(D315,Hipotesis!$D$9:$S$38,15,FALSE)*N315</f>
        <v>0.6252528967676928</v>
      </c>
      <c r="Q315">
        <f t="shared" si="77"/>
        <v>9.6605714580324867E-2</v>
      </c>
      <c r="R315">
        <f t="shared" si="78"/>
        <v>0</v>
      </c>
      <c r="S315">
        <f t="shared" si="79"/>
        <v>9.6605714580324867E-2</v>
      </c>
      <c r="T315">
        <f>G315*(VLOOKUP(D315,Hipotesis!$D$9:$N$38,9,FALSE)+VLOOKUP(D315,Hipotesis!$D$9:$N$38,10,FALSE)+VLOOKUP(D315,Hipotesis!$D$9:$N$38,11,FALSE))</f>
        <v>0</v>
      </c>
      <c r="U315">
        <v>0</v>
      </c>
      <c r="V315">
        <f>G315*VLOOKUP(D315,Hipotesis!$D$9:$S$38,16,FALSE)+((VLOOKUP(D315,Hipotesis!$D$9:$T$38,17,FALSE)/$B$4)*M314)/12</f>
        <v>6.9383538223711473E-3</v>
      </c>
      <c r="W315">
        <f>(1+VLOOKUP(D315,Hipotesis!$D$9:$P$38,13,FALSE))^(1/12)-1</f>
        <v>0</v>
      </c>
      <c r="X315">
        <f t="shared" si="91"/>
        <v>0</v>
      </c>
      <c r="Y315">
        <f t="shared" si="80"/>
        <v>0.39738695601848201</v>
      </c>
      <c r="Z315">
        <f>(1+VLOOKUP(D315,Hipotesis!$D$9:$O$38,12,))^(1/12)-1</f>
        <v>3.4566851846238311E-3</v>
      </c>
      <c r="AA315">
        <f t="shared" si="92"/>
        <v>0.39924930843284362</v>
      </c>
      <c r="AB315">
        <f t="shared" si="93"/>
        <v>-1.8623524143616379E-3</v>
      </c>
      <c r="AC315" s="68">
        <f t="shared" si="81"/>
        <v>-6.9383538223711473E-3</v>
      </c>
      <c r="AD315">
        <f t="shared" si="82"/>
        <v>-0.56275332306987036</v>
      </c>
      <c r="AE315" s="67">
        <f t="shared" si="83"/>
        <v>3.0366759138667297E-2</v>
      </c>
      <c r="AF315" s="67">
        <f t="shared" si="84"/>
        <v>9.110027741600189E-3</v>
      </c>
      <c r="AG315" s="67">
        <f t="shared" si="85"/>
        <v>2.1256731397067109E-2</v>
      </c>
    </row>
    <row r="316" spans="4:33" x14ac:dyDescent="0.2">
      <c r="D316" s="50">
        <v>27</v>
      </c>
      <c r="E316">
        <v>2</v>
      </c>
      <c r="F316">
        <f t="shared" si="94"/>
        <v>76</v>
      </c>
      <c r="G316">
        <f t="shared" si="86"/>
        <v>0</v>
      </c>
      <c r="H316" s="64">
        <f>IF(E316="Anual",VLOOKUP(F316,Hipotesis!$E$9:$J$38,6,FALSE),1-(1-VLOOKUP(F316,Hipotesis!$E$9:$J$38,6,FALSE))^(1/12))</f>
        <v>2.5194067304546985E-3</v>
      </c>
      <c r="I316">
        <f t="shared" si="87"/>
        <v>0.4645839280374976</v>
      </c>
      <c r="J316">
        <v>0</v>
      </c>
      <c r="K316">
        <f>1-(1-VLOOKUP(D316,Hipotesis!$D$9:$K$38,8,FALSE))^(1/12)</f>
        <v>8.3717735912058888E-4</v>
      </c>
      <c r="L316">
        <f t="shared" si="88"/>
        <v>0.15398833597312964</v>
      </c>
      <c r="M316">
        <f t="shared" si="89"/>
        <v>183.78354209949677</v>
      </c>
      <c r="N316">
        <f>IF(D316=1,(VLOOKUP(D316,'Primas Netas Y Reservas'!$D$4:$I$33,5,FALSE)+(VLOOKUP(D316,'Primas Netas Y Reservas'!$D$4:$I$33,6,FALSE)-VLOOKUP(D316,'Primas Netas Y Reservas'!$D$4:$I$33,5,FALSE))*(E316/12))/1000,((VLOOKUP(D316-1,'Primas Netas Y Reservas'!$D$4:$I$33,6,FALSE)+VLOOKUP(D316,'Primas Netas Y Reservas'!$D$4:$I$33,5,FALSE))+(VLOOKUP(D316,'Primas Netas Y Reservas'!$D$4:$I$33,6,FALSE)-VLOOKUP(D316-1,'Primas Netas Y Reservas'!$D$4:$I$33,6,FALSE)-VLOOKUP(D316,'Primas Netas Y Reservas'!$D$4:$I$33,5,FALSE))*(E316/12))/1000)</f>
        <v>0.62625490521510496</v>
      </c>
      <c r="O316">
        <f t="shared" si="90"/>
        <v>-0.20261143825376848</v>
      </c>
      <c r="P316">
        <f>VLOOKUP(D316,Hipotesis!$D$9:$S$38,15,FALSE)*N316</f>
        <v>0.62625490521510496</v>
      </c>
      <c r="Q316">
        <f t="shared" si="77"/>
        <v>9.6435950749084037E-2</v>
      </c>
      <c r="R316">
        <f t="shared" si="78"/>
        <v>0</v>
      </c>
      <c r="S316">
        <f t="shared" si="79"/>
        <v>9.6435950749084037E-2</v>
      </c>
      <c r="T316">
        <f>G316*(VLOOKUP(D316,Hipotesis!$D$9:$N$38,9,FALSE)+VLOOKUP(D316,Hipotesis!$D$9:$N$38,10,FALSE)+VLOOKUP(D316,Hipotesis!$D$9:$N$38,11,FALSE))</f>
        <v>0</v>
      </c>
      <c r="U316">
        <v>0</v>
      </c>
      <c r="V316">
        <f>G316*VLOOKUP(D316,Hipotesis!$D$9:$S$38,16,FALSE)+((VLOOKUP(D316,Hipotesis!$D$9:$T$38,17,FALSE)/$B$4)*M315)/12</f>
        <v>6.9150792886315269E-3</v>
      </c>
      <c r="W316">
        <f>(1+VLOOKUP(D316,Hipotesis!$D$9:$P$38,13,FALSE))^(1/12)-1</f>
        <v>0</v>
      </c>
      <c r="X316">
        <f t="shared" si="91"/>
        <v>0</v>
      </c>
      <c r="Y316">
        <f t="shared" si="80"/>
        <v>0.39657957260395788</v>
      </c>
      <c r="Z316">
        <f>(1+VLOOKUP(D316,Hipotesis!$D$9:$O$38,12,))^(1/12)-1</f>
        <v>3.4566851846238311E-3</v>
      </c>
      <c r="AA316">
        <f t="shared" si="92"/>
        <v>0.39854873693053883</v>
      </c>
      <c r="AB316">
        <f t="shared" si="93"/>
        <v>-1.9691643265809613E-3</v>
      </c>
      <c r="AC316" s="68">
        <f t="shared" si="81"/>
        <v>-6.9150792886315269E-3</v>
      </c>
      <c r="AD316">
        <f t="shared" si="82"/>
        <v>-0.56101987878658166</v>
      </c>
      <c r="AE316" s="67">
        <f t="shared" si="83"/>
        <v>3.12560527825132E-2</v>
      </c>
      <c r="AF316" s="67">
        <f t="shared" si="84"/>
        <v>9.3768158347539588E-3</v>
      </c>
      <c r="AG316" s="67">
        <f t="shared" si="85"/>
        <v>2.1879236947759242E-2</v>
      </c>
    </row>
    <row r="317" spans="4:33" x14ac:dyDescent="0.2">
      <c r="D317" s="50">
        <v>27</v>
      </c>
      <c r="E317">
        <v>3</v>
      </c>
      <c r="F317">
        <f t="shared" si="94"/>
        <v>76</v>
      </c>
      <c r="G317">
        <f t="shared" si="86"/>
        <v>0</v>
      </c>
      <c r="H317" s="64">
        <f>IF(E317="Anual",VLOOKUP(F317,Hipotesis!$E$9:$J$38,6,FALSE),1-(1-VLOOKUP(F317,Hipotesis!$E$9:$J$38,6,FALSE))^(1/12))</f>
        <v>2.5194067304546985E-3</v>
      </c>
      <c r="I317">
        <f t="shared" si="87"/>
        <v>0.46302549291227657</v>
      </c>
      <c r="J317">
        <v>0</v>
      </c>
      <c r="K317">
        <f>1-(1-VLOOKUP(D317,Hipotesis!$D$9:$K$38,8,FALSE))^(1/12)</f>
        <v>8.3717735912058888E-4</v>
      </c>
      <c r="L317">
        <f t="shared" si="88"/>
        <v>0.15347178596532246</v>
      </c>
      <c r="M317">
        <f t="shared" si="89"/>
        <v>183.1670448206192</v>
      </c>
      <c r="N317">
        <f>IF(D317=1,(VLOOKUP(D317,'Primas Netas Y Reservas'!$D$4:$I$33,5,FALSE)+(VLOOKUP(D317,'Primas Netas Y Reservas'!$D$4:$I$33,6,FALSE)-VLOOKUP(D317,'Primas Netas Y Reservas'!$D$4:$I$33,5,FALSE))*(E317/12))/1000,((VLOOKUP(D317-1,'Primas Netas Y Reservas'!$D$4:$I$33,6,FALSE)+VLOOKUP(D317,'Primas Netas Y Reservas'!$D$4:$I$33,5,FALSE))+(VLOOKUP(D317,'Primas Netas Y Reservas'!$D$4:$I$33,6,FALSE)-VLOOKUP(D317-1,'Primas Netas Y Reservas'!$D$4:$I$33,6,FALSE)-VLOOKUP(D317,'Primas Netas Y Reservas'!$D$4:$I$33,5,FALSE))*(E317/12))/1000)</f>
        <v>0.6272569136625169</v>
      </c>
      <c r="O317">
        <f t="shared" si="90"/>
        <v>-0.20254951875109839</v>
      </c>
      <c r="P317">
        <f>VLOOKUP(D317,Hipotesis!$D$9:$S$38,15,FALSE)*N317</f>
        <v>0.6272569136625169</v>
      </c>
      <c r="Q317">
        <f t="shared" si="77"/>
        <v>9.6266238798882547E-2</v>
      </c>
      <c r="R317">
        <f t="shared" si="78"/>
        <v>0</v>
      </c>
      <c r="S317">
        <f t="shared" si="79"/>
        <v>9.6266238798882547E-2</v>
      </c>
      <c r="T317">
        <f>G317*(VLOOKUP(D317,Hipotesis!$D$9:$N$38,9,FALSE)+VLOOKUP(D317,Hipotesis!$D$9:$N$38,10,FALSE)+VLOOKUP(D317,Hipotesis!$D$9:$N$38,11,FALSE))</f>
        <v>0</v>
      </c>
      <c r="U317">
        <v>0</v>
      </c>
      <c r="V317">
        <f>G317*VLOOKUP(D317,Hipotesis!$D$9:$S$38,16,FALSE)+((VLOOKUP(D317,Hipotesis!$D$9:$T$38,17,FALSE)/$B$4)*M316)/12</f>
        <v>6.8918828287311282E-3</v>
      </c>
      <c r="W317">
        <f>(1+VLOOKUP(D317,Hipotesis!$D$9:$P$38,13,FALSE))^(1/12)-1</f>
        <v>0</v>
      </c>
      <c r="X317">
        <f t="shared" si="91"/>
        <v>0</v>
      </c>
      <c r="Y317">
        <f t="shared" si="80"/>
        <v>0.39588528080114249</v>
      </c>
      <c r="Z317">
        <f>(1+VLOOKUP(D317,Hipotesis!$D$9:$O$38,12,))^(1/12)-1</f>
        <v>3.4566851846238311E-3</v>
      </c>
      <c r="AA317">
        <f t="shared" si="92"/>
        <v>0.39784837297369174</v>
      </c>
      <c r="AB317">
        <f t="shared" si="93"/>
        <v>-1.9630921725492727E-3</v>
      </c>
      <c r="AC317" s="68">
        <f t="shared" si="81"/>
        <v>-6.8918828287311282E-3</v>
      </c>
      <c r="AD317">
        <f t="shared" si="82"/>
        <v>-0.55929173171115909</v>
      </c>
      <c r="AE317" s="67">
        <f t="shared" si="83"/>
        <v>3.2251185012350636E-2</v>
      </c>
      <c r="AF317" s="67">
        <f t="shared" si="84"/>
        <v>9.6753555037051905E-3</v>
      </c>
      <c r="AG317" s="67">
        <f t="shared" si="85"/>
        <v>2.2575829508645444E-2</v>
      </c>
    </row>
    <row r="318" spans="4:33" x14ac:dyDescent="0.2">
      <c r="D318" s="50">
        <v>27</v>
      </c>
      <c r="E318">
        <v>4</v>
      </c>
      <c r="F318">
        <f t="shared" si="94"/>
        <v>76</v>
      </c>
      <c r="G318">
        <f t="shared" si="86"/>
        <v>0</v>
      </c>
      <c r="H318" s="64">
        <f>IF(E318="Anual",VLOOKUP(F318,Hipotesis!$E$9:$J$38,6,FALSE),1-(1-VLOOKUP(F318,Hipotesis!$E$9:$J$38,6,FALSE))^(1/12))</f>
        <v>2.5194067304546985E-3</v>
      </c>
      <c r="I318">
        <f t="shared" si="87"/>
        <v>0.46147228551856539</v>
      </c>
      <c r="J318">
        <v>0</v>
      </c>
      <c r="K318">
        <f>1-(1-VLOOKUP(D318,Hipotesis!$D$9:$K$38,8,FALSE))^(1/12)</f>
        <v>8.3717735912058888E-4</v>
      </c>
      <c r="L318">
        <f t="shared" si="88"/>
        <v>0.15295696871155073</v>
      </c>
      <c r="M318">
        <f t="shared" si="89"/>
        <v>182.55261556638908</v>
      </c>
      <c r="N318">
        <f>IF(D318=1,(VLOOKUP(D318,'Primas Netas Y Reservas'!$D$4:$I$33,5,FALSE)+(VLOOKUP(D318,'Primas Netas Y Reservas'!$D$4:$I$33,6,FALSE)-VLOOKUP(D318,'Primas Netas Y Reservas'!$D$4:$I$33,5,FALSE))*(E318/12))/1000,((VLOOKUP(D318-1,'Primas Netas Y Reservas'!$D$4:$I$33,6,FALSE)+VLOOKUP(D318,'Primas Netas Y Reservas'!$D$4:$I$33,5,FALSE))+(VLOOKUP(D318,'Primas Netas Y Reservas'!$D$4:$I$33,6,FALSE)-VLOOKUP(D318-1,'Primas Netas Y Reservas'!$D$4:$I$33,6,FALSE)-VLOOKUP(D318,'Primas Netas Y Reservas'!$D$4:$I$33,5,FALSE))*(E318/12))/1000)</f>
        <v>0.62825892210992906</v>
      </c>
      <c r="O318">
        <f t="shared" si="90"/>
        <v>-0.20248573477763898</v>
      </c>
      <c r="P318">
        <f>VLOOKUP(D318,Hipotesis!$D$9:$S$38,15,FALSE)*N318</f>
        <v>0.62825892210992906</v>
      </c>
      <c r="Q318">
        <f t="shared" si="77"/>
        <v>9.6096580291921016E-2</v>
      </c>
      <c r="R318">
        <f t="shared" si="78"/>
        <v>0</v>
      </c>
      <c r="S318">
        <f t="shared" si="79"/>
        <v>9.6096580291921016E-2</v>
      </c>
      <c r="T318">
        <f>G318*(VLOOKUP(D318,Hipotesis!$D$9:$N$38,9,FALSE)+VLOOKUP(D318,Hipotesis!$D$9:$N$38,10,FALSE)+VLOOKUP(D318,Hipotesis!$D$9:$N$38,11,FALSE))</f>
        <v>0</v>
      </c>
      <c r="U318">
        <v>0</v>
      </c>
      <c r="V318">
        <f>G318*VLOOKUP(D318,Hipotesis!$D$9:$S$38,16,FALSE)+((VLOOKUP(D318,Hipotesis!$D$9:$T$38,17,FALSE)/$B$4)*M317)/12</f>
        <v>6.8687641807732196E-3</v>
      </c>
      <c r="W318">
        <f>(1+VLOOKUP(D318,Hipotesis!$D$9:$P$38,13,FALSE))^(1/12)-1</f>
        <v>0</v>
      </c>
      <c r="X318">
        <f t="shared" si="91"/>
        <v>0</v>
      </c>
      <c r="Y318">
        <f t="shared" si="80"/>
        <v>0.39519118445480322</v>
      </c>
      <c r="Z318">
        <f>(1+VLOOKUP(D318,Hipotesis!$D$9:$O$38,12,))^(1/12)-1</f>
        <v>3.4566851846238311E-3</v>
      </c>
      <c r="AA318">
        <f t="shared" si="92"/>
        <v>0.39714822305307212</v>
      </c>
      <c r="AB318">
        <f t="shared" si="93"/>
        <v>-1.9570385982689239E-3</v>
      </c>
      <c r="AC318" s="68">
        <f t="shared" si="81"/>
        <v>-6.8687641807732196E-3</v>
      </c>
      <c r="AD318">
        <f t="shared" si="82"/>
        <v>-0.55756886581048637</v>
      </c>
      <c r="AE318" s="67">
        <f t="shared" si="83"/>
        <v>3.3239289241182558E-2</v>
      </c>
      <c r="AF318" s="67">
        <f t="shared" si="84"/>
        <v>9.9717867723547668E-3</v>
      </c>
      <c r="AG318" s="67">
        <f t="shared" si="85"/>
        <v>2.3267502468827791E-2</v>
      </c>
    </row>
    <row r="319" spans="4:33" x14ac:dyDescent="0.2">
      <c r="D319" s="50">
        <v>27</v>
      </c>
      <c r="E319">
        <v>5</v>
      </c>
      <c r="F319">
        <f t="shared" si="94"/>
        <v>76</v>
      </c>
      <c r="G319">
        <f t="shared" si="86"/>
        <v>0</v>
      </c>
      <c r="H319" s="64">
        <f>IF(E319="Anual",VLOOKUP(F319,Hipotesis!$E$9:$J$38,6,FALSE),1-(1-VLOOKUP(F319,Hipotesis!$E$9:$J$38,6,FALSE))^(1/12))</f>
        <v>2.5194067304546985E-3</v>
      </c>
      <c r="I319">
        <f t="shared" si="87"/>
        <v>0.45992428832006982</v>
      </c>
      <c r="J319">
        <v>0</v>
      </c>
      <c r="K319">
        <f>1-(1-VLOOKUP(D319,Hipotesis!$D$9:$K$38,8,FALSE))^(1/12)</f>
        <v>8.3717735912058888E-4</v>
      </c>
      <c r="L319">
        <f t="shared" si="88"/>
        <v>0.15244387839933449</v>
      </c>
      <c r="M319">
        <f t="shared" si="89"/>
        <v>181.94024739966966</v>
      </c>
      <c r="N319">
        <f>IF(D319=1,(VLOOKUP(D319,'Primas Netas Y Reservas'!$D$4:$I$33,5,FALSE)+(VLOOKUP(D319,'Primas Netas Y Reservas'!$D$4:$I$33,6,FALSE)-VLOOKUP(D319,'Primas Netas Y Reservas'!$D$4:$I$33,5,FALSE))*(E319/12))/1000,((VLOOKUP(D319-1,'Primas Netas Y Reservas'!$D$4:$I$33,6,FALSE)+VLOOKUP(D319,'Primas Netas Y Reservas'!$D$4:$I$33,5,FALSE))+(VLOOKUP(D319,'Primas Netas Y Reservas'!$D$4:$I$33,6,FALSE)-VLOOKUP(D319-1,'Primas Netas Y Reservas'!$D$4:$I$33,6,FALSE)-VLOOKUP(D319,'Primas Netas Y Reservas'!$D$4:$I$33,5,FALSE))*(E319/12))/1000)</f>
        <v>0.629260930557341</v>
      </c>
      <c r="O319">
        <f t="shared" si="90"/>
        <v>-0.20242009953889806</v>
      </c>
      <c r="P319">
        <f>VLOOKUP(D319,Hipotesis!$D$9:$S$38,15,FALSE)*N319</f>
        <v>0.629260930557341</v>
      </c>
      <c r="Q319">
        <f t="shared" si="77"/>
        <v>9.5926976779335357E-2</v>
      </c>
      <c r="R319">
        <f t="shared" si="78"/>
        <v>0</v>
      </c>
      <c r="S319">
        <f t="shared" si="79"/>
        <v>9.5926976779335357E-2</v>
      </c>
      <c r="T319">
        <f>G319*(VLOOKUP(D319,Hipotesis!$D$9:$N$38,9,FALSE)+VLOOKUP(D319,Hipotesis!$D$9:$N$38,10,FALSE)+VLOOKUP(D319,Hipotesis!$D$9:$N$38,11,FALSE))</f>
        <v>0</v>
      </c>
      <c r="U319">
        <v>0</v>
      </c>
      <c r="V319">
        <f>G319*VLOOKUP(D319,Hipotesis!$D$9:$S$38,16,FALSE)+((VLOOKUP(D319,Hipotesis!$D$9:$T$38,17,FALSE)/$B$4)*M318)/12</f>
        <v>6.8457230837395905E-3</v>
      </c>
      <c r="W319">
        <f>(1+VLOOKUP(D319,Hipotesis!$D$9:$P$38,13,FALSE))^(1/12)-1</f>
        <v>0</v>
      </c>
      <c r="X319">
        <f t="shared" si="91"/>
        <v>0</v>
      </c>
      <c r="Y319">
        <f t="shared" si="80"/>
        <v>0.39449729006615236</v>
      </c>
      <c r="Z319">
        <f>(1+VLOOKUP(D319,Hipotesis!$D$9:$O$38,12,))^(1/12)-1</f>
        <v>3.4566851846238311E-3</v>
      </c>
      <c r="AA319">
        <f t="shared" si="92"/>
        <v>0.39644829361356859</v>
      </c>
      <c r="AB319">
        <f t="shared" si="93"/>
        <v>-1.9510035474162211E-3</v>
      </c>
      <c r="AC319" s="68">
        <f t="shared" si="81"/>
        <v>-6.8457230837395905E-3</v>
      </c>
      <c r="AD319">
        <f t="shared" si="82"/>
        <v>-0.55585126509940519</v>
      </c>
      <c r="AE319" s="67">
        <f t="shared" si="83"/>
        <v>3.422040142190564E-2</v>
      </c>
      <c r="AF319" s="67">
        <f t="shared" si="84"/>
        <v>1.0266120426571691E-2</v>
      </c>
      <c r="AG319" s="67">
        <f t="shared" si="85"/>
        <v>2.3954280995333949E-2</v>
      </c>
    </row>
    <row r="320" spans="4:33" x14ac:dyDescent="0.2">
      <c r="D320" s="50">
        <v>27</v>
      </c>
      <c r="E320">
        <v>6</v>
      </c>
      <c r="F320">
        <f t="shared" si="94"/>
        <v>76</v>
      </c>
      <c r="G320">
        <f t="shared" si="86"/>
        <v>0</v>
      </c>
      <c r="H320" s="64">
        <f>IF(E320="Anual",VLOOKUP(F320,Hipotesis!$E$9:$J$38,6,FALSE),1-(1-VLOOKUP(F320,Hipotesis!$E$9:$J$38,6,FALSE))^(1/12))</f>
        <v>2.5194067304546985E-3</v>
      </c>
      <c r="I320">
        <f t="shared" si="87"/>
        <v>0.4583814838393207</v>
      </c>
      <c r="J320">
        <v>0</v>
      </c>
      <c r="K320">
        <f>1-(1-VLOOKUP(D320,Hipotesis!$D$9:$K$38,8,FALSE))^(1/12)</f>
        <v>8.3717735912058888E-4</v>
      </c>
      <c r="L320">
        <f t="shared" si="88"/>
        <v>0.15193250923569165</v>
      </c>
      <c r="M320">
        <f t="shared" si="89"/>
        <v>181.32993340659465</v>
      </c>
      <c r="N320">
        <f>IF(D320=1,(VLOOKUP(D320,'Primas Netas Y Reservas'!$D$4:$I$33,5,FALSE)+(VLOOKUP(D320,'Primas Netas Y Reservas'!$D$4:$I$33,6,FALSE)-VLOOKUP(D320,'Primas Netas Y Reservas'!$D$4:$I$33,5,FALSE))*(E320/12))/1000,((VLOOKUP(D320-1,'Primas Netas Y Reservas'!$D$4:$I$33,6,FALSE)+VLOOKUP(D320,'Primas Netas Y Reservas'!$D$4:$I$33,5,FALSE))+(VLOOKUP(D320,'Primas Netas Y Reservas'!$D$4:$I$33,6,FALSE)-VLOOKUP(D320-1,'Primas Netas Y Reservas'!$D$4:$I$33,6,FALSE)-VLOOKUP(D320,'Primas Netas Y Reservas'!$D$4:$I$33,5,FALSE))*(E320/12))/1000)</f>
        <v>0.63026293900475294</v>
      </c>
      <c r="O320">
        <f t="shared" si="90"/>
        <v>-0.20235262617248395</v>
      </c>
      <c r="P320">
        <f>VLOOKUP(D320,Hipotesis!$D$9:$S$38,15,FALSE)*N320</f>
        <v>0.63026293900475294</v>
      </c>
      <c r="Q320">
        <f t="shared" si="77"/>
        <v>9.5757429801253791E-2</v>
      </c>
      <c r="R320">
        <f t="shared" si="78"/>
        <v>0</v>
      </c>
      <c r="S320">
        <f t="shared" si="79"/>
        <v>9.5757429801253791E-2</v>
      </c>
      <c r="T320">
        <f>G320*(VLOOKUP(D320,Hipotesis!$D$9:$N$38,9,FALSE)+VLOOKUP(D320,Hipotesis!$D$9:$N$38,10,FALSE)+VLOOKUP(D320,Hipotesis!$D$9:$N$38,11,FALSE))</f>
        <v>0</v>
      </c>
      <c r="U320">
        <v>0</v>
      </c>
      <c r="V320">
        <f>G320*VLOOKUP(D320,Hipotesis!$D$9:$S$38,16,FALSE)+((VLOOKUP(D320,Hipotesis!$D$9:$T$38,17,FALSE)/$B$4)*M319)/12</f>
        <v>6.8227592774876113E-3</v>
      </c>
      <c r="W320">
        <f>(1+VLOOKUP(D320,Hipotesis!$D$9:$P$38,13,FALSE))^(1/12)-1</f>
        <v>0</v>
      </c>
      <c r="X320">
        <f t="shared" si="91"/>
        <v>0</v>
      </c>
      <c r="Y320">
        <f t="shared" si="80"/>
        <v>0.39380360409058612</v>
      </c>
      <c r="Z320">
        <f>(1+VLOOKUP(D320,Hipotesis!$D$9:$O$38,12,))^(1/12)-1</f>
        <v>3.4566851846238311E-3</v>
      </c>
      <c r="AA320">
        <f t="shared" si="92"/>
        <v>0.39574859105442239</v>
      </c>
      <c r="AB320">
        <f t="shared" si="93"/>
        <v>-1.9449869638362739E-3</v>
      </c>
      <c r="AC320" s="68">
        <f t="shared" si="81"/>
        <v>-6.8227592774876113E-3</v>
      </c>
      <c r="AD320">
        <f t="shared" si="82"/>
        <v>-0.55413891364057455</v>
      </c>
      <c r="AE320" s="67">
        <f t="shared" si="83"/>
        <v>3.5194557345007968E-2</v>
      </c>
      <c r="AF320" s="67">
        <f t="shared" si="84"/>
        <v>1.0558367203502389E-2</v>
      </c>
      <c r="AG320" s="67">
        <f t="shared" si="85"/>
        <v>2.463619014150558E-2</v>
      </c>
    </row>
    <row r="321" spans="4:33" x14ac:dyDescent="0.2">
      <c r="D321" s="50">
        <v>27</v>
      </c>
      <c r="E321">
        <v>7</v>
      </c>
      <c r="F321">
        <f t="shared" si="94"/>
        <v>76</v>
      </c>
      <c r="G321">
        <f t="shared" si="86"/>
        <v>0</v>
      </c>
      <c r="H321" s="64">
        <f>IF(E321="Anual",VLOOKUP(F321,Hipotesis!$E$9:$J$38,6,FALSE),1-(1-VLOOKUP(F321,Hipotesis!$E$9:$J$38,6,FALSE))^(1/12))</f>
        <v>2.5194067304546985E-3</v>
      </c>
      <c r="I321">
        <f t="shared" si="87"/>
        <v>0.45684385465747684</v>
      </c>
      <c r="J321">
        <v>0</v>
      </c>
      <c r="K321">
        <f>1-(1-VLOOKUP(D321,Hipotesis!$D$9:$K$38,8,FALSE))^(1/12)</f>
        <v>8.3717735912058888E-4</v>
      </c>
      <c r="L321">
        <f t="shared" si="88"/>
        <v>0.15142285544707254</v>
      </c>
      <c r="M321">
        <f t="shared" si="89"/>
        <v>180.7216666964901</v>
      </c>
      <c r="N321">
        <f>IF(D321=1,(VLOOKUP(D321,'Primas Netas Y Reservas'!$D$4:$I$33,5,FALSE)+(VLOOKUP(D321,'Primas Netas Y Reservas'!$D$4:$I$33,6,FALSE)-VLOOKUP(D321,'Primas Netas Y Reservas'!$D$4:$I$33,5,FALSE))*(E321/12))/1000,((VLOOKUP(D321-1,'Primas Netas Y Reservas'!$D$4:$I$33,6,FALSE)+VLOOKUP(D321,'Primas Netas Y Reservas'!$D$4:$I$33,5,FALSE))+(VLOOKUP(D321,'Primas Netas Y Reservas'!$D$4:$I$33,6,FALSE)-VLOOKUP(D321-1,'Primas Netas Y Reservas'!$D$4:$I$33,6,FALSE)-VLOOKUP(D321,'Primas Netas Y Reservas'!$D$4:$I$33,5,FALSE))*(E321/12))/1000)</f>
        <v>0.6312649474521651</v>
      </c>
      <c r="O321">
        <f t="shared" si="90"/>
        <v>-0.20228332774895819</v>
      </c>
      <c r="P321">
        <f>VLOOKUP(D321,Hipotesis!$D$9:$S$38,15,FALSE)*N321</f>
        <v>0.6312649474521651</v>
      </c>
      <c r="Q321">
        <f t="shared" si="77"/>
        <v>9.5587940886853046E-2</v>
      </c>
      <c r="R321">
        <f t="shared" si="78"/>
        <v>0</v>
      </c>
      <c r="S321">
        <f t="shared" si="79"/>
        <v>9.5587940886853046E-2</v>
      </c>
      <c r="T321">
        <f>G321*(VLOOKUP(D321,Hipotesis!$D$9:$N$38,9,FALSE)+VLOOKUP(D321,Hipotesis!$D$9:$N$38,10,FALSE)+VLOOKUP(D321,Hipotesis!$D$9:$N$38,11,FALSE))</f>
        <v>0</v>
      </c>
      <c r="U321">
        <v>0</v>
      </c>
      <c r="V321">
        <f>G321*VLOOKUP(D321,Hipotesis!$D$9:$S$38,16,FALSE)+((VLOOKUP(D321,Hipotesis!$D$9:$T$38,17,FALSE)/$B$4)*M320)/12</f>
        <v>6.7998725027472997E-3</v>
      </c>
      <c r="W321">
        <f>(1+VLOOKUP(D321,Hipotesis!$D$9:$P$38,13,FALSE))^(1/12)-1</f>
        <v>0</v>
      </c>
      <c r="X321">
        <f t="shared" si="91"/>
        <v>0</v>
      </c>
      <c r="Y321">
        <f t="shared" si="80"/>
        <v>0.39311013293791974</v>
      </c>
      <c r="Z321">
        <f>(1+VLOOKUP(D321,Hipotesis!$D$9:$O$38,12,))^(1/12)-1</f>
        <v>3.4566851846238311E-3</v>
      </c>
      <c r="AA321">
        <f t="shared" si="92"/>
        <v>0.39504912172946222</v>
      </c>
      <c r="AB321">
        <f t="shared" si="93"/>
        <v>-1.938988791542496E-3</v>
      </c>
      <c r="AC321" s="68">
        <f t="shared" si="81"/>
        <v>-6.7998725027472997E-3</v>
      </c>
      <c r="AD321">
        <f t="shared" si="82"/>
        <v>-0.55243179554432986</v>
      </c>
      <c r="AE321" s="67">
        <f t="shared" si="83"/>
        <v>3.6161792639800738E-2</v>
      </c>
      <c r="AF321" s="67">
        <f t="shared" si="84"/>
        <v>1.0848537791940222E-2</v>
      </c>
      <c r="AG321" s="67">
        <f t="shared" si="85"/>
        <v>2.5313254847860518E-2</v>
      </c>
    </row>
    <row r="322" spans="4:33" x14ac:dyDescent="0.2">
      <c r="D322" s="50">
        <v>27</v>
      </c>
      <c r="E322">
        <v>8</v>
      </c>
      <c r="F322">
        <f t="shared" si="94"/>
        <v>76</v>
      </c>
      <c r="G322">
        <f t="shared" si="86"/>
        <v>0</v>
      </c>
      <c r="H322" s="64">
        <f>IF(E322="Anual",VLOOKUP(F322,Hipotesis!$E$9:$J$38,6,FALSE),1-(1-VLOOKUP(F322,Hipotesis!$E$9:$J$38,6,FALSE))^(1/12))</f>
        <v>2.5194067304546985E-3</v>
      </c>
      <c r="I322">
        <f t="shared" si="87"/>
        <v>0.45531138341412786</v>
      </c>
      <c r="J322">
        <v>0</v>
      </c>
      <c r="K322">
        <f>1-(1-VLOOKUP(D322,Hipotesis!$D$9:$K$38,8,FALSE))^(1/12)</f>
        <v>8.3717735912058888E-4</v>
      </c>
      <c r="L322">
        <f t="shared" si="88"/>
        <v>0.15091491127929468</v>
      </c>
      <c r="M322">
        <f t="shared" si="89"/>
        <v>180.11544040179666</v>
      </c>
      <c r="N322">
        <f>IF(D322=1,(VLOOKUP(D322,'Primas Netas Y Reservas'!$D$4:$I$33,5,FALSE)+(VLOOKUP(D322,'Primas Netas Y Reservas'!$D$4:$I$33,6,FALSE)-VLOOKUP(D322,'Primas Netas Y Reservas'!$D$4:$I$33,5,FALSE))*(E322/12))/1000,((VLOOKUP(D322-1,'Primas Netas Y Reservas'!$D$4:$I$33,6,FALSE)+VLOOKUP(D322,'Primas Netas Y Reservas'!$D$4:$I$33,5,FALSE))+(VLOOKUP(D322,'Primas Netas Y Reservas'!$D$4:$I$33,6,FALSE)-VLOOKUP(D322-1,'Primas Netas Y Reservas'!$D$4:$I$33,6,FALSE)-VLOOKUP(D322,'Primas Netas Y Reservas'!$D$4:$I$33,5,FALSE))*(E322/12))/1000)</f>
        <v>0.63226695589957704</v>
      </c>
      <c r="O322">
        <f t="shared" si="90"/>
        <v>-0.20221221727184968</v>
      </c>
      <c r="P322">
        <f>VLOOKUP(D322,Hipotesis!$D$9:$S$38,15,FALSE)*N322</f>
        <v>0.63226695589957704</v>
      </c>
      <c r="Q322">
        <f t="shared" si="77"/>
        <v>9.5418511554414387E-2</v>
      </c>
      <c r="R322">
        <f t="shared" si="78"/>
        <v>0</v>
      </c>
      <c r="S322">
        <f t="shared" si="79"/>
        <v>9.5418511554414387E-2</v>
      </c>
      <c r="T322">
        <f>G322*(VLOOKUP(D322,Hipotesis!$D$9:$N$38,9,FALSE)+VLOOKUP(D322,Hipotesis!$D$9:$N$38,10,FALSE)+VLOOKUP(D322,Hipotesis!$D$9:$N$38,11,FALSE))</f>
        <v>0</v>
      </c>
      <c r="U322">
        <v>0</v>
      </c>
      <c r="V322">
        <f>G322*VLOOKUP(D322,Hipotesis!$D$9:$S$38,16,FALSE)+((VLOOKUP(D322,Hipotesis!$D$9:$T$38,17,FALSE)/$B$4)*M321)/12</f>
        <v>6.7770625011183789E-3</v>
      </c>
      <c r="W322">
        <f>(1+VLOOKUP(D322,Hipotesis!$D$9:$P$38,13,FALSE))^(1/12)-1</f>
        <v>0</v>
      </c>
      <c r="X322">
        <f t="shared" si="91"/>
        <v>0</v>
      </c>
      <c r="Y322">
        <f t="shared" si="80"/>
        <v>0.3924168829726199</v>
      </c>
      <c r="Z322">
        <f>(1+VLOOKUP(D322,Hipotesis!$D$9:$O$38,12,))^(1/12)-1</f>
        <v>3.4566851846238311E-3</v>
      </c>
      <c r="AA322">
        <f t="shared" si="92"/>
        <v>0.394349891947336</v>
      </c>
      <c r="AB322">
        <f t="shared" si="93"/>
        <v>-1.9330089747161122E-3</v>
      </c>
      <c r="AC322" s="68">
        <f t="shared" si="81"/>
        <v>-6.7770625011183789E-3</v>
      </c>
      <c r="AD322">
        <f t="shared" si="82"/>
        <v>-0.55072989496854219</v>
      </c>
      <c r="AE322" s="67">
        <f t="shared" si="83"/>
        <v>3.7122142774808957E-2</v>
      </c>
      <c r="AF322" s="67">
        <f t="shared" si="84"/>
        <v>1.1136642832442686E-2</v>
      </c>
      <c r="AG322" s="67">
        <f t="shared" si="85"/>
        <v>2.5985499942366271E-2</v>
      </c>
    </row>
    <row r="323" spans="4:33" x14ac:dyDescent="0.2">
      <c r="D323" s="50">
        <v>27</v>
      </c>
      <c r="E323">
        <v>9</v>
      </c>
      <c r="F323">
        <f t="shared" si="94"/>
        <v>76</v>
      </c>
      <c r="G323">
        <f t="shared" si="86"/>
        <v>0</v>
      </c>
      <c r="H323" s="64">
        <f>IF(E323="Anual",VLOOKUP(F323,Hipotesis!$E$9:$J$38,6,FALSE),1-(1-VLOOKUP(F323,Hipotesis!$E$9:$J$38,6,FALSE))^(1/12))</f>
        <v>2.5194067304546985E-3</v>
      </c>
      <c r="I323">
        <f t="shared" si="87"/>
        <v>0.45378405280709866</v>
      </c>
      <c r="J323">
        <v>0</v>
      </c>
      <c r="K323">
        <f>1-(1-VLOOKUP(D323,Hipotesis!$D$9:$K$38,8,FALSE))^(1/12)</f>
        <v>8.3717735912058888E-4</v>
      </c>
      <c r="L323">
        <f t="shared" si="88"/>
        <v>0.15040867099747787</v>
      </c>
      <c r="M323">
        <f t="shared" si="89"/>
        <v>179.51124767799209</v>
      </c>
      <c r="N323">
        <f>IF(D323=1,(VLOOKUP(D323,'Primas Netas Y Reservas'!$D$4:$I$33,5,FALSE)+(VLOOKUP(D323,'Primas Netas Y Reservas'!$D$4:$I$33,6,FALSE)-VLOOKUP(D323,'Primas Netas Y Reservas'!$D$4:$I$33,5,FALSE))*(E323/12))/1000,((VLOOKUP(D323-1,'Primas Netas Y Reservas'!$D$4:$I$33,6,FALSE)+VLOOKUP(D323,'Primas Netas Y Reservas'!$D$4:$I$33,5,FALSE))+(VLOOKUP(D323,'Primas Netas Y Reservas'!$D$4:$I$33,6,FALSE)-VLOOKUP(D323-1,'Primas Netas Y Reservas'!$D$4:$I$33,6,FALSE)-VLOOKUP(D323,'Primas Netas Y Reservas'!$D$4:$I$33,5,FALSE))*(E323/12))/1000)</f>
        <v>0.6332689643469892</v>
      </c>
      <c r="O323">
        <f t="shared" si="90"/>
        <v>-0.20213930767775423</v>
      </c>
      <c r="P323">
        <f>VLOOKUP(D323,Hipotesis!$D$9:$S$38,15,FALSE)*N323</f>
        <v>0.6332689643469892</v>
      </c>
      <c r="Q323">
        <f t="shared" si="77"/>
        <v>9.5249143311379847E-2</v>
      </c>
      <c r="R323">
        <f t="shared" si="78"/>
        <v>0</v>
      </c>
      <c r="S323">
        <f t="shared" si="79"/>
        <v>9.5249143311379847E-2</v>
      </c>
      <c r="T323">
        <f>G323*(VLOOKUP(D323,Hipotesis!$D$9:$N$38,9,FALSE)+VLOOKUP(D323,Hipotesis!$D$9:$N$38,10,FALSE)+VLOOKUP(D323,Hipotesis!$D$9:$N$38,11,FALSE))</f>
        <v>0</v>
      </c>
      <c r="U323">
        <v>0</v>
      </c>
      <c r="V323">
        <f>G323*VLOOKUP(D323,Hipotesis!$D$9:$S$38,16,FALSE)+((VLOOKUP(D323,Hipotesis!$D$9:$T$38,17,FALSE)/$B$4)*M322)/12</f>
        <v>6.7543290150673743E-3</v>
      </c>
      <c r="W323">
        <f>(1+VLOOKUP(D323,Hipotesis!$D$9:$P$38,13,FALSE))^(1/12)-1</f>
        <v>0</v>
      </c>
      <c r="X323">
        <f t="shared" si="91"/>
        <v>0</v>
      </c>
      <c r="Y323">
        <f t="shared" si="80"/>
        <v>0.39172386051403679</v>
      </c>
      <c r="Z323">
        <f>(1+VLOOKUP(D323,Hipotesis!$D$9:$O$38,12,))^(1/12)-1</f>
        <v>3.4566851846238311E-3</v>
      </c>
      <c r="AA323">
        <f t="shared" si="92"/>
        <v>0.39365090797174246</v>
      </c>
      <c r="AB323">
        <f t="shared" si="93"/>
        <v>-1.9270474577056565E-3</v>
      </c>
      <c r="AC323" s="68">
        <f t="shared" si="81"/>
        <v>-6.7543290150673743E-3</v>
      </c>
      <c r="AD323">
        <f t="shared" si="82"/>
        <v>-0.54903319611847845</v>
      </c>
      <c r="AE323" s="67">
        <f t="shared" si="83"/>
        <v>3.8075643058245144E-2</v>
      </c>
      <c r="AF323" s="67">
        <f t="shared" si="84"/>
        <v>1.1422692917473543E-2</v>
      </c>
      <c r="AG323" s="67">
        <f t="shared" si="85"/>
        <v>2.6652950140771601E-2</v>
      </c>
    </row>
    <row r="324" spans="4:33" x14ac:dyDescent="0.2">
      <c r="D324" s="50">
        <v>27</v>
      </c>
      <c r="E324">
        <v>10</v>
      </c>
      <c r="F324">
        <f t="shared" si="94"/>
        <v>76</v>
      </c>
      <c r="G324">
        <f t="shared" si="86"/>
        <v>0</v>
      </c>
      <c r="H324" s="64">
        <f>IF(E324="Anual",VLOOKUP(F324,Hipotesis!$E$9:$J$38,6,FALSE),1-(1-VLOOKUP(F324,Hipotesis!$E$9:$J$38,6,FALSE))^(1/12))</f>
        <v>2.5194067304546985E-3</v>
      </c>
      <c r="I324">
        <f t="shared" si="87"/>
        <v>0.45226184559225363</v>
      </c>
      <c r="J324">
        <v>0</v>
      </c>
      <c r="K324">
        <f>1-(1-VLOOKUP(D324,Hipotesis!$D$9:$K$38,8,FALSE))^(1/12)</f>
        <v>8.3717735912058888E-4</v>
      </c>
      <c r="L324">
        <f t="shared" si="88"/>
        <v>0.14990412888597943</v>
      </c>
      <c r="M324">
        <f t="shared" si="89"/>
        <v>178.90908170351383</v>
      </c>
      <c r="N324">
        <f>IF(D324=1,(VLOOKUP(D324,'Primas Netas Y Reservas'!$D$4:$I$33,5,FALSE)+(VLOOKUP(D324,'Primas Netas Y Reservas'!$D$4:$I$33,6,FALSE)-VLOOKUP(D324,'Primas Netas Y Reservas'!$D$4:$I$33,5,FALSE))*(E324/12))/1000,((VLOOKUP(D324-1,'Primas Netas Y Reservas'!$D$4:$I$33,6,FALSE)+VLOOKUP(D324,'Primas Netas Y Reservas'!$D$4:$I$33,5,FALSE))+(VLOOKUP(D324,'Primas Netas Y Reservas'!$D$4:$I$33,6,FALSE)-VLOOKUP(D324-1,'Primas Netas Y Reservas'!$D$4:$I$33,6,FALSE)-VLOOKUP(D324,'Primas Netas Y Reservas'!$D$4:$I$33,5,FALSE))*(E324/12))/1000)</f>
        <v>0.63427097279440114</v>
      </c>
      <c r="O324">
        <f t="shared" si="90"/>
        <v>-0.20206461183720137</v>
      </c>
      <c r="P324">
        <f>VLOOKUP(D324,Hipotesis!$D$9:$S$38,15,FALSE)*N324</f>
        <v>0.63427097279440114</v>
      </c>
      <c r="Q324">
        <f t="shared" ref="Q324:Q362" si="95">L324*P324</f>
        <v>9.5079837654407459E-2</v>
      </c>
      <c r="R324">
        <f t="shared" ref="R324:R362" si="96">J324*N324</f>
        <v>0</v>
      </c>
      <c r="S324">
        <f t="shared" ref="S324:S362" si="97">L324*P324+J324*N324</f>
        <v>9.5079837654407459E-2</v>
      </c>
      <c r="T324">
        <f>G324*(VLOOKUP(D324,Hipotesis!$D$9:$N$38,9,FALSE)+VLOOKUP(D324,Hipotesis!$D$9:$N$38,10,FALSE)+VLOOKUP(D324,Hipotesis!$D$9:$N$38,11,FALSE))</f>
        <v>0</v>
      </c>
      <c r="U324">
        <v>0</v>
      </c>
      <c r="V324">
        <f>G324*VLOOKUP(D324,Hipotesis!$D$9:$S$38,16,FALSE)+((VLOOKUP(D324,Hipotesis!$D$9:$T$38,17,FALSE)/$B$4)*M323)/12</f>
        <v>6.7316717879247027E-3</v>
      </c>
      <c r="W324">
        <f>(1+VLOOKUP(D324,Hipotesis!$D$9:$P$38,13,FALSE))^(1/12)-1</f>
        <v>0</v>
      </c>
      <c r="X324">
        <f t="shared" si="91"/>
        <v>0</v>
      </c>
      <c r="Y324">
        <f t="shared" ref="Y324:Y362" si="98">AA324+AB324</f>
        <v>0.39103107183663616</v>
      </c>
      <c r="Z324">
        <f>(1+VLOOKUP(D324,Hipotesis!$D$9:$O$38,12,))^(1/12)-1</f>
        <v>3.4566851846238311E-3</v>
      </c>
      <c r="AA324">
        <f t="shared" si="92"/>
        <v>0.39295217602166266</v>
      </c>
      <c r="AB324">
        <f t="shared" si="93"/>
        <v>-1.9211041850264842E-3</v>
      </c>
      <c r="AC324" s="68">
        <f t="shared" ref="AC324:AC362" si="99">G324-T324-U324-V324</f>
        <v>-6.7316717879247027E-3</v>
      </c>
      <c r="AD324">
        <f t="shared" ref="AD324:AD362" si="100">-(I324+S324)</f>
        <v>-0.5473416832466611</v>
      </c>
      <c r="AE324" s="67">
        <f t="shared" ref="AE324:AE362" si="101">G324+Y324-I324-S324-O324-T324-U324-V324</f>
        <v>3.9022328639251716E-2</v>
      </c>
      <c r="AF324" s="67">
        <f t="shared" ref="AF324:AF362" si="102">(30%)*AE324</f>
        <v>1.1706698591775514E-2</v>
      </c>
      <c r="AG324" s="67">
        <f t="shared" ref="AG324:AG362" si="103">AE324-AF324</f>
        <v>2.7315630047476204E-2</v>
      </c>
    </row>
    <row r="325" spans="4:33" x14ac:dyDescent="0.2">
      <c r="D325" s="50">
        <v>27</v>
      </c>
      <c r="E325">
        <v>11</v>
      </c>
      <c r="F325">
        <f t="shared" si="94"/>
        <v>76</v>
      </c>
      <c r="G325">
        <f t="shared" ref="G325:G362" si="104">IF(E325=1,IF(D325&lt;=$B$7,($B$1+($B$3/$B$4*1000))*M324/$B$2,0),0)</f>
        <v>0</v>
      </c>
      <c r="H325" s="64">
        <f>IF(E325="Anual",VLOOKUP(F325,Hipotesis!$E$9:$J$38,6,FALSE),1-(1-VLOOKUP(F325,Hipotesis!$E$9:$J$38,6,FALSE))^(1/12))</f>
        <v>2.5194067304546985E-3</v>
      </c>
      <c r="I325">
        <f t="shared" ref="I325:I362" si="105">H325*1000*(M324/$B$2)</f>
        <v>0.45074474458330233</v>
      </c>
      <c r="J325">
        <v>0</v>
      </c>
      <c r="K325">
        <f>1-(1-VLOOKUP(D325,Hipotesis!$D$9:$K$38,8,FALSE))^(1/12)</f>
        <v>8.3717735912058888E-4</v>
      </c>
      <c r="L325">
        <f t="shared" ref="L325:L362" si="106">(M324-I325-J325)*K325</f>
        <v>0.14940127924832966</v>
      </c>
      <c r="M325">
        <f t="shared" ref="M325:M362" si="107">M324-I325-L325-J325</f>
        <v>178.30893567968221</v>
      </c>
      <c r="N325">
        <f>IF(D325=1,(VLOOKUP(D325,'Primas Netas Y Reservas'!$D$4:$I$33,5,FALSE)+(VLOOKUP(D325,'Primas Netas Y Reservas'!$D$4:$I$33,6,FALSE)-VLOOKUP(D325,'Primas Netas Y Reservas'!$D$4:$I$33,5,FALSE))*(E325/12))/1000,((VLOOKUP(D325-1,'Primas Netas Y Reservas'!$D$4:$I$33,6,FALSE)+VLOOKUP(D325,'Primas Netas Y Reservas'!$D$4:$I$33,5,FALSE))+(VLOOKUP(D325,'Primas Netas Y Reservas'!$D$4:$I$33,6,FALSE)-VLOOKUP(D325-1,'Primas Netas Y Reservas'!$D$4:$I$33,6,FALSE)-VLOOKUP(D325,'Primas Netas Y Reservas'!$D$4:$I$33,5,FALSE))*(E325/12))/1000)</f>
        <v>0.63527298124181319</v>
      </c>
      <c r="O325">
        <f t="shared" ref="O325:O362" si="108">(M325*N325-M324*N324)</f>
        <v>-0.20198814255428488</v>
      </c>
      <c r="P325">
        <f>VLOOKUP(D325,Hipotesis!$D$9:$S$38,15,FALSE)*N325</f>
        <v>0.63527298124181319</v>
      </c>
      <c r="Q325">
        <f t="shared" si="95"/>
        <v>9.491059606942702E-2</v>
      </c>
      <c r="R325">
        <f t="shared" si="96"/>
        <v>0</v>
      </c>
      <c r="S325">
        <f t="shared" si="97"/>
        <v>9.491059606942702E-2</v>
      </c>
      <c r="T325">
        <f>G325*(VLOOKUP(D325,Hipotesis!$D$9:$N$38,9,FALSE)+VLOOKUP(D325,Hipotesis!$D$9:$N$38,10,FALSE)+VLOOKUP(D325,Hipotesis!$D$9:$N$38,11,FALSE))</f>
        <v>0</v>
      </c>
      <c r="U325">
        <v>0</v>
      </c>
      <c r="V325">
        <f>G325*VLOOKUP(D325,Hipotesis!$D$9:$S$38,16,FALSE)+((VLOOKUP(D325,Hipotesis!$D$9:$T$38,17,FALSE)/$B$4)*M324)/12</f>
        <v>6.7090905638817686E-3</v>
      </c>
      <c r="W325">
        <f>(1+VLOOKUP(D325,Hipotesis!$D$9:$P$38,13,FALSE))^(1/12)-1</f>
        <v>0</v>
      </c>
      <c r="X325">
        <f t="shared" ref="X325:X362" si="109">(1+X324)*(1+W325)-1</f>
        <v>0</v>
      </c>
      <c r="Y325">
        <f t="shared" si="98"/>
        <v>0.39033852317022794</v>
      </c>
      <c r="Z325">
        <f>(1+VLOOKUP(D325,Hipotesis!$D$9:$O$38,12,))^(1/12)-1</f>
        <v>3.4566851846238311E-3</v>
      </c>
      <c r="AA325">
        <f t="shared" ref="AA325:AA362" si="110">N324*M324*Z325</f>
        <v>0.39225370227158823</v>
      </c>
      <c r="AB325">
        <f t="shared" ref="AB325:AB362" si="111">(AD324+AC325)*Z325</f>
        <v>-1.915179101360273E-3</v>
      </c>
      <c r="AC325" s="68">
        <f t="shared" si="99"/>
        <v>-6.7090905638817686E-3</v>
      </c>
      <c r="AD325">
        <f t="shared" si="100"/>
        <v>-0.54565534065272936</v>
      </c>
      <c r="AE325" s="67">
        <f t="shared" si="101"/>
        <v>3.9962234507901685E-2</v>
      </c>
      <c r="AF325" s="67">
        <f t="shared" si="102"/>
        <v>1.1988670352370506E-2</v>
      </c>
      <c r="AG325" s="67">
        <f t="shared" si="103"/>
        <v>2.7973564155531178E-2</v>
      </c>
    </row>
    <row r="326" spans="4:33" x14ac:dyDescent="0.2">
      <c r="D326" s="50">
        <v>27</v>
      </c>
      <c r="E326">
        <v>12</v>
      </c>
      <c r="F326">
        <f t="shared" si="94"/>
        <v>76</v>
      </c>
      <c r="G326">
        <f t="shared" si="104"/>
        <v>0</v>
      </c>
      <c r="H326" s="64">
        <f>IF(E326="Anual",VLOOKUP(F326,Hipotesis!$E$9:$J$38,6,FALSE),1-(1-VLOOKUP(F326,Hipotesis!$E$9:$J$38,6,FALSE))^(1/12))</f>
        <v>2.5194067304546985E-3</v>
      </c>
      <c r="I326">
        <f t="shared" si="105"/>
        <v>0.44923273265160529</v>
      </c>
      <c r="J326">
        <v>0</v>
      </c>
      <c r="K326">
        <f>1-(1-VLOOKUP(D326,Hipotesis!$D$9:$K$38,8,FALSE))^(1/12)</f>
        <v>8.3717735912058888E-4</v>
      </c>
      <c r="L326">
        <f t="shared" si="106"/>
        <v>0.14890011640716749</v>
      </c>
      <c r="M326">
        <f t="shared" si="107"/>
        <v>177.71080283062344</v>
      </c>
      <c r="N326">
        <f>IF(D326=1,(VLOOKUP(D326,'Primas Netas Y Reservas'!$D$4:$I$33,5,FALSE)+(VLOOKUP(D326,'Primas Netas Y Reservas'!$D$4:$I$33,6,FALSE)-VLOOKUP(D326,'Primas Netas Y Reservas'!$D$4:$I$33,5,FALSE))*(E326/12))/1000,((VLOOKUP(D326-1,'Primas Netas Y Reservas'!$D$4:$I$33,6,FALSE)+VLOOKUP(D326,'Primas Netas Y Reservas'!$D$4:$I$33,5,FALSE))+(VLOOKUP(D326,'Primas Netas Y Reservas'!$D$4:$I$33,6,FALSE)-VLOOKUP(D326-1,'Primas Netas Y Reservas'!$D$4:$I$33,6,FALSE)-VLOOKUP(D326,'Primas Netas Y Reservas'!$D$4:$I$33,5,FALSE))*(E326/12))/1000)</f>
        <v>0.63627498968922525</v>
      </c>
      <c r="O326">
        <f t="shared" si="108"/>
        <v>-0.20190991256755808</v>
      </c>
      <c r="P326">
        <f>VLOOKUP(D326,Hipotesis!$D$9:$S$38,15,FALSE)*N326</f>
        <v>0.63627498968922525</v>
      </c>
      <c r="Q326">
        <f t="shared" si="95"/>
        <v>9.4741420031694931E-2</v>
      </c>
      <c r="R326">
        <f t="shared" si="96"/>
        <v>0</v>
      </c>
      <c r="S326">
        <f t="shared" si="97"/>
        <v>9.4741420031694931E-2</v>
      </c>
      <c r="T326">
        <f>G326*(VLOOKUP(D326,Hipotesis!$D$9:$N$38,9,FALSE)+VLOOKUP(D326,Hipotesis!$D$9:$N$38,10,FALSE)+VLOOKUP(D326,Hipotesis!$D$9:$N$38,11,FALSE))</f>
        <v>0</v>
      </c>
      <c r="U326">
        <v>0</v>
      </c>
      <c r="V326">
        <f>G326*VLOOKUP(D326,Hipotesis!$D$9:$S$38,16,FALSE)+((VLOOKUP(D326,Hipotesis!$D$9:$T$38,17,FALSE)/$B$4)*M325)/12</f>
        <v>6.6865850879880831E-3</v>
      </c>
      <c r="W326">
        <f>(1+VLOOKUP(D326,Hipotesis!$D$9:$P$38,13,FALSE))^(1/12)-1</f>
        <v>0</v>
      </c>
      <c r="X326">
        <f t="shared" si="109"/>
        <v>0</v>
      </c>
      <c r="Y326">
        <f t="shared" si="98"/>
        <v>0.38964622070019667</v>
      </c>
      <c r="Z326">
        <f>(1+VLOOKUP(D326,Hipotesis!$D$9:$O$38,12,))^(1/12)-1</f>
        <v>3.4566851846238311E-3</v>
      </c>
      <c r="AA326">
        <f t="shared" si="110"/>
        <v>0.39155549285175117</v>
      </c>
      <c r="AB326">
        <f t="shared" si="111"/>
        <v>-1.9092721515545342E-3</v>
      </c>
      <c r="AC326" s="68">
        <f t="shared" si="99"/>
        <v>-6.6865850879880831E-3</v>
      </c>
      <c r="AD326">
        <f t="shared" si="100"/>
        <v>-0.54397415268330018</v>
      </c>
      <c r="AE326" s="67">
        <f t="shared" si="101"/>
        <v>4.0895395496466425E-2</v>
      </c>
      <c r="AF326" s="67">
        <f t="shared" si="102"/>
        <v>1.2268618648939926E-2</v>
      </c>
      <c r="AG326" s="67">
        <f t="shared" si="103"/>
        <v>2.86267768475265E-2</v>
      </c>
    </row>
    <row r="327" spans="4:33" x14ac:dyDescent="0.2">
      <c r="D327" s="50">
        <v>28</v>
      </c>
      <c r="E327">
        <v>1</v>
      </c>
      <c r="F327">
        <f t="shared" si="94"/>
        <v>77</v>
      </c>
      <c r="G327">
        <f t="shared" si="104"/>
        <v>0</v>
      </c>
      <c r="H327" s="64">
        <f>IF(E327="Anual",VLOOKUP(F327,Hipotesis!$E$9:$J$38,6,FALSE),1-(1-VLOOKUP(F327,Hipotesis!$E$9:$J$38,6,FALSE))^(1/12))</f>
        <v>2.707558103210439E-3</v>
      </c>
      <c r="I327">
        <f t="shared" si="105"/>
        <v>0.4811623242320871</v>
      </c>
      <c r="J327">
        <v>0</v>
      </c>
      <c r="K327">
        <f>1-(1-VLOOKUP(D327,Hipotesis!$D$9:$K$38,8,FALSE))^(1/12)</f>
        <v>8.3717735912058888E-4</v>
      </c>
      <c r="L327">
        <f t="shared" si="106"/>
        <v>0.14837264239703205</v>
      </c>
      <c r="M327">
        <f t="shared" si="107"/>
        <v>177.08126786399433</v>
      </c>
      <c r="N327">
        <f>IF(D327=1,(VLOOKUP(D327,'Primas Netas Y Reservas'!$D$4:$I$33,5,FALSE)+(VLOOKUP(D327,'Primas Netas Y Reservas'!$D$4:$I$33,6,FALSE)-VLOOKUP(D327,'Primas Netas Y Reservas'!$D$4:$I$33,5,FALSE))*(E327/12))/1000,((VLOOKUP(D327-1,'Primas Netas Y Reservas'!$D$4:$I$33,6,FALSE)+VLOOKUP(D327,'Primas Netas Y Reservas'!$D$4:$I$33,5,FALSE))+(VLOOKUP(D327,'Primas Netas Y Reservas'!$D$4:$I$33,6,FALSE)-VLOOKUP(D327-1,'Primas Netas Y Reservas'!$D$4:$I$33,6,FALSE)-VLOOKUP(D327,'Primas Netas Y Reservas'!$D$4:$I$33,5,FALSE))*(E327/12))/1000)</f>
        <v>0.6372708052153212</v>
      </c>
      <c r="O327">
        <f t="shared" si="108"/>
        <v>-0.22421707848123162</v>
      </c>
      <c r="P327">
        <f>VLOOKUP(D327,Hipotesis!$D$9:$S$38,15,FALSE)*N327</f>
        <v>0.6372708052153212</v>
      </c>
      <c r="Q327">
        <f t="shared" si="95"/>
        <v>9.4553553292281517E-2</v>
      </c>
      <c r="R327">
        <f t="shared" si="96"/>
        <v>0</v>
      </c>
      <c r="S327">
        <f t="shared" si="97"/>
        <v>9.4553553292281517E-2</v>
      </c>
      <c r="T327">
        <f>G327*(VLOOKUP(D327,Hipotesis!$D$9:$N$38,9,FALSE)+VLOOKUP(D327,Hipotesis!$D$9:$N$38,10,FALSE)+VLOOKUP(D327,Hipotesis!$D$9:$N$38,11,FALSE))</f>
        <v>0</v>
      </c>
      <c r="U327">
        <v>0</v>
      </c>
      <c r="V327">
        <f>G327*VLOOKUP(D327,Hipotesis!$D$9:$S$38,16,FALSE)+((VLOOKUP(D327,Hipotesis!$D$9:$T$38,17,FALSE)/$B$4)*M326)/12</f>
        <v>6.6641551061483789E-3</v>
      </c>
      <c r="W327">
        <f>(1+VLOOKUP(D327,Hipotesis!$D$9:$P$38,13,FALSE))^(1/12)-1</f>
        <v>0</v>
      </c>
      <c r="X327">
        <f t="shared" si="109"/>
        <v>0</v>
      </c>
      <c r="Y327">
        <f t="shared" si="98"/>
        <v>0.38459629467160644</v>
      </c>
      <c r="Z327">
        <f>(1+VLOOKUP(D327,Hipotesis!$D$9:$O$38,12,))^(1/12)-1</f>
        <v>3.4179561872600406E-3</v>
      </c>
      <c r="AA327">
        <f t="shared" si="110"/>
        <v>0.38647835228265781</v>
      </c>
      <c r="AB327">
        <f t="shared" si="111"/>
        <v>-1.8820576110513442E-3</v>
      </c>
      <c r="AC327" s="68">
        <f t="shared" si="99"/>
        <v>-6.6641551061483789E-3</v>
      </c>
      <c r="AD327">
        <f t="shared" si="100"/>
        <v>-0.57571587752436859</v>
      </c>
      <c r="AE327" s="67">
        <f t="shared" si="101"/>
        <v>2.6433340522321068E-2</v>
      </c>
      <c r="AF327" s="67">
        <f t="shared" si="102"/>
        <v>7.9300021566963193E-3</v>
      </c>
      <c r="AG327" s="67">
        <f t="shared" si="103"/>
        <v>1.8503338365624747E-2</v>
      </c>
    </row>
    <row r="328" spans="4:33" x14ac:dyDescent="0.2">
      <c r="D328" s="50">
        <v>28</v>
      </c>
      <c r="E328">
        <v>2</v>
      </c>
      <c r="F328">
        <f t="shared" si="94"/>
        <v>77</v>
      </c>
      <c r="G328">
        <f t="shared" si="104"/>
        <v>0</v>
      </c>
      <c r="H328" s="64">
        <f>IF(E328="Anual",VLOOKUP(F328,Hipotesis!$E$9:$J$38,6,FALSE),1-(1-VLOOKUP(F328,Hipotesis!$E$9:$J$38,6,FALSE))^(1/12))</f>
        <v>2.707558103210439E-3</v>
      </c>
      <c r="I328">
        <f t="shared" si="105"/>
        <v>0.47945782173193618</v>
      </c>
      <c r="J328">
        <v>0</v>
      </c>
      <c r="K328">
        <f>1-(1-VLOOKUP(D328,Hipotesis!$D$9:$K$38,8,FALSE))^(1/12)</f>
        <v>8.3717735912058888E-4</v>
      </c>
      <c r="L328">
        <f t="shared" si="106"/>
        <v>0.14784703694709714</v>
      </c>
      <c r="M328">
        <f t="shared" si="107"/>
        <v>176.4539630053153</v>
      </c>
      <c r="N328">
        <f>IF(D328=1,(VLOOKUP(D328,'Primas Netas Y Reservas'!$D$4:$I$33,5,FALSE)+(VLOOKUP(D328,'Primas Netas Y Reservas'!$D$4:$I$33,6,FALSE)-VLOOKUP(D328,'Primas Netas Y Reservas'!$D$4:$I$33,5,FALSE))*(E328/12))/1000,((VLOOKUP(D328-1,'Primas Netas Y Reservas'!$D$4:$I$33,6,FALSE)+VLOOKUP(D328,'Primas Netas Y Reservas'!$D$4:$I$33,5,FALSE))+(VLOOKUP(D328,'Primas Netas Y Reservas'!$D$4:$I$33,6,FALSE)-VLOOKUP(D328-1,'Primas Netas Y Reservas'!$D$4:$I$33,6,FALSE)-VLOOKUP(D328,'Primas Netas Y Reservas'!$D$4:$I$33,5,FALSE))*(E328/12))/1000)</f>
        <v>0.63826662074141727</v>
      </c>
      <c r="O328">
        <f t="shared" si="108"/>
        <v>-0.2240474764039817</v>
      </c>
      <c r="P328">
        <f>VLOOKUP(D328,Hipotesis!$D$9:$S$38,15,FALSE)*N328</f>
        <v>0.63826662074141727</v>
      </c>
      <c r="Q328">
        <f t="shared" si="95"/>
        <v>9.436582865885515E-2</v>
      </c>
      <c r="R328">
        <f t="shared" si="96"/>
        <v>0</v>
      </c>
      <c r="S328">
        <f t="shared" si="97"/>
        <v>9.436582865885515E-2</v>
      </c>
      <c r="T328">
        <f>G328*(VLOOKUP(D328,Hipotesis!$D$9:$N$38,9,FALSE)+VLOOKUP(D328,Hipotesis!$D$9:$N$38,10,FALSE)+VLOOKUP(D328,Hipotesis!$D$9:$N$38,11,FALSE))</f>
        <v>0</v>
      </c>
      <c r="U328">
        <v>0</v>
      </c>
      <c r="V328">
        <f>G328*VLOOKUP(D328,Hipotesis!$D$9:$S$38,16,FALSE)+((VLOOKUP(D328,Hipotesis!$D$9:$T$38,17,FALSE)/$B$4)*M327)/12</f>
        <v>6.6405475448997877E-3</v>
      </c>
      <c r="W328">
        <f>(1+VLOOKUP(D328,Hipotesis!$D$9:$P$38,13,FALSE))^(1/12)-1</f>
        <v>0</v>
      </c>
      <c r="X328">
        <f t="shared" si="109"/>
        <v>0</v>
      </c>
      <c r="Y328">
        <f t="shared" si="98"/>
        <v>0.38372151938571736</v>
      </c>
      <c r="Z328">
        <f>(1+VLOOKUP(D328,Hipotesis!$D$9:$O$38,12,))^(1/12)-1</f>
        <v>3.4179561872600406E-3</v>
      </c>
      <c r="AA328">
        <f t="shared" si="110"/>
        <v>0.38571198813197349</v>
      </c>
      <c r="AB328">
        <f t="shared" si="111"/>
        <v>-1.9904687462561437E-3</v>
      </c>
      <c r="AC328" s="68">
        <f t="shared" si="99"/>
        <v>-6.6405475448997877E-3</v>
      </c>
      <c r="AD328">
        <f t="shared" si="100"/>
        <v>-0.57382365039079131</v>
      </c>
      <c r="AE328" s="67">
        <f t="shared" si="101"/>
        <v>2.7304797854007939E-2</v>
      </c>
      <c r="AF328" s="67">
        <f t="shared" si="102"/>
        <v>8.1914393562023818E-3</v>
      </c>
      <c r="AG328" s="67">
        <f t="shared" si="103"/>
        <v>1.9113358497805558E-2</v>
      </c>
    </row>
    <row r="329" spans="4:33" x14ac:dyDescent="0.2">
      <c r="D329" s="50">
        <v>28</v>
      </c>
      <c r="E329">
        <v>3</v>
      </c>
      <c r="F329">
        <f t="shared" si="94"/>
        <v>77</v>
      </c>
      <c r="G329">
        <f t="shared" si="104"/>
        <v>0</v>
      </c>
      <c r="H329" s="64">
        <f>IF(E329="Anual",VLOOKUP(F329,Hipotesis!$E$9:$J$38,6,FALSE),1-(1-VLOOKUP(F329,Hipotesis!$E$9:$J$38,6,FALSE))^(1/12))</f>
        <v>2.707558103210439E-3</v>
      </c>
      <c r="I329">
        <f t="shared" si="105"/>
        <v>0.47775935737863645</v>
      </c>
      <c r="J329">
        <v>0</v>
      </c>
      <c r="K329">
        <f>1-(1-VLOOKUP(D329,Hipotesis!$D$9:$K$38,8,FALSE))^(1/12)</f>
        <v>8.3717735912058888E-4</v>
      </c>
      <c r="L329">
        <f t="shared" si="106"/>
        <v>0.14732329343804657</v>
      </c>
      <c r="M329">
        <f t="shared" si="107"/>
        <v>175.82888035449864</v>
      </c>
      <c r="N329">
        <f>IF(D329=1,(VLOOKUP(D329,'Primas Netas Y Reservas'!$D$4:$I$33,5,FALSE)+(VLOOKUP(D329,'Primas Netas Y Reservas'!$D$4:$I$33,6,FALSE)-VLOOKUP(D329,'Primas Netas Y Reservas'!$D$4:$I$33,5,FALSE))*(E329/12))/1000,((VLOOKUP(D329-1,'Primas Netas Y Reservas'!$D$4:$I$33,6,FALSE)+VLOOKUP(D329,'Primas Netas Y Reservas'!$D$4:$I$33,5,FALSE))+(VLOOKUP(D329,'Primas Netas Y Reservas'!$D$4:$I$33,6,FALSE)-VLOOKUP(D329-1,'Primas Netas Y Reservas'!$D$4:$I$33,6,FALSE)-VLOOKUP(D329,'Primas Netas Y Reservas'!$D$4:$I$33,5,FALSE))*(E329/12))/1000)</f>
        <v>0.63926243626751322</v>
      </c>
      <c r="O329">
        <f t="shared" si="108"/>
        <v>-0.22387626222776191</v>
      </c>
      <c r="P329">
        <f>VLOOKUP(D329,Hipotesis!$D$9:$S$38,15,FALSE)*N329</f>
        <v>0.63926243626751322</v>
      </c>
      <c r="Q329">
        <f t="shared" si="95"/>
        <v>9.4178247482159388E-2</v>
      </c>
      <c r="R329">
        <f t="shared" si="96"/>
        <v>0</v>
      </c>
      <c r="S329">
        <f t="shared" si="97"/>
        <v>9.4178247482159388E-2</v>
      </c>
      <c r="T329">
        <f>G329*(VLOOKUP(D329,Hipotesis!$D$9:$N$38,9,FALSE)+VLOOKUP(D329,Hipotesis!$D$9:$N$38,10,FALSE)+VLOOKUP(D329,Hipotesis!$D$9:$N$38,11,FALSE))</f>
        <v>0</v>
      </c>
      <c r="U329">
        <v>0</v>
      </c>
      <c r="V329">
        <f>G329*VLOOKUP(D329,Hipotesis!$D$9:$S$38,16,FALSE)+((VLOOKUP(D329,Hipotesis!$D$9:$T$38,17,FALSE)/$B$4)*M328)/12</f>
        <v>6.6170236126993241E-3</v>
      </c>
      <c r="W329">
        <f>(1+VLOOKUP(D329,Hipotesis!$D$9:$P$38,13,FALSE))^(1/12)-1</f>
        <v>0</v>
      </c>
      <c r="X329">
        <f t="shared" si="109"/>
        <v>0</v>
      </c>
      <c r="Y329">
        <f t="shared" si="98"/>
        <v>0.38296228288071094</v>
      </c>
      <c r="Z329">
        <f>(1+VLOOKUP(D329,Hipotesis!$D$9:$O$38,12,))^(1/12)-1</f>
        <v>3.4179561872600406E-3</v>
      </c>
      <c r="AA329">
        <f t="shared" si="110"/>
        <v>0.38494620367375854</v>
      </c>
      <c r="AB329">
        <f t="shared" si="111"/>
        <v>-1.983920793047619E-3</v>
      </c>
      <c r="AC329" s="68">
        <f t="shared" si="99"/>
        <v>-6.6170236126993241E-3</v>
      </c>
      <c r="AD329">
        <f t="shared" si="100"/>
        <v>-0.57193760486079581</v>
      </c>
      <c r="AE329" s="67">
        <f t="shared" si="101"/>
        <v>2.8283916634977684E-2</v>
      </c>
      <c r="AF329" s="67">
        <f t="shared" si="102"/>
        <v>8.4851749904933053E-3</v>
      </c>
      <c r="AG329" s="67">
        <f t="shared" si="103"/>
        <v>1.9798741644484377E-2</v>
      </c>
    </row>
    <row r="330" spans="4:33" x14ac:dyDescent="0.2">
      <c r="D330" s="50">
        <v>28</v>
      </c>
      <c r="E330">
        <v>4</v>
      </c>
      <c r="F330">
        <f t="shared" si="94"/>
        <v>77</v>
      </c>
      <c r="G330">
        <f t="shared" si="104"/>
        <v>0</v>
      </c>
      <c r="H330" s="64">
        <f>IF(E330="Anual",VLOOKUP(F330,Hipotesis!$E$9:$J$38,6,FALSE),1-(1-VLOOKUP(F330,Hipotesis!$E$9:$J$38,6,FALSE))^(1/12))</f>
        <v>2.707558103210439E-3</v>
      </c>
      <c r="I330">
        <f t="shared" si="105"/>
        <v>0.47606690978224159</v>
      </c>
      <c r="J330">
        <v>0</v>
      </c>
      <c r="K330">
        <f>1-(1-VLOOKUP(D330,Hipotesis!$D$9:$K$38,8,FALSE))^(1/12)</f>
        <v>8.3717735912058888E-4</v>
      </c>
      <c r="L330">
        <f t="shared" si="106"/>
        <v>0.14680140527401295</v>
      </c>
      <c r="M330">
        <f t="shared" si="107"/>
        <v>175.20601203944238</v>
      </c>
      <c r="N330">
        <f>IF(D330=1,(VLOOKUP(D330,'Primas Netas Y Reservas'!$D$4:$I$33,5,FALSE)+(VLOOKUP(D330,'Primas Netas Y Reservas'!$D$4:$I$33,6,FALSE)-VLOOKUP(D330,'Primas Netas Y Reservas'!$D$4:$I$33,5,FALSE))*(E330/12))/1000,((VLOOKUP(D330-1,'Primas Netas Y Reservas'!$D$4:$I$33,6,FALSE)+VLOOKUP(D330,'Primas Netas Y Reservas'!$D$4:$I$33,5,FALSE))+(VLOOKUP(D330,'Primas Netas Y Reservas'!$D$4:$I$33,6,FALSE)-VLOOKUP(D330-1,'Primas Netas Y Reservas'!$D$4:$I$33,6,FALSE)-VLOOKUP(D330,'Primas Netas Y Reservas'!$D$4:$I$33,5,FALSE))*(E330/12))/1000)</f>
        <v>0.64025825179360918</v>
      </c>
      <c r="O330">
        <f t="shared" si="108"/>
        <v>-0.22370344950248011</v>
      </c>
      <c r="P330">
        <f>VLOOKUP(D330,Hipotesis!$D$9:$S$38,15,FALSE)*N330</f>
        <v>0.64025825179360918</v>
      </c>
      <c r="Q330">
        <f t="shared" si="95"/>
        <v>9.3990811101584651E-2</v>
      </c>
      <c r="R330">
        <f t="shared" si="96"/>
        <v>0</v>
      </c>
      <c r="S330">
        <f t="shared" si="97"/>
        <v>9.3990811101584651E-2</v>
      </c>
      <c r="T330">
        <f>G330*(VLOOKUP(D330,Hipotesis!$D$9:$N$38,9,FALSE)+VLOOKUP(D330,Hipotesis!$D$9:$N$38,10,FALSE)+VLOOKUP(D330,Hipotesis!$D$9:$N$38,11,FALSE))</f>
        <v>0</v>
      </c>
      <c r="U330">
        <v>0</v>
      </c>
      <c r="V330">
        <f>G330*VLOOKUP(D330,Hipotesis!$D$9:$S$38,16,FALSE)+((VLOOKUP(D330,Hipotesis!$D$9:$T$38,17,FALSE)/$B$4)*M329)/12</f>
        <v>6.5935830132936987E-3</v>
      </c>
      <c r="W330">
        <f>(1+VLOOKUP(D330,Hipotesis!$D$9:$P$38,13,FALSE))^(1/12)-1</f>
        <v>0</v>
      </c>
      <c r="X330">
        <f t="shared" si="109"/>
        <v>0</v>
      </c>
      <c r="Y330">
        <f t="shared" si="98"/>
        <v>0.38220361016497933</v>
      </c>
      <c r="Z330">
        <f>(1+VLOOKUP(D330,Hipotesis!$D$9:$O$38,12,))^(1/12)-1</f>
        <v>3.4179561872600406E-3</v>
      </c>
      <c r="AA330">
        <f t="shared" si="110"/>
        <v>0.38418100441809649</v>
      </c>
      <c r="AB330">
        <f t="shared" si="111"/>
        <v>-1.9773942531171452E-3</v>
      </c>
      <c r="AC330" s="68">
        <f t="shared" si="99"/>
        <v>-6.5935830132936987E-3</v>
      </c>
      <c r="AD330">
        <f t="shared" si="100"/>
        <v>-0.57005772088382622</v>
      </c>
      <c r="AE330" s="67">
        <f t="shared" si="101"/>
        <v>2.9255755770339523E-2</v>
      </c>
      <c r="AF330" s="67">
        <f t="shared" si="102"/>
        <v>8.7767267311018565E-3</v>
      </c>
      <c r="AG330" s="67">
        <f t="shared" si="103"/>
        <v>2.0479029039237664E-2</v>
      </c>
    </row>
    <row r="331" spans="4:33" x14ac:dyDescent="0.2">
      <c r="D331" s="50">
        <v>28</v>
      </c>
      <c r="E331">
        <v>5</v>
      </c>
      <c r="F331">
        <f t="shared" si="94"/>
        <v>77</v>
      </c>
      <c r="G331">
        <f t="shared" si="104"/>
        <v>0</v>
      </c>
      <c r="H331" s="64">
        <f>IF(E331="Anual",VLOOKUP(F331,Hipotesis!$E$9:$J$38,6,FALSE),1-(1-VLOOKUP(F331,Hipotesis!$E$9:$J$38,6,FALSE))^(1/12))</f>
        <v>2.707558103210439E-3</v>
      </c>
      <c r="I331">
        <f t="shared" si="105"/>
        <v>0.47438045762857795</v>
      </c>
      <c r="J331">
        <v>0</v>
      </c>
      <c r="K331">
        <f>1-(1-VLOOKUP(D331,Hipotesis!$D$9:$K$38,8,FALSE))^(1/12)</f>
        <v>8.3717735912058888E-4</v>
      </c>
      <c r="L331">
        <f t="shared" si="106"/>
        <v>0.14628136588249457</v>
      </c>
      <c r="M331">
        <f t="shared" si="107"/>
        <v>174.58535021593133</v>
      </c>
      <c r="N331">
        <f>IF(D331=1,(VLOOKUP(D331,'Primas Netas Y Reservas'!$D$4:$I$33,5,FALSE)+(VLOOKUP(D331,'Primas Netas Y Reservas'!$D$4:$I$33,6,FALSE)-VLOOKUP(D331,'Primas Netas Y Reservas'!$D$4:$I$33,5,FALSE))*(E331/12))/1000,((VLOOKUP(D331-1,'Primas Netas Y Reservas'!$D$4:$I$33,6,FALSE)+VLOOKUP(D331,'Primas Netas Y Reservas'!$D$4:$I$33,5,FALSE))+(VLOOKUP(D331,'Primas Netas Y Reservas'!$D$4:$I$33,6,FALSE)-VLOOKUP(D331-1,'Primas Netas Y Reservas'!$D$4:$I$33,6,FALSE)-VLOOKUP(D331,'Primas Netas Y Reservas'!$D$4:$I$33,5,FALSE))*(E331/12))/1000)</f>
        <v>0.64125406731970525</v>
      </c>
      <c r="O331">
        <f t="shared" si="108"/>
        <v>-0.22352905170227189</v>
      </c>
      <c r="P331">
        <f>VLOOKUP(D331,Hipotesis!$D$9:$S$38,15,FALSE)*N331</f>
        <v>0.64125406731970525</v>
      </c>
      <c r="Q331">
        <f t="shared" si="95"/>
        <v>9.3803520845231608E-2</v>
      </c>
      <c r="R331">
        <f t="shared" si="96"/>
        <v>0</v>
      </c>
      <c r="S331">
        <f t="shared" si="97"/>
        <v>9.3803520845231608E-2</v>
      </c>
      <c r="T331">
        <f>G331*(VLOOKUP(D331,Hipotesis!$D$9:$N$38,9,FALSE)+VLOOKUP(D331,Hipotesis!$D$9:$N$38,10,FALSE)+VLOOKUP(D331,Hipotesis!$D$9:$N$38,11,FALSE))</f>
        <v>0</v>
      </c>
      <c r="U331">
        <v>0</v>
      </c>
      <c r="V331">
        <f>G331*VLOOKUP(D331,Hipotesis!$D$9:$S$38,16,FALSE)+((VLOOKUP(D331,Hipotesis!$D$9:$T$38,17,FALSE)/$B$4)*M330)/12</f>
        <v>6.5702254514790892E-3</v>
      </c>
      <c r="W331">
        <f>(1+VLOOKUP(D331,Hipotesis!$D$9:$P$38,13,FALSE))^(1/12)-1</f>
        <v>0</v>
      </c>
      <c r="X331">
        <f t="shared" si="109"/>
        <v>0</v>
      </c>
      <c r="Y331">
        <f t="shared" si="98"/>
        <v>0.38144550677183425</v>
      </c>
      <c r="Z331">
        <f>(1+VLOOKUP(D331,Hipotesis!$D$9:$O$38,12,))^(1/12)-1</f>
        <v>3.4179561872600406E-3</v>
      </c>
      <c r="AA331">
        <f t="shared" si="110"/>
        <v>0.38341639582875808</v>
      </c>
      <c r="AB331">
        <f t="shared" si="111"/>
        <v>-1.9708890569238077E-3</v>
      </c>
      <c r="AC331" s="68">
        <f t="shared" si="99"/>
        <v>-6.5702254514790892E-3</v>
      </c>
      <c r="AD331">
        <f t="shared" si="100"/>
        <v>-0.56818397847380953</v>
      </c>
      <c r="AE331" s="67">
        <f t="shared" si="101"/>
        <v>3.0220354548817496E-2</v>
      </c>
      <c r="AF331" s="67">
        <f t="shared" si="102"/>
        <v>9.0661063646452489E-3</v>
      </c>
      <c r="AG331" s="67">
        <f t="shared" si="103"/>
        <v>2.1154248184172247E-2</v>
      </c>
    </row>
    <row r="332" spans="4:33" x14ac:dyDescent="0.2">
      <c r="D332" s="50">
        <v>28</v>
      </c>
      <c r="E332">
        <v>6</v>
      </c>
      <c r="F332">
        <f t="shared" si="94"/>
        <v>77</v>
      </c>
      <c r="G332">
        <f t="shared" si="104"/>
        <v>0</v>
      </c>
      <c r="H332" s="64">
        <f>IF(E332="Anual",VLOOKUP(F332,Hipotesis!$E$9:$J$38,6,FALSE),1-(1-VLOOKUP(F332,Hipotesis!$E$9:$J$38,6,FALSE))^(1/12))</f>
        <v>2.707558103210439E-3</v>
      </c>
      <c r="I332">
        <f t="shared" si="105"/>
        <v>0.47269997967897726</v>
      </c>
      <c r="J332">
        <v>0</v>
      </c>
      <c r="K332">
        <f>1-(1-VLOOKUP(D332,Hipotesis!$D$9:$K$38,8,FALSE))^(1/12)</f>
        <v>8.3717735912058888E-4</v>
      </c>
      <c r="L332">
        <f t="shared" si="106"/>
        <v>0.14576316871427253</v>
      </c>
      <c r="M332">
        <f t="shared" si="107"/>
        <v>173.9668870675381</v>
      </c>
      <c r="N332">
        <f>IF(D332=1,(VLOOKUP(D332,'Primas Netas Y Reservas'!$D$4:$I$33,5,FALSE)+(VLOOKUP(D332,'Primas Netas Y Reservas'!$D$4:$I$33,6,FALSE)-VLOOKUP(D332,'Primas Netas Y Reservas'!$D$4:$I$33,5,FALSE))*(E332/12))/1000,((VLOOKUP(D332-1,'Primas Netas Y Reservas'!$D$4:$I$33,6,FALSE)+VLOOKUP(D332,'Primas Netas Y Reservas'!$D$4:$I$33,5,FALSE))+(VLOOKUP(D332,'Primas Netas Y Reservas'!$D$4:$I$33,6,FALSE)-VLOOKUP(D332-1,'Primas Netas Y Reservas'!$D$4:$I$33,6,FALSE)-VLOOKUP(D332,'Primas Netas Y Reservas'!$D$4:$I$33,5,FALSE))*(E332/12))/1000)</f>
        <v>0.6422498828458012</v>
      </c>
      <c r="O332">
        <f t="shared" si="108"/>
        <v>-0.22335308222608319</v>
      </c>
      <c r="P332">
        <f>VLOOKUP(D332,Hipotesis!$D$9:$S$38,15,FALSE)*N332</f>
        <v>0.6422498828458012</v>
      </c>
      <c r="Q332">
        <f t="shared" si="95"/>
        <v>9.3616378029974287E-2</v>
      </c>
      <c r="R332">
        <f t="shared" si="96"/>
        <v>0</v>
      </c>
      <c r="S332">
        <f t="shared" si="97"/>
        <v>9.3616378029974287E-2</v>
      </c>
      <c r="T332">
        <f>G332*(VLOOKUP(D332,Hipotesis!$D$9:$N$38,9,FALSE)+VLOOKUP(D332,Hipotesis!$D$9:$N$38,10,FALSE)+VLOOKUP(D332,Hipotesis!$D$9:$N$38,11,FALSE))</f>
        <v>0</v>
      </c>
      <c r="U332">
        <v>0</v>
      </c>
      <c r="V332">
        <f>G332*VLOOKUP(D332,Hipotesis!$D$9:$S$38,16,FALSE)+((VLOOKUP(D332,Hipotesis!$D$9:$T$38,17,FALSE)/$B$4)*M331)/12</f>
        <v>6.5469506330974245E-3</v>
      </c>
      <c r="W332">
        <f>(1+VLOOKUP(D332,Hipotesis!$D$9:$P$38,13,FALSE))^(1/12)-1</f>
        <v>0</v>
      </c>
      <c r="X332">
        <f t="shared" si="109"/>
        <v>0</v>
      </c>
      <c r="Y332">
        <f t="shared" si="98"/>
        <v>0.38068797818830924</v>
      </c>
      <c r="Z332">
        <f>(1+VLOOKUP(D332,Hipotesis!$D$9:$O$38,12,))^(1/12)-1</f>
        <v>3.4179561872600406E-3</v>
      </c>
      <c r="AA332">
        <f t="shared" si="110"/>
        <v>0.38265238332345991</v>
      </c>
      <c r="AB332">
        <f t="shared" si="111"/>
        <v>-1.9644051351506643E-3</v>
      </c>
      <c r="AC332" s="68">
        <f t="shared" si="99"/>
        <v>-6.5469506330974245E-3</v>
      </c>
      <c r="AD332">
        <f t="shared" si="100"/>
        <v>-0.5663163577089515</v>
      </c>
      <c r="AE332" s="67">
        <f t="shared" si="101"/>
        <v>3.1177752072343447E-2</v>
      </c>
      <c r="AF332" s="67">
        <f t="shared" si="102"/>
        <v>9.3533256217030337E-3</v>
      </c>
      <c r="AG332" s="67">
        <f t="shared" si="103"/>
        <v>2.1824426450640415E-2</v>
      </c>
    </row>
    <row r="333" spans="4:33" x14ac:dyDescent="0.2">
      <c r="D333" s="50">
        <v>28</v>
      </c>
      <c r="E333">
        <v>7</v>
      </c>
      <c r="F333">
        <f t="shared" si="94"/>
        <v>77</v>
      </c>
      <c r="G333">
        <f t="shared" si="104"/>
        <v>0</v>
      </c>
      <c r="H333" s="64">
        <f>IF(E333="Anual",VLOOKUP(F333,Hipotesis!$E$9:$J$38,6,FALSE),1-(1-VLOOKUP(F333,Hipotesis!$E$9:$J$38,6,FALSE))^(1/12))</f>
        <v>2.707558103210439E-3</v>
      </c>
      <c r="I333">
        <f t="shared" si="105"/>
        <v>0.47102545477000812</v>
      </c>
      <c r="J333">
        <v>0</v>
      </c>
      <c r="K333">
        <f>1-(1-VLOOKUP(D333,Hipotesis!$D$9:$K$38,8,FALSE))^(1/12)</f>
        <v>8.3717735912058888E-4</v>
      </c>
      <c r="L333">
        <f t="shared" si="106"/>
        <v>0.14524680724332834</v>
      </c>
      <c r="M333">
        <f t="shared" si="107"/>
        <v>173.35061480552477</v>
      </c>
      <c r="N333">
        <f>IF(D333=1,(VLOOKUP(D333,'Primas Netas Y Reservas'!$D$4:$I$33,5,FALSE)+(VLOOKUP(D333,'Primas Netas Y Reservas'!$D$4:$I$33,6,FALSE)-VLOOKUP(D333,'Primas Netas Y Reservas'!$D$4:$I$33,5,FALSE))*(E333/12))/1000,((VLOOKUP(D333-1,'Primas Netas Y Reservas'!$D$4:$I$33,6,FALSE)+VLOOKUP(D333,'Primas Netas Y Reservas'!$D$4:$I$33,5,FALSE))+(VLOOKUP(D333,'Primas Netas Y Reservas'!$D$4:$I$33,6,FALSE)-VLOOKUP(D333-1,'Primas Netas Y Reservas'!$D$4:$I$33,6,FALSE)-VLOOKUP(D333,'Primas Netas Y Reservas'!$D$4:$I$33,5,FALSE))*(E333/12))/1000)</f>
        <v>0.64324569837189716</v>
      </c>
      <c r="O333">
        <f t="shared" si="108"/>
        <v>-0.22317555439754244</v>
      </c>
      <c r="P333">
        <f>VLOOKUP(D333,Hipotesis!$D$9:$S$38,15,FALSE)*N333</f>
        <v>0.64324569837189716</v>
      </c>
      <c r="Q333">
        <f t="shared" si="95"/>
        <v>9.342938396152306E-2</v>
      </c>
      <c r="R333">
        <f t="shared" si="96"/>
        <v>0</v>
      </c>
      <c r="S333">
        <f t="shared" si="97"/>
        <v>9.342938396152306E-2</v>
      </c>
      <c r="T333">
        <f>G333*(VLOOKUP(D333,Hipotesis!$D$9:$N$38,9,FALSE)+VLOOKUP(D333,Hipotesis!$D$9:$N$38,10,FALSE)+VLOOKUP(D333,Hipotesis!$D$9:$N$38,11,FALSE))</f>
        <v>0</v>
      </c>
      <c r="U333">
        <v>0</v>
      </c>
      <c r="V333">
        <f>G333*VLOOKUP(D333,Hipotesis!$D$9:$S$38,16,FALSE)+((VLOOKUP(D333,Hipotesis!$D$9:$T$38,17,FALSE)/$B$4)*M332)/12</f>
        <v>6.5237582650326783E-3</v>
      </c>
      <c r="W333">
        <f>(1+VLOOKUP(D333,Hipotesis!$D$9:$P$38,13,FALSE))^(1/12)-1</f>
        <v>0</v>
      </c>
      <c r="X333">
        <f t="shared" si="109"/>
        <v>0</v>
      </c>
      <c r="Y333">
        <f t="shared" si="98"/>
        <v>0.3799310298554176</v>
      </c>
      <c r="Z333">
        <f>(1+VLOOKUP(D333,Hipotesis!$D$9:$O$38,12,))^(1/12)-1</f>
        <v>3.4179561872600406E-3</v>
      </c>
      <c r="AA333">
        <f t="shared" si="110"/>
        <v>0.38188897227412166</v>
      </c>
      <c r="AB333">
        <f t="shared" si="111"/>
        <v>-1.9579424187040387E-3</v>
      </c>
      <c r="AC333" s="68">
        <f t="shared" si="99"/>
        <v>-6.5237582650326783E-3</v>
      </c>
      <c r="AD333">
        <f t="shared" si="100"/>
        <v>-0.56445483873153113</v>
      </c>
      <c r="AE333" s="67">
        <f t="shared" si="101"/>
        <v>3.2127987256396179E-2</v>
      </c>
      <c r="AF333" s="67">
        <f t="shared" si="102"/>
        <v>9.6383961769188533E-3</v>
      </c>
      <c r="AG333" s="67">
        <f t="shared" si="103"/>
        <v>2.2489591079477324E-2</v>
      </c>
    </row>
    <row r="334" spans="4:33" x14ac:dyDescent="0.2">
      <c r="D334" s="50">
        <v>28</v>
      </c>
      <c r="E334">
        <v>8</v>
      </c>
      <c r="F334">
        <f t="shared" si="94"/>
        <v>77</v>
      </c>
      <c r="G334">
        <f t="shared" si="104"/>
        <v>0</v>
      </c>
      <c r="H334" s="64">
        <f>IF(E334="Anual",VLOOKUP(F334,Hipotesis!$E$9:$J$38,6,FALSE),1-(1-VLOOKUP(F334,Hipotesis!$E$9:$J$38,6,FALSE))^(1/12))</f>
        <v>2.707558103210439E-3</v>
      </c>
      <c r="I334">
        <f t="shared" si="105"/>
        <v>0.46935686181321007</v>
      </c>
      <c r="J334">
        <v>0</v>
      </c>
      <c r="K334">
        <f>1-(1-VLOOKUP(D334,Hipotesis!$D$9:$K$38,8,FALSE))^(1/12)</f>
        <v>8.3717735912058888E-4</v>
      </c>
      <c r="L334">
        <f t="shared" si="106"/>
        <v>0.14473227496676178</v>
      </c>
      <c r="M334">
        <f t="shared" si="107"/>
        <v>172.7365256687448</v>
      </c>
      <c r="N334">
        <f>IF(D334=1,(VLOOKUP(D334,'Primas Netas Y Reservas'!$D$4:$I$33,5,FALSE)+(VLOOKUP(D334,'Primas Netas Y Reservas'!$D$4:$I$33,6,FALSE)-VLOOKUP(D334,'Primas Netas Y Reservas'!$D$4:$I$33,5,FALSE))*(E334/12))/1000,((VLOOKUP(D334-1,'Primas Netas Y Reservas'!$D$4:$I$33,6,FALSE)+VLOOKUP(D334,'Primas Netas Y Reservas'!$D$4:$I$33,5,FALSE))+(VLOOKUP(D334,'Primas Netas Y Reservas'!$D$4:$I$33,6,FALSE)-VLOOKUP(D334-1,'Primas Netas Y Reservas'!$D$4:$I$33,6,FALSE)-VLOOKUP(D334,'Primas Netas Y Reservas'!$D$4:$I$33,5,FALSE))*(E334/12))/1000)</f>
        <v>0.64424151389799322</v>
      </c>
      <c r="O334">
        <f t="shared" si="108"/>
        <v>-0.22299648146579898</v>
      </c>
      <c r="P334">
        <f>VLOOKUP(D334,Hipotesis!$D$9:$S$38,15,FALSE)*N334</f>
        <v>0.64424151389799322</v>
      </c>
      <c r="Q334">
        <f t="shared" si="95"/>
        <v>9.3242539934487237E-2</v>
      </c>
      <c r="R334">
        <f t="shared" si="96"/>
        <v>0</v>
      </c>
      <c r="S334">
        <f t="shared" si="97"/>
        <v>9.3242539934487237E-2</v>
      </c>
      <c r="T334">
        <f>G334*(VLOOKUP(D334,Hipotesis!$D$9:$N$38,9,FALSE)+VLOOKUP(D334,Hipotesis!$D$9:$N$38,10,FALSE)+VLOOKUP(D334,Hipotesis!$D$9:$N$38,11,FALSE))</f>
        <v>0</v>
      </c>
      <c r="U334">
        <v>0</v>
      </c>
      <c r="V334">
        <f>G334*VLOOKUP(D334,Hipotesis!$D$9:$S$38,16,FALSE)+((VLOOKUP(D334,Hipotesis!$D$9:$T$38,17,FALSE)/$B$4)*M333)/12</f>
        <v>6.5006480552071795E-3</v>
      </c>
      <c r="W334">
        <f>(1+VLOOKUP(D334,Hipotesis!$D$9:$P$38,13,FALSE))^(1/12)-1</f>
        <v>0</v>
      </c>
      <c r="X334">
        <f t="shared" si="109"/>
        <v>0</v>
      </c>
      <c r="Y334">
        <f t="shared" si="98"/>
        <v>0.37917466716841058</v>
      </c>
      <c r="Z334">
        <f>(1+VLOOKUP(D334,Hipotesis!$D$9:$O$38,12,))^(1/12)-1</f>
        <v>3.4179561872600406E-3</v>
      </c>
      <c r="AA334">
        <f t="shared" si="110"/>
        <v>0.3811261680071234</v>
      </c>
      <c r="AB334">
        <f t="shared" si="111"/>
        <v>-1.9515008387128007E-3</v>
      </c>
      <c r="AC334" s="68">
        <f t="shared" si="99"/>
        <v>-6.5006480552071795E-3</v>
      </c>
      <c r="AD334">
        <f t="shared" si="100"/>
        <v>-0.56259940174769729</v>
      </c>
      <c r="AE334" s="67">
        <f t="shared" si="101"/>
        <v>3.3071098831305094E-2</v>
      </c>
      <c r="AF334" s="67">
        <f t="shared" si="102"/>
        <v>9.921329649391528E-3</v>
      </c>
      <c r="AG334" s="67">
        <f t="shared" si="103"/>
        <v>2.3149769181913568E-2</v>
      </c>
    </row>
    <row r="335" spans="4:33" x14ac:dyDescent="0.2">
      <c r="D335" s="50">
        <v>28</v>
      </c>
      <c r="E335">
        <v>9</v>
      </c>
      <c r="F335">
        <f t="shared" si="94"/>
        <v>77</v>
      </c>
      <c r="G335">
        <f t="shared" si="104"/>
        <v>0</v>
      </c>
      <c r="H335" s="64">
        <f>IF(E335="Anual",VLOOKUP(F335,Hipotesis!$E$9:$J$38,6,FALSE),1-(1-VLOOKUP(F335,Hipotesis!$E$9:$J$38,6,FALSE))^(1/12))</f>
        <v>2.707558103210439E-3</v>
      </c>
      <c r="I335">
        <f t="shared" si="105"/>
        <v>0.46769417979482802</v>
      </c>
      <c r="J335">
        <v>0</v>
      </c>
      <c r="K335">
        <f>1-(1-VLOOKUP(D335,Hipotesis!$D$9:$K$38,8,FALSE))^(1/12)</f>
        <v>8.3717735912058888E-4</v>
      </c>
      <c r="L335">
        <f t="shared" si="106"/>
        <v>0.1442195654047089</v>
      </c>
      <c r="M335">
        <f t="shared" si="107"/>
        <v>172.12461192354527</v>
      </c>
      <c r="N335">
        <f>IF(D335=1,(VLOOKUP(D335,'Primas Netas Y Reservas'!$D$4:$I$33,5,FALSE)+(VLOOKUP(D335,'Primas Netas Y Reservas'!$D$4:$I$33,6,FALSE)-VLOOKUP(D335,'Primas Netas Y Reservas'!$D$4:$I$33,5,FALSE))*(E335/12))/1000,((VLOOKUP(D335-1,'Primas Netas Y Reservas'!$D$4:$I$33,6,FALSE)+VLOOKUP(D335,'Primas Netas Y Reservas'!$D$4:$I$33,5,FALSE))+(VLOOKUP(D335,'Primas Netas Y Reservas'!$D$4:$I$33,6,FALSE)-VLOOKUP(D335-1,'Primas Netas Y Reservas'!$D$4:$I$33,6,FALSE)-VLOOKUP(D335,'Primas Netas Y Reservas'!$D$4:$I$33,5,FALSE))*(E335/12))/1000)</f>
        <v>0.64523732942408918</v>
      </c>
      <c r="O335">
        <f t="shared" si="108"/>
        <v>-0.22281587660563673</v>
      </c>
      <c r="P335">
        <f>VLOOKUP(D335,Hipotesis!$D$9:$S$38,15,FALSE)*N335</f>
        <v>0.64523732942408918</v>
      </c>
      <c r="Q335">
        <f t="shared" si="95"/>
        <v>9.3055847232437136E-2</v>
      </c>
      <c r="R335">
        <f t="shared" si="96"/>
        <v>0</v>
      </c>
      <c r="S335">
        <f t="shared" si="97"/>
        <v>9.3055847232437136E-2</v>
      </c>
      <c r="T335">
        <f>G335*(VLOOKUP(D335,Hipotesis!$D$9:$N$38,9,FALSE)+VLOOKUP(D335,Hipotesis!$D$9:$N$38,10,FALSE)+VLOOKUP(D335,Hipotesis!$D$9:$N$38,11,FALSE))</f>
        <v>0</v>
      </c>
      <c r="U335">
        <v>0</v>
      </c>
      <c r="V335">
        <f>G335*VLOOKUP(D335,Hipotesis!$D$9:$S$38,16,FALSE)+((VLOOKUP(D335,Hipotesis!$D$9:$T$38,17,FALSE)/$B$4)*M334)/12</f>
        <v>6.4776197125779303E-3</v>
      </c>
      <c r="W335">
        <f>(1+VLOOKUP(D335,Hipotesis!$D$9:$P$38,13,FALSE))^(1/12)-1</f>
        <v>0</v>
      </c>
      <c r="X335">
        <f t="shared" si="109"/>
        <v>0</v>
      </c>
      <c r="Y335">
        <f t="shared" si="98"/>
        <v>0.3784188954770325</v>
      </c>
      <c r="Z335">
        <f>(1+VLOOKUP(D335,Hipotesis!$D$9:$O$38,12,))^(1/12)-1</f>
        <v>3.4179561872600406E-3</v>
      </c>
      <c r="AA335">
        <f t="shared" si="110"/>
        <v>0.38036397580356018</v>
      </c>
      <c r="AB335">
        <f t="shared" si="111"/>
        <v>-1.9450803265276624E-3</v>
      </c>
      <c r="AC335" s="68">
        <f t="shared" si="99"/>
        <v>-6.4776197125779303E-3</v>
      </c>
      <c r="AD335">
        <f t="shared" si="100"/>
        <v>-0.56075002702726517</v>
      </c>
      <c r="AE335" s="67">
        <f t="shared" si="101"/>
        <v>3.4007125342826128E-2</v>
      </c>
      <c r="AF335" s="67">
        <f t="shared" si="102"/>
        <v>1.0202137602847838E-2</v>
      </c>
      <c r="AG335" s="67">
        <f t="shared" si="103"/>
        <v>2.380498773997829E-2</v>
      </c>
    </row>
    <row r="336" spans="4:33" x14ac:dyDescent="0.2">
      <c r="D336" s="50">
        <v>28</v>
      </c>
      <c r="E336">
        <v>10</v>
      </c>
      <c r="F336">
        <f t="shared" si="94"/>
        <v>77</v>
      </c>
      <c r="G336">
        <f t="shared" si="104"/>
        <v>0</v>
      </c>
      <c r="H336" s="64">
        <f>IF(E336="Anual",VLOOKUP(F336,Hipotesis!$E$9:$J$38,6,FALSE),1-(1-VLOOKUP(F336,Hipotesis!$E$9:$J$38,6,FALSE))^(1/12))</f>
        <v>2.707558103210439E-3</v>
      </c>
      <c r="I336">
        <f t="shared" si="105"/>
        <v>0.46603738777554715</v>
      </c>
      <c r="J336">
        <v>0</v>
      </c>
      <c r="K336">
        <f>1-(1-VLOOKUP(D336,Hipotesis!$D$9:$K$38,8,FALSE))^(1/12)</f>
        <v>8.3717735912058888E-4</v>
      </c>
      <c r="L336">
        <f t="shared" si="106"/>
        <v>0.14370867210026048</v>
      </c>
      <c r="M336">
        <f t="shared" si="107"/>
        <v>171.51486586366946</v>
      </c>
      <c r="N336">
        <f>IF(D336=1,(VLOOKUP(D336,'Primas Netas Y Reservas'!$D$4:$I$33,5,FALSE)+(VLOOKUP(D336,'Primas Netas Y Reservas'!$D$4:$I$33,6,FALSE)-VLOOKUP(D336,'Primas Netas Y Reservas'!$D$4:$I$33,5,FALSE))*(E336/12))/1000,((VLOOKUP(D336-1,'Primas Netas Y Reservas'!$D$4:$I$33,6,FALSE)+VLOOKUP(D336,'Primas Netas Y Reservas'!$D$4:$I$33,5,FALSE))+(VLOOKUP(D336,'Primas Netas Y Reservas'!$D$4:$I$33,6,FALSE)-VLOOKUP(D336-1,'Primas Netas Y Reservas'!$D$4:$I$33,6,FALSE)-VLOOKUP(D336,'Primas Netas Y Reservas'!$D$4:$I$33,5,FALSE))*(E336/12))/1000)</f>
        <v>0.64623314495018502</v>
      </c>
      <c r="O336">
        <f t="shared" si="108"/>
        <v>-0.22263375291784371</v>
      </c>
      <c r="P336">
        <f>VLOOKUP(D336,Hipotesis!$D$9:$S$38,15,FALSE)*N336</f>
        <v>0.64623314495018502</v>
      </c>
      <c r="Q336">
        <f t="shared" si="95"/>
        <v>9.2869307127966233E-2</v>
      </c>
      <c r="R336">
        <f t="shared" si="96"/>
        <v>0</v>
      </c>
      <c r="S336">
        <f t="shared" si="97"/>
        <v>9.2869307127966233E-2</v>
      </c>
      <c r="T336">
        <f>G336*(VLOOKUP(D336,Hipotesis!$D$9:$N$38,9,FALSE)+VLOOKUP(D336,Hipotesis!$D$9:$N$38,10,FALSE)+VLOOKUP(D336,Hipotesis!$D$9:$N$38,11,FALSE))</f>
        <v>0</v>
      </c>
      <c r="U336">
        <v>0</v>
      </c>
      <c r="V336">
        <f>G336*VLOOKUP(D336,Hipotesis!$D$9:$S$38,16,FALSE)+((VLOOKUP(D336,Hipotesis!$D$9:$T$38,17,FALSE)/$B$4)*M335)/12</f>
        <v>6.4546729471329474E-3</v>
      </c>
      <c r="W336">
        <f>(1+VLOOKUP(D336,Hipotesis!$D$9:$P$38,13,FALSE))^(1/12)-1</f>
        <v>0</v>
      </c>
      <c r="X336">
        <f t="shared" si="109"/>
        <v>0</v>
      </c>
      <c r="Y336">
        <f t="shared" si="98"/>
        <v>0.3776637200857757</v>
      </c>
      <c r="Z336">
        <f>(1+VLOOKUP(D336,Hipotesis!$D$9:$O$38,12,))^(1/12)-1</f>
        <v>3.4179561872600406E-3</v>
      </c>
      <c r="AA336">
        <f t="shared" si="110"/>
        <v>0.37960240089949615</v>
      </c>
      <c r="AB336">
        <f t="shared" si="111"/>
        <v>-1.9386808137204692E-3</v>
      </c>
      <c r="AC336" s="68">
        <f t="shared" si="99"/>
        <v>-6.4546729471329474E-3</v>
      </c>
      <c r="AD336">
        <f t="shared" si="100"/>
        <v>-0.55890669490351341</v>
      </c>
      <c r="AE336" s="67">
        <f t="shared" si="101"/>
        <v>3.4936105152973074E-2</v>
      </c>
      <c r="AF336" s="67">
        <f t="shared" si="102"/>
        <v>1.0480831545891921E-2</v>
      </c>
      <c r="AG336" s="67">
        <f t="shared" si="103"/>
        <v>2.4455273607081152E-2</v>
      </c>
    </row>
    <row r="337" spans="4:33" x14ac:dyDescent="0.2">
      <c r="D337" s="50">
        <v>28</v>
      </c>
      <c r="E337">
        <v>11</v>
      </c>
      <c r="F337">
        <f t="shared" si="94"/>
        <v>77</v>
      </c>
      <c r="G337">
        <f t="shared" si="104"/>
        <v>0</v>
      </c>
      <c r="H337" s="64">
        <f>IF(E337="Anual",VLOOKUP(F337,Hipotesis!$E$9:$J$38,6,FALSE),1-(1-VLOOKUP(F337,Hipotesis!$E$9:$J$38,6,FALSE))^(1/12))</f>
        <v>2.707558103210439E-3</v>
      </c>
      <c r="I337">
        <f t="shared" si="105"/>
        <v>0.46438646489022972</v>
      </c>
      <c r="J337">
        <v>0</v>
      </c>
      <c r="K337">
        <f>1-(1-VLOOKUP(D337,Hipotesis!$D$9:$K$38,8,FALSE))^(1/12)</f>
        <v>8.3717735912058888E-4</v>
      </c>
      <c r="L337">
        <f t="shared" si="106"/>
        <v>0.1431995886193807</v>
      </c>
      <c r="M337">
        <f t="shared" si="107"/>
        <v>170.90727981015985</v>
      </c>
      <c r="N337">
        <f>IF(D337=1,(VLOOKUP(D337,'Primas Netas Y Reservas'!$D$4:$I$33,5,FALSE)+(VLOOKUP(D337,'Primas Netas Y Reservas'!$D$4:$I$33,6,FALSE)-VLOOKUP(D337,'Primas Netas Y Reservas'!$D$4:$I$33,5,FALSE))*(E337/12))/1000,((VLOOKUP(D337-1,'Primas Netas Y Reservas'!$D$4:$I$33,6,FALSE)+VLOOKUP(D337,'Primas Netas Y Reservas'!$D$4:$I$33,5,FALSE))+(VLOOKUP(D337,'Primas Netas Y Reservas'!$D$4:$I$33,6,FALSE)-VLOOKUP(D337-1,'Primas Netas Y Reservas'!$D$4:$I$33,6,FALSE)-VLOOKUP(D337,'Primas Netas Y Reservas'!$D$4:$I$33,5,FALSE))*(E337/12))/1000)</f>
        <v>0.64722896047628109</v>
      </c>
      <c r="O337">
        <f t="shared" si="108"/>
        <v>-0.22245012342958148</v>
      </c>
      <c r="P337">
        <f>VLOOKUP(D337,Hipotesis!$D$9:$S$38,15,FALSE)*N337</f>
        <v>0.64722896047628109</v>
      </c>
      <c r="Q337">
        <f t="shared" si="95"/>
        <v>9.2682920882752859E-2</v>
      </c>
      <c r="R337">
        <f t="shared" si="96"/>
        <v>0</v>
      </c>
      <c r="S337">
        <f t="shared" si="97"/>
        <v>9.2682920882752859E-2</v>
      </c>
      <c r="T337">
        <f>G337*(VLOOKUP(D337,Hipotesis!$D$9:$N$38,9,FALSE)+VLOOKUP(D337,Hipotesis!$D$9:$N$38,10,FALSE)+VLOOKUP(D337,Hipotesis!$D$9:$N$38,11,FALSE))</f>
        <v>0</v>
      </c>
      <c r="U337">
        <v>0</v>
      </c>
      <c r="V337">
        <f>G337*VLOOKUP(D337,Hipotesis!$D$9:$S$38,16,FALSE)+((VLOOKUP(D337,Hipotesis!$D$9:$T$38,17,FALSE)/$B$4)*M336)/12</f>
        <v>6.4318074698876048E-3</v>
      </c>
      <c r="W337">
        <f>(1+VLOOKUP(D337,Hipotesis!$D$9:$P$38,13,FALSE))^(1/12)-1</f>
        <v>0</v>
      </c>
      <c r="X337">
        <f t="shared" si="109"/>
        <v>0</v>
      </c>
      <c r="Y337">
        <f t="shared" si="98"/>
        <v>0.37690914625413419</v>
      </c>
      <c r="Z337">
        <f>(1+VLOOKUP(D337,Hipotesis!$D$9:$O$38,12,))^(1/12)-1</f>
        <v>3.4179561872600406E-3</v>
      </c>
      <c r="AA337">
        <f t="shared" si="110"/>
        <v>0.3788414484862177</v>
      </c>
      <c r="AB337">
        <f t="shared" si="111"/>
        <v>-1.932302232083491E-3</v>
      </c>
      <c r="AC337" s="68">
        <f t="shared" si="99"/>
        <v>-6.4318074698876048E-3</v>
      </c>
      <c r="AD337">
        <f t="shared" si="100"/>
        <v>-0.55706938577298259</v>
      </c>
      <c r="AE337" s="67">
        <f t="shared" si="101"/>
        <v>3.5858076440845467E-2</v>
      </c>
      <c r="AF337" s="67">
        <f t="shared" si="102"/>
        <v>1.075742293225364E-2</v>
      </c>
      <c r="AG337" s="67">
        <f t="shared" si="103"/>
        <v>2.5100653508591829E-2</v>
      </c>
    </row>
    <row r="338" spans="4:33" x14ac:dyDescent="0.2">
      <c r="D338" s="50">
        <v>28</v>
      </c>
      <c r="E338">
        <v>12</v>
      </c>
      <c r="F338">
        <f t="shared" si="94"/>
        <v>77</v>
      </c>
      <c r="G338">
        <f t="shared" si="104"/>
        <v>0</v>
      </c>
      <c r="H338" s="64">
        <f>IF(E338="Anual",VLOOKUP(F338,Hipotesis!$E$9:$J$38,6,FALSE),1-(1-VLOOKUP(F338,Hipotesis!$E$9:$J$38,6,FALSE))^(1/12))</f>
        <v>2.707558103210439E-3</v>
      </c>
      <c r="I338">
        <f t="shared" si="105"/>
        <v>0.46274139034765216</v>
      </c>
      <c r="J338">
        <v>0</v>
      </c>
      <c r="K338">
        <f>1-(1-VLOOKUP(D338,Hipotesis!$D$9:$K$38,8,FALSE))^(1/12)</f>
        <v>8.3717735912058888E-4</v>
      </c>
      <c r="L338">
        <f t="shared" si="106"/>
        <v>0.14269230855082612</v>
      </c>
      <c r="M338">
        <f t="shared" si="107"/>
        <v>170.30184611126137</v>
      </c>
      <c r="N338">
        <f>IF(D338=1,(VLOOKUP(D338,'Primas Netas Y Reservas'!$D$4:$I$33,5,FALSE)+(VLOOKUP(D338,'Primas Netas Y Reservas'!$D$4:$I$33,6,FALSE)-VLOOKUP(D338,'Primas Netas Y Reservas'!$D$4:$I$33,5,FALSE))*(E338/12))/1000,((VLOOKUP(D338-1,'Primas Netas Y Reservas'!$D$4:$I$33,6,FALSE)+VLOOKUP(D338,'Primas Netas Y Reservas'!$D$4:$I$33,5,FALSE))+(VLOOKUP(D338,'Primas Netas Y Reservas'!$D$4:$I$33,6,FALSE)-VLOOKUP(D338-1,'Primas Netas Y Reservas'!$D$4:$I$33,6,FALSE)-VLOOKUP(D338,'Primas Netas Y Reservas'!$D$4:$I$33,5,FALSE))*(E338/12))/1000)</f>
        <v>0.64822477600237705</v>
      </c>
      <c r="O338">
        <f t="shared" si="108"/>
        <v>-0.22226500109496783</v>
      </c>
      <c r="P338">
        <f>VLOOKUP(D338,Hipotesis!$D$9:$S$38,15,FALSE)*N338</f>
        <v>0.64822477600237705</v>
      </c>
      <c r="Q338">
        <f t="shared" si="95"/>
        <v>9.2496689747621333E-2</v>
      </c>
      <c r="R338">
        <f t="shared" si="96"/>
        <v>0</v>
      </c>
      <c r="S338">
        <f t="shared" si="97"/>
        <v>9.2496689747621333E-2</v>
      </c>
      <c r="T338">
        <f>G338*(VLOOKUP(D338,Hipotesis!$D$9:$N$38,9,FALSE)+VLOOKUP(D338,Hipotesis!$D$9:$N$38,10,FALSE)+VLOOKUP(D338,Hipotesis!$D$9:$N$38,11,FALSE))</f>
        <v>0</v>
      </c>
      <c r="U338">
        <v>0</v>
      </c>
      <c r="V338">
        <f>G338*VLOOKUP(D338,Hipotesis!$D$9:$S$38,16,FALSE)+((VLOOKUP(D338,Hipotesis!$D$9:$T$38,17,FALSE)/$B$4)*M337)/12</f>
        <v>6.4090229928809939E-3</v>
      </c>
      <c r="W338">
        <f>(1+VLOOKUP(D338,Hipotesis!$D$9:$P$38,13,FALSE))^(1/12)-1</f>
        <v>0</v>
      </c>
      <c r="X338">
        <f t="shared" si="109"/>
        <v>0</v>
      </c>
      <c r="Y338">
        <f t="shared" si="98"/>
        <v>0.37615517919685609</v>
      </c>
      <c r="Z338">
        <f>(1+VLOOKUP(D338,Hipotesis!$D$9:$O$38,12,))^(1/12)-1</f>
        <v>3.4179561872600406E-3</v>
      </c>
      <c r="AA338">
        <f t="shared" si="110"/>
        <v>0.3780811237104848</v>
      </c>
      <c r="AB338">
        <f t="shared" si="111"/>
        <v>-1.9259445136287259E-3</v>
      </c>
      <c r="AC338" s="68">
        <f t="shared" si="99"/>
        <v>-6.4090229928809939E-3</v>
      </c>
      <c r="AD338">
        <f t="shared" si="100"/>
        <v>-0.55523808009527353</v>
      </c>
      <c r="AE338" s="67">
        <f t="shared" si="101"/>
        <v>3.6773077203669451E-2</v>
      </c>
      <c r="AF338" s="67">
        <f t="shared" si="102"/>
        <v>1.1031923161100835E-2</v>
      </c>
      <c r="AG338" s="67">
        <f t="shared" si="103"/>
        <v>2.5741154042568617E-2</v>
      </c>
    </row>
    <row r="339" spans="4:33" x14ac:dyDescent="0.2">
      <c r="D339" s="50">
        <v>29</v>
      </c>
      <c r="E339">
        <v>1</v>
      </c>
      <c r="F339">
        <f t="shared" si="94"/>
        <v>78</v>
      </c>
      <c r="G339">
        <f t="shared" si="104"/>
        <v>0</v>
      </c>
      <c r="H339" s="64">
        <f>IF(E339="Anual",VLOOKUP(F339,Hipotesis!$E$9:$J$38,6,FALSE),1-(1-VLOOKUP(F339,Hipotesis!$E$9:$J$38,6,FALSE))^(1/12))</f>
        <v>2.9093424797906886E-3</v>
      </c>
      <c r="I339">
        <f t="shared" si="105"/>
        <v>0.49546639527826941</v>
      </c>
      <c r="J339">
        <v>0</v>
      </c>
      <c r="K339">
        <f>1-(1-VLOOKUP(D339,Hipotesis!$D$9:$K$38,8,FALSE))^(1/12)</f>
        <v>8.3717735912058888E-4</v>
      </c>
      <c r="L339">
        <f t="shared" si="106"/>
        <v>0.14215805653245467</v>
      </c>
      <c r="M339">
        <f t="shared" si="107"/>
        <v>169.66422165945065</v>
      </c>
      <c r="N339">
        <f>IF(D339=1,(VLOOKUP(D339,'Primas Netas Y Reservas'!$D$4:$I$33,5,FALSE)+(VLOOKUP(D339,'Primas Netas Y Reservas'!$D$4:$I$33,6,FALSE)-VLOOKUP(D339,'Primas Netas Y Reservas'!$D$4:$I$33,5,FALSE))*(E339/12))/1000,((VLOOKUP(D339-1,'Primas Netas Y Reservas'!$D$4:$I$33,6,FALSE)+VLOOKUP(D339,'Primas Netas Y Reservas'!$D$4:$I$33,5,FALSE))+(VLOOKUP(D339,'Primas Netas Y Reservas'!$D$4:$I$33,6,FALSE)-VLOOKUP(D339-1,'Primas Netas Y Reservas'!$D$4:$I$33,6,FALSE)-VLOOKUP(D339,'Primas Netas Y Reservas'!$D$4:$I$33,5,FALSE))*(E339/12))/1000)</f>
        <v>0.64921378982288358</v>
      </c>
      <c r="O339">
        <f t="shared" si="108"/>
        <v>-0.24552370738196316</v>
      </c>
      <c r="P339">
        <f>VLOOKUP(D339,Hipotesis!$D$9:$S$38,15,FALSE)*N339</f>
        <v>0.64921378982288358</v>
      </c>
      <c r="Q339">
        <f t="shared" si="95"/>
        <v>9.2290970635290626E-2</v>
      </c>
      <c r="R339">
        <f t="shared" si="96"/>
        <v>0</v>
      </c>
      <c r="S339">
        <f t="shared" si="97"/>
        <v>9.2290970635290626E-2</v>
      </c>
      <c r="T339">
        <f>G339*(VLOOKUP(D339,Hipotesis!$D$9:$N$38,9,FALSE)+VLOOKUP(D339,Hipotesis!$D$9:$N$38,10,FALSE)+VLOOKUP(D339,Hipotesis!$D$9:$N$38,11,FALSE))</f>
        <v>0</v>
      </c>
      <c r="U339">
        <v>0</v>
      </c>
      <c r="V339">
        <f>G339*VLOOKUP(D339,Hipotesis!$D$9:$S$38,16,FALSE)+((VLOOKUP(D339,Hipotesis!$D$9:$T$38,17,FALSE)/$B$4)*M338)/12</f>
        <v>6.3863192291723006E-3</v>
      </c>
      <c r="W339">
        <f>(1+VLOOKUP(D339,Hipotesis!$D$9:$P$38,13,FALSE))^(1/12)-1</f>
        <v>0</v>
      </c>
      <c r="X339">
        <f t="shared" si="109"/>
        <v>0</v>
      </c>
      <c r="Y339">
        <f t="shared" si="98"/>
        <v>0.38475756599964828</v>
      </c>
      <c r="Z339">
        <f>(1+VLOOKUP(D339,Hipotesis!$D$9:$O$38,12,))^(1/12)-1</f>
        <v>3.5031382879180395E-3</v>
      </c>
      <c r="AA339">
        <f t="shared" si="110"/>
        <v>0.38672501393635073</v>
      </c>
      <c r="AB339">
        <f t="shared" si="111"/>
        <v>-1.9674479367024367E-3</v>
      </c>
      <c r="AC339" s="68">
        <f t="shared" si="99"/>
        <v>-6.3863192291723006E-3</v>
      </c>
      <c r="AD339">
        <f t="shared" si="100"/>
        <v>-0.58775736591355998</v>
      </c>
      <c r="AE339" s="67">
        <f t="shared" si="101"/>
        <v>3.6137588238879102E-2</v>
      </c>
      <c r="AF339" s="67">
        <f t="shared" si="102"/>
        <v>1.0841276471663731E-2</v>
      </c>
      <c r="AG339" s="67">
        <f t="shared" si="103"/>
        <v>2.529631176721537E-2</v>
      </c>
    </row>
    <row r="340" spans="4:33" x14ac:dyDescent="0.2">
      <c r="D340" s="50">
        <v>29</v>
      </c>
      <c r="E340">
        <v>2</v>
      </c>
      <c r="F340">
        <f t="shared" si="94"/>
        <v>78</v>
      </c>
      <c r="G340">
        <f t="shared" si="104"/>
        <v>0</v>
      </c>
      <c r="H340" s="64">
        <f>IF(E340="Anual",VLOOKUP(F340,Hipotesis!$E$9:$J$38,6,FALSE),1-(1-VLOOKUP(F340,Hipotesis!$E$9:$J$38,6,FALSE))^(1/12))</f>
        <v>2.9093424797906886E-3</v>
      </c>
      <c r="I340">
        <f t="shared" si="105"/>
        <v>0.49361132737446317</v>
      </c>
      <c r="J340">
        <v>0</v>
      </c>
      <c r="K340">
        <f>1-(1-VLOOKUP(D340,Hipotesis!$D$9:$K$38,8,FALSE))^(1/12)</f>
        <v>8.3717735912058888E-4</v>
      </c>
      <c r="L340">
        <f t="shared" si="106"/>
        <v>0.14162580479862574</v>
      </c>
      <c r="M340">
        <f t="shared" si="107"/>
        <v>169.02898452727757</v>
      </c>
      <c r="N340">
        <f>IF(D340=1,(VLOOKUP(D340,'Primas Netas Y Reservas'!$D$4:$I$33,5,FALSE)+(VLOOKUP(D340,'Primas Netas Y Reservas'!$D$4:$I$33,6,FALSE)-VLOOKUP(D340,'Primas Netas Y Reservas'!$D$4:$I$33,5,FALSE))*(E340/12))/1000,((VLOOKUP(D340-1,'Primas Netas Y Reservas'!$D$4:$I$33,6,FALSE)+VLOOKUP(D340,'Primas Netas Y Reservas'!$D$4:$I$33,5,FALSE))+(VLOOKUP(D340,'Primas Netas Y Reservas'!$D$4:$I$33,6,FALSE)-VLOOKUP(D340-1,'Primas Netas Y Reservas'!$D$4:$I$33,6,FALSE)-VLOOKUP(D340,'Primas Netas Y Reservas'!$D$4:$I$33,5,FALSE))*(E340/12))/1000)</f>
        <v>0.65020280364338989</v>
      </c>
      <c r="O340">
        <f t="shared" si="108"/>
        <v>-0.24523270425068233</v>
      </c>
      <c r="P340">
        <f>VLOOKUP(D340,Hipotesis!$D$9:$S$38,15,FALSE)*N340</f>
        <v>0.65020280364338989</v>
      </c>
      <c r="Q340">
        <f t="shared" si="95"/>
        <v>9.2085495348317919E-2</v>
      </c>
      <c r="R340">
        <f t="shared" si="96"/>
        <v>0</v>
      </c>
      <c r="S340">
        <f t="shared" si="97"/>
        <v>9.2085495348317919E-2</v>
      </c>
      <c r="T340">
        <f>G340*(VLOOKUP(D340,Hipotesis!$D$9:$N$38,9,FALSE)+VLOOKUP(D340,Hipotesis!$D$9:$N$38,10,FALSE)+VLOOKUP(D340,Hipotesis!$D$9:$N$38,11,FALSE))</f>
        <v>0</v>
      </c>
      <c r="U340">
        <v>0</v>
      </c>
      <c r="V340">
        <f>G340*VLOOKUP(D340,Hipotesis!$D$9:$S$38,16,FALSE)+((VLOOKUP(D340,Hipotesis!$D$9:$T$38,17,FALSE)/$B$4)*M339)/12</f>
        <v>6.3624083122293985E-3</v>
      </c>
      <c r="W340">
        <f>(1+VLOOKUP(D340,Hipotesis!$D$9:$P$38,13,FALSE))^(1/12)-1</f>
        <v>0</v>
      </c>
      <c r="X340">
        <f t="shared" si="109"/>
        <v>0</v>
      </c>
      <c r="Y340">
        <f t="shared" si="98"/>
        <v>0.38378362670772981</v>
      </c>
      <c r="Z340">
        <f>(1+VLOOKUP(D340,Hipotesis!$D$9:$O$38,12,))^(1/12)-1</f>
        <v>3.5031382879180395E-3</v>
      </c>
      <c r="AA340">
        <f t="shared" si="110"/>
        <v>0.3858649104364294</v>
      </c>
      <c r="AB340">
        <f t="shared" si="111"/>
        <v>-2.0812837286995844E-3</v>
      </c>
      <c r="AC340" s="68">
        <f t="shared" si="99"/>
        <v>-6.3624083122293985E-3</v>
      </c>
      <c r="AD340">
        <f t="shared" si="100"/>
        <v>-0.58569682272278112</v>
      </c>
      <c r="AE340" s="67">
        <f t="shared" si="101"/>
        <v>3.6957099923401654E-2</v>
      </c>
      <c r="AF340" s="67">
        <f t="shared" si="102"/>
        <v>1.1087129977020495E-2</v>
      </c>
      <c r="AG340" s="67">
        <f t="shared" si="103"/>
        <v>2.5869969946381161E-2</v>
      </c>
    </row>
    <row r="341" spans="4:33" x14ac:dyDescent="0.2">
      <c r="D341" s="50">
        <v>29</v>
      </c>
      <c r="E341">
        <v>3</v>
      </c>
      <c r="F341">
        <f t="shared" si="94"/>
        <v>78</v>
      </c>
      <c r="G341">
        <f t="shared" si="104"/>
        <v>0</v>
      </c>
      <c r="H341" s="64">
        <f>IF(E341="Anual",VLOOKUP(F341,Hipotesis!$E$9:$J$38,6,FALSE),1-(1-VLOOKUP(F341,Hipotesis!$E$9:$J$38,6,FALSE))^(1/12))</f>
        <v>2.9093424797906886E-3</v>
      </c>
      <c r="I341">
        <f t="shared" si="105"/>
        <v>0.49176320500109166</v>
      </c>
      <c r="J341">
        <v>0</v>
      </c>
      <c r="K341">
        <f>1-(1-VLOOKUP(D341,Hipotesis!$D$9:$K$38,8,FALSE))^(1/12)</f>
        <v>8.3717735912058888E-4</v>
      </c>
      <c r="L341">
        <f t="shared" si="106"/>
        <v>0.14109554586010561</v>
      </c>
      <c r="M341">
        <f t="shared" si="107"/>
        <v>168.39612577641637</v>
      </c>
      <c r="N341">
        <f>IF(D341=1,(VLOOKUP(D341,'Primas Netas Y Reservas'!$D$4:$I$33,5,FALSE)+(VLOOKUP(D341,'Primas Netas Y Reservas'!$D$4:$I$33,6,FALSE)-VLOOKUP(D341,'Primas Netas Y Reservas'!$D$4:$I$33,5,FALSE))*(E341/12))/1000,((VLOOKUP(D341-1,'Primas Netas Y Reservas'!$D$4:$I$33,6,FALSE)+VLOOKUP(D341,'Primas Netas Y Reservas'!$D$4:$I$33,5,FALSE))+(VLOOKUP(D341,'Primas Netas Y Reservas'!$D$4:$I$33,6,FALSE)-VLOOKUP(D341-1,'Primas Netas Y Reservas'!$D$4:$I$33,6,FALSE)-VLOOKUP(D341,'Primas Netas Y Reservas'!$D$4:$I$33,5,FALSE))*(E341/12))/1000)</f>
        <v>0.65119181746389632</v>
      </c>
      <c r="O341">
        <f t="shared" si="108"/>
        <v>-0.24494043840759616</v>
      </c>
      <c r="P341">
        <f>VLOOKUP(D341,Hipotesis!$D$9:$S$38,15,FALSE)*N341</f>
        <v>0.65119181746389632</v>
      </c>
      <c r="Q341">
        <f t="shared" si="95"/>
        <v>9.1880264944702708E-2</v>
      </c>
      <c r="R341">
        <f t="shared" si="96"/>
        <v>0</v>
      </c>
      <c r="S341">
        <f t="shared" si="97"/>
        <v>9.1880264944702708E-2</v>
      </c>
      <c r="T341">
        <f>G341*(VLOOKUP(D341,Hipotesis!$D$9:$N$38,9,FALSE)+VLOOKUP(D341,Hipotesis!$D$9:$N$38,10,FALSE)+VLOOKUP(D341,Hipotesis!$D$9:$N$38,11,FALSE))</f>
        <v>0</v>
      </c>
      <c r="U341">
        <v>0</v>
      </c>
      <c r="V341">
        <f>G341*VLOOKUP(D341,Hipotesis!$D$9:$S$38,16,FALSE)+((VLOOKUP(D341,Hipotesis!$D$9:$T$38,17,FALSE)/$B$4)*M340)/12</f>
        <v>6.3385869197729082E-3</v>
      </c>
      <c r="W341">
        <f>(1+VLOOKUP(D341,Hipotesis!$D$9:$P$38,13,FALSE))^(1/12)-1</f>
        <v>0</v>
      </c>
      <c r="X341">
        <f t="shared" si="109"/>
        <v>0</v>
      </c>
      <c r="Y341">
        <f t="shared" si="98"/>
        <v>0.3829318444493971</v>
      </c>
      <c r="Z341">
        <f>(1+VLOOKUP(D341,Hipotesis!$D$9:$O$38,12,))^(1/12)-1</f>
        <v>3.5031382879180395E-3</v>
      </c>
      <c r="AA341">
        <f t="shared" si="110"/>
        <v>0.38500582636071917</v>
      </c>
      <c r="AB341">
        <f t="shared" si="111"/>
        <v>-2.073981911322072E-3</v>
      </c>
      <c r="AC341" s="68">
        <f t="shared" si="99"/>
        <v>-6.3385869197729082E-3</v>
      </c>
      <c r="AD341">
        <f t="shared" si="100"/>
        <v>-0.58364346994579441</v>
      </c>
      <c r="AE341" s="67">
        <f t="shared" si="101"/>
        <v>3.789022599142599E-2</v>
      </c>
      <c r="AF341" s="67">
        <f t="shared" si="102"/>
        <v>1.1367067797427797E-2</v>
      </c>
      <c r="AG341" s="67">
        <f t="shared" si="103"/>
        <v>2.6523158193998191E-2</v>
      </c>
    </row>
    <row r="342" spans="4:33" x14ac:dyDescent="0.2">
      <c r="D342" s="50">
        <v>29</v>
      </c>
      <c r="E342">
        <v>4</v>
      </c>
      <c r="F342">
        <f t="shared" si="94"/>
        <v>78</v>
      </c>
      <c r="G342">
        <f t="shared" si="104"/>
        <v>0</v>
      </c>
      <c r="H342" s="64">
        <f>IF(E342="Anual",VLOOKUP(F342,Hipotesis!$E$9:$J$38,6,FALSE),1-(1-VLOOKUP(F342,Hipotesis!$E$9:$J$38,6,FALSE))^(1/12))</f>
        <v>2.9093424797906886E-3</v>
      </c>
      <c r="I342">
        <f t="shared" si="105"/>
        <v>0.48992200215350384</v>
      </c>
      <c r="J342">
        <v>0</v>
      </c>
      <c r="K342">
        <f>1-(1-VLOOKUP(D342,Hipotesis!$D$9:$K$38,8,FALSE))^(1/12)</f>
        <v>8.3717735912058888E-4</v>
      </c>
      <c r="L342">
        <f t="shared" si="106"/>
        <v>0.14056727225570084</v>
      </c>
      <c r="M342">
        <f t="shared" si="107"/>
        <v>167.76563650200717</v>
      </c>
      <c r="N342">
        <f>IF(D342=1,(VLOOKUP(D342,'Primas Netas Y Reservas'!$D$4:$I$33,5,FALSE)+(VLOOKUP(D342,'Primas Netas Y Reservas'!$D$4:$I$33,6,FALSE)-VLOOKUP(D342,'Primas Netas Y Reservas'!$D$4:$I$33,5,FALSE))*(E342/12))/1000,((VLOOKUP(D342-1,'Primas Netas Y Reservas'!$D$4:$I$33,6,FALSE)+VLOOKUP(D342,'Primas Netas Y Reservas'!$D$4:$I$33,5,FALSE))+(VLOOKUP(D342,'Primas Netas Y Reservas'!$D$4:$I$33,6,FALSE)-VLOOKUP(D342-1,'Primas Netas Y Reservas'!$D$4:$I$33,6,FALSE)-VLOOKUP(D342,'Primas Netas Y Reservas'!$D$4:$I$33,5,FALSE))*(E342/12))/1000)</f>
        <v>0.65218083128440274</v>
      </c>
      <c r="O342">
        <f t="shared" si="108"/>
        <v>-0.24464692338747795</v>
      </c>
      <c r="P342">
        <f>VLOOKUP(D342,Hipotesis!$D$9:$S$38,15,FALSE)*N342</f>
        <v>0.65218083128440274</v>
      </c>
      <c r="Q342">
        <f t="shared" si="95"/>
        <v>9.1675280471103932E-2</v>
      </c>
      <c r="R342">
        <f t="shared" si="96"/>
        <v>0</v>
      </c>
      <c r="S342">
        <f t="shared" si="97"/>
        <v>9.1675280471103932E-2</v>
      </c>
      <c r="T342">
        <f>G342*(VLOOKUP(D342,Hipotesis!$D$9:$N$38,9,FALSE)+VLOOKUP(D342,Hipotesis!$D$9:$N$38,10,FALSE)+VLOOKUP(D342,Hipotesis!$D$9:$N$38,11,FALSE))</f>
        <v>0</v>
      </c>
      <c r="U342">
        <v>0</v>
      </c>
      <c r="V342">
        <f>G342*VLOOKUP(D342,Hipotesis!$D$9:$S$38,16,FALSE)+((VLOOKUP(D342,Hipotesis!$D$9:$T$38,17,FALSE)/$B$4)*M341)/12</f>
        <v>6.3148547166156132E-3</v>
      </c>
      <c r="W342">
        <f>(1+VLOOKUP(D342,Hipotesis!$D$9:$P$38,13,FALSE))^(1/12)-1</f>
        <v>0</v>
      </c>
      <c r="X342">
        <f t="shared" si="109"/>
        <v>0</v>
      </c>
      <c r="Y342">
        <f t="shared" si="98"/>
        <v>0.3820810605372732</v>
      </c>
      <c r="Z342">
        <f>(1+VLOOKUP(D342,Hipotesis!$D$9:$O$38,12,))^(1/12)-1</f>
        <v>3.5031382879180395E-3</v>
      </c>
      <c r="AA342">
        <f t="shared" si="110"/>
        <v>0.3841477661326741</v>
      </c>
      <c r="AB342">
        <f t="shared" si="111"/>
        <v>-2.0667055954008699E-3</v>
      </c>
      <c r="AC342" s="68">
        <f t="shared" si="99"/>
        <v>-6.3148547166156132E-3</v>
      </c>
      <c r="AD342">
        <f t="shared" si="100"/>
        <v>-0.58159728262460775</v>
      </c>
      <c r="AE342" s="67">
        <f t="shared" si="101"/>
        <v>3.8815846583527762E-2</v>
      </c>
      <c r="AF342" s="67">
        <f t="shared" si="102"/>
        <v>1.1644753975058328E-2</v>
      </c>
      <c r="AG342" s="67">
        <f t="shared" si="103"/>
        <v>2.7171092608469435E-2</v>
      </c>
    </row>
    <row r="343" spans="4:33" x14ac:dyDescent="0.2">
      <c r="D343" s="50">
        <v>29</v>
      </c>
      <c r="E343">
        <v>5</v>
      </c>
      <c r="F343">
        <f t="shared" si="94"/>
        <v>78</v>
      </c>
      <c r="G343">
        <f t="shared" si="104"/>
        <v>0</v>
      </c>
      <c r="H343" s="64">
        <f>IF(E343="Anual",VLOOKUP(F343,Hipotesis!$E$9:$J$38,6,FALSE),1-(1-VLOOKUP(F343,Hipotesis!$E$9:$J$38,6,FALSE))^(1/12))</f>
        <v>2.9093424797906886E-3</v>
      </c>
      <c r="I343">
        <f t="shared" si="105"/>
        <v>0.48808769292441284</v>
      </c>
      <c r="J343">
        <v>0</v>
      </c>
      <c r="K343">
        <f>1-(1-VLOOKUP(D343,Hipotesis!$D$9:$K$38,8,FALSE))^(1/12)</f>
        <v>8.3717735912058888E-4</v>
      </c>
      <c r="L343">
        <f t="shared" si="106"/>
        <v>0.14004097655215331</v>
      </c>
      <c r="M343">
        <f t="shared" si="107"/>
        <v>167.13750783253062</v>
      </c>
      <c r="N343">
        <f>IF(D343=1,(VLOOKUP(D343,'Primas Netas Y Reservas'!$D$4:$I$33,5,FALSE)+(VLOOKUP(D343,'Primas Netas Y Reservas'!$D$4:$I$33,6,FALSE)-VLOOKUP(D343,'Primas Netas Y Reservas'!$D$4:$I$33,5,FALSE))*(E343/12))/1000,((VLOOKUP(D343-1,'Primas Netas Y Reservas'!$D$4:$I$33,6,FALSE)+VLOOKUP(D343,'Primas Netas Y Reservas'!$D$4:$I$33,5,FALSE))+(VLOOKUP(D343,'Primas Netas Y Reservas'!$D$4:$I$33,6,FALSE)-VLOOKUP(D343-1,'Primas Netas Y Reservas'!$D$4:$I$33,6,FALSE)-VLOOKUP(D343,'Primas Netas Y Reservas'!$D$4:$I$33,5,FALSE))*(E343/12))/1000)</f>
        <v>0.65316984510490905</v>
      </c>
      <c r="O343">
        <f t="shared" si="108"/>
        <v>-0.2443521726414275</v>
      </c>
      <c r="P343">
        <f>VLOOKUP(D343,Hipotesis!$D$9:$S$38,15,FALSE)*N343</f>
        <v>0.65316984510490905</v>
      </c>
      <c r="Q343">
        <f t="shared" si="95"/>
        <v>9.147054296291017E-2</v>
      </c>
      <c r="R343">
        <f t="shared" si="96"/>
        <v>0</v>
      </c>
      <c r="S343">
        <f t="shared" si="97"/>
        <v>9.147054296291017E-2</v>
      </c>
      <c r="T343">
        <f>G343*(VLOOKUP(D343,Hipotesis!$D$9:$N$38,9,FALSE)+VLOOKUP(D343,Hipotesis!$D$9:$N$38,10,FALSE)+VLOOKUP(D343,Hipotesis!$D$9:$N$38,11,FALSE))</f>
        <v>0</v>
      </c>
      <c r="U343">
        <v>0</v>
      </c>
      <c r="V343">
        <f>G343*VLOOKUP(D343,Hipotesis!$D$9:$S$38,16,FALSE)+((VLOOKUP(D343,Hipotesis!$D$9:$T$38,17,FALSE)/$B$4)*M342)/12</f>
        <v>6.2912113688252695E-3</v>
      </c>
      <c r="W343">
        <f>(1+VLOOKUP(D343,Hipotesis!$D$9:$P$38,13,FALSE))^(1/12)-1</f>
        <v>0</v>
      </c>
      <c r="X343">
        <f t="shared" si="109"/>
        <v>0</v>
      </c>
      <c r="Y343">
        <f t="shared" si="98"/>
        <v>0.38123127943599916</v>
      </c>
      <c r="Z343">
        <f>(1+VLOOKUP(D343,Hipotesis!$D$9:$O$38,12,))^(1/12)-1</f>
        <v>3.5031382879180395E-3</v>
      </c>
      <c r="AA343">
        <f t="shared" si="110"/>
        <v>0.38329073412833403</v>
      </c>
      <c r="AB343">
        <f t="shared" si="111"/>
        <v>-2.0594546923348696E-3</v>
      </c>
      <c r="AC343" s="68">
        <f t="shared" si="99"/>
        <v>-6.2912113688252695E-3</v>
      </c>
      <c r="AD343">
        <f t="shared" si="100"/>
        <v>-0.57955823588732303</v>
      </c>
      <c r="AE343" s="67">
        <f t="shared" si="101"/>
        <v>3.9734004821278368E-2</v>
      </c>
      <c r="AF343" s="67">
        <f t="shared" si="102"/>
        <v>1.192020144638351E-2</v>
      </c>
      <c r="AG343" s="67">
        <f t="shared" si="103"/>
        <v>2.7813803374894856E-2</v>
      </c>
    </row>
    <row r="344" spans="4:33" x14ac:dyDescent="0.2">
      <c r="D344" s="50">
        <v>29</v>
      </c>
      <c r="E344">
        <v>6</v>
      </c>
      <c r="F344">
        <f t="shared" si="94"/>
        <v>78</v>
      </c>
      <c r="G344">
        <f t="shared" si="104"/>
        <v>0</v>
      </c>
      <c r="H344" s="64">
        <f>IF(E344="Anual",VLOOKUP(F344,Hipotesis!$E$9:$J$38,6,FALSE),1-(1-VLOOKUP(F344,Hipotesis!$E$9:$J$38,6,FALSE))^(1/12))</f>
        <v>2.9093424797906886E-3</v>
      </c>
      <c r="I344">
        <f t="shared" si="105"/>
        <v>0.48626025150353025</v>
      </c>
      <c r="J344">
        <v>0</v>
      </c>
      <c r="K344">
        <f>1-(1-VLOOKUP(D344,Hipotesis!$D$9:$K$38,8,FALSE))^(1/12)</f>
        <v>8.3717735912058888E-4</v>
      </c>
      <c r="L344">
        <f t="shared" si="106"/>
        <v>0.13951665134403568</v>
      </c>
      <c r="M344">
        <f t="shared" si="107"/>
        <v>166.51173092968307</v>
      </c>
      <c r="N344">
        <f>IF(D344=1,(VLOOKUP(D344,'Primas Netas Y Reservas'!$D$4:$I$33,5,FALSE)+(VLOOKUP(D344,'Primas Netas Y Reservas'!$D$4:$I$33,6,FALSE)-VLOOKUP(D344,'Primas Netas Y Reservas'!$D$4:$I$33,5,FALSE))*(E344/12))/1000,((VLOOKUP(D344-1,'Primas Netas Y Reservas'!$D$4:$I$33,6,FALSE)+VLOOKUP(D344,'Primas Netas Y Reservas'!$D$4:$I$33,5,FALSE))+(VLOOKUP(D344,'Primas Netas Y Reservas'!$D$4:$I$33,6,FALSE)-VLOOKUP(D344-1,'Primas Netas Y Reservas'!$D$4:$I$33,6,FALSE)-VLOOKUP(D344,'Primas Netas Y Reservas'!$D$4:$I$33,5,FALSE))*(E344/12))/1000)</f>
        <v>0.65415885892541548</v>
      </c>
      <c r="O344">
        <f t="shared" si="108"/>
        <v>-0.24405619953725477</v>
      </c>
      <c r="P344">
        <f>VLOOKUP(D344,Hipotesis!$D$9:$S$38,15,FALSE)*N344</f>
        <v>0.65415885892541548</v>
      </c>
      <c r="Q344">
        <f t="shared" si="95"/>
        <v>9.1266053444309408E-2</v>
      </c>
      <c r="R344">
        <f t="shared" si="96"/>
        <v>0</v>
      </c>
      <c r="S344">
        <f t="shared" si="97"/>
        <v>9.1266053444309408E-2</v>
      </c>
      <c r="T344">
        <f>G344*(VLOOKUP(D344,Hipotesis!$D$9:$N$38,9,FALSE)+VLOOKUP(D344,Hipotesis!$D$9:$N$38,10,FALSE)+VLOOKUP(D344,Hipotesis!$D$9:$N$38,11,FALSE))</f>
        <v>0</v>
      </c>
      <c r="U344">
        <v>0</v>
      </c>
      <c r="V344">
        <f>G344*VLOOKUP(D344,Hipotesis!$D$9:$S$38,16,FALSE)+((VLOOKUP(D344,Hipotesis!$D$9:$T$38,17,FALSE)/$B$4)*M343)/12</f>
        <v>6.267656543719898E-3</v>
      </c>
      <c r="W344">
        <f>(1+VLOOKUP(D344,Hipotesis!$D$9:$P$38,13,FALSE))^(1/12)-1</f>
        <v>0</v>
      </c>
      <c r="X344">
        <f t="shared" si="109"/>
        <v>0</v>
      </c>
      <c r="Y344">
        <f t="shared" si="98"/>
        <v>0.38038250556278896</v>
      </c>
      <c r="Z344">
        <f>(1+VLOOKUP(D344,Hipotesis!$D$9:$O$38,12,))^(1/12)-1</f>
        <v>3.5031382879180395E-3</v>
      </c>
      <c r="AA344">
        <f t="shared" si="110"/>
        <v>0.38243473467661793</v>
      </c>
      <c r="AB344">
        <f t="shared" si="111"/>
        <v>-2.0522291138289411E-3</v>
      </c>
      <c r="AC344" s="68">
        <f t="shared" si="99"/>
        <v>-6.267656543719898E-3</v>
      </c>
      <c r="AD344">
        <f t="shared" si="100"/>
        <v>-0.57752630494783963</v>
      </c>
      <c r="AE344" s="67">
        <f t="shared" si="101"/>
        <v>4.0644743608484177E-2</v>
      </c>
      <c r="AF344" s="67">
        <f t="shared" si="102"/>
        <v>1.2193423082545252E-2</v>
      </c>
      <c r="AG344" s="67">
        <f t="shared" si="103"/>
        <v>2.8451320525938927E-2</v>
      </c>
    </row>
    <row r="345" spans="4:33" x14ac:dyDescent="0.2">
      <c r="D345" s="50">
        <v>29</v>
      </c>
      <c r="E345">
        <v>7</v>
      </c>
      <c r="F345">
        <f t="shared" si="94"/>
        <v>78</v>
      </c>
      <c r="G345">
        <f t="shared" si="104"/>
        <v>0</v>
      </c>
      <c r="H345" s="64">
        <f>IF(E345="Anual",VLOOKUP(F345,Hipotesis!$E$9:$J$38,6,FALSE),1-(1-VLOOKUP(F345,Hipotesis!$E$9:$J$38,6,FALSE))^(1/12))</f>
        <v>2.9093424797906886E-3</v>
      </c>
      <c r="I345">
        <f t="shared" si="105"/>
        <v>0.48443965217720408</v>
      </c>
      <c r="J345">
        <v>0</v>
      </c>
      <c r="K345">
        <f>1-(1-VLOOKUP(D345,Hipotesis!$D$9:$K$38,8,FALSE))^(1/12)</f>
        <v>8.3717735912058888E-4</v>
      </c>
      <c r="L345">
        <f t="shared" si="106"/>
        <v>0.13899428925364715</v>
      </c>
      <c r="M345">
        <f t="shared" si="107"/>
        <v>165.88829698825222</v>
      </c>
      <c r="N345">
        <f>IF(D345=1,(VLOOKUP(D345,'Primas Netas Y Reservas'!$D$4:$I$33,5,FALSE)+(VLOOKUP(D345,'Primas Netas Y Reservas'!$D$4:$I$33,6,FALSE)-VLOOKUP(D345,'Primas Netas Y Reservas'!$D$4:$I$33,5,FALSE))*(E345/12))/1000,((VLOOKUP(D345-1,'Primas Netas Y Reservas'!$D$4:$I$33,6,FALSE)+VLOOKUP(D345,'Primas Netas Y Reservas'!$D$4:$I$33,5,FALSE))+(VLOOKUP(D345,'Primas Netas Y Reservas'!$D$4:$I$33,6,FALSE)-VLOOKUP(D345-1,'Primas Netas Y Reservas'!$D$4:$I$33,6,FALSE)-VLOOKUP(D345,'Primas Netas Y Reservas'!$D$4:$I$33,5,FALSE))*(E345/12))/1000)</f>
        <v>0.65514787274592201</v>
      </c>
      <c r="O345">
        <f t="shared" si="108"/>
        <v>-0.24375901736010519</v>
      </c>
      <c r="P345">
        <f>VLOOKUP(D345,Hipotesis!$D$9:$S$38,15,FALSE)*N345</f>
        <v>0.65514787274592201</v>
      </c>
      <c r="Q345">
        <f t="shared" si="95"/>
        <v>9.1061812928358299E-2</v>
      </c>
      <c r="R345">
        <f t="shared" si="96"/>
        <v>0</v>
      </c>
      <c r="S345">
        <f t="shared" si="97"/>
        <v>9.1061812928358299E-2</v>
      </c>
      <c r="T345">
        <f>G345*(VLOOKUP(D345,Hipotesis!$D$9:$N$38,9,FALSE)+VLOOKUP(D345,Hipotesis!$D$9:$N$38,10,FALSE)+VLOOKUP(D345,Hipotesis!$D$9:$N$38,11,FALSE))</f>
        <v>0</v>
      </c>
      <c r="U345">
        <v>0</v>
      </c>
      <c r="V345">
        <f>G345*VLOOKUP(D345,Hipotesis!$D$9:$S$38,16,FALSE)+((VLOOKUP(D345,Hipotesis!$D$9:$T$38,17,FALSE)/$B$4)*M344)/12</f>
        <v>6.2441899098631152E-3</v>
      </c>
      <c r="W345">
        <f>(1+VLOOKUP(D345,Hipotesis!$D$9:$P$38,13,FALSE))^(1/12)-1</f>
        <v>0</v>
      </c>
      <c r="X345">
        <f t="shared" si="109"/>
        <v>0</v>
      </c>
      <c r="Y345">
        <f t="shared" si="98"/>
        <v>0.3795347432877223</v>
      </c>
      <c r="Z345">
        <f>(1+VLOOKUP(D345,Hipotesis!$D$9:$O$38,12,))^(1/12)-1</f>
        <v>3.5031382879180395E-3</v>
      </c>
      <c r="AA345">
        <f t="shared" si="110"/>
        <v>0.38157977205961519</v>
      </c>
      <c r="AB345">
        <f t="shared" si="111"/>
        <v>-2.0450287718928794E-3</v>
      </c>
      <c r="AC345" s="68">
        <f t="shared" si="99"/>
        <v>-6.2441899098631152E-3</v>
      </c>
      <c r="AD345">
        <f t="shared" si="100"/>
        <v>-0.57550146510556233</v>
      </c>
      <c r="AE345" s="67">
        <f t="shared" si="101"/>
        <v>4.1548105632401994E-2</v>
      </c>
      <c r="AF345" s="67">
        <f t="shared" si="102"/>
        <v>1.2464431689720598E-2</v>
      </c>
      <c r="AG345" s="67">
        <f t="shared" si="103"/>
        <v>2.9083673942681396E-2</v>
      </c>
    </row>
    <row r="346" spans="4:33" x14ac:dyDescent="0.2">
      <c r="D346" s="50">
        <v>29</v>
      </c>
      <c r="E346">
        <v>8</v>
      </c>
      <c r="F346">
        <f t="shared" si="94"/>
        <v>78</v>
      </c>
      <c r="G346">
        <f t="shared" si="104"/>
        <v>0</v>
      </c>
      <c r="H346" s="64">
        <f>IF(E346="Anual",VLOOKUP(F346,Hipotesis!$E$9:$J$38,6,FALSE),1-(1-VLOOKUP(F346,Hipotesis!$E$9:$J$38,6,FALSE))^(1/12))</f>
        <v>2.9093424797906886E-3</v>
      </c>
      <c r="I346">
        <f t="shared" si="105"/>
        <v>0.48262586932805596</v>
      </c>
      <c r="J346">
        <v>0</v>
      </c>
      <c r="K346">
        <f>1-(1-VLOOKUP(D346,Hipotesis!$D$9:$K$38,8,FALSE))^(1/12)</f>
        <v>8.3717735912058888E-4</v>
      </c>
      <c r="L346">
        <f t="shared" si="106"/>
        <v>0.13847388293090959</v>
      </c>
      <c r="M346">
        <f t="shared" si="107"/>
        <v>165.26719723599328</v>
      </c>
      <c r="N346">
        <f>IF(D346=1,(VLOOKUP(D346,'Primas Netas Y Reservas'!$D$4:$I$33,5,FALSE)+(VLOOKUP(D346,'Primas Netas Y Reservas'!$D$4:$I$33,6,FALSE)-VLOOKUP(D346,'Primas Netas Y Reservas'!$D$4:$I$33,5,FALSE))*(E346/12))/1000,((VLOOKUP(D346-1,'Primas Netas Y Reservas'!$D$4:$I$33,6,FALSE)+VLOOKUP(D346,'Primas Netas Y Reservas'!$D$4:$I$33,5,FALSE))+(VLOOKUP(D346,'Primas Netas Y Reservas'!$D$4:$I$33,6,FALSE)-VLOOKUP(D346-1,'Primas Netas Y Reservas'!$D$4:$I$33,6,FALSE)-VLOOKUP(D346,'Primas Netas Y Reservas'!$D$4:$I$33,5,FALSE))*(E346/12))/1000)</f>
        <v>0.65613688656642832</v>
      </c>
      <c r="O346">
        <f t="shared" si="108"/>
        <v>-0.24346063931272965</v>
      </c>
      <c r="P346">
        <f>VLOOKUP(D346,Hipotesis!$D$9:$S$38,15,FALSE)*N346</f>
        <v>0.65613688656642832</v>
      </c>
      <c r="Q346">
        <f t="shared" si="95"/>
        <v>9.0857822417051107E-2</v>
      </c>
      <c r="R346">
        <f t="shared" si="96"/>
        <v>0</v>
      </c>
      <c r="S346">
        <f t="shared" si="97"/>
        <v>9.0857822417051107E-2</v>
      </c>
      <c r="T346">
        <f>G346*(VLOOKUP(D346,Hipotesis!$D$9:$N$38,9,FALSE)+VLOOKUP(D346,Hipotesis!$D$9:$N$38,10,FALSE)+VLOOKUP(D346,Hipotesis!$D$9:$N$38,11,FALSE))</f>
        <v>0</v>
      </c>
      <c r="U346">
        <v>0</v>
      </c>
      <c r="V346">
        <f>G346*VLOOKUP(D346,Hipotesis!$D$9:$S$38,16,FALSE)+((VLOOKUP(D346,Hipotesis!$D$9:$T$38,17,FALSE)/$B$4)*M345)/12</f>
        <v>6.2208111370594581E-3</v>
      </c>
      <c r="W346">
        <f>(1+VLOOKUP(D346,Hipotesis!$D$9:$P$38,13,FALSE))^(1/12)-1</f>
        <v>0</v>
      </c>
      <c r="X346">
        <f t="shared" si="109"/>
        <v>0</v>
      </c>
      <c r="Y346">
        <f t="shared" si="98"/>
        <v>0.37868799693403538</v>
      </c>
      <c r="Z346">
        <f>(1+VLOOKUP(D346,Hipotesis!$D$9:$O$38,12,))^(1/12)-1</f>
        <v>3.5031382879180395E-3</v>
      </c>
      <c r="AA346">
        <f t="shared" si="110"/>
        <v>0.38072585051287572</v>
      </c>
      <c r="AB346">
        <f t="shared" si="111"/>
        <v>-2.0378535788403629E-3</v>
      </c>
      <c r="AC346" s="68">
        <f t="shared" si="99"/>
        <v>-6.2208111370594581E-3</v>
      </c>
      <c r="AD346">
        <f t="shared" si="100"/>
        <v>-0.57348369174510705</v>
      </c>
      <c r="AE346" s="67">
        <f t="shared" si="101"/>
        <v>4.244413336459852E-2</v>
      </c>
      <c r="AF346" s="67">
        <f t="shared" si="102"/>
        <v>1.2733240009379556E-2</v>
      </c>
      <c r="AG346" s="67">
        <f t="shared" si="103"/>
        <v>2.9710893355218964E-2</v>
      </c>
    </row>
    <row r="347" spans="4:33" x14ac:dyDescent="0.2">
      <c r="D347" s="50">
        <v>29</v>
      </c>
      <c r="E347">
        <v>9</v>
      </c>
      <c r="F347">
        <f t="shared" si="94"/>
        <v>78</v>
      </c>
      <c r="G347">
        <f t="shared" si="104"/>
        <v>0</v>
      </c>
      <c r="H347" s="64">
        <f>IF(E347="Anual",VLOOKUP(F347,Hipotesis!$E$9:$J$38,6,FALSE),1-(1-VLOOKUP(F347,Hipotesis!$E$9:$J$38,6,FALSE))^(1/12))</f>
        <v>2.9093424797906886E-3</v>
      </c>
      <c r="I347">
        <f t="shared" si="105"/>
        <v>0.48081887743462154</v>
      </c>
      <c r="J347">
        <v>0</v>
      </c>
      <c r="K347">
        <f>1-(1-VLOOKUP(D347,Hipotesis!$D$9:$K$38,8,FALSE))^(1/12)</f>
        <v>8.3717735912058888E-4</v>
      </c>
      <c r="L347">
        <f t="shared" si="106"/>
        <v>0.1379554250532643</v>
      </c>
      <c r="M347">
        <f t="shared" si="107"/>
        <v>164.6484229335054</v>
      </c>
      <c r="N347">
        <f>IF(D347=1,(VLOOKUP(D347,'Primas Netas Y Reservas'!$D$4:$I$33,5,FALSE)+(VLOOKUP(D347,'Primas Netas Y Reservas'!$D$4:$I$33,6,FALSE)-VLOOKUP(D347,'Primas Netas Y Reservas'!$D$4:$I$33,5,FALSE))*(E347/12))/1000,((VLOOKUP(D347-1,'Primas Netas Y Reservas'!$D$4:$I$33,6,FALSE)+VLOOKUP(D347,'Primas Netas Y Reservas'!$D$4:$I$33,5,FALSE))+(VLOOKUP(D347,'Primas Netas Y Reservas'!$D$4:$I$33,6,FALSE)-VLOOKUP(D347-1,'Primas Netas Y Reservas'!$D$4:$I$33,6,FALSE)-VLOOKUP(D347,'Primas Netas Y Reservas'!$D$4:$I$33,5,FALSE))*(E347/12))/1000)</f>
        <v>0.65712590038693475</v>
      </c>
      <c r="O347">
        <f t="shared" si="108"/>
        <v>-0.24316107851588242</v>
      </c>
      <c r="P347">
        <f>VLOOKUP(D347,Hipotesis!$D$9:$S$38,15,FALSE)*N347</f>
        <v>0.65712590038693475</v>
      </c>
      <c r="Q347">
        <f t="shared" si="95"/>
        <v>9.06540829013886E-2</v>
      </c>
      <c r="R347">
        <f t="shared" si="96"/>
        <v>0</v>
      </c>
      <c r="S347">
        <f t="shared" si="97"/>
        <v>9.06540829013886E-2</v>
      </c>
      <c r="T347">
        <f>G347*(VLOOKUP(D347,Hipotesis!$D$9:$N$38,9,FALSE)+VLOOKUP(D347,Hipotesis!$D$9:$N$38,10,FALSE)+VLOOKUP(D347,Hipotesis!$D$9:$N$38,11,FALSE))</f>
        <v>0</v>
      </c>
      <c r="U347">
        <v>0</v>
      </c>
      <c r="V347">
        <f>G347*VLOOKUP(D347,Hipotesis!$D$9:$S$38,16,FALSE)+((VLOOKUP(D347,Hipotesis!$D$9:$T$38,17,FALSE)/$B$4)*M346)/12</f>
        <v>6.1975198963497473E-3</v>
      </c>
      <c r="W347">
        <f>(1+VLOOKUP(D347,Hipotesis!$D$9:$P$38,13,FALSE))^(1/12)-1</f>
        <v>0</v>
      </c>
      <c r="X347">
        <f t="shared" si="109"/>
        <v>0</v>
      </c>
      <c r="Y347">
        <f t="shared" si="98"/>
        <v>0.37784227077841037</v>
      </c>
      <c r="Z347">
        <f>(1+VLOOKUP(D347,Hipotesis!$D$9:$O$38,12,))^(1/12)-1</f>
        <v>3.5031382879180395E-3</v>
      </c>
      <c r="AA347">
        <f t="shared" si="110"/>
        <v>0.37987297422569827</v>
      </c>
      <c r="AB347">
        <f t="shared" si="111"/>
        <v>-2.0307034472879077E-3</v>
      </c>
      <c r="AC347" s="68">
        <f t="shared" si="99"/>
        <v>-6.1975198963497473E-3</v>
      </c>
      <c r="AD347">
        <f t="shared" si="100"/>
        <v>-0.57147296033601014</v>
      </c>
      <c r="AE347" s="67">
        <f t="shared" si="101"/>
        <v>4.3332869061932906E-2</v>
      </c>
      <c r="AF347" s="67">
        <f t="shared" si="102"/>
        <v>1.2999860718579871E-2</v>
      </c>
      <c r="AG347" s="67">
        <f t="shared" si="103"/>
        <v>3.0333008343353035E-2</v>
      </c>
    </row>
    <row r="348" spans="4:33" x14ac:dyDescent="0.2">
      <c r="D348" s="50">
        <v>29</v>
      </c>
      <c r="E348">
        <v>10</v>
      </c>
      <c r="F348">
        <f t="shared" si="94"/>
        <v>78</v>
      </c>
      <c r="G348">
        <f t="shared" si="104"/>
        <v>0</v>
      </c>
      <c r="H348" s="64">
        <f>IF(E348="Anual",VLOOKUP(F348,Hipotesis!$E$9:$J$38,6,FALSE),1-(1-VLOOKUP(F348,Hipotesis!$E$9:$J$38,6,FALSE))^(1/12))</f>
        <v>2.9093424797906886E-3</v>
      </c>
      <c r="I348">
        <f t="shared" si="105"/>
        <v>0.47901865107099068</v>
      </c>
      <c r="J348">
        <v>0</v>
      </c>
      <c r="K348">
        <f>1-(1-VLOOKUP(D348,Hipotesis!$D$9:$K$38,8,FALSE))^(1/12)</f>
        <v>8.3717735912058888E-4</v>
      </c>
      <c r="L348">
        <f t="shared" si="106"/>
        <v>0.13743890832556874</v>
      </c>
      <c r="M348">
        <f t="shared" si="107"/>
        <v>164.03196537410884</v>
      </c>
      <c r="N348">
        <f>IF(D348=1,(VLOOKUP(D348,'Primas Netas Y Reservas'!$D$4:$I$33,5,FALSE)+(VLOOKUP(D348,'Primas Netas Y Reservas'!$D$4:$I$33,6,FALSE)-VLOOKUP(D348,'Primas Netas Y Reservas'!$D$4:$I$33,5,FALSE))*(E348/12))/1000,((VLOOKUP(D348-1,'Primas Netas Y Reservas'!$D$4:$I$33,6,FALSE)+VLOOKUP(D348,'Primas Netas Y Reservas'!$D$4:$I$33,5,FALSE))+(VLOOKUP(D348,'Primas Netas Y Reservas'!$D$4:$I$33,6,FALSE)-VLOOKUP(D348-1,'Primas Netas Y Reservas'!$D$4:$I$33,6,FALSE)-VLOOKUP(D348,'Primas Netas Y Reservas'!$D$4:$I$33,5,FALSE))*(E348/12))/1000)</f>
        <v>0.65811491420744117</v>
      </c>
      <c r="O348">
        <f t="shared" si="108"/>
        <v>-0.24286034800897482</v>
      </c>
      <c r="P348">
        <f>VLOOKUP(D348,Hipotesis!$D$9:$S$38,15,FALSE)*N348</f>
        <v>0.65811491420744117</v>
      </c>
      <c r="Q348">
        <f t="shared" si="95"/>
        <v>9.0450595361446048E-2</v>
      </c>
      <c r="R348">
        <f t="shared" si="96"/>
        <v>0</v>
      </c>
      <c r="S348">
        <f t="shared" si="97"/>
        <v>9.0450595361446048E-2</v>
      </c>
      <c r="T348">
        <f>G348*(VLOOKUP(D348,Hipotesis!$D$9:$N$38,9,FALSE)+VLOOKUP(D348,Hipotesis!$D$9:$N$38,10,FALSE)+VLOOKUP(D348,Hipotesis!$D$9:$N$38,11,FALSE))</f>
        <v>0</v>
      </c>
      <c r="U348">
        <v>0</v>
      </c>
      <c r="V348">
        <f>G348*VLOOKUP(D348,Hipotesis!$D$9:$S$38,16,FALSE)+((VLOOKUP(D348,Hipotesis!$D$9:$T$38,17,FALSE)/$B$4)*M347)/12</f>
        <v>6.174315860006452E-3</v>
      </c>
      <c r="W348">
        <f>(1+VLOOKUP(D348,Hipotesis!$D$9:$P$38,13,FALSE))^(1/12)-1</f>
        <v>0</v>
      </c>
      <c r="X348">
        <f t="shared" si="109"/>
        <v>0</v>
      </c>
      <c r="Y348">
        <f t="shared" si="98"/>
        <v>0.37699756905126403</v>
      </c>
      <c r="Z348">
        <f>(1+VLOOKUP(D348,Hipotesis!$D$9:$O$38,12,))^(1/12)-1</f>
        <v>3.5031382879180395E-3</v>
      </c>
      <c r="AA348">
        <f t="shared" si="110"/>
        <v>0.37902114734141784</v>
      </c>
      <c r="AB348">
        <f t="shared" si="111"/>
        <v>-2.0235782901538327E-3</v>
      </c>
      <c r="AC348" s="68">
        <f t="shared" si="99"/>
        <v>-6.174315860006452E-3</v>
      </c>
      <c r="AD348">
        <f t="shared" si="100"/>
        <v>-0.56946924643243668</v>
      </c>
      <c r="AE348" s="67">
        <f t="shared" si="101"/>
        <v>4.4214354767795658E-2</v>
      </c>
      <c r="AF348" s="67">
        <f t="shared" si="102"/>
        <v>1.3264306430338697E-2</v>
      </c>
      <c r="AG348" s="67">
        <f t="shared" si="103"/>
        <v>3.0950048337456959E-2</v>
      </c>
    </row>
    <row r="349" spans="4:33" x14ac:dyDescent="0.2">
      <c r="D349" s="50">
        <v>29</v>
      </c>
      <c r="E349">
        <v>11</v>
      </c>
      <c r="F349">
        <f t="shared" si="94"/>
        <v>78</v>
      </c>
      <c r="G349">
        <f t="shared" si="104"/>
        <v>0</v>
      </c>
      <c r="H349" s="64">
        <f>IF(E349="Anual",VLOOKUP(F349,Hipotesis!$E$9:$J$38,6,FALSE),1-(1-VLOOKUP(F349,Hipotesis!$E$9:$J$38,6,FALSE))^(1/12))</f>
        <v>2.9093424797906886E-3</v>
      </c>
      <c r="I349">
        <f t="shared" si="105"/>
        <v>0.47722516490645017</v>
      </c>
      <c r="J349">
        <v>0</v>
      </c>
      <c r="K349">
        <f>1-(1-VLOOKUP(D349,Hipotesis!$D$9:$K$38,8,FALSE))^(1/12)</f>
        <v>8.3717735912058888E-4</v>
      </c>
      <c r="L349">
        <f t="shared" si="106"/>
        <v>0.13692432547999403</v>
      </c>
      <c r="M349">
        <f t="shared" si="107"/>
        <v>163.4178158837224</v>
      </c>
      <c r="N349">
        <f>IF(D349=1,(VLOOKUP(D349,'Primas Netas Y Reservas'!$D$4:$I$33,5,FALSE)+(VLOOKUP(D349,'Primas Netas Y Reservas'!$D$4:$I$33,6,FALSE)-VLOOKUP(D349,'Primas Netas Y Reservas'!$D$4:$I$33,5,FALSE))*(E349/12))/1000,((VLOOKUP(D349-1,'Primas Netas Y Reservas'!$D$4:$I$33,6,FALSE)+VLOOKUP(D349,'Primas Netas Y Reservas'!$D$4:$I$33,5,FALSE))+(VLOOKUP(D349,'Primas Netas Y Reservas'!$D$4:$I$33,6,FALSE)-VLOOKUP(D349-1,'Primas Netas Y Reservas'!$D$4:$I$33,6,FALSE)-VLOOKUP(D349,'Primas Netas Y Reservas'!$D$4:$I$33,5,FALSE))*(E349/12))/1000)</f>
        <v>0.65910392802794748</v>
      </c>
      <c r="O349">
        <f t="shared" si="108"/>
        <v>-0.24255846075026</v>
      </c>
      <c r="P349">
        <f>VLOOKUP(D349,Hipotesis!$D$9:$S$38,15,FALSE)*N349</f>
        <v>0.65910392802794748</v>
      </c>
      <c r="Q349">
        <f t="shared" si="95"/>
        <v>9.0247360766441242E-2</v>
      </c>
      <c r="R349">
        <f t="shared" si="96"/>
        <v>0</v>
      </c>
      <c r="S349">
        <f t="shared" si="97"/>
        <v>9.0247360766441242E-2</v>
      </c>
      <c r="T349">
        <f>G349*(VLOOKUP(D349,Hipotesis!$D$9:$N$38,9,FALSE)+VLOOKUP(D349,Hipotesis!$D$9:$N$38,10,FALSE)+VLOOKUP(D349,Hipotesis!$D$9:$N$38,11,FALSE))</f>
        <v>0</v>
      </c>
      <c r="U349">
        <v>0</v>
      </c>
      <c r="V349">
        <f>G349*VLOOKUP(D349,Hipotesis!$D$9:$S$38,16,FALSE)+((VLOOKUP(D349,Hipotesis!$D$9:$T$38,17,FALSE)/$B$4)*M348)/12</f>
        <v>6.1511987015290814E-3</v>
      </c>
      <c r="W349">
        <f>(1+VLOOKUP(D349,Hipotesis!$D$9:$P$38,13,FALSE))^(1/12)-1</f>
        <v>0</v>
      </c>
      <c r="X349">
        <f t="shared" si="109"/>
        <v>0</v>
      </c>
      <c r="Y349">
        <f t="shared" si="98"/>
        <v>0.3761538959370333</v>
      </c>
      <c r="Z349">
        <f>(1+VLOOKUP(D349,Hipotesis!$D$9:$O$38,12,))^(1/12)-1</f>
        <v>3.5031382879180395E-3</v>
      </c>
      <c r="AA349">
        <f t="shared" si="110"/>
        <v>0.37817037395769054</v>
      </c>
      <c r="AB349">
        <f t="shared" si="111"/>
        <v>-2.0164780206572202E-3</v>
      </c>
      <c r="AC349" s="68">
        <f t="shared" si="99"/>
        <v>-6.1511987015290814E-3</v>
      </c>
      <c r="AD349">
        <f t="shared" si="100"/>
        <v>-0.56747252567289141</v>
      </c>
      <c r="AE349" s="67">
        <f t="shared" si="101"/>
        <v>4.5088632312872801E-2</v>
      </c>
      <c r="AF349" s="67">
        <f t="shared" si="102"/>
        <v>1.352658969386184E-2</v>
      </c>
      <c r="AG349" s="67">
        <f t="shared" si="103"/>
        <v>3.1562042619010959E-2</v>
      </c>
    </row>
    <row r="350" spans="4:33" x14ac:dyDescent="0.2">
      <c r="D350" s="50">
        <v>29</v>
      </c>
      <c r="E350">
        <v>12</v>
      </c>
      <c r="F350">
        <f t="shared" si="94"/>
        <v>78</v>
      </c>
      <c r="G350">
        <f t="shared" si="104"/>
        <v>0</v>
      </c>
      <c r="H350" s="64">
        <f>IF(E350="Anual",VLOOKUP(F350,Hipotesis!$E$9:$J$38,6,FALSE),1-(1-VLOOKUP(F350,Hipotesis!$E$9:$J$38,6,FALSE))^(1/12))</f>
        <v>2.9093424797906886E-3</v>
      </c>
      <c r="I350">
        <f t="shared" si="105"/>
        <v>0.47543839370512708</v>
      </c>
      <c r="J350">
        <v>0</v>
      </c>
      <c r="K350">
        <f>1-(1-VLOOKUP(D350,Hipotesis!$D$9:$K$38,8,FALSE))^(1/12)</f>
        <v>8.3717735912058888E-4</v>
      </c>
      <c r="L350">
        <f t="shared" si="106"/>
        <v>0.13641166927592274</v>
      </c>
      <c r="M350">
        <f t="shared" si="107"/>
        <v>162.80596582074133</v>
      </c>
      <c r="N350">
        <f>IF(D350=1,(VLOOKUP(D350,'Primas Netas Y Reservas'!$D$4:$I$33,5,FALSE)+(VLOOKUP(D350,'Primas Netas Y Reservas'!$D$4:$I$33,6,FALSE)-VLOOKUP(D350,'Primas Netas Y Reservas'!$D$4:$I$33,5,FALSE))*(E350/12))/1000,((VLOOKUP(D350-1,'Primas Netas Y Reservas'!$D$4:$I$33,6,FALSE)+VLOOKUP(D350,'Primas Netas Y Reservas'!$D$4:$I$33,5,FALSE))+(VLOOKUP(D350,'Primas Netas Y Reservas'!$D$4:$I$33,6,FALSE)-VLOOKUP(D350-1,'Primas Netas Y Reservas'!$D$4:$I$33,6,FALSE)-VLOOKUP(D350,'Primas Netas Y Reservas'!$D$4:$I$33,5,FALSE))*(E350/12))/1000)</f>
        <v>0.66009294184845391</v>
      </c>
      <c r="O350">
        <f t="shared" si="108"/>
        <v>-0.24225542961735869</v>
      </c>
      <c r="P350">
        <f>VLOOKUP(D350,Hipotesis!$D$9:$S$38,15,FALSE)*N350</f>
        <v>0.66009294184845391</v>
      </c>
      <c r="Q350">
        <f t="shared" si="95"/>
        <v>9.0044380074802199E-2</v>
      </c>
      <c r="R350">
        <f t="shared" si="96"/>
        <v>0</v>
      </c>
      <c r="S350">
        <f t="shared" si="97"/>
        <v>9.0044380074802199E-2</v>
      </c>
      <c r="T350">
        <f>G350*(VLOOKUP(D350,Hipotesis!$D$9:$N$38,9,FALSE)+VLOOKUP(D350,Hipotesis!$D$9:$N$38,10,FALSE)+VLOOKUP(D350,Hipotesis!$D$9:$N$38,11,FALSE))</f>
        <v>0</v>
      </c>
      <c r="U350">
        <v>0</v>
      </c>
      <c r="V350">
        <f>G350*VLOOKUP(D350,Hipotesis!$D$9:$S$38,16,FALSE)+((VLOOKUP(D350,Hipotesis!$D$9:$T$38,17,FALSE)/$B$4)*M349)/12</f>
        <v>6.1281680956395898E-3</v>
      </c>
      <c r="W350">
        <f>(1+VLOOKUP(D350,Hipotesis!$D$9:$P$38,13,FALSE))^(1/12)-1</f>
        <v>0</v>
      </c>
      <c r="X350">
        <f t="shared" si="109"/>
        <v>0</v>
      </c>
      <c r="Y350">
        <f t="shared" si="98"/>
        <v>0.37531125557446093</v>
      </c>
      <c r="Z350">
        <f>(1+VLOOKUP(D350,Hipotesis!$D$9:$O$38,12,))^(1/12)-1</f>
        <v>3.5031382879180395E-3</v>
      </c>
      <c r="AA350">
        <f t="shared" si="110"/>
        <v>0.37732065812677784</v>
      </c>
      <c r="AB350">
        <f t="shared" si="111"/>
        <v>-2.009402552316891E-3</v>
      </c>
      <c r="AC350" s="68">
        <f t="shared" si="99"/>
        <v>-6.1281680956395898E-3</v>
      </c>
      <c r="AD350">
        <f t="shared" si="100"/>
        <v>-0.56548277377992928</v>
      </c>
      <c r="AE350" s="67">
        <f t="shared" si="101"/>
        <v>4.5955743316250748E-2</v>
      </c>
      <c r="AF350" s="67">
        <f t="shared" si="102"/>
        <v>1.3786722994875223E-2</v>
      </c>
      <c r="AG350" s="67">
        <f t="shared" si="103"/>
        <v>3.2169020321375523E-2</v>
      </c>
    </row>
    <row r="351" spans="4:33" x14ac:dyDescent="0.2">
      <c r="D351" s="50">
        <v>30</v>
      </c>
      <c r="E351">
        <v>1</v>
      </c>
      <c r="F351">
        <f t="shared" si="94"/>
        <v>79</v>
      </c>
      <c r="G351">
        <f t="shared" si="104"/>
        <v>0</v>
      </c>
      <c r="H351" s="64">
        <f>IF(E351="Anual",VLOOKUP(F351,Hipotesis!$E$9:$J$38,6,FALSE),1-(1-VLOOKUP(F351,Hipotesis!$E$9:$J$38,6,FALSE))^(1/12))</f>
        <v>3.1254907215992889E-3</v>
      </c>
      <c r="I351">
        <f t="shared" si="105"/>
        <v>0.50884853559373799</v>
      </c>
      <c r="J351">
        <v>0</v>
      </c>
      <c r="K351">
        <f>1-(1-VLOOKUP(D351,Hipotesis!$D$9:$K$38,8,FALSE))^(1/12)</f>
        <v>8.3717735912058888E-4</v>
      </c>
      <c r="L351">
        <f t="shared" si="106"/>
        <v>0.13587147204166436</v>
      </c>
      <c r="M351">
        <f t="shared" si="107"/>
        <v>162.16124581310595</v>
      </c>
      <c r="N351">
        <f>IF(D351=1,(VLOOKUP(D351,'Primas Netas Y Reservas'!$D$4:$I$33,5,FALSE)+(VLOOKUP(D351,'Primas Netas Y Reservas'!$D$4:$I$33,6,FALSE)-VLOOKUP(D351,'Primas Netas Y Reservas'!$D$4:$I$33,5,FALSE))*(E351/12))/1000,((VLOOKUP(D351-1,'Primas Netas Y Reservas'!$D$4:$I$33,6,FALSE)+VLOOKUP(D351,'Primas Netas Y Reservas'!$D$4:$I$33,5,FALSE))+(VLOOKUP(D351,'Primas Netas Y Reservas'!$D$4:$I$33,6,FALSE)-VLOOKUP(D351-1,'Primas Netas Y Reservas'!$D$4:$I$33,6,FALSE)-VLOOKUP(D351,'Primas Netas Y Reservas'!$D$4:$I$33,5,FALSE))*(E351/12))/1000)</f>
        <v>0.66107480337430091</v>
      </c>
      <c r="O351">
        <f t="shared" si="108"/>
        <v>-0.26635523826128349</v>
      </c>
      <c r="P351">
        <f>VLOOKUP(D351,Hipotesis!$D$9:$S$38,15,FALSE)*N351</f>
        <v>0.66107480337430091</v>
      </c>
      <c r="Q351">
        <f t="shared" si="95"/>
        <v>8.9821206664120093E-2</v>
      </c>
      <c r="R351">
        <f t="shared" si="96"/>
        <v>0</v>
      </c>
      <c r="S351">
        <f t="shared" si="97"/>
        <v>8.9821206664120093E-2</v>
      </c>
      <c r="T351">
        <f>G351*(VLOOKUP(D351,Hipotesis!$D$9:$N$38,9,FALSE)+VLOOKUP(D351,Hipotesis!$D$9:$N$38,10,FALSE)+VLOOKUP(D351,Hipotesis!$D$9:$N$38,11,FALSE))</f>
        <v>0</v>
      </c>
      <c r="U351">
        <v>0</v>
      </c>
      <c r="V351">
        <f>G351*VLOOKUP(D351,Hipotesis!$D$9:$S$38,16,FALSE)+((VLOOKUP(D351,Hipotesis!$D$9:$T$38,17,FALSE)/$B$4)*M350)/12</f>
        <v>6.1052237182777991E-3</v>
      </c>
      <c r="W351">
        <f>(1+VLOOKUP(D351,Hipotesis!$D$9:$P$38,13,FALSE))^(1/12)-1</f>
        <v>0</v>
      </c>
      <c r="X351">
        <f t="shared" si="109"/>
        <v>0</v>
      </c>
      <c r="Y351">
        <f t="shared" si="98"/>
        <v>0.39925993165461177</v>
      </c>
      <c r="Z351">
        <f>(1+VLOOKUP(D351,Hipotesis!$D$9:$O$38,12,))^(1/12)-1</f>
        <v>3.735049678200264E-3</v>
      </c>
      <c r="AA351">
        <f t="shared" si="110"/>
        <v>0.4013948412207306</v>
      </c>
      <c r="AB351">
        <f t="shared" si="111"/>
        <v>-2.1349095661188119E-3</v>
      </c>
      <c r="AC351" s="68">
        <f t="shared" si="99"/>
        <v>-6.1052237182777991E-3</v>
      </c>
      <c r="AD351">
        <f t="shared" si="100"/>
        <v>-0.59866974225785807</v>
      </c>
      <c r="AE351" s="67">
        <f t="shared" si="101"/>
        <v>6.0840203939759384E-2</v>
      </c>
      <c r="AF351" s="67">
        <f t="shared" si="102"/>
        <v>1.8252061181927813E-2</v>
      </c>
      <c r="AG351" s="67">
        <f t="shared" si="103"/>
        <v>4.2588142757831571E-2</v>
      </c>
    </row>
    <row r="352" spans="4:33" x14ac:dyDescent="0.2">
      <c r="D352" s="50">
        <v>30</v>
      </c>
      <c r="E352">
        <v>2</v>
      </c>
      <c r="F352">
        <f t="shared" si="94"/>
        <v>79</v>
      </c>
      <c r="G352">
        <f t="shared" si="104"/>
        <v>0</v>
      </c>
      <c r="H352" s="64">
        <f>IF(E352="Anual",VLOOKUP(F352,Hipotesis!$E$9:$J$38,6,FALSE),1-(1-VLOOKUP(F352,Hipotesis!$E$9:$J$38,6,FALSE))^(1/12))</f>
        <v>3.1254907215992889E-3</v>
      </c>
      <c r="I352">
        <f t="shared" si="105"/>
        <v>0.50683346919184413</v>
      </c>
      <c r="J352">
        <v>0</v>
      </c>
      <c r="K352">
        <f>1-(1-VLOOKUP(D352,Hipotesis!$D$9:$K$38,8,FALSE))^(1/12)</f>
        <v>8.3717735912058888E-4</v>
      </c>
      <c r="L352">
        <f t="shared" si="106"/>
        <v>0.13533341401626875</v>
      </c>
      <c r="M352">
        <f t="shared" si="107"/>
        <v>161.51907892989786</v>
      </c>
      <c r="N352">
        <f>IF(D352=1,(VLOOKUP(D352,'Primas Netas Y Reservas'!$D$4:$I$33,5,FALSE)+(VLOOKUP(D352,'Primas Netas Y Reservas'!$D$4:$I$33,6,FALSE)-VLOOKUP(D352,'Primas Netas Y Reservas'!$D$4:$I$33,5,FALSE))*(E352/12))/1000,((VLOOKUP(D352-1,'Primas Netas Y Reservas'!$D$4:$I$33,6,FALSE)+VLOOKUP(D352,'Primas Netas Y Reservas'!$D$4:$I$33,5,FALSE))+(VLOOKUP(D352,'Primas Netas Y Reservas'!$D$4:$I$33,6,FALSE)-VLOOKUP(D352-1,'Primas Netas Y Reservas'!$D$4:$I$33,6,FALSE)-VLOOKUP(D352,'Primas Netas Y Reservas'!$D$4:$I$33,5,FALSE))*(E352/12))/1000)</f>
        <v>0.66205666490014803</v>
      </c>
      <c r="O352">
        <f t="shared" si="108"/>
        <v>-0.26593097675875299</v>
      </c>
      <c r="P352">
        <f>VLOOKUP(D352,Hipotesis!$D$9:$S$38,15,FALSE)*N352</f>
        <v>0.66205666490014803</v>
      </c>
      <c r="Q352">
        <f t="shared" si="95"/>
        <v>8.9598388733161838E-2</v>
      </c>
      <c r="R352">
        <f t="shared" si="96"/>
        <v>0</v>
      </c>
      <c r="S352">
        <f t="shared" si="97"/>
        <v>8.9598388733161838E-2</v>
      </c>
      <c r="T352">
        <f>G352*(VLOOKUP(D352,Hipotesis!$D$9:$N$38,9,FALSE)+VLOOKUP(D352,Hipotesis!$D$9:$N$38,10,FALSE)+VLOOKUP(D352,Hipotesis!$D$9:$N$38,11,FALSE))</f>
        <v>0</v>
      </c>
      <c r="U352">
        <v>0</v>
      </c>
      <c r="V352">
        <f>G352*VLOOKUP(D352,Hipotesis!$D$9:$S$38,16,FALSE)+((VLOOKUP(D352,Hipotesis!$D$9:$T$38,17,FALSE)/$B$4)*M351)/12</f>
        <v>6.0810467179914724E-3</v>
      </c>
      <c r="W352">
        <f>(1+VLOOKUP(D352,Hipotesis!$D$9:$P$38,13,FALSE))^(1/12)-1</f>
        <v>0</v>
      </c>
      <c r="X352">
        <f t="shared" si="109"/>
        <v>0</v>
      </c>
      <c r="Y352">
        <f t="shared" si="98"/>
        <v>0.39814121693402021</v>
      </c>
      <c r="Z352">
        <f>(1+VLOOKUP(D352,Hipotesis!$D$9:$O$38,12,))^(1/12)-1</f>
        <v>3.735049678200264E-3</v>
      </c>
      <c r="AA352">
        <f t="shared" si="110"/>
        <v>0.40039999117377584</v>
      </c>
      <c r="AB352">
        <f t="shared" si="111"/>
        <v>-2.2587742397556028E-3</v>
      </c>
      <c r="AC352" s="68">
        <f t="shared" si="99"/>
        <v>-6.0810467179914724E-3</v>
      </c>
      <c r="AD352">
        <f t="shared" si="100"/>
        <v>-0.59643185792500597</v>
      </c>
      <c r="AE352" s="67">
        <f t="shared" si="101"/>
        <v>6.1559289049775763E-2</v>
      </c>
      <c r="AF352" s="67">
        <f t="shared" si="102"/>
        <v>1.8467786714932728E-2</v>
      </c>
      <c r="AG352" s="67">
        <f t="shared" si="103"/>
        <v>4.3091502334843032E-2</v>
      </c>
    </row>
    <row r="353" spans="4:33" x14ac:dyDescent="0.2">
      <c r="D353" s="50">
        <v>30</v>
      </c>
      <c r="E353">
        <v>3</v>
      </c>
      <c r="F353">
        <f t="shared" si="94"/>
        <v>79</v>
      </c>
      <c r="G353">
        <f t="shared" si="104"/>
        <v>0</v>
      </c>
      <c r="H353" s="64">
        <f>IF(E353="Anual",VLOOKUP(F353,Hipotesis!$E$9:$J$38,6,FALSE),1-(1-VLOOKUP(F353,Hipotesis!$E$9:$J$38,6,FALSE))^(1/12))</f>
        <v>3.1254907215992889E-3</v>
      </c>
      <c r="I353">
        <f t="shared" si="105"/>
        <v>0.50482638255665901</v>
      </c>
      <c r="J353">
        <v>0</v>
      </c>
      <c r="K353">
        <f>1-(1-VLOOKUP(D353,Hipotesis!$D$9:$K$38,8,FALSE))^(1/12)</f>
        <v>8.3717735912058888E-4</v>
      </c>
      <c r="L353">
        <f t="shared" si="106"/>
        <v>0.13479748672835865</v>
      </c>
      <c r="M353">
        <f t="shared" si="107"/>
        <v>160.87945506061283</v>
      </c>
      <c r="N353">
        <f>IF(D353=1,(VLOOKUP(D353,'Primas Netas Y Reservas'!$D$4:$I$33,5,FALSE)+(VLOOKUP(D353,'Primas Netas Y Reservas'!$D$4:$I$33,6,FALSE)-VLOOKUP(D353,'Primas Netas Y Reservas'!$D$4:$I$33,5,FALSE))*(E353/12))/1000,((VLOOKUP(D353-1,'Primas Netas Y Reservas'!$D$4:$I$33,6,FALSE)+VLOOKUP(D353,'Primas Netas Y Reservas'!$D$4:$I$33,5,FALSE))+(VLOOKUP(D353,'Primas Netas Y Reservas'!$D$4:$I$33,6,FALSE)-VLOOKUP(D353-1,'Primas Netas Y Reservas'!$D$4:$I$33,6,FALSE)-VLOOKUP(D353,'Primas Netas Y Reservas'!$D$4:$I$33,5,FALSE))*(E353/12))/1000)</f>
        <v>0.66303852642599492</v>
      </c>
      <c r="O353">
        <f t="shared" si="108"/>
        <v>-0.26550589846614514</v>
      </c>
      <c r="P353">
        <f>VLOOKUP(D353,Hipotesis!$D$9:$S$38,15,FALSE)*N353</f>
        <v>0.66303852642599492</v>
      </c>
      <c r="Q353">
        <f t="shared" si="95"/>
        <v>8.9375926966298522E-2</v>
      </c>
      <c r="R353">
        <f t="shared" si="96"/>
        <v>0</v>
      </c>
      <c r="S353">
        <f t="shared" si="97"/>
        <v>8.9375926966298522E-2</v>
      </c>
      <c r="T353">
        <f>G353*(VLOOKUP(D353,Hipotesis!$D$9:$N$38,9,FALSE)+VLOOKUP(D353,Hipotesis!$D$9:$N$38,10,FALSE)+VLOOKUP(D353,Hipotesis!$D$9:$N$38,11,FALSE))</f>
        <v>0</v>
      </c>
      <c r="U353">
        <v>0</v>
      </c>
      <c r="V353">
        <f>G353*VLOOKUP(D353,Hipotesis!$D$9:$S$38,16,FALSE)+((VLOOKUP(D353,Hipotesis!$D$9:$T$38,17,FALSE)/$B$4)*M352)/12</f>
        <v>6.0569654598711699E-3</v>
      </c>
      <c r="W353">
        <f>(1+VLOOKUP(D353,Hipotesis!$D$9:$P$38,13,FALSE))^(1/12)-1</f>
        <v>0</v>
      </c>
      <c r="X353">
        <f t="shared" si="109"/>
        <v>0</v>
      </c>
      <c r="Y353">
        <f t="shared" si="98"/>
        <v>0.39715640007870662</v>
      </c>
      <c r="Z353">
        <f>(1+VLOOKUP(D353,Hipotesis!$D$9:$O$38,12,))^(1/12)-1</f>
        <v>3.735049678200264E-3</v>
      </c>
      <c r="AA353">
        <f t="shared" si="110"/>
        <v>0.39940672576460956</v>
      </c>
      <c r="AB353">
        <f t="shared" si="111"/>
        <v>-2.2503256859029413E-3</v>
      </c>
      <c r="AC353" s="68">
        <f t="shared" si="99"/>
        <v>-6.0569654598711699E-3</v>
      </c>
      <c r="AD353">
        <f t="shared" si="100"/>
        <v>-0.59420230952295749</v>
      </c>
      <c r="AE353" s="67">
        <f t="shared" si="101"/>
        <v>6.2403023562023041E-2</v>
      </c>
      <c r="AF353" s="67">
        <f t="shared" si="102"/>
        <v>1.872090706860691E-2</v>
      </c>
      <c r="AG353" s="67">
        <f t="shared" si="103"/>
        <v>4.3682116493416134E-2</v>
      </c>
    </row>
    <row r="354" spans="4:33" x14ac:dyDescent="0.2">
      <c r="D354" s="50">
        <v>30</v>
      </c>
      <c r="E354">
        <v>4</v>
      </c>
      <c r="F354">
        <f t="shared" si="94"/>
        <v>79</v>
      </c>
      <c r="G354">
        <f t="shared" si="104"/>
        <v>0</v>
      </c>
      <c r="H354" s="64">
        <f>IF(E354="Anual",VLOOKUP(F354,Hipotesis!$E$9:$J$38,6,FALSE),1-(1-VLOOKUP(F354,Hipotesis!$E$9:$J$38,6,FALSE))^(1/12))</f>
        <v>3.1254907215992889E-3</v>
      </c>
      <c r="I354">
        <f t="shared" si="105"/>
        <v>0.50282724408789514</v>
      </c>
      <c r="J354">
        <v>0</v>
      </c>
      <c r="K354">
        <f>1-(1-VLOOKUP(D354,Hipotesis!$D$9:$K$38,8,FALSE))^(1/12)</f>
        <v>8.3717735912058888E-4</v>
      </c>
      <c r="L354">
        <f t="shared" si="106"/>
        <v>0.13426368174010392</v>
      </c>
      <c r="M354">
        <f t="shared" si="107"/>
        <v>160.24236413478485</v>
      </c>
      <c r="N354">
        <f>IF(D354=1,(VLOOKUP(D354,'Primas Netas Y Reservas'!$D$4:$I$33,5,FALSE)+(VLOOKUP(D354,'Primas Netas Y Reservas'!$D$4:$I$33,6,FALSE)-VLOOKUP(D354,'Primas Netas Y Reservas'!$D$4:$I$33,5,FALSE))*(E354/12))/1000,((VLOOKUP(D354-1,'Primas Netas Y Reservas'!$D$4:$I$33,6,FALSE)+VLOOKUP(D354,'Primas Netas Y Reservas'!$D$4:$I$33,5,FALSE))+(VLOOKUP(D354,'Primas Netas Y Reservas'!$D$4:$I$33,6,FALSE)-VLOOKUP(D354-1,'Primas Netas Y Reservas'!$D$4:$I$33,6,FALSE)-VLOOKUP(D354,'Primas Netas Y Reservas'!$D$4:$I$33,5,FALSE))*(E354/12))/1000)</f>
        <v>0.66402038795184193</v>
      </c>
      <c r="O354">
        <f t="shared" si="108"/>
        <v>-0.26508001650563529</v>
      </c>
      <c r="P354">
        <f>VLOOKUP(D354,Hipotesis!$D$9:$S$38,15,FALSE)*N354</f>
        <v>0.66402038795184193</v>
      </c>
      <c r="Q354">
        <f t="shared" si="95"/>
        <v>8.9153822036906444E-2</v>
      </c>
      <c r="R354">
        <f t="shared" si="96"/>
        <v>0</v>
      </c>
      <c r="S354">
        <f t="shared" si="97"/>
        <v>8.9153822036906444E-2</v>
      </c>
      <c r="T354">
        <f>G354*(VLOOKUP(D354,Hipotesis!$D$9:$N$38,9,FALSE)+VLOOKUP(D354,Hipotesis!$D$9:$N$38,10,FALSE)+VLOOKUP(D354,Hipotesis!$D$9:$N$38,11,FALSE))</f>
        <v>0</v>
      </c>
      <c r="U354">
        <v>0</v>
      </c>
      <c r="V354">
        <f>G354*VLOOKUP(D354,Hipotesis!$D$9:$S$38,16,FALSE)+((VLOOKUP(D354,Hipotesis!$D$9:$T$38,17,FALSE)/$B$4)*M353)/12</f>
        <v>6.0329795647729801E-3</v>
      </c>
      <c r="W354">
        <f>(1+VLOOKUP(D354,Hipotesis!$D$9:$P$38,13,FALSE))^(1/12)-1</f>
        <v>0</v>
      </c>
      <c r="X354">
        <f t="shared" si="109"/>
        <v>0</v>
      </c>
      <c r="Y354">
        <f t="shared" si="98"/>
        <v>0.39617313942063176</v>
      </c>
      <c r="Z354">
        <f>(1+VLOOKUP(D354,Hipotesis!$D$9:$O$38,12,))^(1/12)-1</f>
        <v>3.735049678200264E-3</v>
      </c>
      <c r="AA354">
        <f t="shared" si="110"/>
        <v>0.39841504804398331</v>
      </c>
      <c r="AB354">
        <f t="shared" si="111"/>
        <v>-2.2419086233515704E-3</v>
      </c>
      <c r="AC354" s="68">
        <f t="shared" si="99"/>
        <v>-6.0329795647729801E-3</v>
      </c>
      <c r="AD354">
        <f t="shared" si="100"/>
        <v>-0.59198106612480161</v>
      </c>
      <c r="AE354" s="67">
        <f t="shared" si="101"/>
        <v>6.3239110236692472E-2</v>
      </c>
      <c r="AF354" s="67">
        <f t="shared" si="102"/>
        <v>1.8971733071007742E-2</v>
      </c>
      <c r="AG354" s="67">
        <f t="shared" si="103"/>
        <v>4.4267377165684726E-2</v>
      </c>
    </row>
    <row r="355" spans="4:33" x14ac:dyDescent="0.2">
      <c r="D355" s="50">
        <v>30</v>
      </c>
      <c r="E355">
        <v>5</v>
      </c>
      <c r="F355">
        <f t="shared" si="94"/>
        <v>79</v>
      </c>
      <c r="G355">
        <f t="shared" si="104"/>
        <v>0</v>
      </c>
      <c r="H355" s="64">
        <f>IF(E355="Anual",VLOOKUP(F355,Hipotesis!$E$9:$J$38,6,FALSE),1-(1-VLOOKUP(F355,Hipotesis!$E$9:$J$38,6,FALSE))^(1/12))</f>
        <v>3.1254907215992889E-3</v>
      </c>
      <c r="I355">
        <f t="shared" si="105"/>
        <v>0.50083602231040469</v>
      </c>
      <c r="J355">
        <v>0</v>
      </c>
      <c r="K355">
        <f>1-(1-VLOOKUP(D355,Hipotesis!$D$9:$K$38,8,FALSE))^(1/12)</f>
        <v>8.3717735912058888E-4</v>
      </c>
      <c r="L355">
        <f t="shared" si="106"/>
        <v>0.13373199064708866</v>
      </c>
      <c r="M355">
        <f t="shared" si="107"/>
        <v>159.60779612182736</v>
      </c>
      <c r="N355">
        <f>IF(D355=1,(VLOOKUP(D355,'Primas Netas Y Reservas'!$D$4:$I$33,5,FALSE)+(VLOOKUP(D355,'Primas Netas Y Reservas'!$D$4:$I$33,6,FALSE)-VLOOKUP(D355,'Primas Netas Y Reservas'!$D$4:$I$33,5,FALSE))*(E355/12))/1000,((VLOOKUP(D355-1,'Primas Netas Y Reservas'!$D$4:$I$33,6,FALSE)+VLOOKUP(D355,'Primas Netas Y Reservas'!$D$4:$I$33,5,FALSE))+(VLOOKUP(D355,'Primas Netas Y Reservas'!$D$4:$I$33,6,FALSE)-VLOOKUP(D355-1,'Primas Netas Y Reservas'!$D$4:$I$33,6,FALSE)-VLOOKUP(D355,'Primas Netas Y Reservas'!$D$4:$I$33,5,FALSE))*(E355/12))/1000)</f>
        <v>0.66500224947768893</v>
      </c>
      <c r="O355">
        <f t="shared" si="108"/>
        <v>-0.26465334390860562</v>
      </c>
      <c r="P355">
        <f>VLOOKUP(D355,Hipotesis!$D$9:$S$38,15,FALSE)*N355</f>
        <v>0.66500224947768893</v>
      </c>
      <c r="Q355">
        <f t="shared" si="95"/>
        <v>8.8932074607443207E-2</v>
      </c>
      <c r="R355">
        <f t="shared" si="96"/>
        <v>0</v>
      </c>
      <c r="S355">
        <f t="shared" si="97"/>
        <v>8.8932074607443207E-2</v>
      </c>
      <c r="T355">
        <f>G355*(VLOOKUP(D355,Hipotesis!$D$9:$N$38,9,FALSE)+VLOOKUP(D355,Hipotesis!$D$9:$N$38,10,FALSE)+VLOOKUP(D355,Hipotesis!$D$9:$N$38,11,FALSE))</f>
        <v>0</v>
      </c>
      <c r="U355">
        <v>0</v>
      </c>
      <c r="V355">
        <f>G355*VLOOKUP(D355,Hipotesis!$D$9:$S$38,16,FALSE)+((VLOOKUP(D355,Hipotesis!$D$9:$T$38,17,FALSE)/$B$4)*M354)/12</f>
        <v>6.0090886550544309E-3</v>
      </c>
      <c r="W355">
        <f>(1+VLOOKUP(D355,Hipotesis!$D$9:$P$38,13,FALSE))^(1/12)-1</f>
        <v>0</v>
      </c>
      <c r="X355">
        <f t="shared" si="109"/>
        <v>0</v>
      </c>
      <c r="Y355">
        <f t="shared" si="98"/>
        <v>0.39519143807845919</v>
      </c>
      <c r="Z355">
        <f>(1+VLOOKUP(D355,Hipotesis!$D$9:$O$38,12,))^(1/12)-1</f>
        <v>3.735049678200264E-3</v>
      </c>
      <c r="AA355">
        <f t="shared" si="110"/>
        <v>0.39742496101363661</v>
      </c>
      <c r="AB355">
        <f t="shared" si="111"/>
        <v>-2.2335229351774276E-3</v>
      </c>
      <c r="AC355" s="68">
        <f t="shared" si="99"/>
        <v>-6.0090886550544309E-3</v>
      </c>
      <c r="AD355">
        <f t="shared" si="100"/>
        <v>-0.58976809691784793</v>
      </c>
      <c r="AE355" s="67">
        <f t="shared" si="101"/>
        <v>6.4067596414162473E-2</v>
      </c>
      <c r="AF355" s="67">
        <f t="shared" si="102"/>
        <v>1.922027892424874E-2</v>
      </c>
      <c r="AG355" s="67">
        <f t="shared" si="103"/>
        <v>4.4847317489913732E-2</v>
      </c>
    </row>
    <row r="356" spans="4:33" x14ac:dyDescent="0.2">
      <c r="D356" s="50">
        <v>30</v>
      </c>
      <c r="E356">
        <v>6</v>
      </c>
      <c r="F356">
        <f t="shared" si="94"/>
        <v>79</v>
      </c>
      <c r="G356">
        <f t="shared" si="104"/>
        <v>0</v>
      </c>
      <c r="H356" s="64">
        <f>IF(E356="Anual",VLOOKUP(F356,Hipotesis!$E$9:$J$38,6,FALSE),1-(1-VLOOKUP(F356,Hipotesis!$E$9:$J$38,6,FALSE))^(1/12))</f>
        <v>3.1254907215992889E-3</v>
      </c>
      <c r="I356">
        <f t="shared" si="105"/>
        <v>0.49885268587368237</v>
      </c>
      <c r="J356">
        <v>0</v>
      </c>
      <c r="K356">
        <f>1-(1-VLOOKUP(D356,Hipotesis!$D$9:$K$38,8,FALSE))^(1/12)</f>
        <v>8.3717735912058888E-4</v>
      </c>
      <c r="L356">
        <f t="shared" si="106"/>
        <v>0.13320240507817885</v>
      </c>
      <c r="M356">
        <f t="shared" si="107"/>
        <v>158.9757410308755</v>
      </c>
      <c r="N356">
        <f>IF(D356=1,(VLOOKUP(D356,'Primas Netas Y Reservas'!$D$4:$I$33,5,FALSE)+(VLOOKUP(D356,'Primas Netas Y Reservas'!$D$4:$I$33,6,FALSE)-VLOOKUP(D356,'Primas Netas Y Reservas'!$D$4:$I$33,5,FALSE))*(E356/12))/1000,((VLOOKUP(D356-1,'Primas Netas Y Reservas'!$D$4:$I$33,6,FALSE)+VLOOKUP(D356,'Primas Netas Y Reservas'!$D$4:$I$33,5,FALSE))+(VLOOKUP(D356,'Primas Netas Y Reservas'!$D$4:$I$33,6,FALSE)-VLOOKUP(D356-1,'Primas Netas Y Reservas'!$D$4:$I$33,6,FALSE)-VLOOKUP(D356,'Primas Netas Y Reservas'!$D$4:$I$33,5,FALSE))*(E356/12))/1000)</f>
        <v>0.66598411100353583</v>
      </c>
      <c r="O356">
        <f t="shared" si="108"/>
        <v>-0.26422589361560256</v>
      </c>
      <c r="P356">
        <f>VLOOKUP(D356,Hipotesis!$D$9:$S$38,15,FALSE)*N356</f>
        <v>0.66598411100353583</v>
      </c>
      <c r="Q356">
        <f t="shared" si="95"/>
        <v>8.8710685329523808E-2</v>
      </c>
      <c r="R356">
        <f t="shared" si="96"/>
        <v>0</v>
      </c>
      <c r="S356">
        <f t="shared" si="97"/>
        <v>8.8710685329523808E-2</v>
      </c>
      <c r="T356">
        <f>G356*(VLOOKUP(D356,Hipotesis!$D$9:$N$38,9,FALSE)+VLOOKUP(D356,Hipotesis!$D$9:$N$38,10,FALSE)+VLOOKUP(D356,Hipotesis!$D$9:$N$38,11,FALSE))</f>
        <v>0</v>
      </c>
      <c r="U356">
        <v>0</v>
      </c>
      <c r="V356">
        <f>G356*VLOOKUP(D356,Hipotesis!$D$9:$S$38,16,FALSE)+((VLOOKUP(D356,Hipotesis!$D$9:$T$38,17,FALSE)/$B$4)*M355)/12</f>
        <v>5.9852923545685261E-3</v>
      </c>
      <c r="W356">
        <f>(1+VLOOKUP(D356,Hipotesis!$D$9:$P$38,13,FALSE))^(1/12)-1</f>
        <v>0</v>
      </c>
      <c r="X356">
        <f t="shared" si="109"/>
        <v>0</v>
      </c>
      <c r="Y356">
        <f t="shared" si="98"/>
        <v>0.39421129912174752</v>
      </c>
      <c r="Z356">
        <f>(1+VLOOKUP(D356,Hipotesis!$D$9:$O$38,12,))^(1/12)-1</f>
        <v>3.735049678200264E-3</v>
      </c>
      <c r="AA356">
        <f t="shared" si="110"/>
        <v>0.39643646762663615</v>
      </c>
      <c r="AB356">
        <f t="shared" si="111"/>
        <v>-2.2251685048886561E-3</v>
      </c>
      <c r="AC356" s="68">
        <f t="shared" si="99"/>
        <v>-5.9852923545685261E-3</v>
      </c>
      <c r="AD356">
        <f t="shared" si="100"/>
        <v>-0.58756337120320623</v>
      </c>
      <c r="AE356" s="67">
        <f t="shared" si="101"/>
        <v>6.4888529179575369E-2</v>
      </c>
      <c r="AF356" s="67">
        <f t="shared" si="102"/>
        <v>1.9466558753872609E-2</v>
      </c>
      <c r="AG356" s="67">
        <f t="shared" si="103"/>
        <v>4.5421970425702757E-2</v>
      </c>
    </row>
    <row r="357" spans="4:33" x14ac:dyDescent="0.2">
      <c r="D357" s="50">
        <v>30</v>
      </c>
      <c r="E357">
        <v>7</v>
      </c>
      <c r="F357">
        <f t="shared" si="94"/>
        <v>79</v>
      </c>
      <c r="G357">
        <f t="shared" si="104"/>
        <v>0</v>
      </c>
      <c r="H357" s="64">
        <f>IF(E357="Anual",VLOOKUP(F357,Hipotesis!$E$9:$J$38,6,FALSE),1-(1-VLOOKUP(F357,Hipotesis!$E$9:$J$38,6,FALSE))^(1/12))</f>
        <v>3.1254907215992889E-3</v>
      </c>
      <c r="I357">
        <f t="shared" si="105"/>
        <v>0.49687720355137277</v>
      </c>
      <c r="J357">
        <v>0</v>
      </c>
      <c r="K357">
        <f>1-(1-VLOOKUP(D357,Hipotesis!$D$9:$K$38,8,FALSE))^(1/12)</f>
        <v>8.3717735912058888E-4</v>
      </c>
      <c r="L357">
        <f t="shared" si="106"/>
        <v>0.13267491669539064</v>
      </c>
      <c r="M357">
        <f t="shared" si="107"/>
        <v>158.34618891062874</v>
      </c>
      <c r="N357">
        <f>IF(D357=1,(VLOOKUP(D357,'Primas Netas Y Reservas'!$D$4:$I$33,5,FALSE)+(VLOOKUP(D357,'Primas Netas Y Reservas'!$D$4:$I$33,6,FALSE)-VLOOKUP(D357,'Primas Netas Y Reservas'!$D$4:$I$33,5,FALSE))*(E357/12))/1000,((VLOOKUP(D357-1,'Primas Netas Y Reservas'!$D$4:$I$33,6,FALSE)+VLOOKUP(D357,'Primas Netas Y Reservas'!$D$4:$I$33,5,FALSE))+(VLOOKUP(D357,'Primas Netas Y Reservas'!$D$4:$I$33,6,FALSE)-VLOOKUP(D357-1,'Primas Netas Y Reservas'!$D$4:$I$33,6,FALSE)-VLOOKUP(D357,'Primas Netas Y Reservas'!$D$4:$I$33,5,FALSE))*(E357/12))/1000)</f>
        <v>0.66696597252938294</v>
      </c>
      <c r="O357">
        <f t="shared" si="108"/>
        <v>-0.26379767847706148</v>
      </c>
      <c r="P357">
        <f>VLOOKUP(D357,Hipotesis!$D$9:$S$38,15,FALSE)*N357</f>
        <v>0.66696597252938294</v>
      </c>
      <c r="Q357">
        <f t="shared" si="95"/>
        <v>8.8489654843996082E-2</v>
      </c>
      <c r="R357">
        <f t="shared" si="96"/>
        <v>0</v>
      </c>
      <c r="S357">
        <f t="shared" si="97"/>
        <v>8.8489654843996082E-2</v>
      </c>
      <c r="T357">
        <f>G357*(VLOOKUP(D357,Hipotesis!$D$9:$N$38,9,FALSE)+VLOOKUP(D357,Hipotesis!$D$9:$N$38,10,FALSE)+VLOOKUP(D357,Hipotesis!$D$9:$N$38,11,FALSE))</f>
        <v>0</v>
      </c>
      <c r="U357">
        <v>0</v>
      </c>
      <c r="V357">
        <f>G357*VLOOKUP(D357,Hipotesis!$D$9:$S$38,16,FALSE)+((VLOOKUP(D357,Hipotesis!$D$9:$T$38,17,FALSE)/$B$4)*M356)/12</f>
        <v>5.9615902886578304E-3</v>
      </c>
      <c r="W357">
        <f>(1+VLOOKUP(D357,Hipotesis!$D$9:$P$38,13,FALSE))^(1/12)-1</f>
        <v>0</v>
      </c>
      <c r="X357">
        <f t="shared" si="109"/>
        <v>0</v>
      </c>
      <c r="Y357">
        <f t="shared" si="98"/>
        <v>0.39323272557129102</v>
      </c>
      <c r="Z357">
        <f>(1+VLOOKUP(D357,Hipotesis!$D$9:$O$38,12,))^(1/12)-1</f>
        <v>3.735049678200264E-3</v>
      </c>
      <c r="AA357">
        <f t="shared" si="110"/>
        <v>0.39544957078771503</v>
      </c>
      <c r="AB357">
        <f t="shared" si="111"/>
        <v>-2.2168452164240109E-3</v>
      </c>
      <c r="AC357" s="68">
        <f t="shared" si="99"/>
        <v>-5.9615902886578304E-3</v>
      </c>
      <c r="AD357">
        <f t="shared" si="100"/>
        <v>-0.58536685839536884</v>
      </c>
      <c r="AE357" s="67">
        <f t="shared" si="101"/>
        <v>6.5701955364325826E-2</v>
      </c>
      <c r="AF357" s="67">
        <f t="shared" si="102"/>
        <v>1.9710586609297746E-2</v>
      </c>
      <c r="AG357" s="67">
        <f t="shared" si="103"/>
        <v>4.5991368755028079E-2</v>
      </c>
    </row>
    <row r="358" spans="4:33" x14ac:dyDescent="0.2">
      <c r="D358" s="50">
        <v>30</v>
      </c>
      <c r="E358">
        <v>8</v>
      </c>
      <c r="F358">
        <f t="shared" si="94"/>
        <v>79</v>
      </c>
      <c r="G358">
        <f t="shared" si="104"/>
        <v>0</v>
      </c>
      <c r="H358" s="64">
        <f>IF(E358="Anual",VLOOKUP(F358,Hipotesis!$E$9:$J$38,6,FALSE),1-(1-VLOOKUP(F358,Hipotesis!$E$9:$J$38,6,FALSE))^(1/12))</f>
        <v>3.1254907215992889E-3</v>
      </c>
      <c r="I358">
        <f t="shared" si="105"/>
        <v>0.49490954424077832</v>
      </c>
      <c r="J358">
        <v>0</v>
      </c>
      <c r="K358">
        <f>1-(1-VLOOKUP(D358,Hipotesis!$D$9:$K$38,8,FALSE))^(1/12)</f>
        <v>8.3717735912058888E-4</v>
      </c>
      <c r="L358">
        <f t="shared" si="106"/>
        <v>0.13214951719375898</v>
      </c>
      <c r="M358">
        <f t="shared" si="107"/>
        <v>157.71912984919419</v>
      </c>
      <c r="N358">
        <f>IF(D358=1,(VLOOKUP(D358,'Primas Netas Y Reservas'!$D$4:$I$33,5,FALSE)+(VLOOKUP(D358,'Primas Netas Y Reservas'!$D$4:$I$33,6,FALSE)-VLOOKUP(D358,'Primas Netas Y Reservas'!$D$4:$I$33,5,FALSE))*(E358/12))/1000,((VLOOKUP(D358-1,'Primas Netas Y Reservas'!$D$4:$I$33,6,FALSE)+VLOOKUP(D358,'Primas Netas Y Reservas'!$D$4:$I$33,5,FALSE))+(VLOOKUP(D358,'Primas Netas Y Reservas'!$D$4:$I$33,6,FALSE)-VLOOKUP(D358-1,'Primas Netas Y Reservas'!$D$4:$I$33,6,FALSE)-VLOOKUP(D358,'Primas Netas Y Reservas'!$D$4:$I$33,5,FALSE))*(E358/12))/1000)</f>
        <v>0.66794783405522995</v>
      </c>
      <c r="O358">
        <f t="shared" si="108"/>
        <v>-0.26336871125407413</v>
      </c>
      <c r="P358">
        <f>VLOOKUP(D358,Hipotesis!$D$9:$S$38,15,FALSE)*N358</f>
        <v>0.66794783405522995</v>
      </c>
      <c r="Q358">
        <f t="shared" si="95"/>
        <v>8.8268983781015678E-2</v>
      </c>
      <c r="R358">
        <f t="shared" si="96"/>
        <v>0</v>
      </c>
      <c r="S358">
        <f t="shared" si="97"/>
        <v>8.8268983781015678E-2</v>
      </c>
      <c r="T358">
        <f>G358*(VLOOKUP(D358,Hipotesis!$D$9:$N$38,9,FALSE)+VLOOKUP(D358,Hipotesis!$D$9:$N$38,10,FALSE)+VLOOKUP(D358,Hipotesis!$D$9:$N$38,11,FALSE))</f>
        <v>0</v>
      </c>
      <c r="U358">
        <v>0</v>
      </c>
      <c r="V358">
        <f>G358*VLOOKUP(D358,Hipotesis!$D$9:$S$38,16,FALSE)+((VLOOKUP(D358,Hipotesis!$D$9:$T$38,17,FALSE)/$B$4)*M357)/12</f>
        <v>5.9379820841485775E-3</v>
      </c>
      <c r="W358">
        <f>(1+VLOOKUP(D358,Hipotesis!$D$9:$P$38,13,FALSE))^(1/12)-1</f>
        <v>0</v>
      </c>
      <c r="X358">
        <f t="shared" si="109"/>
        <v>0</v>
      </c>
      <c r="Y358">
        <f t="shared" si="98"/>
        <v>0.392255720399458</v>
      </c>
      <c r="Z358">
        <f>(1+VLOOKUP(D358,Hipotesis!$D$9:$O$38,12,))^(1/12)-1</f>
        <v>3.735049678200264E-3</v>
      </c>
      <c r="AA358">
        <f t="shared" si="110"/>
        <v>0.39446427335360928</v>
      </c>
      <c r="AB358">
        <f t="shared" si="111"/>
        <v>-2.2085529541512796E-3</v>
      </c>
      <c r="AC358" s="68">
        <f t="shared" si="99"/>
        <v>-5.9379820841485775E-3</v>
      </c>
      <c r="AD358">
        <f t="shared" si="100"/>
        <v>-0.58317852802179404</v>
      </c>
      <c r="AE358" s="67">
        <f t="shared" si="101"/>
        <v>6.6507921547589569E-2</v>
      </c>
      <c r="AF358" s="67">
        <f t="shared" si="102"/>
        <v>1.9952376464276871E-2</v>
      </c>
      <c r="AG358" s="67">
        <f t="shared" si="103"/>
        <v>4.6555545083312694E-2</v>
      </c>
    </row>
    <row r="359" spans="4:33" x14ac:dyDescent="0.2">
      <c r="D359" s="50">
        <v>30</v>
      </c>
      <c r="E359">
        <v>9</v>
      </c>
      <c r="F359">
        <f t="shared" ref="F359:F362" si="112">$B$5+D359-1</f>
        <v>79</v>
      </c>
      <c r="G359">
        <f t="shared" si="104"/>
        <v>0</v>
      </c>
      <c r="H359" s="64">
        <f>IF(E359="Anual",VLOOKUP(F359,Hipotesis!$E$9:$J$38,6,FALSE),1-(1-VLOOKUP(F359,Hipotesis!$E$9:$J$38,6,FALSE))^(1/12))</f>
        <v>3.1254907215992889E-3</v>
      </c>
      <c r="I359">
        <f t="shared" si="105"/>
        <v>0.49294967696236991</v>
      </c>
      <c r="J359">
        <v>0</v>
      </c>
      <c r="K359">
        <f>1-(1-VLOOKUP(D359,Hipotesis!$D$9:$K$38,8,FALSE))^(1/12)</f>
        <v>8.3717735912058888E-4</v>
      </c>
      <c r="L359">
        <f t="shared" si="106"/>
        <v>0.13162619830120692</v>
      </c>
      <c r="M359">
        <f t="shared" si="107"/>
        <v>157.0945539739306</v>
      </c>
      <c r="N359">
        <f>IF(D359=1,(VLOOKUP(D359,'Primas Netas Y Reservas'!$D$4:$I$33,5,FALSE)+(VLOOKUP(D359,'Primas Netas Y Reservas'!$D$4:$I$33,6,FALSE)-VLOOKUP(D359,'Primas Netas Y Reservas'!$D$4:$I$33,5,FALSE))*(E359/12))/1000,((VLOOKUP(D359-1,'Primas Netas Y Reservas'!$D$4:$I$33,6,FALSE)+VLOOKUP(D359,'Primas Netas Y Reservas'!$D$4:$I$33,5,FALSE))+(VLOOKUP(D359,'Primas Netas Y Reservas'!$D$4:$I$33,6,FALSE)-VLOOKUP(D359-1,'Primas Netas Y Reservas'!$D$4:$I$33,6,FALSE)-VLOOKUP(D359,'Primas Netas Y Reservas'!$D$4:$I$33,5,FALSE))*(E359/12))/1000)</f>
        <v>0.66892969558107684</v>
      </c>
      <c r="O359">
        <f t="shared" si="108"/>
        <v>-0.26293900461837438</v>
      </c>
      <c r="P359">
        <f>VLOOKUP(D359,Hipotesis!$D$9:$S$38,15,FALSE)*N359</f>
        <v>0.66892969558107684</v>
      </c>
      <c r="Q359">
        <f t="shared" si="95"/>
        <v>8.8048672760120794E-2</v>
      </c>
      <c r="R359">
        <f t="shared" si="96"/>
        <v>0</v>
      </c>
      <c r="S359">
        <f t="shared" si="97"/>
        <v>8.8048672760120794E-2</v>
      </c>
      <c r="T359">
        <f>G359*(VLOOKUP(D359,Hipotesis!$D$9:$N$38,9,FALSE)+VLOOKUP(D359,Hipotesis!$D$9:$N$38,10,FALSE)+VLOOKUP(D359,Hipotesis!$D$9:$N$38,11,FALSE))</f>
        <v>0</v>
      </c>
      <c r="U359">
        <v>0</v>
      </c>
      <c r="V359">
        <f>G359*VLOOKUP(D359,Hipotesis!$D$9:$S$38,16,FALSE)+((VLOOKUP(D359,Hipotesis!$D$9:$T$38,17,FALSE)/$B$4)*M358)/12</f>
        <v>5.9144673693447827E-3</v>
      </c>
      <c r="W359">
        <f>(1+VLOOKUP(D359,Hipotesis!$D$9:$P$38,13,FALSE))^(1/12)-1</f>
        <v>0</v>
      </c>
      <c r="X359">
        <f t="shared" si="109"/>
        <v>0</v>
      </c>
      <c r="Y359">
        <f t="shared" si="98"/>
        <v>0.39128028653052604</v>
      </c>
      <c r="Z359">
        <f>(1+VLOOKUP(D359,Hipotesis!$D$9:$O$38,12,))^(1/12)-1</f>
        <v>3.735049678200264E-3</v>
      </c>
      <c r="AA359">
        <f t="shared" si="110"/>
        <v>0.39348057813339177</v>
      </c>
      <c r="AB359">
        <f t="shared" si="111"/>
        <v>-2.2002916028657027E-3</v>
      </c>
      <c r="AC359" s="68">
        <f t="shared" si="99"/>
        <v>-5.9144673693447827E-3</v>
      </c>
      <c r="AD359">
        <f t="shared" si="100"/>
        <v>-0.58099834972249065</v>
      </c>
      <c r="AE359" s="67">
        <f t="shared" si="101"/>
        <v>6.7306474057064941E-2</v>
      </c>
      <c r="AF359" s="67">
        <f t="shared" si="102"/>
        <v>2.0191942217119483E-2</v>
      </c>
      <c r="AG359" s="67">
        <f t="shared" si="103"/>
        <v>4.7114531839945462E-2</v>
      </c>
    </row>
    <row r="360" spans="4:33" x14ac:dyDescent="0.2">
      <c r="D360" s="50">
        <v>30</v>
      </c>
      <c r="E360">
        <v>10</v>
      </c>
      <c r="F360">
        <f t="shared" si="112"/>
        <v>79</v>
      </c>
      <c r="G360">
        <f t="shared" si="104"/>
        <v>0</v>
      </c>
      <c r="H360" s="64">
        <f>IF(E360="Anual",VLOOKUP(F360,Hipotesis!$E$9:$J$38,6,FALSE),1-(1-VLOOKUP(F360,Hipotesis!$E$9:$J$38,6,FALSE))^(1/12))</f>
        <v>3.1254907215992889E-3</v>
      </c>
      <c r="I360">
        <f t="shared" si="105"/>
        <v>0.49099757085929879</v>
      </c>
      <c r="J360">
        <v>0</v>
      </c>
      <c r="K360">
        <f>1-(1-VLOOKUP(D360,Hipotesis!$D$9:$K$38,8,FALSE))^(1/12)</f>
        <v>8.3717735912058888E-4</v>
      </c>
      <c r="L360">
        <f t="shared" si="106"/>
        <v>0.13110495177841541</v>
      </c>
      <c r="M360">
        <f t="shared" si="107"/>
        <v>156.4724514512929</v>
      </c>
      <c r="N360">
        <f>IF(D360=1,(VLOOKUP(D360,'Primas Netas Y Reservas'!$D$4:$I$33,5,FALSE)+(VLOOKUP(D360,'Primas Netas Y Reservas'!$D$4:$I$33,6,FALSE)-VLOOKUP(D360,'Primas Netas Y Reservas'!$D$4:$I$33,5,FALSE))*(E360/12))/1000,((VLOOKUP(D360-1,'Primas Netas Y Reservas'!$D$4:$I$33,6,FALSE)+VLOOKUP(D360,'Primas Netas Y Reservas'!$D$4:$I$33,5,FALSE))+(VLOOKUP(D360,'Primas Netas Y Reservas'!$D$4:$I$33,6,FALSE)-VLOOKUP(D360-1,'Primas Netas Y Reservas'!$D$4:$I$33,6,FALSE)-VLOOKUP(D360,'Primas Netas Y Reservas'!$D$4:$I$33,5,FALSE))*(E360/12))/1000)</f>
        <v>0.66991155710692396</v>
      </c>
      <c r="O360">
        <f t="shared" si="108"/>
        <v>-0.26250857115326198</v>
      </c>
      <c r="P360">
        <f>VLOOKUP(D360,Hipotesis!$D$9:$S$38,15,FALSE)*N360</f>
        <v>0.66991155710692396</v>
      </c>
      <c r="Q360">
        <f t="shared" si="95"/>
        <v>8.7828722390306452E-2</v>
      </c>
      <c r="R360">
        <f t="shared" si="96"/>
        <v>0</v>
      </c>
      <c r="S360">
        <f t="shared" si="97"/>
        <v>8.7828722390306452E-2</v>
      </c>
      <c r="T360">
        <f>G360*(VLOOKUP(D360,Hipotesis!$D$9:$N$38,9,FALSE)+VLOOKUP(D360,Hipotesis!$D$9:$N$38,10,FALSE)+VLOOKUP(D360,Hipotesis!$D$9:$N$38,11,FALSE))</f>
        <v>0</v>
      </c>
      <c r="U360">
        <v>0</v>
      </c>
      <c r="V360">
        <f>G360*VLOOKUP(D360,Hipotesis!$D$9:$S$38,16,FALSE)+((VLOOKUP(D360,Hipotesis!$D$9:$T$38,17,FALSE)/$B$4)*M359)/12</f>
        <v>5.8910457740223967E-3</v>
      </c>
      <c r="W360">
        <f>(1+VLOOKUP(D360,Hipotesis!$D$9:$P$38,13,FALSE))^(1/12)-1</f>
        <v>0</v>
      </c>
      <c r="X360">
        <f t="shared" si="109"/>
        <v>0</v>
      </c>
      <c r="Y360">
        <f t="shared" si="98"/>
        <v>0.39030642684101718</v>
      </c>
      <c r="Z360">
        <f>(1+VLOOKUP(D360,Hipotesis!$D$9:$O$38,12,))^(1/12)-1</f>
        <v>3.735049678200264E-3</v>
      </c>
      <c r="AA360">
        <f t="shared" si="110"/>
        <v>0.39249848788880559</v>
      </c>
      <c r="AB360">
        <f t="shared" si="111"/>
        <v>-2.1920610477883986E-3</v>
      </c>
      <c r="AC360" s="68">
        <f t="shared" si="99"/>
        <v>-5.8910457740223967E-3</v>
      </c>
      <c r="AD360">
        <f t="shared" si="100"/>
        <v>-0.57882629324960522</v>
      </c>
      <c r="AE360" s="67">
        <f t="shared" si="101"/>
        <v>6.8097658970651523E-2</v>
      </c>
      <c r="AF360" s="67">
        <f t="shared" si="102"/>
        <v>2.0429297691195458E-2</v>
      </c>
      <c r="AG360" s="67">
        <f t="shared" si="103"/>
        <v>4.7668361279456062E-2</v>
      </c>
    </row>
    <row r="361" spans="4:33" x14ac:dyDescent="0.2">
      <c r="D361" s="50">
        <v>30</v>
      </c>
      <c r="E361">
        <v>11</v>
      </c>
      <c r="F361">
        <f t="shared" si="112"/>
        <v>79</v>
      </c>
      <c r="G361">
        <f t="shared" si="104"/>
        <v>0</v>
      </c>
      <c r="H361" s="64">
        <f>IF(E361="Anual",VLOOKUP(F361,Hipotesis!$E$9:$J$38,6,FALSE),1-(1-VLOOKUP(F361,Hipotesis!$E$9:$J$38,6,FALSE))^(1/12))</f>
        <v>3.1254907215992889E-3</v>
      </c>
      <c r="I361">
        <f t="shared" si="105"/>
        <v>0.48905319519691115</v>
      </c>
      <c r="J361">
        <v>0</v>
      </c>
      <c r="K361">
        <f>1-(1-VLOOKUP(D361,Hipotesis!$D$9:$K$38,8,FALSE))^(1/12)</f>
        <v>8.3717735912058888E-4</v>
      </c>
      <c r="L361">
        <f t="shared" si="106"/>
        <v>0.13058576941869351</v>
      </c>
      <c r="M361">
        <f t="shared" si="107"/>
        <v>155.85281248667729</v>
      </c>
      <c r="N361">
        <f>IF(D361=1,(VLOOKUP(D361,'Primas Netas Y Reservas'!$D$4:$I$33,5,FALSE)+(VLOOKUP(D361,'Primas Netas Y Reservas'!$D$4:$I$33,6,FALSE)-VLOOKUP(D361,'Primas Netas Y Reservas'!$D$4:$I$33,5,FALSE))*(E361/12))/1000,((VLOOKUP(D361-1,'Primas Netas Y Reservas'!$D$4:$I$33,6,FALSE)+VLOOKUP(D361,'Primas Netas Y Reservas'!$D$4:$I$33,5,FALSE))+(VLOOKUP(D361,'Primas Netas Y Reservas'!$D$4:$I$33,6,FALSE)-VLOOKUP(D361-1,'Primas Netas Y Reservas'!$D$4:$I$33,6,FALSE)-VLOOKUP(D361,'Primas Netas Y Reservas'!$D$4:$I$33,5,FALSE))*(E361/12))/1000)</f>
        <v>0.67089341863277097</v>
      </c>
      <c r="O361">
        <f t="shared" si="108"/>
        <v>-0.26207742335404305</v>
      </c>
      <c r="P361">
        <f>VLOOKUP(D361,Hipotesis!$D$9:$S$38,15,FALSE)*N361</f>
        <v>0.67089341863277097</v>
      </c>
      <c r="Q361">
        <f t="shared" si="95"/>
        <v>8.7609133270098047E-2</v>
      </c>
      <c r="R361">
        <f t="shared" si="96"/>
        <v>0</v>
      </c>
      <c r="S361">
        <f t="shared" si="97"/>
        <v>8.7609133270098047E-2</v>
      </c>
      <c r="T361">
        <f>G361*(VLOOKUP(D361,Hipotesis!$D$9:$N$38,9,FALSE)+VLOOKUP(D361,Hipotesis!$D$9:$N$38,10,FALSE)+VLOOKUP(D361,Hipotesis!$D$9:$N$38,11,FALSE))</f>
        <v>0</v>
      </c>
      <c r="U361">
        <v>0</v>
      </c>
      <c r="V361">
        <f>G361*VLOOKUP(D361,Hipotesis!$D$9:$S$38,16,FALSE)+((VLOOKUP(D361,Hipotesis!$D$9:$T$38,17,FALSE)/$B$4)*M360)/12</f>
        <v>5.8677169294234837E-3</v>
      </c>
      <c r="W361">
        <f>(1+VLOOKUP(D361,Hipotesis!$D$9:$P$38,13,FALSE))^(1/12)-1</f>
        <v>0</v>
      </c>
      <c r="X361">
        <f t="shared" si="109"/>
        <v>0</v>
      </c>
      <c r="Y361">
        <f t="shared" si="98"/>
        <v>0.38933414416002998</v>
      </c>
      <c r="Z361">
        <f>(1+VLOOKUP(D361,Hipotesis!$D$9:$O$38,12,))^(1/12)-1</f>
        <v>3.735049678200264E-3</v>
      </c>
      <c r="AA361">
        <f t="shared" si="110"/>
        <v>0.3915180053345948</v>
      </c>
      <c r="AB361">
        <f t="shared" si="111"/>
        <v>-2.1838611745648028E-3</v>
      </c>
      <c r="AC361" s="68">
        <f t="shared" si="99"/>
        <v>-5.8677169294234837E-3</v>
      </c>
      <c r="AD361">
        <f t="shared" si="100"/>
        <v>-0.57666232846700916</v>
      </c>
      <c r="AE361" s="67">
        <f t="shared" si="101"/>
        <v>6.8881522117640342E-2</v>
      </c>
      <c r="AF361" s="67">
        <f t="shared" si="102"/>
        <v>2.0664456635292101E-2</v>
      </c>
      <c r="AG361" s="67">
        <f t="shared" si="103"/>
        <v>4.8217065482348241E-2</v>
      </c>
    </row>
    <row r="362" spans="4:33" x14ac:dyDescent="0.2">
      <c r="D362" s="50">
        <v>30</v>
      </c>
      <c r="E362">
        <v>12</v>
      </c>
      <c r="F362">
        <f t="shared" si="112"/>
        <v>79</v>
      </c>
      <c r="G362">
        <f t="shared" si="104"/>
        <v>0</v>
      </c>
      <c r="H362" s="64">
        <f>IF(E362="Anual",VLOOKUP(F362,Hipotesis!$E$9:$J$38,6,FALSE),1-(1-VLOOKUP(F362,Hipotesis!$E$9:$J$38,6,FALSE))^(1/12))</f>
        <v>3.1254907215992889E-3</v>
      </c>
      <c r="I362">
        <f t="shared" si="105"/>
        <v>0.48711651936226363</v>
      </c>
      <c r="J362">
        <v>0</v>
      </c>
      <c r="K362">
        <f>1-(1-VLOOKUP(D362,Hipotesis!$D$9:$K$38,8,FALSE))^(1/12)</f>
        <v>8.3717735912058888E-4</v>
      </c>
      <c r="L362">
        <f t="shared" si="106"/>
        <v>0.13006864304784913</v>
      </c>
      <c r="M362">
        <f t="shared" si="107"/>
        <v>155.23562732426717</v>
      </c>
      <c r="N362">
        <f>IF(D362=1,(VLOOKUP(D362,'Primas Netas Y Reservas'!$D$4:$I$33,5,FALSE)+(VLOOKUP(D362,'Primas Netas Y Reservas'!$D$4:$I$33,6,FALSE)-VLOOKUP(D362,'Primas Netas Y Reservas'!$D$4:$I$33,5,FALSE))*(E362/12))/1000,((VLOOKUP(D362-1,'Primas Netas Y Reservas'!$D$4:$I$33,6,FALSE)+VLOOKUP(D362,'Primas Netas Y Reservas'!$D$4:$I$33,5,FALSE))+(VLOOKUP(D362,'Primas Netas Y Reservas'!$D$4:$I$33,6,FALSE)-VLOOKUP(D362-1,'Primas Netas Y Reservas'!$D$4:$I$33,6,FALSE)-VLOOKUP(D362,'Primas Netas Y Reservas'!$D$4:$I$33,5,FALSE))*(E362/12))/1000)</f>
        <v>0.67187528015861786</v>
      </c>
      <c r="O362">
        <f t="shared" si="108"/>
        <v>-0.26164557362834273</v>
      </c>
      <c r="P362">
        <f>VLOOKUP(D362,Hipotesis!$D$9:$S$38,15,FALSE)*N362</f>
        <v>0.67187528015861786</v>
      </c>
      <c r="Q362">
        <f t="shared" si="95"/>
        <v>8.7389905987624888E-2</v>
      </c>
      <c r="R362">
        <f t="shared" si="96"/>
        <v>0</v>
      </c>
      <c r="S362">
        <f t="shared" si="97"/>
        <v>8.7389905987624888E-2</v>
      </c>
      <c r="T362">
        <f>G362*(VLOOKUP(D362,Hipotesis!$D$9:$N$38,9,FALSE)+VLOOKUP(D362,Hipotesis!$D$9:$N$38,10,FALSE)+VLOOKUP(D362,Hipotesis!$D$9:$N$38,11,FALSE))</f>
        <v>0</v>
      </c>
      <c r="U362">
        <v>0</v>
      </c>
      <c r="V362">
        <f>G362*VLOOKUP(D362,Hipotesis!$D$9:$S$38,16,FALSE)+((VLOOKUP(D362,Hipotesis!$D$9:$T$38,17,FALSE)/$B$4)*M361)/12</f>
        <v>5.8444804682503985E-3</v>
      </c>
      <c r="W362">
        <f>(1+VLOOKUP(D362,Hipotesis!$D$9:$P$38,13,FALSE))^(1/12)-1</f>
        <v>0</v>
      </c>
      <c r="X362">
        <f t="shared" si="109"/>
        <v>0</v>
      </c>
      <c r="Y362">
        <f t="shared" si="98"/>
        <v>0.38836344126956962</v>
      </c>
      <c r="Z362">
        <f>(1+VLOOKUP(D362,Hipotesis!$D$9:$O$38,12,))^(1/12)-1</f>
        <v>3.735049678200264E-3</v>
      </c>
      <c r="AA362">
        <f t="shared" si="110"/>
        <v>0.39053913313883271</v>
      </c>
      <c r="AB362">
        <f t="shared" si="111"/>
        <v>-2.1756918692631038E-3</v>
      </c>
      <c r="AC362" s="68">
        <f t="shared" si="99"/>
        <v>-5.8444804682503985E-3</v>
      </c>
      <c r="AD362">
        <f t="shared" si="100"/>
        <v>-0.57450642534988849</v>
      </c>
      <c r="AE362" s="67">
        <f t="shared" si="101"/>
        <v>6.9658109079773434E-2</v>
      </c>
      <c r="AF362" s="67">
        <f t="shared" si="102"/>
        <v>2.0897432723932029E-2</v>
      </c>
      <c r="AG362" s="67">
        <f t="shared" si="103"/>
        <v>4.8760676355841401E-2</v>
      </c>
    </row>
  </sheetData>
  <mergeCells count="43">
    <mergeCell ref="V1:V2"/>
    <mergeCell ref="W1:W2"/>
    <mergeCell ref="X1:X2"/>
    <mergeCell ref="D1:D2"/>
    <mergeCell ref="E1:E2"/>
    <mergeCell ref="F1:F2"/>
    <mergeCell ref="G1:G2"/>
    <mergeCell ref="H1:H2"/>
    <mergeCell ref="L1:L2"/>
    <mergeCell ref="Y1:Y2"/>
    <mergeCell ref="AA1:AA2"/>
    <mergeCell ref="AB1:AB2"/>
    <mergeCell ref="Z1:Z2"/>
    <mergeCell ref="I1:I2"/>
    <mergeCell ref="Q1:Q2"/>
    <mergeCell ref="R1:R2"/>
    <mergeCell ref="S1:S2"/>
    <mergeCell ref="J1:J2"/>
    <mergeCell ref="K1:K2"/>
    <mergeCell ref="M1:M2"/>
    <mergeCell ref="N1:N2"/>
    <mergeCell ref="O1:O2"/>
    <mergeCell ref="P1:P2"/>
    <mergeCell ref="T1:T2"/>
    <mergeCell ref="U1:U2"/>
    <mergeCell ref="AC1:AC2"/>
    <mergeCell ref="AD1:AD2"/>
    <mergeCell ref="AE1:AE2"/>
    <mergeCell ref="AF1:AF2"/>
    <mergeCell ref="AG1:AG2"/>
    <mergeCell ref="AT1:AU1"/>
    <mergeCell ref="AT4:AT5"/>
    <mergeCell ref="AU4:AU5"/>
    <mergeCell ref="AT6:AT7"/>
    <mergeCell ref="AU6:AU7"/>
    <mergeCell ref="AU2:AU3"/>
    <mergeCell ref="AT2:AT3"/>
    <mergeCell ref="AT8:AT9"/>
    <mergeCell ref="AU8:AU9"/>
    <mergeCell ref="AT10:AT11"/>
    <mergeCell ref="AU10:AU11"/>
    <mergeCell ref="AT12:AT13"/>
    <mergeCell ref="AU12:AU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3A8D-411A-964A-86AE-44144C1F0AC8}">
  <dimension ref="A1:AT120"/>
  <sheetViews>
    <sheetView tabSelected="1" zoomScale="113" workbookViewId="0">
      <pane xSplit="4" topLeftCell="I1" activePane="topRight" state="frozen"/>
      <selection pane="topRight" activeCell="C4" sqref="C4"/>
    </sheetView>
  </sheetViews>
  <sheetFormatPr baseColWidth="10" defaultRowHeight="16" x14ac:dyDescent="0.2"/>
  <cols>
    <col min="1" max="1" width="19.5" bestFit="1" customWidth="1"/>
    <col min="4" max="4" width="12.33203125" bestFit="1" customWidth="1"/>
    <col min="5" max="5" width="14" bestFit="1" customWidth="1"/>
    <col min="6" max="6" width="25.33203125" bestFit="1" customWidth="1"/>
    <col min="7" max="7" width="17.83203125" bestFit="1" customWidth="1"/>
    <col min="8" max="8" width="16.6640625" bestFit="1" customWidth="1"/>
    <col min="9" max="9" width="19" bestFit="1" customWidth="1"/>
    <col min="10" max="10" width="22.1640625" bestFit="1" customWidth="1"/>
    <col min="11" max="11" width="21.33203125" bestFit="1" customWidth="1"/>
    <col min="12" max="12" width="26.33203125" bestFit="1" customWidth="1"/>
    <col min="13" max="13" width="27.5" bestFit="1" customWidth="1"/>
    <col min="14" max="14" width="29.6640625" bestFit="1" customWidth="1"/>
    <col min="15" max="15" width="19.6640625" bestFit="1" customWidth="1"/>
    <col min="16" max="16" width="12.6640625" bestFit="1" customWidth="1"/>
    <col min="17" max="17" width="16.5" bestFit="1" customWidth="1"/>
    <col min="18" max="18" width="30.33203125" bestFit="1" customWidth="1"/>
    <col min="19" max="19" width="18.33203125" bestFit="1" customWidth="1"/>
    <col min="20" max="20" width="16.6640625" bestFit="1" customWidth="1"/>
    <col min="21" max="21" width="17" bestFit="1" customWidth="1"/>
    <col min="22" max="22" width="10.6640625" customWidth="1"/>
    <col min="23" max="23" width="20.33203125" bestFit="1" customWidth="1"/>
    <col min="24" max="24" width="16.5" bestFit="1" customWidth="1"/>
    <col min="25" max="25" width="10.6640625" customWidth="1"/>
    <col min="26" max="27" width="17.33203125" bestFit="1" customWidth="1"/>
    <col min="28" max="29" width="17.33203125" customWidth="1"/>
    <col min="31" max="31" width="13" bestFit="1" customWidth="1"/>
    <col min="34" max="34" width="13.5" bestFit="1" customWidth="1"/>
    <col min="35" max="36" width="13.5" customWidth="1"/>
    <col min="37" max="37" width="13.5" bestFit="1" customWidth="1"/>
    <col min="38" max="38" width="14.1640625" bestFit="1" customWidth="1"/>
    <col min="39" max="39" width="13.5" customWidth="1"/>
    <col min="40" max="40" width="16.33203125" bestFit="1" customWidth="1"/>
    <col min="42" max="42" width="12.33203125" bestFit="1" customWidth="1"/>
    <col min="43" max="43" width="15.33203125" bestFit="1" customWidth="1"/>
    <col min="46" max="46" width="15" bestFit="1" customWidth="1"/>
  </cols>
  <sheetData>
    <row r="1" spans="1:46" x14ac:dyDescent="0.2">
      <c r="A1" s="24" t="s">
        <v>16</v>
      </c>
      <c r="B1" s="30">
        <v>50</v>
      </c>
      <c r="D1" s="24" t="s">
        <v>36</v>
      </c>
      <c r="E1" s="73">
        <f>'Asset-Share'!B4</f>
        <v>100000</v>
      </c>
    </row>
    <row r="2" spans="1:46" x14ac:dyDescent="0.2">
      <c r="A2" s="25" t="s">
        <v>28</v>
      </c>
      <c r="B2" s="71">
        <v>4.4999999999999998E-2</v>
      </c>
      <c r="D2" s="90"/>
      <c r="E2" s="90"/>
      <c r="F2" s="90"/>
    </row>
    <row r="3" spans="1:46" x14ac:dyDescent="0.2">
      <c r="A3" s="25" t="s">
        <v>13</v>
      </c>
      <c r="B3" s="26">
        <f>B4-B1</f>
        <v>50</v>
      </c>
    </row>
    <row r="4" spans="1:46" x14ac:dyDescent="0.2">
      <c r="A4" s="25" t="s">
        <v>14</v>
      </c>
      <c r="B4" s="26">
        <v>100</v>
      </c>
      <c r="J4" t="s">
        <v>112</v>
      </c>
      <c r="K4" t="s">
        <v>110</v>
      </c>
      <c r="O4" t="s">
        <v>111</v>
      </c>
      <c r="S4" t="s">
        <v>113</v>
      </c>
      <c r="Z4" s="72"/>
      <c r="AB4" s="48"/>
    </row>
    <row r="5" spans="1:46" ht="17" thickBot="1" x14ac:dyDescent="0.25">
      <c r="A5" s="27" t="s">
        <v>15</v>
      </c>
      <c r="B5" s="28">
        <v>10</v>
      </c>
      <c r="J5" s="81">
        <v>1</v>
      </c>
      <c r="K5" s="81">
        <v>1</v>
      </c>
      <c r="O5" s="81">
        <v>0</v>
      </c>
      <c r="Q5" s="46"/>
      <c r="R5" s="53"/>
      <c r="S5" s="81">
        <v>1</v>
      </c>
      <c r="AC5" s="46"/>
      <c r="AD5" s="46"/>
      <c r="AE5" s="46"/>
      <c r="AN5" s="46"/>
      <c r="AO5" s="46"/>
      <c r="AP5" s="46"/>
      <c r="AQ5" s="46"/>
      <c r="AR5" s="46"/>
      <c r="AS5" s="46"/>
    </row>
    <row r="6" spans="1:46" x14ac:dyDescent="0.2">
      <c r="L6" s="40"/>
      <c r="O6" s="40"/>
      <c r="Q6" s="53"/>
      <c r="R6" s="53"/>
      <c r="AA6" s="40"/>
      <c r="AC6" s="45"/>
      <c r="AD6" s="47"/>
      <c r="AE6" s="47"/>
      <c r="AN6" s="46"/>
      <c r="AO6" s="46"/>
      <c r="AP6" s="46"/>
      <c r="AQ6" s="46"/>
      <c r="AR6" s="46"/>
      <c r="AS6" s="46"/>
    </row>
    <row r="7" spans="1:46" x14ac:dyDescent="0.2">
      <c r="A7" s="10" t="s">
        <v>29</v>
      </c>
      <c r="B7" s="7" t="s">
        <v>17</v>
      </c>
      <c r="D7" s="89" t="s">
        <v>33</v>
      </c>
      <c r="E7" s="89" t="s">
        <v>40</v>
      </c>
      <c r="F7" s="89" t="s">
        <v>41</v>
      </c>
      <c r="G7" s="89" t="s">
        <v>50</v>
      </c>
      <c r="H7" s="89" t="s">
        <v>42</v>
      </c>
      <c r="I7" s="89" t="s">
        <v>43</v>
      </c>
      <c r="J7" s="89" t="s">
        <v>101</v>
      </c>
      <c r="K7" s="89" t="s">
        <v>44</v>
      </c>
      <c r="L7" s="89" t="s">
        <v>45</v>
      </c>
      <c r="M7" s="89" t="s">
        <v>46</v>
      </c>
      <c r="N7" s="89" t="s">
        <v>47</v>
      </c>
      <c r="O7" s="89" t="s">
        <v>103</v>
      </c>
      <c r="P7" s="89" t="s">
        <v>48</v>
      </c>
      <c r="Q7" s="89" t="s">
        <v>49</v>
      </c>
      <c r="R7" s="89" t="s">
        <v>104</v>
      </c>
      <c r="S7" s="89" t="s">
        <v>109</v>
      </c>
      <c r="T7" s="89" t="s">
        <v>108</v>
      </c>
      <c r="U7" s="89" t="s">
        <v>102</v>
      </c>
      <c r="W7" s="91" t="s">
        <v>107</v>
      </c>
      <c r="X7" s="91"/>
      <c r="Z7" s="53"/>
      <c r="AA7" s="53"/>
      <c r="AB7" s="82"/>
      <c r="AC7" s="53"/>
      <c r="AD7" s="53"/>
      <c r="AE7" s="53"/>
      <c r="AF7" s="46"/>
      <c r="AG7" s="53"/>
      <c r="AH7" s="53"/>
      <c r="AI7" s="46"/>
      <c r="AJ7" s="53"/>
      <c r="AK7" s="53"/>
      <c r="AL7" s="53"/>
      <c r="AM7" s="46"/>
      <c r="AN7" s="53"/>
      <c r="AO7" s="46"/>
      <c r="AP7" s="47"/>
      <c r="AQ7" s="47"/>
      <c r="AR7" s="46"/>
      <c r="AS7" s="53"/>
      <c r="AT7" s="53"/>
    </row>
    <row r="8" spans="1:46" x14ac:dyDescent="0.2">
      <c r="A8">
        <v>18</v>
      </c>
      <c r="B8" s="29">
        <v>0.01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W8" s="7" t="s">
        <v>24</v>
      </c>
      <c r="X8" s="41">
        <v>0.01</v>
      </c>
      <c r="Z8" s="75"/>
      <c r="AA8" s="74"/>
      <c r="AB8" s="82"/>
      <c r="AC8" s="46"/>
      <c r="AD8" s="46"/>
      <c r="AE8" s="49"/>
      <c r="AF8" s="46"/>
      <c r="AG8" s="46"/>
      <c r="AH8" s="54"/>
      <c r="AI8" s="46"/>
      <c r="AJ8" s="46"/>
      <c r="AK8" s="54"/>
      <c r="AL8" s="54"/>
      <c r="AM8" s="46"/>
      <c r="AN8" s="54"/>
      <c r="AO8" s="46"/>
      <c r="AP8" s="46"/>
      <c r="AQ8" s="46"/>
      <c r="AR8" s="46"/>
      <c r="AS8" s="46"/>
      <c r="AT8" s="54"/>
    </row>
    <row r="9" spans="1:46" x14ac:dyDescent="0.2">
      <c r="A9">
        <v>19</v>
      </c>
      <c r="B9" s="29">
        <v>1.2500000000000001E-2</v>
      </c>
      <c r="D9">
        <v>1</v>
      </c>
      <c r="E9">
        <f>B1</f>
        <v>50</v>
      </c>
      <c r="F9">
        <f>VLOOKUP(E9,'Tabla de Mortalidad Conmutados'!$D$3:$E$92,2,FALSE)</f>
        <v>6.6369999999999997E-3</v>
      </c>
      <c r="G9" s="41">
        <v>0.75</v>
      </c>
      <c r="H9" s="41">
        <v>0.9</v>
      </c>
      <c r="I9" s="41">
        <v>0.65</v>
      </c>
      <c r="J9" s="63">
        <f>F9*G9*H9*I9*$J$5</f>
        <v>2.91198375E-3</v>
      </c>
      <c r="K9" s="41">
        <f>0.17*$K$5</f>
        <v>0.17</v>
      </c>
      <c r="L9" s="41">
        <v>0.3</v>
      </c>
      <c r="M9" s="41">
        <v>0.05</v>
      </c>
      <c r="N9" s="41">
        <v>0.17</v>
      </c>
      <c r="O9" s="70">
        <f>((1+U9)/(1+3.6%)-1)+$O$5</f>
        <v>4.4208494208494375E-2</v>
      </c>
      <c r="P9" s="54">
        <v>0</v>
      </c>
      <c r="Q9" s="29">
        <f>'Asset-Share'!$AR$2</f>
        <v>0.10231660231660231</v>
      </c>
      <c r="R9" s="82">
        <v>0</v>
      </c>
      <c r="S9" s="42">
        <f t="shared" ref="S9:S38" si="0">0.045*$S$5</f>
        <v>4.4999999999999998E-2</v>
      </c>
      <c r="T9" s="78">
        <f t="shared" ref="T9:T18" si="1">30*$S$5</f>
        <v>30</v>
      </c>
      <c r="U9" s="79">
        <v>8.1799999999999998E-2</v>
      </c>
      <c r="W9" s="7" t="s">
        <v>25</v>
      </c>
      <c r="X9" s="41">
        <v>0.02</v>
      </c>
      <c r="Z9" s="46"/>
      <c r="AA9" s="54"/>
      <c r="AB9" s="82"/>
      <c r="AC9" s="46"/>
      <c r="AD9" s="46"/>
      <c r="AE9" s="49"/>
      <c r="AF9" s="46"/>
      <c r="AG9" s="46"/>
      <c r="AH9" s="54"/>
      <c r="AI9" s="46"/>
      <c r="AJ9" s="46"/>
      <c r="AK9" s="54"/>
      <c r="AL9" s="54"/>
      <c r="AM9" s="46"/>
      <c r="AN9" s="46"/>
      <c r="AO9" s="46"/>
      <c r="AP9" s="46"/>
      <c r="AQ9" s="54"/>
      <c r="AR9" s="46"/>
      <c r="AS9" s="46"/>
      <c r="AT9" s="54"/>
    </row>
    <row r="10" spans="1:46" x14ac:dyDescent="0.2">
      <c r="A10">
        <v>20</v>
      </c>
      <c r="B10" s="29">
        <v>1.4999999999999999E-2</v>
      </c>
      <c r="D10">
        <v>2</v>
      </c>
      <c r="E10">
        <f>IF(E9&gt;=100,"",E9+1)</f>
        <v>51</v>
      </c>
      <c r="F10">
        <f>VLOOKUP(E10,'Tabla de Mortalidad Conmutados'!$D$3:$E$92,2,FALSE)</f>
        <v>7.1449999999999994E-3</v>
      </c>
      <c r="G10" s="41">
        <v>0.75</v>
      </c>
      <c r="H10" s="41">
        <v>0.9</v>
      </c>
      <c r="I10" s="41">
        <v>0.65</v>
      </c>
      <c r="J10" s="63">
        <f t="shared" ref="J10:J38" si="2">F10*G10*H10*I10*$J$5</f>
        <v>3.1348687499999999E-3</v>
      </c>
      <c r="K10" s="41">
        <f>0.14*$K$5</f>
        <v>0.14000000000000001</v>
      </c>
      <c r="L10" s="42">
        <v>0.25</v>
      </c>
      <c r="M10" s="29">
        <v>0.02</v>
      </c>
      <c r="N10" s="41">
        <v>0.11</v>
      </c>
      <c r="O10" s="70">
        <f t="shared" ref="O10:O38" si="3">((1+U10)/(1+3.6%)-1)+$O$5</f>
        <v>5.0289575289575339E-2</v>
      </c>
      <c r="P10" s="54">
        <v>0</v>
      </c>
      <c r="Q10" s="29">
        <f>'Asset-Share'!$AR$2</f>
        <v>0.10231660231660231</v>
      </c>
      <c r="R10" s="82">
        <v>0</v>
      </c>
      <c r="S10" s="42">
        <f t="shared" si="0"/>
        <v>4.4999999999999998E-2</v>
      </c>
      <c r="T10" s="78">
        <f t="shared" si="1"/>
        <v>30</v>
      </c>
      <c r="U10" s="79">
        <v>8.8100000000000012E-2</v>
      </c>
      <c r="W10" s="7" t="s">
        <v>105</v>
      </c>
      <c r="X10" s="46">
        <v>5.3</v>
      </c>
      <c r="Z10" s="92"/>
      <c r="AA10" s="92"/>
      <c r="AB10" s="82"/>
      <c r="AC10" s="46"/>
      <c r="AD10" s="46"/>
      <c r="AE10" s="49"/>
      <c r="AF10" s="46"/>
      <c r="AG10" s="46"/>
      <c r="AH10" s="54"/>
      <c r="AI10" s="46"/>
      <c r="AJ10" s="46"/>
      <c r="AK10" s="54"/>
      <c r="AL10" s="54"/>
      <c r="AM10" s="46"/>
      <c r="AN10" s="46"/>
      <c r="AO10" s="46"/>
      <c r="AP10" s="46"/>
      <c r="AQ10" s="46"/>
      <c r="AR10" s="46"/>
      <c r="AS10" s="46"/>
      <c r="AT10" s="54"/>
    </row>
    <row r="11" spans="1:46" x14ac:dyDescent="0.2">
      <c r="A11">
        <v>21</v>
      </c>
      <c r="B11" s="29">
        <v>1.7500000000000002E-2</v>
      </c>
      <c r="D11">
        <v>3</v>
      </c>
      <c r="E11">
        <f t="shared" ref="E11:E38" si="4">IF(E10&gt;=100,"",E10+1)</f>
        <v>52</v>
      </c>
      <c r="F11">
        <f>VLOOKUP(E11,'Tabla de Mortalidad Conmutados'!$D$3:$E$92,2,FALSE)</f>
        <v>7.6929999999999993E-3</v>
      </c>
      <c r="G11" s="41">
        <v>0.75</v>
      </c>
      <c r="H11" s="41">
        <v>0.9</v>
      </c>
      <c r="I11" s="41">
        <f t="shared" ref="I11:I38" si="5">IF(D11&gt;2,100%,82%)</f>
        <v>1</v>
      </c>
      <c r="J11" s="63">
        <f t="shared" si="2"/>
        <v>5.1927750000000002E-3</v>
      </c>
      <c r="K11" s="41">
        <f>0.12*$K$5</f>
        <v>0.12</v>
      </c>
      <c r="L11" s="42">
        <v>0.17</v>
      </c>
      <c r="M11" s="41">
        <v>0.01</v>
      </c>
      <c r="N11" s="41">
        <v>0.06</v>
      </c>
      <c r="O11" s="70">
        <f t="shared" si="3"/>
        <v>5.3281853281853309E-2</v>
      </c>
      <c r="P11" s="54">
        <v>0</v>
      </c>
      <c r="Q11" s="29">
        <f>'Asset-Share'!$AR$2</f>
        <v>0.10231660231660231</v>
      </c>
      <c r="R11" s="82">
        <v>0.15</v>
      </c>
      <c r="S11" s="42">
        <f t="shared" si="0"/>
        <v>4.4999999999999998E-2</v>
      </c>
      <c r="T11" s="78">
        <f t="shared" si="1"/>
        <v>30</v>
      </c>
      <c r="U11" s="79">
        <v>9.1199999999999989E-2</v>
      </c>
      <c r="W11" s="7" t="s">
        <v>106</v>
      </c>
      <c r="X11" s="46">
        <v>10.3</v>
      </c>
      <c r="Z11" s="53"/>
      <c r="AA11" s="53"/>
      <c r="AB11" s="82"/>
      <c r="AC11" s="46"/>
      <c r="AD11" s="46"/>
      <c r="AE11" s="49"/>
      <c r="AF11" s="46"/>
      <c r="AG11" s="46"/>
      <c r="AH11" s="54"/>
      <c r="AI11" s="46"/>
      <c r="AJ11" s="46"/>
      <c r="AK11" s="54"/>
      <c r="AL11" s="54"/>
      <c r="AM11" s="46"/>
      <c r="AN11" s="46"/>
      <c r="AO11" s="46"/>
      <c r="AP11" s="46"/>
      <c r="AQ11" s="46"/>
      <c r="AR11" s="46"/>
      <c r="AS11" s="46"/>
      <c r="AT11" s="54"/>
    </row>
    <row r="12" spans="1:46" x14ac:dyDescent="0.2">
      <c r="A12">
        <v>22</v>
      </c>
      <c r="B12" s="29">
        <v>0.02</v>
      </c>
      <c r="D12">
        <v>4</v>
      </c>
      <c r="E12">
        <f t="shared" si="4"/>
        <v>53</v>
      </c>
      <c r="F12">
        <f>VLOOKUP(E12,'Tabla de Mortalidad Conmutados'!$D$3:$E$92,2,FALSE)</f>
        <v>8.2819999999999994E-3</v>
      </c>
      <c r="G12" s="41">
        <v>0.75</v>
      </c>
      <c r="H12" s="41">
        <v>0.9</v>
      </c>
      <c r="I12" s="41">
        <f t="shared" si="5"/>
        <v>1</v>
      </c>
      <c r="J12" s="63">
        <f t="shared" si="2"/>
        <v>5.59035E-3</v>
      </c>
      <c r="K12" s="41">
        <f>0.1*$K$5</f>
        <v>0.1</v>
      </c>
      <c r="L12" s="42">
        <v>0.1</v>
      </c>
      <c r="M12" s="41">
        <v>0.01</v>
      </c>
      <c r="N12" s="41">
        <v>0.04</v>
      </c>
      <c r="O12" s="70">
        <f t="shared" si="3"/>
        <v>4.9131274131274161E-2</v>
      </c>
      <c r="P12" s="54">
        <v>0</v>
      </c>
      <c r="Q12" s="29">
        <f>'Asset-Share'!$AR$2</f>
        <v>0.10231660231660231</v>
      </c>
      <c r="R12" s="82">
        <v>0.25</v>
      </c>
      <c r="S12" s="42">
        <f t="shared" si="0"/>
        <v>4.4999999999999998E-2</v>
      </c>
      <c r="T12" s="78">
        <f t="shared" si="1"/>
        <v>30</v>
      </c>
      <c r="U12" s="79">
        <v>8.6899999999999991E-2</v>
      </c>
      <c r="W12" s="7" t="s">
        <v>26</v>
      </c>
      <c r="X12" s="29">
        <v>2.5000000000000001E-2</v>
      </c>
      <c r="Z12" s="54"/>
      <c r="AA12" s="54"/>
      <c r="AB12" s="82"/>
      <c r="AC12" s="46"/>
      <c r="AD12" s="46"/>
      <c r="AE12" s="49"/>
      <c r="AF12" s="46"/>
      <c r="AG12" s="46"/>
      <c r="AH12" s="54"/>
      <c r="AI12" s="46"/>
      <c r="AJ12" s="46"/>
      <c r="AK12" s="54"/>
      <c r="AL12" s="54"/>
      <c r="AM12" s="46"/>
      <c r="AN12" s="46"/>
      <c r="AO12" s="46"/>
      <c r="AP12" s="46"/>
      <c r="AQ12" s="46"/>
      <c r="AR12" s="46"/>
      <c r="AS12" s="46"/>
      <c r="AT12" s="54"/>
    </row>
    <row r="13" spans="1:46" x14ac:dyDescent="0.2">
      <c r="A13">
        <v>23</v>
      </c>
      <c r="B13" s="29">
        <v>2.2499999999999999E-2</v>
      </c>
      <c r="D13">
        <v>5</v>
      </c>
      <c r="E13">
        <f t="shared" si="4"/>
        <v>54</v>
      </c>
      <c r="F13">
        <f>VLOOKUP(E13,'Tabla de Mortalidad Conmutados'!$D$3:$E$92,2,FALSE)</f>
        <v>8.9149999999999993E-3</v>
      </c>
      <c r="G13" s="41">
        <v>0.75</v>
      </c>
      <c r="H13" s="41">
        <v>0.9</v>
      </c>
      <c r="I13" s="41">
        <f t="shared" si="5"/>
        <v>1</v>
      </c>
      <c r="J13" s="63">
        <f t="shared" si="2"/>
        <v>6.0176249999999995E-3</v>
      </c>
      <c r="K13" s="41">
        <f>0.09*$K$5</f>
        <v>0.09</v>
      </c>
      <c r="L13" s="69">
        <v>0.05</v>
      </c>
      <c r="M13" s="41">
        <v>0.01</v>
      </c>
      <c r="N13" s="41">
        <v>0.02</v>
      </c>
      <c r="O13" s="70">
        <f t="shared" si="3"/>
        <v>4.7007722007722075E-2</v>
      </c>
      <c r="P13" s="54">
        <v>0</v>
      </c>
      <c r="Q13" s="29">
        <f>'Asset-Share'!$AR$2</f>
        <v>0.10231660231660231</v>
      </c>
      <c r="R13" s="82">
        <v>0.37</v>
      </c>
      <c r="S13" s="42">
        <f t="shared" si="0"/>
        <v>4.4999999999999998E-2</v>
      </c>
      <c r="T13" s="78">
        <f t="shared" si="1"/>
        <v>30</v>
      </c>
      <c r="U13" s="79">
        <v>8.4700000000000011E-2</v>
      </c>
      <c r="W13" s="7" t="s">
        <v>27</v>
      </c>
      <c r="X13" s="29">
        <v>0.03</v>
      </c>
      <c r="Z13" s="46"/>
      <c r="AA13" s="54"/>
      <c r="AB13" s="82"/>
      <c r="AC13" s="46"/>
      <c r="AD13" s="46"/>
      <c r="AE13" s="49"/>
      <c r="AF13" s="46"/>
      <c r="AG13" s="46"/>
      <c r="AH13" s="54"/>
      <c r="AI13" s="46"/>
      <c r="AJ13" s="46"/>
      <c r="AK13" s="54"/>
      <c r="AL13" s="54"/>
      <c r="AM13" s="46"/>
      <c r="AN13" s="46"/>
      <c r="AO13" s="46"/>
      <c r="AP13" s="46"/>
      <c r="AQ13" s="46"/>
      <c r="AR13" s="46"/>
      <c r="AS13" s="46"/>
      <c r="AT13" s="54"/>
    </row>
    <row r="14" spans="1:46" x14ac:dyDescent="0.2">
      <c r="A14">
        <v>24</v>
      </c>
      <c r="B14" s="29">
        <v>2.5000000000000001E-2</v>
      </c>
      <c r="D14">
        <v>6</v>
      </c>
      <c r="E14">
        <f t="shared" si="4"/>
        <v>55</v>
      </c>
      <c r="F14">
        <f>VLOOKUP(E14,'Tabla de Mortalidad Conmutados'!$D$3:$E$92,2,FALSE)</f>
        <v>9.5969999999999996E-3</v>
      </c>
      <c r="G14" s="41">
        <v>0.75</v>
      </c>
      <c r="H14" s="41">
        <v>0.9</v>
      </c>
      <c r="I14" s="41">
        <f t="shared" si="5"/>
        <v>1</v>
      </c>
      <c r="J14" s="63">
        <f t="shared" si="2"/>
        <v>6.4779749999999995E-3</v>
      </c>
      <c r="K14" s="41">
        <f>0.08*$K$5</f>
        <v>0.08</v>
      </c>
      <c r="L14" s="42">
        <v>0.05</v>
      </c>
      <c r="M14" s="41">
        <v>0.01</v>
      </c>
      <c r="N14" s="41">
        <v>0.02</v>
      </c>
      <c r="O14" s="70">
        <f t="shared" si="3"/>
        <v>4.7972972972972983E-2</v>
      </c>
      <c r="P14" s="54">
        <v>0</v>
      </c>
      <c r="Q14" s="29">
        <f>'Asset-Share'!$AR$2</f>
        <v>0.10231660231660231</v>
      </c>
      <c r="R14" s="82">
        <v>0.5</v>
      </c>
      <c r="S14" s="42">
        <f t="shared" si="0"/>
        <v>4.4999999999999998E-2</v>
      </c>
      <c r="T14" s="78">
        <f t="shared" si="1"/>
        <v>30</v>
      </c>
      <c r="U14" s="79">
        <v>8.5699999999999998E-2</v>
      </c>
      <c r="W14" s="7" t="s">
        <v>32</v>
      </c>
      <c r="X14" s="43">
        <v>15</v>
      </c>
      <c r="Z14" s="46"/>
      <c r="AA14" s="54"/>
      <c r="AB14" s="82"/>
      <c r="AC14" s="46"/>
      <c r="AD14" s="46"/>
      <c r="AE14" s="49"/>
      <c r="AF14" s="46"/>
      <c r="AG14" s="46"/>
      <c r="AH14" s="54"/>
      <c r="AI14" s="46"/>
      <c r="AJ14" s="46"/>
      <c r="AK14" s="54"/>
      <c r="AL14" s="54"/>
      <c r="AM14" s="46"/>
      <c r="AN14" s="46"/>
      <c r="AO14" s="46"/>
      <c r="AP14" s="46"/>
      <c r="AQ14" s="46"/>
      <c r="AR14" s="46"/>
      <c r="AS14" s="46"/>
      <c r="AT14" s="54"/>
    </row>
    <row r="15" spans="1:46" x14ac:dyDescent="0.2">
      <c r="A15">
        <v>25</v>
      </c>
      <c r="B15" s="29">
        <v>2.75E-2</v>
      </c>
      <c r="D15">
        <v>7</v>
      </c>
      <c r="E15">
        <f t="shared" si="4"/>
        <v>56</v>
      </c>
      <c r="F15">
        <f>VLOOKUP(E15,'Tabla de Mortalidad Conmutados'!$D$3:$E$92,2,FALSE)</f>
        <v>1.0330000000000001E-2</v>
      </c>
      <c r="G15" s="41">
        <v>0.75</v>
      </c>
      <c r="H15" s="41">
        <v>0.9</v>
      </c>
      <c r="I15" s="41">
        <f t="shared" si="5"/>
        <v>1</v>
      </c>
      <c r="J15" s="63">
        <f t="shared" si="2"/>
        <v>6.9727500000000006E-3</v>
      </c>
      <c r="K15" s="41">
        <f>0.07*$K$5</f>
        <v>7.0000000000000007E-2</v>
      </c>
      <c r="L15" s="42">
        <v>0.05</v>
      </c>
      <c r="M15" s="41">
        <v>0.01</v>
      </c>
      <c r="N15" s="41">
        <v>0.02</v>
      </c>
      <c r="O15" s="70">
        <f t="shared" si="3"/>
        <v>4.5945945945945921E-2</v>
      </c>
      <c r="P15" s="54">
        <v>0</v>
      </c>
      <c r="Q15" s="29">
        <f>'Asset-Share'!$AR$2</f>
        <v>0.10231660231660231</v>
      </c>
      <c r="R15" s="82">
        <v>0.65</v>
      </c>
      <c r="S15" s="42">
        <f t="shared" si="0"/>
        <v>4.4999999999999998E-2</v>
      </c>
      <c r="T15" s="78">
        <f t="shared" si="1"/>
        <v>30</v>
      </c>
      <c r="U15" s="79">
        <v>8.3599999999999994E-2</v>
      </c>
      <c r="V15" s="44"/>
      <c r="Z15" s="46"/>
      <c r="AA15" s="54"/>
      <c r="AB15" s="82"/>
      <c r="AC15" s="46"/>
      <c r="AD15" s="46"/>
      <c r="AE15" s="49"/>
      <c r="AF15" s="46"/>
      <c r="AG15" s="46"/>
      <c r="AH15" s="54"/>
      <c r="AI15" s="46"/>
      <c r="AJ15" s="46"/>
      <c r="AK15" s="54"/>
      <c r="AL15" s="54"/>
      <c r="AM15" s="46"/>
      <c r="AN15" s="46"/>
      <c r="AO15" s="46"/>
      <c r="AP15" s="46"/>
      <c r="AQ15" s="46"/>
      <c r="AR15" s="46"/>
      <c r="AS15" s="46"/>
      <c r="AT15" s="54"/>
    </row>
    <row r="16" spans="1:46" x14ac:dyDescent="0.2">
      <c r="A16">
        <v>26</v>
      </c>
      <c r="B16" s="29">
        <v>0.03</v>
      </c>
      <c r="D16">
        <v>8</v>
      </c>
      <c r="E16">
        <f t="shared" si="4"/>
        <v>57</v>
      </c>
      <c r="F16">
        <f>VLOOKUP(E16,'Tabla de Mortalidad Conmutados'!$D$3:$E$92,2,FALSE)</f>
        <v>1.1119E-2</v>
      </c>
      <c r="G16" s="41">
        <v>0.75</v>
      </c>
      <c r="H16" s="41">
        <v>0.9</v>
      </c>
      <c r="I16" s="41">
        <f t="shared" si="5"/>
        <v>1</v>
      </c>
      <c r="J16" s="63">
        <f t="shared" si="2"/>
        <v>7.5053249999999993E-3</v>
      </c>
      <c r="K16" s="41">
        <f>0.06*$K$5</f>
        <v>0.06</v>
      </c>
      <c r="L16" s="42">
        <v>0.05</v>
      </c>
      <c r="M16" s="41">
        <v>0.01</v>
      </c>
      <c r="N16" s="41">
        <v>0.02</v>
      </c>
      <c r="O16" s="70">
        <f t="shared" si="3"/>
        <v>4.333976833976827E-2</v>
      </c>
      <c r="P16" s="54">
        <v>0</v>
      </c>
      <c r="Q16" s="29">
        <f>'Asset-Share'!$AR$2</f>
        <v>0.10231660231660231</v>
      </c>
      <c r="R16" s="82">
        <v>0.72</v>
      </c>
      <c r="S16" s="42">
        <f t="shared" si="0"/>
        <v>4.4999999999999998E-2</v>
      </c>
      <c r="T16" s="78">
        <f t="shared" si="1"/>
        <v>30</v>
      </c>
      <c r="U16" s="79">
        <v>8.09E-2</v>
      </c>
      <c r="Z16" s="46"/>
      <c r="AA16" s="54"/>
      <c r="AB16" s="82"/>
      <c r="AC16" s="46"/>
      <c r="AD16" s="46"/>
      <c r="AE16" s="49"/>
      <c r="AF16" s="46"/>
      <c r="AG16" s="46"/>
      <c r="AH16" s="54"/>
      <c r="AI16" s="46"/>
      <c r="AJ16" s="46"/>
      <c r="AK16" s="54"/>
      <c r="AL16" s="54"/>
      <c r="AM16" s="46"/>
      <c r="AN16" s="46"/>
      <c r="AO16" s="46"/>
      <c r="AP16" s="46"/>
      <c r="AQ16" s="46"/>
      <c r="AR16" s="46"/>
      <c r="AS16" s="46"/>
      <c r="AT16" s="54"/>
    </row>
    <row r="17" spans="1:46" x14ac:dyDescent="0.2">
      <c r="A17">
        <v>27</v>
      </c>
      <c r="B17" s="29">
        <v>3.2500000000000001E-2</v>
      </c>
      <c r="D17">
        <v>9</v>
      </c>
      <c r="E17">
        <f t="shared" si="4"/>
        <v>58</v>
      </c>
      <c r="F17" s="59">
        <f>VLOOKUP(E17,'Tabla de Mortalidad Conmutados'!$D$3:$E$92,2,FALSE)</f>
        <v>1.1967E-2</v>
      </c>
      <c r="G17" s="41">
        <v>0.75</v>
      </c>
      <c r="H17" s="41">
        <v>0.9</v>
      </c>
      <c r="I17" s="41">
        <f t="shared" si="5"/>
        <v>1</v>
      </c>
      <c r="J17" s="63">
        <f t="shared" si="2"/>
        <v>8.0777250000000009E-3</v>
      </c>
      <c r="K17" s="41">
        <f>0.06*$K$5</f>
        <v>0.06</v>
      </c>
      <c r="L17" s="42">
        <v>0.05</v>
      </c>
      <c r="M17" s="41">
        <v>0.01</v>
      </c>
      <c r="N17" s="41">
        <v>0.02</v>
      </c>
      <c r="O17" s="70">
        <f t="shared" si="3"/>
        <v>3.7837837837837673E-2</v>
      </c>
      <c r="P17" s="54">
        <v>0</v>
      </c>
      <c r="Q17" s="29">
        <f>'Asset-Share'!$AR$2</f>
        <v>0.10231660231660231</v>
      </c>
      <c r="R17" s="82">
        <v>0.8</v>
      </c>
      <c r="S17" s="42">
        <f t="shared" si="0"/>
        <v>4.4999999999999998E-2</v>
      </c>
      <c r="T17" s="78">
        <f t="shared" si="1"/>
        <v>30</v>
      </c>
      <c r="U17" s="79">
        <v>7.5200000000000003E-2</v>
      </c>
      <c r="Z17" s="46"/>
      <c r="AA17" s="54"/>
      <c r="AB17" s="82"/>
      <c r="AC17" s="46"/>
      <c r="AD17" s="46"/>
      <c r="AE17" s="49"/>
      <c r="AF17" s="46"/>
      <c r="AG17" s="46"/>
      <c r="AH17" s="54"/>
      <c r="AI17" s="46"/>
      <c r="AJ17" s="46"/>
      <c r="AK17" s="54"/>
      <c r="AL17" s="54"/>
      <c r="AM17" s="46"/>
      <c r="AN17" s="46"/>
      <c r="AO17" s="46"/>
      <c r="AP17" s="46"/>
      <c r="AQ17" s="46"/>
      <c r="AR17" s="46"/>
      <c r="AS17" s="46"/>
      <c r="AT17" s="54"/>
    </row>
    <row r="18" spans="1:46" x14ac:dyDescent="0.2">
      <c r="A18">
        <v>28</v>
      </c>
      <c r="B18" s="29">
        <v>3.5000000000000003E-2</v>
      </c>
      <c r="D18" s="46">
        <v>10</v>
      </c>
      <c r="E18">
        <f t="shared" si="4"/>
        <v>59</v>
      </c>
      <c r="F18" s="59">
        <f>VLOOKUP(E18,'Tabla de Mortalidad Conmutados'!$D$3:$E$92,2,FALSE)</f>
        <v>1.2879E-2</v>
      </c>
      <c r="G18" s="41">
        <v>0.75</v>
      </c>
      <c r="H18" s="41">
        <v>0.9</v>
      </c>
      <c r="I18" s="41">
        <f t="shared" si="5"/>
        <v>1</v>
      </c>
      <c r="J18" s="63">
        <f t="shared" si="2"/>
        <v>8.693325E-3</v>
      </c>
      <c r="K18" s="54">
        <f>0.06*$K$5</f>
        <v>0.06</v>
      </c>
      <c r="L18" s="42">
        <v>0.05</v>
      </c>
      <c r="M18" s="41">
        <v>0.01</v>
      </c>
      <c r="N18" s="41">
        <v>0.02</v>
      </c>
      <c r="O18" s="70">
        <f t="shared" si="3"/>
        <v>3.4459459459459607E-2</v>
      </c>
      <c r="P18" s="54">
        <v>0</v>
      </c>
      <c r="Q18" s="29">
        <f>'Asset-Share'!$AR$2</f>
        <v>0.10231660231660231</v>
      </c>
      <c r="R18" s="82">
        <v>0.9</v>
      </c>
      <c r="S18" s="42">
        <f t="shared" si="0"/>
        <v>4.4999999999999998E-2</v>
      </c>
      <c r="T18" s="78">
        <f t="shared" si="1"/>
        <v>30</v>
      </c>
      <c r="U18" s="79">
        <v>7.17E-2</v>
      </c>
      <c r="Z18" s="46"/>
      <c r="AA18" s="54"/>
      <c r="AB18" s="82"/>
      <c r="AC18" s="46"/>
      <c r="AD18" s="46"/>
      <c r="AE18" s="49"/>
      <c r="AF18" s="46"/>
      <c r="AG18" s="46"/>
      <c r="AH18" s="54"/>
      <c r="AI18" s="46"/>
      <c r="AJ18" s="46"/>
      <c r="AK18" s="54"/>
      <c r="AL18" s="54"/>
      <c r="AM18" s="46"/>
      <c r="AN18" s="46"/>
      <c r="AO18" s="46"/>
      <c r="AP18" s="46"/>
      <c r="AQ18" s="46"/>
      <c r="AR18" s="46"/>
      <c r="AS18" s="46"/>
      <c r="AT18" s="54"/>
    </row>
    <row r="19" spans="1:46" x14ac:dyDescent="0.2">
      <c r="A19">
        <v>29</v>
      </c>
      <c r="B19" s="29">
        <v>3.7499999999999999E-2</v>
      </c>
      <c r="D19">
        <v>11</v>
      </c>
      <c r="E19">
        <f t="shared" si="4"/>
        <v>60</v>
      </c>
      <c r="F19" s="59">
        <f>VLOOKUP(E19,'Tabla de Mortalidad Conmutados'!$D$3:$E$92,2,FALSE)</f>
        <v>1.3859999999999999E-2</v>
      </c>
      <c r="G19" s="41">
        <v>0.75</v>
      </c>
      <c r="H19" s="41">
        <v>0.9</v>
      </c>
      <c r="I19" s="41">
        <f t="shared" si="5"/>
        <v>1</v>
      </c>
      <c r="J19" s="63">
        <f t="shared" si="2"/>
        <v>9.3554999999999992E-3</v>
      </c>
      <c r="K19" s="41">
        <f t="shared" ref="K19:K27" si="6">0.03*$K$5</f>
        <v>0.03</v>
      </c>
      <c r="L19" s="41">
        <v>0</v>
      </c>
      <c r="M19" s="41">
        <v>0</v>
      </c>
      <c r="N19" s="41">
        <v>0</v>
      </c>
      <c r="O19" s="70">
        <f t="shared" si="3"/>
        <v>3.5907335907335858E-2</v>
      </c>
      <c r="P19" s="54">
        <v>0</v>
      </c>
      <c r="Q19" s="29">
        <f>'Asset-Share'!$AR$2</f>
        <v>0.10231660231660231</v>
      </c>
      <c r="R19" s="82">
        <v>1</v>
      </c>
      <c r="S19" s="42">
        <f t="shared" si="0"/>
        <v>4.4999999999999998E-2</v>
      </c>
      <c r="T19" s="78">
        <f t="shared" ref="T19:T38" si="7">45*$S$5</f>
        <v>45</v>
      </c>
      <c r="U19" s="79">
        <v>7.3200000000000001E-2</v>
      </c>
      <c r="Z19" s="46"/>
      <c r="AA19" s="54"/>
      <c r="AB19" s="82"/>
      <c r="AC19" s="46"/>
      <c r="AD19" s="46"/>
      <c r="AE19" s="49"/>
      <c r="AF19" s="46"/>
      <c r="AG19" s="46"/>
      <c r="AH19" s="54"/>
      <c r="AI19" s="46"/>
      <c r="AJ19" s="46"/>
      <c r="AK19" s="54"/>
      <c r="AL19" s="54"/>
      <c r="AM19" s="46"/>
      <c r="AN19" s="46"/>
      <c r="AO19" s="46"/>
      <c r="AP19" s="46"/>
      <c r="AQ19" s="46"/>
      <c r="AR19" s="46"/>
      <c r="AS19" s="46"/>
      <c r="AT19" s="54"/>
    </row>
    <row r="20" spans="1:46" x14ac:dyDescent="0.2">
      <c r="A20">
        <v>30</v>
      </c>
      <c r="B20" s="29">
        <v>0.04</v>
      </c>
      <c r="D20">
        <v>12</v>
      </c>
      <c r="E20">
        <f t="shared" si="4"/>
        <v>61</v>
      </c>
      <c r="F20" s="59">
        <f>VLOOKUP(E20,'Tabla de Mortalidad Conmutados'!$D$3:$E$92,2,FALSE)</f>
        <v>1.4914E-2</v>
      </c>
      <c r="G20" s="41">
        <v>0.75</v>
      </c>
      <c r="H20" s="41">
        <v>0.9</v>
      </c>
      <c r="I20" s="41">
        <f t="shared" si="5"/>
        <v>1</v>
      </c>
      <c r="J20" s="63">
        <f t="shared" si="2"/>
        <v>1.0066950000000002E-2</v>
      </c>
      <c r="K20" s="41">
        <f t="shared" si="6"/>
        <v>0.03</v>
      </c>
      <c r="L20" s="41">
        <v>0</v>
      </c>
      <c r="M20" s="41">
        <v>0</v>
      </c>
      <c r="N20" s="41">
        <v>0</v>
      </c>
      <c r="O20" s="70">
        <f t="shared" si="3"/>
        <v>3.4652509652509655E-2</v>
      </c>
      <c r="P20" s="54">
        <v>0</v>
      </c>
      <c r="Q20" s="29">
        <f>'Asset-Share'!$AR$2</f>
        <v>0.10231660231660231</v>
      </c>
      <c r="R20" s="82">
        <v>1</v>
      </c>
      <c r="S20" s="42">
        <f t="shared" si="0"/>
        <v>4.4999999999999998E-2</v>
      </c>
      <c r="T20" s="78">
        <f t="shared" si="7"/>
        <v>45</v>
      </c>
      <c r="U20" s="79">
        <v>7.1900000000000006E-2</v>
      </c>
      <c r="Z20" s="46"/>
      <c r="AA20" s="54"/>
      <c r="AB20" s="82"/>
      <c r="AC20" s="46"/>
      <c r="AD20" s="46"/>
      <c r="AE20" s="49"/>
      <c r="AF20" s="46"/>
      <c r="AG20" s="46"/>
      <c r="AH20" s="54"/>
      <c r="AI20" s="46"/>
      <c r="AJ20" s="46"/>
      <c r="AK20" s="54"/>
      <c r="AL20" s="54"/>
      <c r="AM20" s="46"/>
      <c r="AN20" s="46"/>
      <c r="AO20" s="46"/>
      <c r="AP20" s="46"/>
      <c r="AQ20" s="46"/>
      <c r="AR20" s="46"/>
      <c r="AS20" s="46"/>
      <c r="AT20" s="54"/>
    </row>
    <row r="21" spans="1:46" x14ac:dyDescent="0.2">
      <c r="A21">
        <v>31</v>
      </c>
      <c r="B21" s="29">
        <v>4.2500000000000003E-2</v>
      </c>
      <c r="D21">
        <v>13</v>
      </c>
      <c r="E21">
        <f t="shared" si="4"/>
        <v>62</v>
      </c>
      <c r="F21" s="59">
        <f>VLOOKUP(E21,'Tabla de Mortalidad Conmutados'!$D$3:$E$92,2,FALSE)</f>
        <v>1.6048E-2</v>
      </c>
      <c r="G21" s="41">
        <v>0.75</v>
      </c>
      <c r="H21" s="41">
        <v>0.9</v>
      </c>
      <c r="I21" s="41">
        <f t="shared" si="5"/>
        <v>1</v>
      </c>
      <c r="J21" s="63">
        <f t="shared" si="2"/>
        <v>1.0832400000000001E-2</v>
      </c>
      <c r="K21" s="41">
        <f t="shared" si="6"/>
        <v>0.03</v>
      </c>
      <c r="L21" s="41">
        <v>0</v>
      </c>
      <c r="M21" s="41">
        <v>0</v>
      </c>
      <c r="N21" s="41">
        <v>0</v>
      </c>
      <c r="O21" s="70">
        <f t="shared" si="3"/>
        <v>3.1660231660231686E-2</v>
      </c>
      <c r="P21" s="54">
        <v>0</v>
      </c>
      <c r="Q21" s="29">
        <f>'Asset-Share'!$AR$2</f>
        <v>0.10231660231660231</v>
      </c>
      <c r="R21" s="82">
        <v>1</v>
      </c>
      <c r="S21" s="42">
        <f t="shared" si="0"/>
        <v>4.4999999999999998E-2</v>
      </c>
      <c r="T21" s="78">
        <f t="shared" si="7"/>
        <v>45</v>
      </c>
      <c r="U21" s="79">
        <v>6.88E-2</v>
      </c>
      <c r="Z21" s="46"/>
      <c r="AA21" s="54"/>
      <c r="AB21" s="82"/>
      <c r="AC21" s="46"/>
      <c r="AD21" s="46"/>
      <c r="AE21" s="49"/>
      <c r="AF21" s="46"/>
      <c r="AG21" s="46"/>
      <c r="AH21" s="54"/>
      <c r="AI21" s="46"/>
      <c r="AJ21" s="46"/>
      <c r="AK21" s="54"/>
      <c r="AL21" s="54"/>
      <c r="AM21" s="46"/>
      <c r="AN21" s="46"/>
      <c r="AO21" s="46"/>
      <c r="AP21" s="46"/>
      <c r="AQ21" s="46"/>
      <c r="AR21" s="46"/>
      <c r="AS21" s="46"/>
      <c r="AT21" s="54"/>
    </row>
    <row r="22" spans="1:46" x14ac:dyDescent="0.2">
      <c r="A22">
        <v>32</v>
      </c>
      <c r="B22" s="29">
        <v>4.4999999999999998E-2</v>
      </c>
      <c r="D22">
        <v>14</v>
      </c>
      <c r="E22">
        <f t="shared" si="4"/>
        <v>63</v>
      </c>
      <c r="F22" s="59">
        <f>VLOOKUP(E22,'Tabla de Mortalidad Conmutados'!$D$3:$E$92,2,FALSE)</f>
        <v>1.7264999999999999E-2</v>
      </c>
      <c r="G22" s="41">
        <v>0.75</v>
      </c>
      <c r="H22" s="41">
        <v>0.9</v>
      </c>
      <c r="I22" s="41">
        <f t="shared" si="5"/>
        <v>1</v>
      </c>
      <c r="J22" s="63">
        <f t="shared" si="2"/>
        <v>1.1653874999999999E-2</v>
      </c>
      <c r="K22" s="41">
        <f t="shared" si="6"/>
        <v>0.03</v>
      </c>
      <c r="L22" s="41">
        <v>0</v>
      </c>
      <c r="M22" s="41">
        <v>0</v>
      </c>
      <c r="N22" s="41">
        <v>0</v>
      </c>
      <c r="O22" s="70">
        <f t="shared" si="3"/>
        <v>4.9227799227799185E-2</v>
      </c>
      <c r="P22" s="54">
        <v>0</v>
      </c>
      <c r="Q22" s="29">
        <f>'Asset-Share'!$AR$2</f>
        <v>0.10231660231660231</v>
      </c>
      <c r="R22" s="82">
        <v>1</v>
      </c>
      <c r="S22" s="42">
        <f t="shared" si="0"/>
        <v>4.4999999999999998E-2</v>
      </c>
      <c r="T22" s="78">
        <f t="shared" si="7"/>
        <v>45</v>
      </c>
      <c r="U22" s="79">
        <v>8.6999999999999994E-2</v>
      </c>
      <c r="Z22" s="46"/>
      <c r="AA22" s="54"/>
      <c r="AB22" s="82"/>
      <c r="AC22" s="46"/>
      <c r="AD22" s="46"/>
      <c r="AE22" s="49"/>
      <c r="AF22" s="46"/>
      <c r="AG22" s="46"/>
      <c r="AH22" s="54"/>
      <c r="AI22" s="46"/>
      <c r="AJ22" s="46"/>
      <c r="AK22" s="54"/>
      <c r="AL22" s="54"/>
      <c r="AM22" s="46"/>
      <c r="AN22" s="46"/>
      <c r="AO22" s="46"/>
      <c r="AP22" s="46"/>
      <c r="AQ22" s="46"/>
      <c r="AR22" s="46"/>
      <c r="AS22" s="46"/>
      <c r="AT22" s="54"/>
    </row>
    <row r="23" spans="1:46" x14ac:dyDescent="0.2">
      <c r="A23">
        <v>33</v>
      </c>
      <c r="B23" s="29">
        <v>4.7500000000000001E-2</v>
      </c>
      <c r="D23">
        <v>15</v>
      </c>
      <c r="E23">
        <f t="shared" si="4"/>
        <v>64</v>
      </c>
      <c r="F23" s="59">
        <f>VLOOKUP(E23,'Tabla de Mortalidad Conmutados'!$D$3:$E$92,2,FALSE)</f>
        <v>1.8574E-2</v>
      </c>
      <c r="G23" s="41">
        <v>0.75</v>
      </c>
      <c r="H23" s="41">
        <v>0.9</v>
      </c>
      <c r="I23" s="41">
        <f t="shared" si="5"/>
        <v>1</v>
      </c>
      <c r="J23" s="63">
        <f t="shared" si="2"/>
        <v>1.253745E-2</v>
      </c>
      <c r="K23" s="41">
        <f t="shared" si="6"/>
        <v>0.03</v>
      </c>
      <c r="L23" s="41">
        <v>0</v>
      </c>
      <c r="M23" s="41">
        <v>0</v>
      </c>
      <c r="N23" s="41">
        <v>0</v>
      </c>
      <c r="O23" s="70">
        <f t="shared" si="3"/>
        <v>3.7741312741312649E-2</v>
      </c>
      <c r="P23" s="54">
        <v>0</v>
      </c>
      <c r="Q23" s="29">
        <f>'Asset-Share'!$AR$2</f>
        <v>0.10231660231660231</v>
      </c>
      <c r="R23" s="82">
        <v>1</v>
      </c>
      <c r="S23" s="42">
        <f t="shared" si="0"/>
        <v>4.4999999999999998E-2</v>
      </c>
      <c r="T23" s="78">
        <f t="shared" si="7"/>
        <v>45</v>
      </c>
      <c r="U23" s="79">
        <v>7.51E-2</v>
      </c>
      <c r="Z23" s="46"/>
      <c r="AA23" s="54"/>
      <c r="AB23" s="82"/>
      <c r="AC23" s="46"/>
      <c r="AD23" s="46"/>
      <c r="AE23" s="49"/>
      <c r="AF23" s="46"/>
      <c r="AG23" s="46"/>
      <c r="AH23" s="54"/>
      <c r="AI23" s="46"/>
      <c r="AJ23" s="46"/>
      <c r="AK23" s="54"/>
      <c r="AL23" s="54"/>
      <c r="AM23" s="46"/>
      <c r="AN23" s="46"/>
      <c r="AO23" s="46"/>
      <c r="AP23" s="46"/>
      <c r="AQ23" s="46"/>
      <c r="AR23" s="46"/>
      <c r="AS23" s="46"/>
      <c r="AT23" s="54"/>
    </row>
    <row r="24" spans="1:46" x14ac:dyDescent="0.2">
      <c r="A24">
        <v>34</v>
      </c>
      <c r="B24" s="29">
        <v>0.05</v>
      </c>
      <c r="D24">
        <v>16</v>
      </c>
      <c r="E24">
        <f t="shared" si="4"/>
        <v>65</v>
      </c>
      <c r="F24" s="59">
        <f>VLOOKUP(E24,'Tabla de Mortalidad Conmutados'!$D$3:$E$92,2,FALSE)</f>
        <v>1.9980000000000001E-2</v>
      </c>
      <c r="G24" s="41">
        <v>0.75</v>
      </c>
      <c r="H24" s="41">
        <v>0.9</v>
      </c>
      <c r="I24" s="41">
        <f t="shared" si="5"/>
        <v>1</v>
      </c>
      <c r="J24" s="63">
        <f t="shared" si="2"/>
        <v>1.3486500000000002E-2</v>
      </c>
      <c r="K24" s="41">
        <f t="shared" si="6"/>
        <v>0.03</v>
      </c>
      <c r="L24" s="41">
        <v>0</v>
      </c>
      <c r="M24" s="41">
        <v>0</v>
      </c>
      <c r="N24" s="41">
        <v>0</v>
      </c>
      <c r="O24" s="70">
        <f t="shared" si="3"/>
        <v>3.3880308880308796E-2</v>
      </c>
      <c r="P24" s="54">
        <v>0</v>
      </c>
      <c r="Q24" s="29">
        <f>'Asset-Share'!$AR$2</f>
        <v>0.10231660231660231</v>
      </c>
      <c r="R24" s="82">
        <v>1</v>
      </c>
      <c r="S24" s="42">
        <f t="shared" si="0"/>
        <v>4.4999999999999998E-2</v>
      </c>
      <c r="T24" s="78">
        <f t="shared" si="7"/>
        <v>45</v>
      </c>
      <c r="U24" s="79">
        <v>7.110000000000001E-2</v>
      </c>
      <c r="Z24" s="46"/>
      <c r="AA24" s="54"/>
      <c r="AB24" s="82"/>
      <c r="AC24" s="46"/>
      <c r="AD24" s="46"/>
      <c r="AE24" s="49"/>
      <c r="AF24" s="46"/>
      <c r="AG24" s="46"/>
      <c r="AH24" s="54"/>
      <c r="AI24" s="46"/>
      <c r="AJ24" s="46"/>
      <c r="AK24" s="54"/>
      <c r="AL24" s="54"/>
      <c r="AM24" s="46"/>
      <c r="AN24" s="46"/>
      <c r="AO24" s="46"/>
      <c r="AP24" s="46"/>
      <c r="AQ24" s="46"/>
      <c r="AR24" s="46"/>
      <c r="AS24" s="46"/>
      <c r="AT24" s="54"/>
    </row>
    <row r="25" spans="1:46" x14ac:dyDescent="0.2">
      <c r="A25">
        <v>35</v>
      </c>
      <c r="B25" s="29">
        <v>5.2499999999999998E-2</v>
      </c>
      <c r="D25">
        <v>17</v>
      </c>
      <c r="E25">
        <f t="shared" si="4"/>
        <v>66</v>
      </c>
      <c r="F25" s="59">
        <f>VLOOKUP(E25,'Tabla de Mortalidad Conmutados'!$D$3:$E$92,2,FALSE)</f>
        <v>2.1489999999999999E-2</v>
      </c>
      <c r="G25" s="41">
        <v>0.75</v>
      </c>
      <c r="H25" s="41">
        <v>0.9</v>
      </c>
      <c r="I25" s="41">
        <f t="shared" si="5"/>
        <v>1</v>
      </c>
      <c r="J25" s="63">
        <f t="shared" si="2"/>
        <v>1.450575E-2</v>
      </c>
      <c r="K25" s="41">
        <f t="shared" si="6"/>
        <v>0.03</v>
      </c>
      <c r="L25" s="41">
        <v>0</v>
      </c>
      <c r="M25" s="41">
        <v>0</v>
      </c>
      <c r="N25" s="41">
        <v>0</v>
      </c>
      <c r="O25" s="70">
        <f t="shared" si="3"/>
        <v>3.1177606177606121E-2</v>
      </c>
      <c r="P25" s="54">
        <v>0</v>
      </c>
      <c r="Q25" s="29">
        <f>'Asset-Share'!$AR$2</f>
        <v>0.10231660231660231</v>
      </c>
      <c r="R25" s="82">
        <v>1</v>
      </c>
      <c r="S25" s="42">
        <f t="shared" si="0"/>
        <v>4.4999999999999998E-2</v>
      </c>
      <c r="T25" s="78">
        <f t="shared" si="7"/>
        <v>45</v>
      </c>
      <c r="U25" s="79">
        <v>6.83E-2</v>
      </c>
      <c r="Z25" s="46"/>
      <c r="AA25" s="54"/>
      <c r="AB25" s="82"/>
      <c r="AC25" s="46"/>
      <c r="AD25" s="46"/>
      <c r="AE25" s="49"/>
      <c r="AF25" s="46"/>
      <c r="AG25" s="46"/>
      <c r="AH25" s="54"/>
      <c r="AI25" s="46"/>
      <c r="AJ25" s="46"/>
      <c r="AK25" s="54"/>
      <c r="AL25" s="54"/>
      <c r="AM25" s="46"/>
      <c r="AN25" s="46"/>
      <c r="AO25" s="46"/>
      <c r="AP25" s="46"/>
      <c r="AQ25" s="46"/>
      <c r="AR25" s="46"/>
      <c r="AS25" s="46"/>
      <c r="AT25" s="54"/>
    </row>
    <row r="26" spans="1:46" x14ac:dyDescent="0.2">
      <c r="A26">
        <v>36</v>
      </c>
      <c r="B26" s="29">
        <v>5.5E-2</v>
      </c>
      <c r="D26">
        <v>18</v>
      </c>
      <c r="E26">
        <f t="shared" si="4"/>
        <v>67</v>
      </c>
      <c r="F26" s="59">
        <f>VLOOKUP(E26,'Tabla de Mortalidad Conmutados'!$D$3:$E$92,2,FALSE)</f>
        <v>2.3111E-2</v>
      </c>
      <c r="G26" s="41">
        <v>0.75</v>
      </c>
      <c r="H26" s="41">
        <v>0.9</v>
      </c>
      <c r="I26" s="41">
        <f t="shared" si="5"/>
        <v>1</v>
      </c>
      <c r="J26" s="63">
        <f t="shared" si="2"/>
        <v>1.5599925000000002E-2</v>
      </c>
      <c r="K26" s="41">
        <f t="shared" si="6"/>
        <v>0.03</v>
      </c>
      <c r="L26" s="41">
        <v>0</v>
      </c>
      <c r="M26" s="41">
        <v>0</v>
      </c>
      <c r="N26" s="41">
        <v>0</v>
      </c>
      <c r="O26" s="70">
        <f t="shared" si="3"/>
        <v>3.2625482625482594E-2</v>
      </c>
      <c r="P26" s="54">
        <v>0</v>
      </c>
      <c r="Q26" s="29">
        <f>'Asset-Share'!$AR$2</f>
        <v>0.10231660231660231</v>
      </c>
      <c r="R26" s="82">
        <v>1</v>
      </c>
      <c r="S26" s="42">
        <f t="shared" si="0"/>
        <v>4.4999999999999998E-2</v>
      </c>
      <c r="T26" s="78">
        <f t="shared" si="7"/>
        <v>45</v>
      </c>
      <c r="U26" s="79">
        <v>6.9800000000000001E-2</v>
      </c>
      <c r="Z26" s="46"/>
      <c r="AA26" s="54"/>
      <c r="AB26" s="82"/>
      <c r="AC26" s="46"/>
      <c r="AD26" s="46"/>
      <c r="AE26" s="49"/>
      <c r="AF26" s="46"/>
      <c r="AG26" s="46"/>
      <c r="AH26" s="54"/>
      <c r="AI26" s="46"/>
      <c r="AJ26" s="46"/>
      <c r="AK26" s="54"/>
      <c r="AL26" s="54"/>
      <c r="AM26" s="46"/>
      <c r="AN26" s="46"/>
      <c r="AO26" s="46"/>
      <c r="AP26" s="46"/>
      <c r="AQ26" s="46"/>
      <c r="AR26" s="46"/>
      <c r="AS26" s="46"/>
      <c r="AT26" s="54"/>
    </row>
    <row r="27" spans="1:46" x14ac:dyDescent="0.2">
      <c r="A27">
        <v>37</v>
      </c>
      <c r="B27" s="29">
        <v>5.7500000000000002E-2</v>
      </c>
      <c r="D27">
        <v>19</v>
      </c>
      <c r="E27">
        <f t="shared" si="4"/>
        <v>68</v>
      </c>
      <c r="F27" s="59">
        <f>VLOOKUP(E27,'Tabla de Mortalidad Conmutados'!$D$3:$E$92,2,FALSE)</f>
        <v>2.4850999999999998E-2</v>
      </c>
      <c r="G27" s="41">
        <v>0.75</v>
      </c>
      <c r="H27" s="41">
        <v>0.9</v>
      </c>
      <c r="I27" s="41">
        <f t="shared" si="5"/>
        <v>1</v>
      </c>
      <c r="J27" s="63">
        <f t="shared" si="2"/>
        <v>1.6774424999999999E-2</v>
      </c>
      <c r="K27" s="41">
        <f t="shared" si="6"/>
        <v>0.03</v>
      </c>
      <c r="L27" s="41">
        <v>0</v>
      </c>
      <c r="M27" s="41">
        <v>0</v>
      </c>
      <c r="N27" s="41">
        <v>0</v>
      </c>
      <c r="O27" s="70">
        <f t="shared" si="3"/>
        <v>3.4266409266409115E-2</v>
      </c>
      <c r="P27" s="54">
        <v>0</v>
      </c>
      <c r="Q27" s="29">
        <f>'Asset-Share'!$AR$2</f>
        <v>0.10231660231660231</v>
      </c>
      <c r="R27" s="82">
        <v>1</v>
      </c>
      <c r="S27" s="42">
        <f t="shared" si="0"/>
        <v>4.4999999999999998E-2</v>
      </c>
      <c r="T27" s="78">
        <f t="shared" si="7"/>
        <v>45</v>
      </c>
      <c r="U27" s="79">
        <v>7.1500000000000008E-2</v>
      </c>
      <c r="Z27" s="46"/>
      <c r="AA27" s="54"/>
      <c r="AB27" s="82"/>
      <c r="AC27" s="46"/>
      <c r="AD27" s="46"/>
      <c r="AE27" s="49"/>
      <c r="AF27" s="46"/>
      <c r="AG27" s="46"/>
      <c r="AH27" s="54"/>
      <c r="AI27" s="46"/>
      <c r="AJ27" s="46"/>
      <c r="AK27" s="54"/>
      <c r="AL27" s="54"/>
      <c r="AM27" s="46"/>
      <c r="AN27" s="46"/>
      <c r="AO27" s="46"/>
      <c r="AP27" s="46"/>
      <c r="AQ27" s="46"/>
      <c r="AR27" s="46"/>
      <c r="AS27" s="46"/>
      <c r="AT27" s="54"/>
    </row>
    <row r="28" spans="1:46" x14ac:dyDescent="0.2">
      <c r="A28">
        <v>38</v>
      </c>
      <c r="B28" s="29">
        <v>0.06</v>
      </c>
      <c r="D28">
        <v>20</v>
      </c>
      <c r="E28">
        <f t="shared" si="4"/>
        <v>69</v>
      </c>
      <c r="F28" s="59">
        <f>VLOOKUP(E28,'Tabla de Mortalidad Conmutados'!$D$3:$E$92,2,FALSE)</f>
        <v>2.6719999999999997E-2</v>
      </c>
      <c r="G28" s="41">
        <v>0.75</v>
      </c>
      <c r="H28" s="41">
        <v>0.9</v>
      </c>
      <c r="I28" s="41">
        <f t="shared" si="5"/>
        <v>1</v>
      </c>
      <c r="J28" s="63">
        <f t="shared" si="2"/>
        <v>1.8036E-2</v>
      </c>
      <c r="K28" s="41">
        <f t="shared" ref="K28:K38" si="8">0.01*$K$5</f>
        <v>0.01</v>
      </c>
      <c r="L28" s="41">
        <v>0</v>
      </c>
      <c r="M28" s="41">
        <v>0</v>
      </c>
      <c r="N28" s="41">
        <v>0</v>
      </c>
      <c r="O28" s="70">
        <f t="shared" si="3"/>
        <v>3.1467181467181415E-2</v>
      </c>
      <c r="P28" s="54">
        <v>0</v>
      </c>
      <c r="Q28" s="29">
        <f>'Asset-Share'!$AR$2</f>
        <v>0.10231660231660231</v>
      </c>
      <c r="R28" s="82">
        <v>1</v>
      </c>
      <c r="S28" s="42">
        <f t="shared" si="0"/>
        <v>4.4999999999999998E-2</v>
      </c>
      <c r="T28" s="78">
        <f t="shared" si="7"/>
        <v>45</v>
      </c>
      <c r="U28" s="79">
        <v>6.8600000000000008E-2</v>
      </c>
      <c r="Z28" s="46"/>
      <c r="AA28" s="54"/>
      <c r="AB28" s="82"/>
      <c r="AC28" s="46"/>
      <c r="AD28" s="46"/>
      <c r="AE28" s="49"/>
      <c r="AF28" s="46"/>
      <c r="AG28" s="46"/>
      <c r="AH28" s="54"/>
      <c r="AI28" s="46"/>
      <c r="AJ28" s="46"/>
      <c r="AK28" s="54"/>
      <c r="AL28" s="54"/>
      <c r="AM28" s="46"/>
      <c r="AN28" s="46"/>
      <c r="AO28" s="46"/>
      <c r="AP28" s="46"/>
      <c r="AQ28" s="46"/>
      <c r="AR28" s="46"/>
      <c r="AS28" s="46"/>
      <c r="AT28" s="54"/>
    </row>
    <row r="29" spans="1:46" x14ac:dyDescent="0.2">
      <c r="A29">
        <v>39</v>
      </c>
      <c r="D29">
        <v>21</v>
      </c>
      <c r="E29">
        <f t="shared" si="4"/>
        <v>70</v>
      </c>
      <c r="F29" s="59">
        <f>VLOOKUP(E29,'Tabla de Mortalidad Conmutados'!$D$3:$E$92,2,FALSE)</f>
        <v>2.8724E-2</v>
      </c>
      <c r="G29" s="41">
        <v>0.75</v>
      </c>
      <c r="H29" s="41">
        <v>0.9</v>
      </c>
      <c r="I29" s="41">
        <f t="shared" si="5"/>
        <v>1</v>
      </c>
      <c r="J29" s="63">
        <f t="shared" si="2"/>
        <v>1.9388700000000002E-2</v>
      </c>
      <c r="K29" s="41">
        <f t="shared" si="8"/>
        <v>0.01</v>
      </c>
      <c r="L29" s="41">
        <v>0</v>
      </c>
      <c r="M29" s="41">
        <v>0</v>
      </c>
      <c r="N29" s="41">
        <v>0</v>
      </c>
      <c r="O29" s="70">
        <f t="shared" si="3"/>
        <v>3.0598455598455754E-2</v>
      </c>
      <c r="P29" s="54">
        <v>0</v>
      </c>
      <c r="Q29" s="29">
        <f>'Asset-Share'!$AR$2</f>
        <v>0.10231660231660231</v>
      </c>
      <c r="R29" s="82">
        <v>1</v>
      </c>
      <c r="S29" s="42">
        <f t="shared" si="0"/>
        <v>4.4999999999999998E-2</v>
      </c>
      <c r="T29" s="78">
        <f t="shared" si="7"/>
        <v>45</v>
      </c>
      <c r="U29" s="79">
        <v>6.7699999999999996E-2</v>
      </c>
      <c r="Z29" s="46"/>
      <c r="AA29" s="54"/>
      <c r="AB29" s="82"/>
      <c r="AC29" s="46"/>
      <c r="AD29" s="46"/>
      <c r="AE29" s="49"/>
      <c r="AF29" s="46"/>
      <c r="AG29" s="46"/>
      <c r="AH29" s="54"/>
      <c r="AI29" s="46"/>
      <c r="AJ29" s="46"/>
      <c r="AK29" s="54"/>
      <c r="AL29" s="54"/>
      <c r="AM29" s="46"/>
      <c r="AN29" s="46"/>
      <c r="AO29" s="46"/>
      <c r="AP29" s="46"/>
      <c r="AQ29" s="46"/>
      <c r="AR29" s="46"/>
      <c r="AS29" s="46"/>
      <c r="AT29" s="54"/>
    </row>
    <row r="30" spans="1:46" x14ac:dyDescent="0.2">
      <c r="A30">
        <v>40</v>
      </c>
      <c r="D30">
        <v>22</v>
      </c>
      <c r="E30">
        <f t="shared" si="4"/>
        <v>71</v>
      </c>
      <c r="F30" s="59">
        <f>VLOOKUP(E30,'Tabla de Mortalidad Conmutados'!$D$3:$E$92,2,FALSE)</f>
        <v>3.0873999999999999E-2</v>
      </c>
      <c r="G30" s="41">
        <v>0.75</v>
      </c>
      <c r="H30" s="41">
        <v>0.9</v>
      </c>
      <c r="I30" s="41">
        <f t="shared" si="5"/>
        <v>1</v>
      </c>
      <c r="J30" s="63">
        <f t="shared" si="2"/>
        <v>2.0839949999999999E-2</v>
      </c>
      <c r="K30" s="41">
        <f t="shared" si="8"/>
        <v>0.01</v>
      </c>
      <c r="L30" s="41">
        <v>0</v>
      </c>
      <c r="M30" s="41">
        <v>0</v>
      </c>
      <c r="N30" s="41">
        <v>0</v>
      </c>
      <c r="O30" s="70">
        <f t="shared" si="3"/>
        <v>4.0057915057915006E-2</v>
      </c>
      <c r="P30" s="54">
        <v>0</v>
      </c>
      <c r="Q30" s="29">
        <f>'Asset-Share'!$AR$2</f>
        <v>0.10231660231660231</v>
      </c>
      <c r="R30" s="82">
        <v>1</v>
      </c>
      <c r="S30" s="42">
        <f t="shared" si="0"/>
        <v>4.4999999999999998E-2</v>
      </c>
      <c r="T30" s="78">
        <f t="shared" si="7"/>
        <v>45</v>
      </c>
      <c r="U30" s="79">
        <v>7.7499999999999999E-2</v>
      </c>
      <c r="Z30" s="46"/>
      <c r="AA30" s="54"/>
      <c r="AB30" s="82"/>
      <c r="AC30" s="46"/>
      <c r="AD30" s="46"/>
      <c r="AE30" s="49"/>
      <c r="AF30" s="46"/>
      <c r="AG30" s="46"/>
      <c r="AH30" s="54"/>
      <c r="AI30" s="46"/>
      <c r="AJ30" s="46"/>
      <c r="AK30" s="54"/>
      <c r="AL30" s="54"/>
      <c r="AM30" s="46"/>
      <c r="AN30" s="46"/>
      <c r="AO30" s="46"/>
      <c r="AP30" s="46"/>
      <c r="AQ30" s="46"/>
      <c r="AR30" s="46"/>
      <c r="AS30" s="46"/>
      <c r="AT30" s="54"/>
    </row>
    <row r="31" spans="1:46" x14ac:dyDescent="0.2">
      <c r="A31">
        <v>41</v>
      </c>
      <c r="D31">
        <v>23</v>
      </c>
      <c r="E31">
        <f t="shared" si="4"/>
        <v>72</v>
      </c>
      <c r="F31" s="59">
        <f>VLOOKUP(E31,'Tabla de Mortalidad Conmutados'!$D$3:$E$92,2,FALSE)</f>
        <v>3.3180000000000001E-2</v>
      </c>
      <c r="G31" s="41">
        <v>0.75</v>
      </c>
      <c r="H31" s="41">
        <v>0.9</v>
      </c>
      <c r="I31" s="41">
        <f t="shared" si="5"/>
        <v>1</v>
      </c>
      <c r="J31" s="63">
        <f t="shared" si="2"/>
        <v>2.23965E-2</v>
      </c>
      <c r="K31" s="41">
        <f t="shared" si="8"/>
        <v>0.01</v>
      </c>
      <c r="L31" s="41">
        <v>0</v>
      </c>
      <c r="M31" s="41">
        <v>0</v>
      </c>
      <c r="N31" s="41">
        <v>0</v>
      </c>
      <c r="O31" s="70">
        <f t="shared" si="3"/>
        <v>4.0057915057915006E-2</v>
      </c>
      <c r="P31" s="54">
        <v>0</v>
      </c>
      <c r="Q31" s="29">
        <f>'Asset-Share'!$AR$2</f>
        <v>0.10231660231660231</v>
      </c>
      <c r="R31" s="82">
        <v>1</v>
      </c>
      <c r="S31" s="42">
        <f t="shared" si="0"/>
        <v>4.4999999999999998E-2</v>
      </c>
      <c r="T31" s="78">
        <f t="shared" si="7"/>
        <v>45</v>
      </c>
      <c r="U31" s="79">
        <v>7.7499999999999999E-2</v>
      </c>
      <c r="Z31" s="46"/>
      <c r="AA31" s="54"/>
      <c r="AB31" s="82"/>
      <c r="AC31" s="46"/>
      <c r="AD31" s="46"/>
      <c r="AE31" s="49"/>
      <c r="AF31" s="46"/>
      <c r="AG31" s="46"/>
      <c r="AH31" s="54"/>
      <c r="AI31" s="46"/>
      <c r="AJ31" s="46"/>
      <c r="AK31" s="54"/>
      <c r="AL31" s="54"/>
      <c r="AM31" s="46"/>
      <c r="AN31" s="46"/>
      <c r="AO31" s="46"/>
      <c r="AP31" s="46"/>
      <c r="AQ31" s="46"/>
      <c r="AR31" s="46"/>
      <c r="AS31" s="46"/>
      <c r="AT31" s="54"/>
    </row>
    <row r="32" spans="1:46" x14ac:dyDescent="0.2">
      <c r="A32">
        <v>42</v>
      </c>
      <c r="D32">
        <v>24</v>
      </c>
      <c r="E32">
        <f t="shared" si="4"/>
        <v>73</v>
      </c>
      <c r="F32" s="59">
        <f>VLOOKUP(E32,'Tabla de Mortalidad Conmutados'!$D$3:$E$92,2,FALSE)</f>
        <v>3.5651000000000002E-2</v>
      </c>
      <c r="G32" s="41">
        <v>0.75</v>
      </c>
      <c r="H32" s="41">
        <v>0.9</v>
      </c>
      <c r="I32" s="41">
        <f t="shared" si="5"/>
        <v>1</v>
      </c>
      <c r="J32" s="63">
        <f t="shared" si="2"/>
        <v>2.4064425E-2</v>
      </c>
      <c r="K32" s="41">
        <f t="shared" si="8"/>
        <v>0.01</v>
      </c>
      <c r="L32" s="41">
        <v>0</v>
      </c>
      <c r="M32" s="41">
        <v>0</v>
      </c>
      <c r="N32" s="41">
        <v>0</v>
      </c>
      <c r="O32" s="70">
        <f t="shared" si="3"/>
        <v>3.716216216216206E-2</v>
      </c>
      <c r="P32" s="54">
        <v>0</v>
      </c>
      <c r="Q32" s="29">
        <f>'Asset-Share'!$AR$2</f>
        <v>0.10231660231660231</v>
      </c>
      <c r="R32" s="82">
        <v>1</v>
      </c>
      <c r="S32" s="42">
        <f t="shared" si="0"/>
        <v>4.4999999999999998E-2</v>
      </c>
      <c r="T32" s="78">
        <f t="shared" si="7"/>
        <v>45</v>
      </c>
      <c r="U32" s="79">
        <v>7.4499999999999997E-2</v>
      </c>
      <c r="Z32" s="46"/>
      <c r="AA32" s="54"/>
      <c r="AB32" s="82"/>
      <c r="AC32" s="46"/>
      <c r="AD32" s="46"/>
      <c r="AE32" s="49"/>
      <c r="AF32" s="46"/>
      <c r="AG32" s="46"/>
      <c r="AH32" s="54"/>
      <c r="AI32" s="46"/>
      <c r="AJ32" s="46"/>
      <c r="AK32" s="54"/>
      <c r="AL32" s="54"/>
      <c r="AM32" s="46"/>
      <c r="AN32" s="46"/>
      <c r="AO32" s="46"/>
      <c r="AP32" s="46"/>
      <c r="AQ32" s="46"/>
      <c r="AR32" s="46"/>
      <c r="AS32" s="46"/>
      <c r="AT32" s="54"/>
    </row>
    <row r="33" spans="1:46" x14ac:dyDescent="0.2">
      <c r="A33">
        <v>43</v>
      </c>
      <c r="D33">
        <v>25</v>
      </c>
      <c r="E33">
        <f t="shared" si="4"/>
        <v>74</v>
      </c>
      <c r="F33" s="59">
        <f>VLOOKUP(E33,'Tabla de Mortalidad Conmutados'!$D$3:$E$92,2,FALSE)</f>
        <v>3.8299999999999994E-2</v>
      </c>
      <c r="G33" s="41">
        <v>0.75</v>
      </c>
      <c r="H33" s="41">
        <v>0.9</v>
      </c>
      <c r="I33" s="41">
        <f t="shared" si="5"/>
        <v>1</v>
      </c>
      <c r="J33" s="63">
        <f t="shared" si="2"/>
        <v>2.5852499999999994E-2</v>
      </c>
      <c r="K33" s="41">
        <f t="shared" si="8"/>
        <v>0.01</v>
      </c>
      <c r="L33" s="41">
        <v>0</v>
      </c>
      <c r="M33" s="41">
        <v>0</v>
      </c>
      <c r="N33" s="41">
        <v>0</v>
      </c>
      <c r="O33" s="70">
        <f t="shared" si="3"/>
        <v>4.0444015444015546E-2</v>
      </c>
      <c r="P33" s="54">
        <v>0</v>
      </c>
      <c r="Q33" s="29">
        <f>'Asset-Share'!$AR$2</f>
        <v>0.10231660231660231</v>
      </c>
      <c r="R33" s="82">
        <v>1</v>
      </c>
      <c r="S33" s="42">
        <f t="shared" si="0"/>
        <v>4.4999999999999998E-2</v>
      </c>
      <c r="T33" s="78">
        <f t="shared" si="7"/>
        <v>45</v>
      </c>
      <c r="U33" s="79">
        <v>7.7899999999999997E-2</v>
      </c>
      <c r="Z33" s="46"/>
      <c r="AA33" s="54"/>
      <c r="AB33" s="82"/>
      <c r="AC33" s="46"/>
      <c r="AD33" s="46"/>
      <c r="AE33" s="49"/>
      <c r="AF33" s="46"/>
      <c r="AG33" s="46"/>
      <c r="AH33" s="54"/>
      <c r="AI33" s="46"/>
      <c r="AJ33" s="46"/>
      <c r="AK33" s="54"/>
      <c r="AL33" s="54"/>
      <c r="AM33" s="46"/>
      <c r="AN33" s="46"/>
      <c r="AO33" s="46"/>
      <c r="AP33" s="46"/>
      <c r="AQ33" s="46"/>
      <c r="AR33" s="46"/>
      <c r="AS33" s="46"/>
      <c r="AT33" s="54"/>
    </row>
    <row r="34" spans="1:46" x14ac:dyDescent="0.2">
      <c r="A34">
        <v>44</v>
      </c>
      <c r="D34">
        <v>26</v>
      </c>
      <c r="E34">
        <f t="shared" si="4"/>
        <v>75</v>
      </c>
      <c r="F34" s="59">
        <f>VLOOKUP(E34,'Tabla de Mortalidad Conmutados'!$D$3:$E$92,2,FALSE)</f>
        <v>4.1136000000000006E-2</v>
      </c>
      <c r="G34" s="41">
        <v>0.75</v>
      </c>
      <c r="H34" s="41">
        <v>0.9</v>
      </c>
      <c r="I34" s="41">
        <f t="shared" si="5"/>
        <v>1</v>
      </c>
      <c r="J34" s="63">
        <f t="shared" si="2"/>
        <v>2.7766800000000005E-2</v>
      </c>
      <c r="K34" s="41">
        <f t="shared" si="8"/>
        <v>0.01</v>
      </c>
      <c r="L34" s="41">
        <v>0</v>
      </c>
      <c r="M34" s="41">
        <v>0</v>
      </c>
      <c r="N34" s="41">
        <v>0</v>
      </c>
      <c r="O34" s="70">
        <f t="shared" si="3"/>
        <v>4.03474903474903E-2</v>
      </c>
      <c r="P34" s="54">
        <v>0</v>
      </c>
      <c r="Q34" s="29">
        <f>'Asset-Share'!$AR$2</f>
        <v>0.10231660231660231</v>
      </c>
      <c r="R34" s="82">
        <v>1</v>
      </c>
      <c r="S34" s="42">
        <f t="shared" si="0"/>
        <v>4.4999999999999998E-2</v>
      </c>
      <c r="T34" s="78">
        <f t="shared" si="7"/>
        <v>45</v>
      </c>
      <c r="U34" s="79">
        <v>7.7800000000000008E-2</v>
      </c>
      <c r="Z34" s="46"/>
      <c r="AA34" s="54"/>
      <c r="AB34" s="82"/>
      <c r="AC34" s="46"/>
      <c r="AD34" s="46"/>
      <c r="AE34" s="49"/>
      <c r="AF34" s="46"/>
      <c r="AG34" s="46"/>
      <c r="AH34" s="54"/>
      <c r="AI34" s="46"/>
      <c r="AJ34" s="46"/>
      <c r="AK34" s="54"/>
      <c r="AL34" s="54"/>
      <c r="AM34" s="46"/>
      <c r="AN34" s="46"/>
      <c r="AO34" s="46"/>
      <c r="AP34" s="46"/>
      <c r="AQ34" s="46"/>
      <c r="AR34" s="46"/>
      <c r="AS34" s="46"/>
      <c r="AT34" s="54"/>
    </row>
    <row r="35" spans="1:46" x14ac:dyDescent="0.2">
      <c r="A35">
        <v>45</v>
      </c>
      <c r="D35">
        <v>27</v>
      </c>
      <c r="E35">
        <f t="shared" si="4"/>
        <v>76</v>
      </c>
      <c r="F35" s="59">
        <f>VLOOKUP(E35,'Tabla de Mortalidad Conmutados'!$D$3:$E$92,2,FALSE)</f>
        <v>4.4173999999999998E-2</v>
      </c>
      <c r="G35" s="41">
        <v>0.75</v>
      </c>
      <c r="H35" s="41">
        <v>0.9</v>
      </c>
      <c r="I35" s="41">
        <f t="shared" si="5"/>
        <v>1</v>
      </c>
      <c r="J35" s="63">
        <f t="shared" si="2"/>
        <v>2.9817450000000002E-2</v>
      </c>
      <c r="K35" s="41">
        <f t="shared" si="8"/>
        <v>0.01</v>
      </c>
      <c r="L35" s="41">
        <v>0</v>
      </c>
      <c r="M35" s="41">
        <v>0</v>
      </c>
      <c r="N35" s="41">
        <v>0</v>
      </c>
      <c r="O35" s="70">
        <f t="shared" si="3"/>
        <v>4.2277992277992338E-2</v>
      </c>
      <c r="P35" s="54">
        <v>0</v>
      </c>
      <c r="Q35" s="29">
        <f>'Asset-Share'!$AR$2</f>
        <v>0.10231660231660231</v>
      </c>
      <c r="R35" s="82">
        <v>1</v>
      </c>
      <c r="S35" s="42">
        <f t="shared" si="0"/>
        <v>4.4999999999999998E-2</v>
      </c>
      <c r="T35" s="78">
        <f t="shared" si="7"/>
        <v>45</v>
      </c>
      <c r="U35" s="79">
        <v>7.980000000000001E-2</v>
      </c>
      <c r="Z35" s="46"/>
      <c r="AA35" s="54"/>
      <c r="AB35" s="82"/>
      <c r="AC35" s="46"/>
      <c r="AD35" s="46"/>
      <c r="AE35" s="49"/>
      <c r="AF35" s="46"/>
      <c r="AG35" s="46"/>
      <c r="AH35" s="54"/>
      <c r="AI35" s="46"/>
      <c r="AJ35" s="46"/>
      <c r="AK35" s="54"/>
      <c r="AL35" s="54"/>
      <c r="AM35" s="46"/>
      <c r="AN35" s="46"/>
      <c r="AO35" s="46"/>
      <c r="AP35" s="46"/>
      <c r="AQ35" s="46"/>
      <c r="AR35" s="46"/>
      <c r="AS35" s="46"/>
      <c r="AT35" s="54"/>
    </row>
    <row r="36" spans="1:46" x14ac:dyDescent="0.2">
      <c r="A36">
        <v>46</v>
      </c>
      <c r="D36">
        <v>28</v>
      </c>
      <c r="E36">
        <f t="shared" si="4"/>
        <v>77</v>
      </c>
      <c r="F36" s="59">
        <f>VLOOKUP(E36,'Tabla de Mortalidad Conmutados'!$D$3:$E$92,2,FALSE)</f>
        <v>4.7424000000000001E-2</v>
      </c>
      <c r="G36" s="41">
        <v>0.75</v>
      </c>
      <c r="H36" s="41">
        <v>0.9</v>
      </c>
      <c r="I36" s="41">
        <f t="shared" si="5"/>
        <v>1</v>
      </c>
      <c r="J36" s="63">
        <f t="shared" si="2"/>
        <v>3.2011200000000004E-2</v>
      </c>
      <c r="K36" s="41">
        <f t="shared" si="8"/>
        <v>0.01</v>
      </c>
      <c r="L36" s="41">
        <v>0</v>
      </c>
      <c r="M36" s="41">
        <v>0</v>
      </c>
      <c r="N36" s="41">
        <v>0</v>
      </c>
      <c r="O36" s="70">
        <f t="shared" si="3"/>
        <v>4.1795366795366773E-2</v>
      </c>
      <c r="P36" s="54">
        <v>0</v>
      </c>
      <c r="Q36" s="29">
        <f>'Asset-Share'!$AR$2</f>
        <v>0.10231660231660231</v>
      </c>
      <c r="R36" s="82">
        <v>1</v>
      </c>
      <c r="S36" s="42">
        <f t="shared" si="0"/>
        <v>4.4999999999999998E-2</v>
      </c>
      <c r="T36" s="78">
        <f t="shared" si="7"/>
        <v>45</v>
      </c>
      <c r="U36" s="79">
        <v>7.9299999999999995E-2</v>
      </c>
      <c r="Z36" s="46"/>
      <c r="AA36" s="54"/>
      <c r="AB36" s="82"/>
      <c r="AC36" s="46"/>
      <c r="AD36" s="46"/>
      <c r="AE36" s="49"/>
      <c r="AF36" s="46"/>
      <c r="AG36" s="46"/>
      <c r="AH36" s="54"/>
      <c r="AI36" s="46"/>
      <c r="AJ36" s="46"/>
      <c r="AK36" s="54"/>
      <c r="AL36" s="54"/>
      <c r="AM36" s="46"/>
      <c r="AN36" s="46"/>
      <c r="AO36" s="46"/>
      <c r="AP36" s="46"/>
      <c r="AQ36" s="46"/>
      <c r="AR36" s="46"/>
      <c r="AS36" s="46"/>
      <c r="AT36" s="54"/>
    </row>
    <row r="37" spans="1:46" x14ac:dyDescent="0.2">
      <c r="A37">
        <v>47</v>
      </c>
      <c r="D37">
        <v>29</v>
      </c>
      <c r="E37">
        <f t="shared" si="4"/>
        <v>78</v>
      </c>
      <c r="F37" s="59">
        <f>VLOOKUP(E37,'Tabla de Mortalidad Conmutados'!$D$3:$E$92,2,FALSE)</f>
        <v>5.0902000000000003E-2</v>
      </c>
      <c r="G37" s="41">
        <v>0.75</v>
      </c>
      <c r="H37" s="41">
        <v>0.9</v>
      </c>
      <c r="I37" s="41">
        <f t="shared" si="5"/>
        <v>1</v>
      </c>
      <c r="J37" s="63">
        <f t="shared" si="2"/>
        <v>3.4358850000000003E-2</v>
      </c>
      <c r="K37" s="41">
        <f t="shared" si="8"/>
        <v>0.01</v>
      </c>
      <c r="L37" s="41">
        <v>0</v>
      </c>
      <c r="M37" s="41">
        <v>0</v>
      </c>
      <c r="N37" s="41">
        <v>0</v>
      </c>
      <c r="O37" s="70">
        <f t="shared" si="3"/>
        <v>4.2857142857142927E-2</v>
      </c>
      <c r="P37" s="54">
        <v>0</v>
      </c>
      <c r="Q37" s="29">
        <f>'Asset-Share'!$AR$2</f>
        <v>0.10231660231660231</v>
      </c>
      <c r="R37" s="82">
        <v>1</v>
      </c>
      <c r="S37" s="42">
        <f t="shared" si="0"/>
        <v>4.4999999999999998E-2</v>
      </c>
      <c r="T37" s="78">
        <f t="shared" si="7"/>
        <v>45</v>
      </c>
      <c r="U37" s="79">
        <v>8.0399999999999999E-2</v>
      </c>
      <c r="Z37" s="46"/>
      <c r="AA37" s="54"/>
      <c r="AB37" s="46"/>
      <c r="AC37" s="46"/>
      <c r="AD37" s="46"/>
      <c r="AE37" s="49"/>
      <c r="AF37" s="46"/>
      <c r="AG37" s="46"/>
      <c r="AH37" s="54"/>
      <c r="AI37" s="46"/>
      <c r="AJ37" s="46"/>
      <c r="AK37" s="54"/>
      <c r="AL37" s="54"/>
      <c r="AM37" s="46"/>
      <c r="AN37" s="46"/>
      <c r="AO37" s="46"/>
      <c r="AP37" s="46"/>
      <c r="AQ37" s="46"/>
      <c r="AR37" s="46"/>
      <c r="AS37" s="46"/>
      <c r="AT37" s="54"/>
    </row>
    <row r="38" spans="1:46" x14ac:dyDescent="0.2">
      <c r="A38">
        <v>48</v>
      </c>
      <c r="D38">
        <v>30</v>
      </c>
      <c r="E38">
        <f t="shared" si="4"/>
        <v>79</v>
      </c>
      <c r="F38" s="59">
        <f>VLOOKUP(E38,'Tabla de Mortalidad Conmutados'!$D$3:$E$92,2,FALSE)</f>
        <v>5.4619000000000001E-2</v>
      </c>
      <c r="G38" s="41">
        <v>0.75</v>
      </c>
      <c r="H38" s="41">
        <v>0.9</v>
      </c>
      <c r="I38" s="41">
        <f t="shared" si="5"/>
        <v>1</v>
      </c>
      <c r="J38" s="63">
        <f t="shared" si="2"/>
        <v>3.6867825E-2</v>
      </c>
      <c r="K38" s="41">
        <f t="shared" si="8"/>
        <v>0.01</v>
      </c>
      <c r="L38" s="41">
        <v>0</v>
      </c>
      <c r="M38" s="41">
        <v>0</v>
      </c>
      <c r="N38" s="41">
        <v>0</v>
      </c>
      <c r="O38" s="70">
        <f t="shared" si="3"/>
        <v>4.575289575289565E-2</v>
      </c>
      <c r="P38" s="54">
        <v>0</v>
      </c>
      <c r="Q38" s="29">
        <f>'Asset-Share'!$AR$2</f>
        <v>0.10231660231660231</v>
      </c>
      <c r="R38" s="82">
        <v>1</v>
      </c>
      <c r="S38" s="42">
        <f t="shared" si="0"/>
        <v>4.4999999999999998E-2</v>
      </c>
      <c r="T38" s="78">
        <f t="shared" si="7"/>
        <v>45</v>
      </c>
      <c r="U38" s="79">
        <v>8.3400000000000002E-2</v>
      </c>
      <c r="Z38" s="46"/>
      <c r="AA38" s="46"/>
      <c r="AB38" s="46"/>
      <c r="AC38" s="46"/>
      <c r="AD38" s="46"/>
      <c r="AE38" s="49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</row>
    <row r="39" spans="1:46" x14ac:dyDescent="0.2">
      <c r="A39">
        <v>49</v>
      </c>
      <c r="Z39" s="46"/>
      <c r="AA39" s="46"/>
      <c r="AB39" s="46"/>
      <c r="AC39" s="46"/>
      <c r="AD39" s="46"/>
      <c r="AE39" s="49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</row>
    <row r="40" spans="1:46" x14ac:dyDescent="0.2">
      <c r="A40">
        <v>50</v>
      </c>
      <c r="Z40" s="46"/>
      <c r="AA40" s="46"/>
      <c r="AB40" s="46"/>
      <c r="AC40" s="46"/>
      <c r="AD40" s="46"/>
      <c r="AE40" s="49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</row>
    <row r="41" spans="1:46" x14ac:dyDescent="0.2">
      <c r="A41">
        <v>51</v>
      </c>
      <c r="Z41" s="46"/>
      <c r="AA41" s="46"/>
      <c r="AB41" s="46"/>
      <c r="AC41" s="46"/>
      <c r="AD41" s="46"/>
      <c r="AE41" s="49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</row>
    <row r="42" spans="1:46" x14ac:dyDescent="0.2">
      <c r="A42">
        <v>52</v>
      </c>
      <c r="Z42" s="46"/>
      <c r="AA42" s="46"/>
      <c r="AB42" s="46"/>
      <c r="AC42" s="46"/>
      <c r="AD42" s="46"/>
      <c r="AE42" s="49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</row>
    <row r="43" spans="1:46" x14ac:dyDescent="0.2">
      <c r="A43">
        <v>53</v>
      </c>
      <c r="Z43" s="46"/>
      <c r="AA43" s="46"/>
      <c r="AB43" s="46"/>
      <c r="AC43" s="46"/>
      <c r="AD43" s="46"/>
      <c r="AE43" s="49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</row>
    <row r="44" spans="1:46" x14ac:dyDescent="0.2">
      <c r="A44">
        <v>54</v>
      </c>
      <c r="Z44" s="46"/>
      <c r="AA44" s="46"/>
      <c r="AB44" s="46"/>
      <c r="AC44" s="46"/>
      <c r="AD44" s="46"/>
      <c r="AE44" s="49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</row>
    <row r="45" spans="1:46" x14ac:dyDescent="0.2">
      <c r="A45">
        <v>55</v>
      </c>
      <c r="Z45" s="46"/>
      <c r="AA45" s="46"/>
      <c r="AB45" s="46"/>
      <c r="AC45" s="46"/>
      <c r="AD45" s="46"/>
      <c r="AE45" s="49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</row>
    <row r="46" spans="1:46" x14ac:dyDescent="0.2">
      <c r="AE46" s="49"/>
    </row>
    <row r="47" spans="1:46" x14ac:dyDescent="0.2">
      <c r="AE47" s="49"/>
    </row>
    <row r="48" spans="1:46" x14ac:dyDescent="0.2">
      <c r="AE48" s="49"/>
    </row>
    <row r="49" spans="31:31" x14ac:dyDescent="0.2">
      <c r="AE49" s="49"/>
    </row>
    <row r="50" spans="31:31" x14ac:dyDescent="0.2">
      <c r="AE50" s="49"/>
    </row>
    <row r="51" spans="31:31" x14ac:dyDescent="0.2">
      <c r="AE51" s="49"/>
    </row>
    <row r="52" spans="31:31" x14ac:dyDescent="0.2">
      <c r="AE52" s="49"/>
    </row>
    <row r="53" spans="31:31" x14ac:dyDescent="0.2">
      <c r="AE53" s="49"/>
    </row>
    <row r="54" spans="31:31" x14ac:dyDescent="0.2">
      <c r="AE54" s="49"/>
    </row>
    <row r="55" spans="31:31" x14ac:dyDescent="0.2">
      <c r="AE55" s="49"/>
    </row>
    <row r="56" spans="31:31" x14ac:dyDescent="0.2">
      <c r="AE56" s="49"/>
    </row>
    <row r="57" spans="31:31" x14ac:dyDescent="0.2">
      <c r="AE57" s="49"/>
    </row>
    <row r="58" spans="31:31" x14ac:dyDescent="0.2">
      <c r="AE58" s="49"/>
    </row>
    <row r="59" spans="31:31" x14ac:dyDescent="0.2">
      <c r="AE59" s="49"/>
    </row>
    <row r="60" spans="31:31" x14ac:dyDescent="0.2">
      <c r="AE60" s="49"/>
    </row>
    <row r="61" spans="31:31" x14ac:dyDescent="0.2">
      <c r="AE61" s="49"/>
    </row>
    <row r="62" spans="31:31" x14ac:dyDescent="0.2">
      <c r="AE62" s="49"/>
    </row>
    <row r="63" spans="31:31" x14ac:dyDescent="0.2">
      <c r="AE63" s="49"/>
    </row>
    <row r="64" spans="31:31" x14ac:dyDescent="0.2">
      <c r="AE64" s="49"/>
    </row>
    <row r="65" spans="31:31" x14ac:dyDescent="0.2">
      <c r="AE65" s="49"/>
    </row>
    <row r="66" spans="31:31" x14ac:dyDescent="0.2">
      <c r="AE66" s="49"/>
    </row>
    <row r="67" spans="31:31" x14ac:dyDescent="0.2">
      <c r="AE67" s="49"/>
    </row>
    <row r="68" spans="31:31" x14ac:dyDescent="0.2">
      <c r="AE68" s="49"/>
    </row>
    <row r="69" spans="31:31" x14ac:dyDescent="0.2">
      <c r="AE69" s="49"/>
    </row>
    <row r="70" spans="31:31" x14ac:dyDescent="0.2">
      <c r="AE70" s="49"/>
    </row>
    <row r="71" spans="31:31" x14ac:dyDescent="0.2">
      <c r="AE71" s="49"/>
    </row>
    <row r="72" spans="31:31" x14ac:dyDescent="0.2">
      <c r="AE72" s="49"/>
    </row>
    <row r="73" spans="31:31" x14ac:dyDescent="0.2">
      <c r="AE73" s="49"/>
    </row>
    <row r="74" spans="31:31" x14ac:dyDescent="0.2">
      <c r="AE74" s="49"/>
    </row>
    <row r="75" spans="31:31" x14ac:dyDescent="0.2">
      <c r="AE75" s="49"/>
    </row>
    <row r="76" spans="31:31" x14ac:dyDescent="0.2">
      <c r="AE76" s="49"/>
    </row>
    <row r="77" spans="31:31" x14ac:dyDescent="0.2">
      <c r="AE77" s="49"/>
    </row>
    <row r="78" spans="31:31" x14ac:dyDescent="0.2">
      <c r="AE78" s="49"/>
    </row>
    <row r="79" spans="31:31" x14ac:dyDescent="0.2">
      <c r="AE79" s="49"/>
    </row>
    <row r="80" spans="31:31" x14ac:dyDescent="0.2">
      <c r="AE80" s="49"/>
    </row>
    <row r="81" spans="31:31" x14ac:dyDescent="0.2">
      <c r="AE81" s="49"/>
    </row>
    <row r="82" spans="31:31" x14ac:dyDescent="0.2">
      <c r="AE82" s="49"/>
    </row>
    <row r="83" spans="31:31" x14ac:dyDescent="0.2">
      <c r="AE83" s="49"/>
    </row>
    <row r="84" spans="31:31" x14ac:dyDescent="0.2">
      <c r="AE84" s="49"/>
    </row>
    <row r="85" spans="31:31" x14ac:dyDescent="0.2">
      <c r="AE85" s="49"/>
    </row>
    <row r="86" spans="31:31" x14ac:dyDescent="0.2">
      <c r="AE86" s="49"/>
    </row>
    <row r="87" spans="31:31" x14ac:dyDescent="0.2">
      <c r="AE87" s="49"/>
    </row>
    <row r="88" spans="31:31" x14ac:dyDescent="0.2">
      <c r="AE88" s="49"/>
    </row>
    <row r="89" spans="31:31" x14ac:dyDescent="0.2">
      <c r="AE89" s="49"/>
    </row>
    <row r="90" spans="31:31" x14ac:dyDescent="0.2">
      <c r="AE90" s="49"/>
    </row>
    <row r="91" spans="31:31" x14ac:dyDescent="0.2">
      <c r="AE91" s="49"/>
    </row>
    <row r="92" spans="31:31" x14ac:dyDescent="0.2">
      <c r="AE92" s="49"/>
    </row>
    <row r="93" spans="31:31" x14ac:dyDescent="0.2">
      <c r="AE93" s="49"/>
    </row>
    <row r="94" spans="31:31" x14ac:dyDescent="0.2">
      <c r="AE94" s="49"/>
    </row>
    <row r="95" spans="31:31" x14ac:dyDescent="0.2">
      <c r="AE95" s="49"/>
    </row>
    <row r="96" spans="31:31" x14ac:dyDescent="0.2">
      <c r="AE96" s="49"/>
    </row>
    <row r="97" spans="31:31" x14ac:dyDescent="0.2">
      <c r="AE97" s="49"/>
    </row>
    <row r="98" spans="31:31" x14ac:dyDescent="0.2">
      <c r="AE98" s="49"/>
    </row>
    <row r="99" spans="31:31" x14ac:dyDescent="0.2">
      <c r="AE99" s="49"/>
    </row>
    <row r="100" spans="31:31" x14ac:dyDescent="0.2">
      <c r="AE100" s="49"/>
    </row>
    <row r="101" spans="31:31" x14ac:dyDescent="0.2">
      <c r="AE101" s="49"/>
    </row>
    <row r="102" spans="31:31" x14ac:dyDescent="0.2">
      <c r="AE102" s="49"/>
    </row>
    <row r="103" spans="31:31" x14ac:dyDescent="0.2">
      <c r="AE103" s="49"/>
    </row>
    <row r="104" spans="31:31" x14ac:dyDescent="0.2">
      <c r="AE104" s="49"/>
    </row>
    <row r="105" spans="31:31" x14ac:dyDescent="0.2">
      <c r="AE105" s="49"/>
    </row>
    <row r="106" spans="31:31" x14ac:dyDescent="0.2">
      <c r="AE106" s="49"/>
    </row>
    <row r="107" spans="31:31" x14ac:dyDescent="0.2">
      <c r="AE107" s="49"/>
    </row>
    <row r="108" spans="31:31" x14ac:dyDescent="0.2">
      <c r="AE108" s="49"/>
    </row>
    <row r="109" spans="31:31" x14ac:dyDescent="0.2">
      <c r="AE109" s="49"/>
    </row>
    <row r="110" spans="31:31" x14ac:dyDescent="0.2">
      <c r="AE110" s="49"/>
    </row>
    <row r="111" spans="31:31" x14ac:dyDescent="0.2">
      <c r="AE111" s="49"/>
    </row>
    <row r="112" spans="31:31" x14ac:dyDescent="0.2">
      <c r="AE112" s="49"/>
    </row>
    <row r="113" spans="31:31" x14ac:dyDescent="0.2">
      <c r="AE113" s="49"/>
    </row>
    <row r="114" spans="31:31" x14ac:dyDescent="0.2">
      <c r="AE114" s="49"/>
    </row>
    <row r="115" spans="31:31" x14ac:dyDescent="0.2">
      <c r="AE115" s="49"/>
    </row>
    <row r="116" spans="31:31" x14ac:dyDescent="0.2">
      <c r="AE116" s="49"/>
    </row>
    <row r="117" spans="31:31" x14ac:dyDescent="0.2">
      <c r="AE117" s="49"/>
    </row>
    <row r="118" spans="31:31" x14ac:dyDescent="0.2">
      <c r="AE118" s="49"/>
    </row>
    <row r="119" spans="31:31" x14ac:dyDescent="0.2">
      <c r="AE119" s="49"/>
    </row>
    <row r="120" spans="31:31" x14ac:dyDescent="0.2">
      <c r="AE120" s="49"/>
    </row>
  </sheetData>
  <mergeCells count="21">
    <mergeCell ref="Q7:Q8"/>
    <mergeCell ref="R7:R8"/>
    <mergeCell ref="S7:S8"/>
    <mergeCell ref="W7:X7"/>
    <mergeCell ref="Z10:AA10"/>
    <mergeCell ref="U7:U8"/>
    <mergeCell ref="T7:T8"/>
    <mergeCell ref="D2:F2"/>
    <mergeCell ref="O7:O8"/>
    <mergeCell ref="J7:J8"/>
    <mergeCell ref="P7:P8"/>
    <mergeCell ref="I7:I8"/>
    <mergeCell ref="K7:K8"/>
    <mergeCell ref="L7:L8"/>
    <mergeCell ref="M7:M8"/>
    <mergeCell ref="N7:N8"/>
    <mergeCell ref="D7:D8"/>
    <mergeCell ref="E7:E8"/>
    <mergeCell ref="F7:F8"/>
    <mergeCell ref="G7:G8"/>
    <mergeCell ref="H7:H8"/>
  </mergeCells>
  <dataValidations count="2">
    <dataValidation type="list" allowBlank="1" showInputMessage="1" showErrorMessage="1" sqref="B1:C1" xr:uid="{8D1A796E-A40E-A748-81E5-20CAFAAA506D}">
      <formula1>$A$8:$A$55</formula1>
    </dataValidation>
    <dataValidation type="list" allowBlank="1" showInputMessage="1" showErrorMessage="1" sqref="B2:C2" xr:uid="{56B1B612-A602-0F44-AEC8-55BA35F63691}">
      <formula1>$B$8:$B$29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40E8-21EC-0C44-A170-918642B6D6F4}">
  <dimension ref="A1:V96"/>
  <sheetViews>
    <sheetView zoomScale="92" workbookViewId="0">
      <selection activeCell="M66" sqref="M66"/>
    </sheetView>
  </sheetViews>
  <sheetFormatPr baseColWidth="10" defaultRowHeight="16" x14ac:dyDescent="0.2"/>
  <cols>
    <col min="1" max="1" width="14.6640625" bestFit="1" customWidth="1"/>
    <col min="8" max="9" width="11.6640625" bestFit="1" customWidth="1"/>
  </cols>
  <sheetData>
    <row r="1" spans="1:22" x14ac:dyDescent="0.2">
      <c r="A1" s="31" t="s">
        <v>16</v>
      </c>
      <c r="B1">
        <f>Hipotesis!B1</f>
        <v>50</v>
      </c>
      <c r="D1" s="93" t="s">
        <v>19</v>
      </c>
      <c r="E1" s="93"/>
      <c r="F1" s="39"/>
      <c r="G1" s="39"/>
    </row>
    <row r="2" spans="1:22" x14ac:dyDescent="0.2">
      <c r="A2" s="32" t="s">
        <v>12</v>
      </c>
      <c r="B2" s="79">
        <f>Hipotesis!B2</f>
        <v>4.4999999999999998E-2</v>
      </c>
      <c r="D2" s="94" t="s">
        <v>11</v>
      </c>
      <c r="E2" s="94" t="s">
        <v>1</v>
      </c>
      <c r="F2" s="37"/>
      <c r="G2" s="37"/>
      <c r="H2" s="91" t="s">
        <v>30</v>
      </c>
      <c r="I2" s="91"/>
      <c r="J2" s="91"/>
    </row>
    <row r="3" spans="1:22" x14ac:dyDescent="0.2">
      <c r="A3" s="32" t="s">
        <v>13</v>
      </c>
      <c r="B3">
        <f>Hipotesis!B3</f>
        <v>50</v>
      </c>
      <c r="D3" s="94"/>
      <c r="E3" s="94"/>
      <c r="F3" s="37" t="s">
        <v>22</v>
      </c>
      <c r="G3" s="37" t="s">
        <v>23</v>
      </c>
      <c r="H3" s="7" t="s">
        <v>20</v>
      </c>
      <c r="I3" s="7" t="s">
        <v>21</v>
      </c>
      <c r="J3" s="7" t="s">
        <v>39</v>
      </c>
    </row>
    <row r="4" spans="1:22" x14ac:dyDescent="0.2">
      <c r="A4" s="32" t="s">
        <v>14</v>
      </c>
      <c r="B4">
        <f>Hipotesis!B4</f>
        <v>100</v>
      </c>
      <c r="D4">
        <v>1</v>
      </c>
      <c r="E4">
        <f>B1</f>
        <v>50</v>
      </c>
      <c r="F4" s="59">
        <f>VLOOKUP(E4,'Tabla de Mortalidad Conmutados'!H2:P92,2,FALSE)</f>
        <v>6.6369999999999997E-3</v>
      </c>
      <c r="G4" s="59">
        <f>1-F4</f>
        <v>0.993363</v>
      </c>
      <c r="H4" s="38">
        <f>VLOOKUP(E4,'Tabla de Mortalidad Conmutados'!$H$3:$P$92,8,FALSE)/VLOOKUP(E4,'Tabla de Mortalidad Conmutados'!$H$2:$P$92,6,FALSE)*1000</f>
        <v>6.3511961722488035</v>
      </c>
      <c r="I4">
        <f>IF(D4&gt;1,(((I3/1000)+(H4/1000))*(1+$B$2)-F4)/(G4),0)*1000</f>
        <v>0</v>
      </c>
    </row>
    <row r="5" spans="1:22" ht="17" thickBot="1" x14ac:dyDescent="0.25">
      <c r="A5" s="33" t="s">
        <v>15</v>
      </c>
      <c r="B5">
        <f>Hipotesis!B5</f>
        <v>10</v>
      </c>
      <c r="D5">
        <f>IF(E4&gt;=100,"",D4+1)</f>
        <v>2</v>
      </c>
      <c r="E5">
        <f>IF(E4&gt;=100,"",E4+1)</f>
        <v>51</v>
      </c>
      <c r="F5" s="59">
        <f>VLOOKUP(E5,'Tabla de Mortalidad Conmutados'!H3:P93,2,FALSE)</f>
        <v>7.1449999999999994E-3</v>
      </c>
      <c r="G5" s="59">
        <f t="shared" ref="G5:G68" si="0">1-F5</f>
        <v>0.99285500000000004</v>
      </c>
      <c r="H5" s="66">
        <f>(VLOOKUP(E5,'Tabla de Mortalidad Conmutados'!$H$2:$P$92,9,FALSE)-'Tabla de Mortalidad Conmutados'!$P$91+'Tabla de Mortalidad Conmutados'!$M$91)/(VLOOKUP(E5,'Tabla de Mortalidad Conmutados'!$H$2:$P$92,7,FALSE)-VLOOKUP((E4+B5),'Tabla de Mortalidad Conmutados'!$H$2:$P$92,7,FALSE))*1000</f>
        <v>45.16045200872928</v>
      </c>
      <c r="I5" s="66">
        <f t="shared" ref="I5:I68" si="1">IF(D5&gt;1,(((I4/1000)+(H5/1000))*(1+$B$2)-F5)/(G5),0)*1000</f>
        <v>40.335872155674387</v>
      </c>
    </row>
    <row r="6" spans="1:22" x14ac:dyDescent="0.2">
      <c r="D6">
        <f t="shared" ref="D6:D69" si="2">IF(E5&gt;=100,"",D5+1)</f>
        <v>3</v>
      </c>
      <c r="E6">
        <f t="shared" ref="E6:E69" si="3">IF(E5&gt;=100,"",E5+1)</f>
        <v>52</v>
      </c>
      <c r="F6" s="59">
        <f>VLOOKUP(E6,'Tabla de Mortalidad Conmutados'!H4:P94,2,FALSE)</f>
        <v>7.6929999999999993E-3</v>
      </c>
      <c r="G6" s="59">
        <f t="shared" si="0"/>
        <v>0.99230700000000005</v>
      </c>
      <c r="H6" s="66">
        <f>IF(D5&gt;=10,0,$H$5)</f>
        <v>45.16045200872928</v>
      </c>
      <c r="I6" s="66">
        <f t="shared" si="1"/>
        <v>82.283667002048588</v>
      </c>
      <c r="U6" s="58"/>
      <c r="V6" s="58"/>
    </row>
    <row r="7" spans="1:22" x14ac:dyDescent="0.2">
      <c r="D7">
        <f t="shared" si="2"/>
        <v>4</v>
      </c>
      <c r="E7">
        <f t="shared" si="3"/>
        <v>53</v>
      </c>
      <c r="F7" s="59">
        <f>VLOOKUP(E7,'Tabla de Mortalidad Conmutados'!H5:P95,2,FALSE)</f>
        <v>8.2819999999999994E-3</v>
      </c>
      <c r="G7" s="59">
        <f t="shared" si="0"/>
        <v>0.99171799999999999</v>
      </c>
      <c r="H7" s="66">
        <f t="shared" ref="H7:H70" si="4">IF(D6&gt;=10,0,$H$5)</f>
        <v>45.16045200872928</v>
      </c>
      <c r="I7" s="66">
        <f t="shared" si="1"/>
        <v>125.94014061080152</v>
      </c>
      <c r="U7" s="44"/>
      <c r="V7" s="55"/>
    </row>
    <row r="8" spans="1:22" x14ac:dyDescent="0.2">
      <c r="D8">
        <f t="shared" si="2"/>
        <v>5</v>
      </c>
      <c r="E8">
        <f t="shared" si="3"/>
        <v>54</v>
      </c>
      <c r="F8" s="59">
        <f>VLOOKUP(E8,'Tabla de Mortalidad Conmutados'!H6:P96,2,FALSE)</f>
        <v>8.9149999999999993E-3</v>
      </c>
      <c r="G8" s="59">
        <f t="shared" si="0"/>
        <v>0.99108499999999999</v>
      </c>
      <c r="H8" s="66">
        <f t="shared" si="4"/>
        <v>45.16045200872928</v>
      </c>
      <c r="I8" s="66">
        <f t="shared" si="1"/>
        <v>171.4132685767716</v>
      </c>
      <c r="U8" s="44"/>
      <c r="V8" s="55"/>
    </row>
    <row r="9" spans="1:22" x14ac:dyDescent="0.2">
      <c r="D9">
        <f t="shared" si="2"/>
        <v>6</v>
      </c>
      <c r="E9">
        <f t="shared" si="3"/>
        <v>55</v>
      </c>
      <c r="F9" s="59">
        <f>VLOOKUP(E9,'Tabla de Mortalidad Conmutados'!H7:P97,2,FALSE)</f>
        <v>9.5969999999999996E-3</v>
      </c>
      <c r="G9" s="59">
        <f t="shared" si="0"/>
        <v>0.99040300000000003</v>
      </c>
      <c r="H9" s="66">
        <f t="shared" si="4"/>
        <v>45.16045200872928</v>
      </c>
      <c r="I9" s="66">
        <f t="shared" si="1"/>
        <v>218.82257829575278</v>
      </c>
      <c r="U9" s="44"/>
      <c r="V9" s="44"/>
    </row>
    <row r="10" spans="1:22" x14ac:dyDescent="0.2">
      <c r="D10">
        <f t="shared" si="2"/>
        <v>7</v>
      </c>
      <c r="E10">
        <f t="shared" si="3"/>
        <v>56</v>
      </c>
      <c r="F10" s="59">
        <f>VLOOKUP(E10,'Tabla de Mortalidad Conmutados'!H8:P98,2,FALSE)</f>
        <v>1.0330000000000001E-2</v>
      </c>
      <c r="G10" s="59">
        <f t="shared" si="0"/>
        <v>0.98967000000000005</v>
      </c>
      <c r="H10" s="66">
        <f t="shared" si="4"/>
        <v>45.16045200872928</v>
      </c>
      <c r="I10" s="66">
        <f t="shared" si="1"/>
        <v>268.30384539107354</v>
      </c>
      <c r="U10" s="44"/>
      <c r="V10" s="44"/>
    </row>
    <row r="11" spans="1:22" x14ac:dyDescent="0.2">
      <c r="D11">
        <f t="shared" si="2"/>
        <v>8</v>
      </c>
      <c r="E11">
        <f t="shared" si="3"/>
        <v>57</v>
      </c>
      <c r="F11" s="59">
        <f>VLOOKUP(E11,'Tabla de Mortalidad Conmutados'!H9:P99,2,FALSE)</f>
        <v>1.1119E-2</v>
      </c>
      <c r="G11" s="59">
        <f t="shared" si="0"/>
        <v>0.98888100000000001</v>
      </c>
      <c r="H11" s="66">
        <f t="shared" si="4"/>
        <v>45.16045200872928</v>
      </c>
      <c r="I11" s="66">
        <f t="shared" si="1"/>
        <v>320.00937502368225</v>
      </c>
      <c r="U11" s="44"/>
      <c r="V11" s="56"/>
    </row>
    <row r="12" spans="1:22" x14ac:dyDescent="0.2">
      <c r="D12">
        <f t="shared" si="2"/>
        <v>9</v>
      </c>
      <c r="E12">
        <f t="shared" si="3"/>
        <v>58</v>
      </c>
      <c r="F12" s="59">
        <f>VLOOKUP(E12,'Tabla de Mortalidad Conmutados'!H10:P100,2,FALSE)</f>
        <v>1.1967E-2</v>
      </c>
      <c r="G12" s="59">
        <f t="shared" si="0"/>
        <v>0.98803300000000005</v>
      </c>
      <c r="H12" s="66">
        <f t="shared" si="4"/>
        <v>45.16045200872928</v>
      </c>
      <c r="I12" s="66">
        <f t="shared" si="1"/>
        <v>374.11247321584403</v>
      </c>
      <c r="U12" s="44"/>
      <c r="V12" s="56"/>
    </row>
    <row r="13" spans="1:22" x14ac:dyDescent="0.2">
      <c r="D13">
        <f t="shared" si="2"/>
        <v>10</v>
      </c>
      <c r="E13">
        <f t="shared" si="3"/>
        <v>59</v>
      </c>
      <c r="F13" s="59">
        <f>VLOOKUP(E13,'Tabla de Mortalidad Conmutados'!H11:P101,2,FALSE)</f>
        <v>1.2879E-2</v>
      </c>
      <c r="G13" s="59">
        <f t="shared" si="0"/>
        <v>0.98712100000000003</v>
      </c>
      <c r="H13" s="66">
        <f t="shared" si="4"/>
        <v>45.16045200872928</v>
      </c>
      <c r="I13" s="66">
        <f t="shared" si="1"/>
        <v>430.80960374632798</v>
      </c>
      <c r="U13" s="44"/>
      <c r="V13" s="57"/>
    </row>
    <row r="14" spans="1:22" x14ac:dyDescent="0.2">
      <c r="D14">
        <f t="shared" si="2"/>
        <v>11</v>
      </c>
      <c r="E14">
        <f t="shared" si="3"/>
        <v>60</v>
      </c>
      <c r="F14" s="59">
        <f>VLOOKUP(E14,'Tabla de Mortalidad Conmutados'!H12:P102,2,FALSE)</f>
        <v>1.3859999999999999E-2</v>
      </c>
      <c r="G14" s="59">
        <f t="shared" si="0"/>
        <v>0.98614000000000002</v>
      </c>
      <c r="H14" s="66">
        <f t="shared" si="4"/>
        <v>0</v>
      </c>
      <c r="I14" s="66">
        <f t="shared" si="1"/>
        <v>442.46865142364442</v>
      </c>
    </row>
    <row r="15" spans="1:22" x14ac:dyDescent="0.2">
      <c r="D15">
        <f t="shared" si="2"/>
        <v>12</v>
      </c>
      <c r="E15">
        <f t="shared" si="3"/>
        <v>61</v>
      </c>
      <c r="F15" s="59">
        <f>VLOOKUP(E15,'Tabla de Mortalidad Conmutados'!H13:P103,2,FALSE)</f>
        <v>1.4914E-2</v>
      </c>
      <c r="G15" s="59">
        <f t="shared" si="0"/>
        <v>0.98508600000000002</v>
      </c>
      <c r="H15" s="66">
        <f t="shared" si="4"/>
        <v>0</v>
      </c>
      <c r="I15" s="66">
        <f t="shared" si="1"/>
        <v>454.24028027777115</v>
      </c>
      <c r="U15" s="44"/>
    </row>
    <row r="16" spans="1:22" x14ac:dyDescent="0.2">
      <c r="D16">
        <f t="shared" si="2"/>
        <v>13</v>
      </c>
      <c r="E16">
        <f t="shared" si="3"/>
        <v>62</v>
      </c>
      <c r="F16" s="59">
        <f>VLOOKUP(E16,'Tabla de Mortalidad Conmutados'!H14:P104,2,FALSE)</f>
        <v>1.6048E-2</v>
      </c>
      <c r="G16" s="59">
        <f t="shared" si="0"/>
        <v>0.98395200000000005</v>
      </c>
      <c r="H16" s="66">
        <f t="shared" si="4"/>
        <v>0</v>
      </c>
      <c r="I16" s="66">
        <f t="shared" si="1"/>
        <v>466.11327878826484</v>
      </c>
    </row>
    <row r="17" spans="4:9" x14ac:dyDescent="0.2">
      <c r="D17">
        <f t="shared" si="2"/>
        <v>14</v>
      </c>
      <c r="E17">
        <f t="shared" si="3"/>
        <v>63</v>
      </c>
      <c r="F17" s="59">
        <f>VLOOKUP(E17,'Tabla de Mortalidad Conmutados'!H15:P105,2,FALSE)</f>
        <v>1.7264999999999999E-2</v>
      </c>
      <c r="G17" s="59">
        <f t="shared" si="0"/>
        <v>0.98273500000000003</v>
      </c>
      <c r="H17" s="66">
        <f t="shared" si="4"/>
        <v>0</v>
      </c>
      <c r="I17" s="66">
        <f t="shared" si="1"/>
        <v>478.077382339834</v>
      </c>
    </row>
    <row r="18" spans="4:9" x14ac:dyDescent="0.2">
      <c r="D18">
        <f t="shared" si="2"/>
        <v>15</v>
      </c>
      <c r="E18">
        <f t="shared" si="3"/>
        <v>64</v>
      </c>
      <c r="F18" s="59">
        <f>VLOOKUP(E18,'Tabla de Mortalidad Conmutados'!H16:P106,2,FALSE)</f>
        <v>1.8574E-2</v>
      </c>
      <c r="G18" s="59">
        <f t="shared" si="0"/>
        <v>0.98142600000000002</v>
      </c>
      <c r="H18" s="66">
        <f t="shared" si="4"/>
        <v>0</v>
      </c>
      <c r="I18" s="66">
        <f t="shared" si="1"/>
        <v>490.1203601138817</v>
      </c>
    </row>
    <row r="19" spans="4:9" x14ac:dyDescent="0.2">
      <c r="D19">
        <f t="shared" si="2"/>
        <v>16</v>
      </c>
      <c r="E19">
        <f t="shared" si="3"/>
        <v>65</v>
      </c>
      <c r="F19" s="59">
        <f>VLOOKUP(E19,'Tabla de Mortalidad Conmutados'!H17:P107,2,FALSE)</f>
        <v>1.9980000000000001E-2</v>
      </c>
      <c r="G19" s="59">
        <f t="shared" si="0"/>
        <v>0.98002</v>
      </c>
      <c r="H19" s="66">
        <f t="shared" si="4"/>
        <v>0</v>
      </c>
      <c r="I19" s="66">
        <f t="shared" si="1"/>
        <v>502.23033848187413</v>
      </c>
    </row>
    <row r="20" spans="4:9" x14ac:dyDescent="0.2">
      <c r="D20">
        <f t="shared" si="2"/>
        <v>17</v>
      </c>
      <c r="E20">
        <f t="shared" si="3"/>
        <v>66</v>
      </c>
      <c r="F20" s="59">
        <f>VLOOKUP(E20,'Tabla de Mortalidad Conmutados'!H18:P108,2,FALSE)</f>
        <v>2.1489999999999999E-2</v>
      </c>
      <c r="G20" s="59">
        <f t="shared" si="0"/>
        <v>0.97850999999999999</v>
      </c>
      <c r="H20" s="66">
        <f t="shared" si="4"/>
        <v>0</v>
      </c>
      <c r="I20" s="66">
        <f t="shared" si="1"/>
        <v>514.39505341136874</v>
      </c>
    </row>
    <row r="21" spans="4:9" x14ac:dyDescent="0.2">
      <c r="D21">
        <f t="shared" si="2"/>
        <v>18</v>
      </c>
      <c r="E21">
        <f t="shared" si="3"/>
        <v>67</v>
      </c>
      <c r="F21" s="59">
        <f>VLOOKUP(E21,'Tabla de Mortalidad Conmutados'!H19:P109,2,FALSE)</f>
        <v>2.3111E-2</v>
      </c>
      <c r="G21" s="59">
        <f t="shared" si="0"/>
        <v>0.97688900000000001</v>
      </c>
      <c r="H21" s="66">
        <f t="shared" si="4"/>
        <v>0</v>
      </c>
      <c r="I21" s="66">
        <f t="shared" si="1"/>
        <v>526.60213270379779</v>
      </c>
    </row>
    <row r="22" spans="4:9" x14ac:dyDescent="0.2">
      <c r="D22">
        <f t="shared" si="2"/>
        <v>19</v>
      </c>
      <c r="E22">
        <f t="shared" si="3"/>
        <v>68</v>
      </c>
      <c r="F22" s="59">
        <f>VLOOKUP(E22,'Tabla de Mortalidad Conmutados'!H20:P110,2,FALSE)</f>
        <v>2.4850999999999998E-2</v>
      </c>
      <c r="G22" s="59">
        <f t="shared" si="0"/>
        <v>0.97514900000000004</v>
      </c>
      <c r="H22" s="66">
        <f t="shared" si="4"/>
        <v>0</v>
      </c>
      <c r="I22" s="66">
        <f t="shared" si="1"/>
        <v>538.83891454072011</v>
      </c>
    </row>
    <row r="23" spans="4:9" x14ac:dyDescent="0.2">
      <c r="D23">
        <f t="shared" si="2"/>
        <v>20</v>
      </c>
      <c r="E23">
        <f t="shared" si="3"/>
        <v>69</v>
      </c>
      <c r="F23" s="59">
        <f>VLOOKUP(E23,'Tabla de Mortalidad Conmutados'!H21:P111,2,FALSE)</f>
        <v>2.6719999999999997E-2</v>
      </c>
      <c r="G23" s="59">
        <f t="shared" si="0"/>
        <v>0.97328000000000003</v>
      </c>
      <c r="H23" s="66">
        <f t="shared" si="4"/>
        <v>0</v>
      </c>
      <c r="I23" s="66">
        <f t="shared" si="1"/>
        <v>551.0918396505142</v>
      </c>
    </row>
    <row r="24" spans="4:9" x14ac:dyDescent="0.2">
      <c r="D24">
        <f t="shared" si="2"/>
        <v>21</v>
      </c>
      <c r="E24">
        <f t="shared" si="3"/>
        <v>70</v>
      </c>
      <c r="F24" s="59">
        <f>VLOOKUP(E24,'Tabla de Mortalidad Conmutados'!H22:P112,2,FALSE)</f>
        <v>2.8724E-2</v>
      </c>
      <c r="G24" s="59">
        <f t="shared" si="0"/>
        <v>0.97127600000000003</v>
      </c>
      <c r="H24" s="66">
        <f t="shared" si="4"/>
        <v>0</v>
      </c>
      <c r="I24" s="66">
        <f t="shared" si="1"/>
        <v>563.34859755083767</v>
      </c>
    </row>
    <row r="25" spans="4:9" x14ac:dyDescent="0.2">
      <c r="D25">
        <f t="shared" si="2"/>
        <v>22</v>
      </c>
      <c r="E25">
        <f t="shared" si="3"/>
        <v>71</v>
      </c>
      <c r="F25" s="59">
        <f>VLOOKUP(E25,'Tabla de Mortalidad Conmutados'!H23:P113,2,FALSE)</f>
        <v>3.0873999999999999E-2</v>
      </c>
      <c r="G25" s="59">
        <f t="shared" si="0"/>
        <v>0.96912600000000004</v>
      </c>
      <c r="H25" s="66">
        <f t="shared" si="4"/>
        <v>0</v>
      </c>
      <c r="I25" s="66">
        <f t="shared" si="1"/>
        <v>575.59624284213339</v>
      </c>
    </row>
    <row r="26" spans="4:9" x14ac:dyDescent="0.2">
      <c r="D26">
        <f t="shared" si="2"/>
        <v>23</v>
      </c>
      <c r="E26">
        <f t="shared" si="3"/>
        <v>72</v>
      </c>
      <c r="F26" s="59">
        <f>VLOOKUP(E26,'Tabla de Mortalidad Conmutados'!H24:P114,2,FALSE)</f>
        <v>3.3180000000000001E-2</v>
      </c>
      <c r="G26" s="59">
        <f t="shared" si="0"/>
        <v>0.96682000000000001</v>
      </c>
      <c r="H26" s="66">
        <f t="shared" si="4"/>
        <v>0</v>
      </c>
      <c r="I26" s="66">
        <f t="shared" si="1"/>
        <v>587.82200799531392</v>
      </c>
    </row>
    <row r="27" spans="4:9" x14ac:dyDescent="0.2">
      <c r="D27">
        <f t="shared" si="2"/>
        <v>24</v>
      </c>
      <c r="E27">
        <f t="shared" si="3"/>
        <v>73</v>
      </c>
      <c r="F27" s="59">
        <f>VLOOKUP(E27,'Tabla de Mortalidad Conmutados'!H25:P115,2,FALSE)</f>
        <v>3.5651000000000002E-2</v>
      </c>
      <c r="G27" s="59">
        <f t="shared" si="0"/>
        <v>0.96434900000000001</v>
      </c>
      <c r="H27" s="66">
        <f t="shared" si="4"/>
        <v>0</v>
      </c>
      <c r="I27" s="66">
        <f t="shared" si="1"/>
        <v>600.01410107243646</v>
      </c>
    </row>
    <row r="28" spans="4:9" x14ac:dyDescent="0.2">
      <c r="D28">
        <f t="shared" si="2"/>
        <v>25</v>
      </c>
      <c r="E28">
        <f t="shared" si="3"/>
        <v>74</v>
      </c>
      <c r="F28" s="59">
        <f>VLOOKUP(E28,'Tabla de Mortalidad Conmutados'!H26:P116,2,FALSE)</f>
        <v>3.8299999999999994E-2</v>
      </c>
      <c r="G28" s="59">
        <f t="shared" si="0"/>
        <v>0.9617</v>
      </c>
      <c r="H28" s="66">
        <f t="shared" si="4"/>
        <v>0</v>
      </c>
      <c r="I28" s="66">
        <f t="shared" si="1"/>
        <v>612.16048208453378</v>
      </c>
    </row>
    <row r="29" spans="4:9" x14ac:dyDescent="0.2">
      <c r="D29">
        <f t="shared" si="2"/>
        <v>26</v>
      </c>
      <c r="E29">
        <f t="shared" si="3"/>
        <v>75</v>
      </c>
      <c r="F29" s="59">
        <f>VLOOKUP(E29,'Tabla de Mortalidad Conmutados'!H27:P117,2,FALSE)</f>
        <v>4.1136000000000006E-2</v>
      </c>
      <c r="G29" s="59">
        <f t="shared" si="0"/>
        <v>0.95886399999999994</v>
      </c>
      <c r="H29" s="66">
        <f t="shared" si="4"/>
        <v>0</v>
      </c>
      <c r="I29" s="66">
        <f t="shared" si="1"/>
        <v>624.25088832028086</v>
      </c>
    </row>
    <row r="30" spans="4:9" x14ac:dyDescent="0.2">
      <c r="D30">
        <f t="shared" si="2"/>
        <v>27</v>
      </c>
      <c r="E30">
        <f t="shared" si="3"/>
        <v>76</v>
      </c>
      <c r="F30" s="59">
        <f>VLOOKUP(E30,'Tabla de Mortalidad Conmutados'!H28:P118,2,FALSE)</f>
        <v>4.4173999999999998E-2</v>
      </c>
      <c r="G30" s="59">
        <f t="shared" si="0"/>
        <v>0.95582599999999995</v>
      </c>
      <c r="H30" s="66">
        <f t="shared" si="4"/>
        <v>0</v>
      </c>
      <c r="I30" s="66">
        <f t="shared" si="1"/>
        <v>636.27498968922521</v>
      </c>
    </row>
    <row r="31" spans="4:9" x14ac:dyDescent="0.2">
      <c r="D31">
        <f t="shared" si="2"/>
        <v>28</v>
      </c>
      <c r="E31">
        <f t="shared" si="3"/>
        <v>77</v>
      </c>
      <c r="F31" s="59">
        <f>VLOOKUP(E31,'Tabla de Mortalidad Conmutados'!H29:P119,2,FALSE)</f>
        <v>4.7424000000000001E-2</v>
      </c>
      <c r="G31" s="59">
        <f t="shared" si="0"/>
        <v>0.95257599999999998</v>
      </c>
      <c r="H31" s="66">
        <f t="shared" si="4"/>
        <v>0</v>
      </c>
      <c r="I31" s="66">
        <f t="shared" si="1"/>
        <v>648.2247760023771</v>
      </c>
    </row>
    <row r="32" spans="4:9" x14ac:dyDescent="0.2">
      <c r="D32">
        <f t="shared" si="2"/>
        <v>29</v>
      </c>
      <c r="E32">
        <f t="shared" si="3"/>
        <v>78</v>
      </c>
      <c r="F32" s="59">
        <f>VLOOKUP(E32,'Tabla de Mortalidad Conmutados'!H30:P120,2,FALSE)</f>
        <v>5.0902000000000003E-2</v>
      </c>
      <c r="G32" s="59">
        <f t="shared" si="0"/>
        <v>0.949098</v>
      </c>
      <c r="H32" s="66">
        <f t="shared" si="4"/>
        <v>0</v>
      </c>
      <c r="I32" s="66">
        <f t="shared" si="1"/>
        <v>660.09294184845396</v>
      </c>
    </row>
    <row r="33" spans="4:9" x14ac:dyDescent="0.2">
      <c r="D33">
        <f t="shared" si="2"/>
        <v>30</v>
      </c>
      <c r="E33">
        <f t="shared" si="3"/>
        <v>79</v>
      </c>
      <c r="F33" s="59">
        <f>VLOOKUP(E33,'Tabla de Mortalidad Conmutados'!H31:P121,2,FALSE)</f>
        <v>5.4619000000000001E-2</v>
      </c>
      <c r="G33" s="59">
        <f t="shared" si="0"/>
        <v>0.94538100000000003</v>
      </c>
      <c r="H33" s="66">
        <f t="shared" si="4"/>
        <v>0</v>
      </c>
      <c r="I33" s="66">
        <f t="shared" si="1"/>
        <v>671.8752801586179</v>
      </c>
    </row>
    <row r="34" spans="4:9" x14ac:dyDescent="0.2">
      <c r="D34">
        <f t="shared" si="2"/>
        <v>31</v>
      </c>
      <c r="E34">
        <f t="shared" si="3"/>
        <v>80</v>
      </c>
      <c r="F34" s="59">
        <f>VLOOKUP(E34,'Tabla de Mortalidad Conmutados'!H32:P122,2,FALSE)</f>
        <v>5.8591999999999998E-2</v>
      </c>
      <c r="G34" s="59">
        <f t="shared" si="0"/>
        <v>0.94140800000000002</v>
      </c>
      <c r="H34" s="66">
        <f t="shared" si="4"/>
        <v>0</v>
      </c>
      <c r="I34" s="66">
        <f t="shared" si="1"/>
        <v>683.56936393758656</v>
      </c>
    </row>
    <row r="35" spans="4:9" x14ac:dyDescent="0.2">
      <c r="D35">
        <f t="shared" si="2"/>
        <v>32</v>
      </c>
      <c r="E35">
        <f t="shared" si="3"/>
        <v>81</v>
      </c>
      <c r="F35" s="59">
        <f>VLOOKUP(E35,'Tabla de Mortalidad Conmutados'!H33:P123,2,FALSE)</f>
        <v>6.2834000000000001E-2</v>
      </c>
      <c r="G35" s="59">
        <f t="shared" si="0"/>
        <v>0.93716599999999994</v>
      </c>
      <c r="H35" s="66">
        <f t="shared" si="4"/>
        <v>0</v>
      </c>
      <c r="I35" s="66">
        <f t="shared" si="1"/>
        <v>695.17671929495725</v>
      </c>
    </row>
    <row r="36" spans="4:9" x14ac:dyDescent="0.2">
      <c r="D36">
        <f t="shared" si="2"/>
        <v>33</v>
      </c>
      <c r="E36">
        <f t="shared" si="3"/>
        <v>82</v>
      </c>
      <c r="F36" s="59">
        <f>VLOOKUP(E36,'Tabla de Mortalidad Conmutados'!H34:P124,2,FALSE)</f>
        <v>6.7361999999999991E-2</v>
      </c>
      <c r="G36" s="59">
        <f t="shared" si="0"/>
        <v>0.93263799999999997</v>
      </c>
      <c r="H36" s="66">
        <f t="shared" si="4"/>
        <v>0</v>
      </c>
      <c r="I36" s="66">
        <f t="shared" si="1"/>
        <v>706.70257019682913</v>
      </c>
    </row>
    <row r="37" spans="4:9" x14ac:dyDescent="0.2">
      <c r="D37">
        <f t="shared" si="2"/>
        <v>34</v>
      </c>
      <c r="E37">
        <f t="shared" si="3"/>
        <v>83</v>
      </c>
      <c r="F37" s="59">
        <f>VLOOKUP(E37,'Tabla de Mortalidad Conmutados'!H35:P125,2,FALSE)</f>
        <v>7.2190000000000004E-2</v>
      </c>
      <c r="G37" s="59">
        <f t="shared" si="0"/>
        <v>0.92781000000000002</v>
      </c>
      <c r="H37" s="66">
        <f t="shared" si="4"/>
        <v>0</v>
      </c>
      <c r="I37" s="66">
        <f t="shared" si="1"/>
        <v>718.15801279969662</v>
      </c>
    </row>
    <row r="38" spans="4:9" x14ac:dyDescent="0.2">
      <c r="D38">
        <f t="shared" si="2"/>
        <v>35</v>
      </c>
      <c r="E38">
        <f t="shared" si="3"/>
        <v>84</v>
      </c>
      <c r="F38" s="59">
        <f>VLOOKUP(E38,'Tabla de Mortalidad Conmutados'!H36:P126,2,FALSE)</f>
        <v>7.7337000000000003E-2</v>
      </c>
      <c r="G38" s="59">
        <f t="shared" si="0"/>
        <v>0.92266300000000001</v>
      </c>
      <c r="H38" s="66">
        <f t="shared" si="4"/>
        <v>0</v>
      </c>
      <c r="I38" s="66">
        <f t="shared" si="1"/>
        <v>729.56011390473327</v>
      </c>
    </row>
    <row r="39" spans="4:9" x14ac:dyDescent="0.2">
      <c r="D39">
        <f t="shared" si="2"/>
        <v>36</v>
      </c>
      <c r="E39">
        <f t="shared" si="3"/>
        <v>85</v>
      </c>
      <c r="F39" s="59">
        <f>VLOOKUP(E39,'Tabla de Mortalidad Conmutados'!H37:P127,2,FALSE)</f>
        <v>8.2816999999999988E-2</v>
      </c>
      <c r="G39" s="59">
        <f t="shared" si="0"/>
        <v>0.91718299999999997</v>
      </c>
      <c r="H39" s="66">
        <f t="shared" si="4"/>
        <v>0</v>
      </c>
      <c r="I39" s="66">
        <f t="shared" si="1"/>
        <v>740.93536298693527</v>
      </c>
    </row>
    <row r="40" spans="4:9" x14ac:dyDescent="0.2">
      <c r="D40">
        <f t="shared" si="2"/>
        <v>37</v>
      </c>
      <c r="E40">
        <f t="shared" si="3"/>
        <v>86</v>
      </c>
      <c r="F40" s="59">
        <f>VLOOKUP(E40,'Tabla de Mortalidad Conmutados'!H38:P128,2,FALSE)</f>
        <v>8.8649000000000006E-2</v>
      </c>
      <c r="G40" s="59">
        <f t="shared" si="0"/>
        <v>0.91135100000000002</v>
      </c>
      <c r="H40" s="66">
        <f t="shared" si="4"/>
        <v>0</v>
      </c>
      <c r="I40" s="66">
        <f t="shared" si="1"/>
        <v>752.32095462818097</v>
      </c>
    </row>
    <row r="41" spans="4:9" x14ac:dyDescent="0.2">
      <c r="D41">
        <f t="shared" si="2"/>
        <v>38</v>
      </c>
      <c r="E41">
        <f t="shared" si="3"/>
        <v>87</v>
      </c>
      <c r="F41" s="59">
        <f>VLOOKUP(E41,'Tabla de Mortalidad Conmutados'!H39:P129,2,FALSE)</f>
        <v>9.484999999999999E-2</v>
      </c>
      <c r="G41" s="59">
        <f t="shared" si="0"/>
        <v>0.90515000000000001</v>
      </c>
      <c r="H41" s="66">
        <f t="shared" si="4"/>
        <v>0</v>
      </c>
      <c r="I41" s="66">
        <f t="shared" si="1"/>
        <v>763.76887542003976</v>
      </c>
    </row>
    <row r="42" spans="4:9" x14ac:dyDescent="0.2">
      <c r="D42">
        <f t="shared" si="2"/>
        <v>39</v>
      </c>
      <c r="E42">
        <f t="shared" si="3"/>
        <v>88</v>
      </c>
      <c r="F42" s="59">
        <f>VLOOKUP(E42,'Tabla de Mortalidad Conmutados'!H40:P130,2,FALSE)</f>
        <v>0.10143600000000001</v>
      </c>
      <c r="G42" s="59">
        <f t="shared" si="0"/>
        <v>0.89856400000000003</v>
      </c>
      <c r="H42" s="66">
        <f t="shared" si="4"/>
        <v>0</v>
      </c>
      <c r="I42" s="66">
        <f t="shared" si="1"/>
        <v>775.35097646237955</v>
      </c>
    </row>
    <row r="43" spans="4:9" x14ac:dyDescent="0.2">
      <c r="D43">
        <f t="shared" si="2"/>
        <v>40</v>
      </c>
      <c r="E43">
        <f t="shared" si="3"/>
        <v>89</v>
      </c>
      <c r="F43" s="59">
        <f>VLOOKUP(E43,'Tabla de Mortalidad Conmutados'!H41:P131,2,FALSE)</f>
        <v>0.10842400000000001</v>
      </c>
      <c r="G43" s="59">
        <f t="shared" si="0"/>
        <v>0.89157600000000004</v>
      </c>
      <c r="H43" s="66">
        <f t="shared" si="4"/>
        <v>0</v>
      </c>
      <c r="I43" s="66">
        <f t="shared" si="1"/>
        <v>787.16539072741614</v>
      </c>
    </row>
    <row r="44" spans="4:9" x14ac:dyDescent="0.2">
      <c r="D44">
        <f t="shared" si="2"/>
        <v>41</v>
      </c>
      <c r="E44">
        <f t="shared" si="3"/>
        <v>90</v>
      </c>
      <c r="F44" s="59">
        <f>VLOOKUP(E44,'Tabla de Mortalidad Conmutados'!H42:P132,2,FALSE)</f>
        <v>0.11583199999999999</v>
      </c>
      <c r="G44" s="59">
        <f t="shared" si="0"/>
        <v>0.88416800000000006</v>
      </c>
      <c r="H44" s="66">
        <f t="shared" si="4"/>
        <v>0</v>
      </c>
      <c r="I44" s="66">
        <f t="shared" si="1"/>
        <v>799.34563715283718</v>
      </c>
    </row>
    <row r="45" spans="4:9" x14ac:dyDescent="0.2">
      <c r="D45">
        <f t="shared" si="2"/>
        <v>42</v>
      </c>
      <c r="E45">
        <f t="shared" si="3"/>
        <v>91</v>
      </c>
      <c r="F45" s="59">
        <f>VLOOKUP(E45,'Tabla de Mortalidad Conmutados'!H43:P133,2,FALSE)</f>
        <v>0.12367700000000001</v>
      </c>
      <c r="G45" s="59">
        <f t="shared" si="0"/>
        <v>0.87632299999999996</v>
      </c>
      <c r="H45" s="66">
        <f t="shared" si="4"/>
        <v>0</v>
      </c>
      <c r="I45" s="66">
        <f t="shared" si="1"/>
        <v>812.07407636763469</v>
      </c>
    </row>
    <row r="46" spans="4:9" x14ac:dyDescent="0.2">
      <c r="D46">
        <f t="shared" si="2"/>
        <v>43</v>
      </c>
      <c r="E46">
        <f t="shared" si="3"/>
        <v>92</v>
      </c>
      <c r="F46" s="59">
        <f>VLOOKUP(E46,'Tabla de Mortalidad Conmutados'!H44:P134,2,FALSE)</f>
        <v>0.13197300000000001</v>
      </c>
      <c r="G46" s="59">
        <f t="shared" si="0"/>
        <v>0.86802699999999999</v>
      </c>
      <c r="H46" s="66">
        <f t="shared" si="4"/>
        <v>0</v>
      </c>
      <c r="I46" s="66">
        <f t="shared" si="1"/>
        <v>825.60151908198497</v>
      </c>
    </row>
    <row r="47" spans="4:9" x14ac:dyDescent="0.2">
      <c r="D47">
        <f t="shared" si="2"/>
        <v>44</v>
      </c>
      <c r="E47">
        <f t="shared" si="3"/>
        <v>93</v>
      </c>
      <c r="F47" s="59">
        <f>VLOOKUP(E47,'Tabla de Mortalidad Conmutados'!H45:P135,2,FALSE)</f>
        <v>0.140737</v>
      </c>
      <c r="G47" s="59">
        <f t="shared" si="0"/>
        <v>0.859263</v>
      </c>
      <c r="H47" s="66">
        <f t="shared" si="4"/>
        <v>0</v>
      </c>
      <c r="I47" s="66">
        <f t="shared" si="1"/>
        <v>840.27426694815699</v>
      </c>
    </row>
    <row r="48" spans="4:9" x14ac:dyDescent="0.2">
      <c r="D48">
        <f t="shared" si="2"/>
        <v>45</v>
      </c>
      <c r="E48">
        <f t="shared" si="3"/>
        <v>94</v>
      </c>
      <c r="F48" s="59">
        <f>VLOOKUP(E48,'Tabla de Mortalidad Conmutados'!H46:P136,2,FALSE)</f>
        <v>0.14998300000000001</v>
      </c>
      <c r="G48" s="59">
        <f t="shared" si="0"/>
        <v>0.85001700000000002</v>
      </c>
      <c r="H48" s="66">
        <f t="shared" si="4"/>
        <v>0</v>
      </c>
      <c r="I48" s="66">
        <f t="shared" si="1"/>
        <v>856.57534962338877</v>
      </c>
    </row>
    <row r="49" spans="4:9" x14ac:dyDescent="0.2">
      <c r="D49">
        <f t="shared" si="2"/>
        <v>46</v>
      </c>
      <c r="E49">
        <f t="shared" si="3"/>
        <v>95</v>
      </c>
      <c r="F49" s="59">
        <f>VLOOKUP(E49,'Tabla de Mortalidad Conmutados'!H47:P137,2,FALSE)</f>
        <v>0.159723</v>
      </c>
      <c r="G49" s="59">
        <f t="shared" si="0"/>
        <v>0.84027699999999994</v>
      </c>
      <c r="H49" s="66">
        <f t="shared" si="4"/>
        <v>0</v>
      </c>
      <c r="I49" s="66">
        <f t="shared" si="1"/>
        <v>875.18549282729532</v>
      </c>
    </row>
    <row r="50" spans="4:9" x14ac:dyDescent="0.2">
      <c r="D50">
        <f t="shared" si="2"/>
        <v>47</v>
      </c>
      <c r="E50">
        <f t="shared" si="3"/>
        <v>96</v>
      </c>
      <c r="F50" s="59">
        <f>VLOOKUP(E50,'Tabla de Mortalidad Conmutados'!H48:P138,2,FALSE)</f>
        <v>0.16997000000000001</v>
      </c>
      <c r="G50" s="59">
        <f t="shared" si="0"/>
        <v>0.83003000000000005</v>
      </c>
      <c r="H50" s="66">
        <f t="shared" si="4"/>
        <v>0</v>
      </c>
      <c r="I50" s="66">
        <f t="shared" si="1"/>
        <v>897.07461176647053</v>
      </c>
    </row>
    <row r="51" spans="4:9" x14ac:dyDescent="0.2">
      <c r="D51">
        <f t="shared" si="2"/>
        <v>48</v>
      </c>
      <c r="E51">
        <f t="shared" si="3"/>
        <v>97</v>
      </c>
      <c r="F51" s="59">
        <f>VLOOKUP(E51,'Tabla de Mortalidad Conmutados'!H49:P139,2,FALSE)</f>
        <v>0.180733</v>
      </c>
      <c r="G51" s="59">
        <f t="shared" si="0"/>
        <v>0.81926699999999997</v>
      </c>
      <c r="H51" s="66">
        <f t="shared" si="4"/>
        <v>0</v>
      </c>
      <c r="I51" s="66">
        <f t="shared" si="1"/>
        <v>923.64268217316408</v>
      </c>
    </row>
    <row r="52" spans="4:9" x14ac:dyDescent="0.2">
      <c r="D52">
        <f t="shared" si="2"/>
        <v>49</v>
      </c>
      <c r="E52">
        <f t="shared" si="3"/>
        <v>98</v>
      </c>
      <c r="F52" s="59">
        <f>VLOOKUP(E52,'Tabla de Mortalidad Conmutados'!H50:P140,2,FALSE)</f>
        <v>0.19202000000000002</v>
      </c>
      <c r="G52" s="59">
        <f t="shared" si="0"/>
        <v>0.80797999999999992</v>
      </c>
      <c r="H52" s="66">
        <f t="shared" si="4"/>
        <v>0</v>
      </c>
      <c r="I52" s="66">
        <f t="shared" si="1"/>
        <v>956.93779904323924</v>
      </c>
    </row>
    <row r="53" spans="4:9" x14ac:dyDescent="0.2">
      <c r="D53">
        <f t="shared" si="2"/>
        <v>50</v>
      </c>
      <c r="E53">
        <f t="shared" si="3"/>
        <v>99</v>
      </c>
      <c r="F53" s="59">
        <f>VLOOKUP(E53,'Tabla de Mortalidad Conmutados'!H51:P141,2,FALSE)</f>
        <v>0.20383699999999999</v>
      </c>
      <c r="G53" s="59">
        <f t="shared" si="0"/>
        <v>0.79616299999999995</v>
      </c>
      <c r="H53" s="66">
        <f t="shared" si="4"/>
        <v>0</v>
      </c>
      <c r="I53" s="66">
        <f t="shared" si="1"/>
        <v>1000.0000000002323</v>
      </c>
    </row>
    <row r="54" spans="4:9" x14ac:dyDescent="0.2">
      <c r="D54">
        <f t="shared" si="2"/>
        <v>51</v>
      </c>
      <c r="E54">
        <f t="shared" si="3"/>
        <v>100</v>
      </c>
      <c r="F54" s="59">
        <f>VLOOKUP(E54,'Tabla de Mortalidad Conmutados'!H52:P142,2,FALSE)</f>
        <v>1</v>
      </c>
      <c r="G54" s="59">
        <f t="shared" si="0"/>
        <v>0</v>
      </c>
      <c r="H54" s="66">
        <f t="shared" si="4"/>
        <v>0</v>
      </c>
      <c r="I54" s="66" t="e">
        <f t="shared" si="1"/>
        <v>#DIV/0!</v>
      </c>
    </row>
    <row r="55" spans="4:9" x14ac:dyDescent="0.2">
      <c r="D55" t="str">
        <f t="shared" si="2"/>
        <v/>
      </c>
      <c r="E55" t="str">
        <f t="shared" si="3"/>
        <v/>
      </c>
      <c r="F55" s="59" t="e">
        <f>VLOOKUP(E55,'Tabla de Mortalidad Conmutados'!H53:P143,2,FALSE)</f>
        <v>#N/A</v>
      </c>
      <c r="G55" s="59" t="e">
        <f t="shared" si="0"/>
        <v>#N/A</v>
      </c>
      <c r="H55" s="66">
        <f t="shared" si="4"/>
        <v>0</v>
      </c>
      <c r="I55" s="66" t="e">
        <f t="shared" si="1"/>
        <v>#DIV/0!</v>
      </c>
    </row>
    <row r="56" spans="4:9" x14ac:dyDescent="0.2">
      <c r="D56" t="str">
        <f t="shared" si="2"/>
        <v/>
      </c>
      <c r="E56" t="str">
        <f t="shared" si="3"/>
        <v/>
      </c>
      <c r="F56" s="59" t="e">
        <f>VLOOKUP(E56,'Tabla de Mortalidad Conmutados'!H54:P144,2,FALSE)</f>
        <v>#N/A</v>
      </c>
      <c r="G56" s="59" t="e">
        <f t="shared" si="0"/>
        <v>#N/A</v>
      </c>
      <c r="H56" s="66">
        <f t="shared" si="4"/>
        <v>0</v>
      </c>
      <c r="I56" s="66" t="e">
        <f t="shared" si="1"/>
        <v>#DIV/0!</v>
      </c>
    </row>
    <row r="57" spans="4:9" x14ac:dyDescent="0.2">
      <c r="D57" t="str">
        <f t="shared" si="2"/>
        <v/>
      </c>
      <c r="E57" t="str">
        <f t="shared" si="3"/>
        <v/>
      </c>
      <c r="F57" s="59" t="e">
        <f>VLOOKUP(E57,'Tabla de Mortalidad Conmutados'!H55:P145,2,FALSE)</f>
        <v>#N/A</v>
      </c>
      <c r="G57" s="59" t="e">
        <f t="shared" si="0"/>
        <v>#N/A</v>
      </c>
      <c r="H57" s="66">
        <f t="shared" si="4"/>
        <v>0</v>
      </c>
      <c r="I57" s="66" t="e">
        <f t="shared" si="1"/>
        <v>#DIV/0!</v>
      </c>
    </row>
    <row r="58" spans="4:9" x14ac:dyDescent="0.2">
      <c r="D58" t="str">
        <f t="shared" si="2"/>
        <v/>
      </c>
      <c r="E58" t="str">
        <f t="shared" si="3"/>
        <v/>
      </c>
      <c r="F58" s="59" t="e">
        <f>VLOOKUP(E58,'Tabla de Mortalidad Conmutados'!H56:P146,2,FALSE)</f>
        <v>#N/A</v>
      </c>
      <c r="G58" s="59" t="e">
        <f t="shared" si="0"/>
        <v>#N/A</v>
      </c>
      <c r="H58" s="66">
        <f t="shared" si="4"/>
        <v>0</v>
      </c>
      <c r="I58" s="66" t="e">
        <f t="shared" si="1"/>
        <v>#DIV/0!</v>
      </c>
    </row>
    <row r="59" spans="4:9" x14ac:dyDescent="0.2">
      <c r="D59" t="str">
        <f t="shared" si="2"/>
        <v/>
      </c>
      <c r="E59" t="str">
        <f t="shared" si="3"/>
        <v/>
      </c>
      <c r="F59" s="59" t="e">
        <f>VLOOKUP(E59,'Tabla de Mortalidad Conmutados'!H57:P147,2,FALSE)</f>
        <v>#N/A</v>
      </c>
      <c r="G59" s="59" t="e">
        <f t="shared" si="0"/>
        <v>#N/A</v>
      </c>
      <c r="H59" s="66">
        <f t="shared" si="4"/>
        <v>0</v>
      </c>
      <c r="I59" s="66" t="e">
        <f t="shared" si="1"/>
        <v>#DIV/0!</v>
      </c>
    </row>
    <row r="60" spans="4:9" x14ac:dyDescent="0.2">
      <c r="D60" t="str">
        <f t="shared" si="2"/>
        <v/>
      </c>
      <c r="E60" t="str">
        <f t="shared" si="3"/>
        <v/>
      </c>
      <c r="F60" s="59" t="e">
        <f>VLOOKUP(E60,'Tabla de Mortalidad Conmutados'!H58:P148,2,FALSE)</f>
        <v>#N/A</v>
      </c>
      <c r="G60" s="59" t="e">
        <f t="shared" si="0"/>
        <v>#N/A</v>
      </c>
      <c r="H60" s="66">
        <f t="shared" si="4"/>
        <v>0</v>
      </c>
      <c r="I60" s="66" t="e">
        <f t="shared" si="1"/>
        <v>#DIV/0!</v>
      </c>
    </row>
    <row r="61" spans="4:9" x14ac:dyDescent="0.2">
      <c r="D61" t="str">
        <f t="shared" si="2"/>
        <v/>
      </c>
      <c r="E61" t="str">
        <f t="shared" si="3"/>
        <v/>
      </c>
      <c r="F61" s="59" t="e">
        <f>VLOOKUP(E61,'Tabla de Mortalidad Conmutados'!H59:P149,2,FALSE)</f>
        <v>#N/A</v>
      </c>
      <c r="G61" s="59" t="e">
        <f t="shared" si="0"/>
        <v>#N/A</v>
      </c>
      <c r="H61" s="66">
        <f t="shared" si="4"/>
        <v>0</v>
      </c>
      <c r="I61" s="66" t="e">
        <f t="shared" si="1"/>
        <v>#DIV/0!</v>
      </c>
    </row>
    <row r="62" spans="4:9" x14ac:dyDescent="0.2">
      <c r="D62" t="str">
        <f t="shared" si="2"/>
        <v/>
      </c>
      <c r="E62" t="str">
        <f t="shared" si="3"/>
        <v/>
      </c>
      <c r="F62" s="59" t="e">
        <f>VLOOKUP(E62,'Tabla de Mortalidad Conmutados'!H60:P150,2,FALSE)</f>
        <v>#N/A</v>
      </c>
      <c r="G62" s="59" t="e">
        <f t="shared" si="0"/>
        <v>#N/A</v>
      </c>
      <c r="H62" s="66">
        <f t="shared" si="4"/>
        <v>0</v>
      </c>
      <c r="I62" s="66" t="e">
        <f t="shared" si="1"/>
        <v>#DIV/0!</v>
      </c>
    </row>
    <row r="63" spans="4:9" x14ac:dyDescent="0.2">
      <c r="D63" t="str">
        <f t="shared" si="2"/>
        <v/>
      </c>
      <c r="E63" t="str">
        <f t="shared" si="3"/>
        <v/>
      </c>
      <c r="F63" s="59" t="e">
        <f>VLOOKUP(E63,'Tabla de Mortalidad Conmutados'!H61:P151,2,FALSE)</f>
        <v>#N/A</v>
      </c>
      <c r="G63" s="59" t="e">
        <f t="shared" si="0"/>
        <v>#N/A</v>
      </c>
      <c r="H63" s="66">
        <f t="shared" si="4"/>
        <v>0</v>
      </c>
      <c r="I63" s="66" t="e">
        <f t="shared" si="1"/>
        <v>#DIV/0!</v>
      </c>
    </row>
    <row r="64" spans="4:9" x14ac:dyDescent="0.2">
      <c r="D64" t="str">
        <f t="shared" si="2"/>
        <v/>
      </c>
      <c r="E64" t="str">
        <f t="shared" si="3"/>
        <v/>
      </c>
      <c r="F64" s="59" t="e">
        <f>VLOOKUP(E64,'Tabla de Mortalidad Conmutados'!H62:P152,2,FALSE)</f>
        <v>#N/A</v>
      </c>
      <c r="G64" s="59" t="e">
        <f t="shared" si="0"/>
        <v>#N/A</v>
      </c>
      <c r="H64" s="66">
        <f t="shared" si="4"/>
        <v>0</v>
      </c>
      <c r="I64" s="66" t="e">
        <f t="shared" si="1"/>
        <v>#DIV/0!</v>
      </c>
    </row>
    <row r="65" spans="4:9" x14ac:dyDescent="0.2">
      <c r="D65" t="str">
        <f t="shared" si="2"/>
        <v/>
      </c>
      <c r="E65" t="str">
        <f t="shared" si="3"/>
        <v/>
      </c>
      <c r="F65" s="59" t="e">
        <f>VLOOKUP(E65,'Tabla de Mortalidad Conmutados'!H63:P153,2,FALSE)</f>
        <v>#N/A</v>
      </c>
      <c r="G65" s="59" t="e">
        <f t="shared" si="0"/>
        <v>#N/A</v>
      </c>
      <c r="H65" s="66">
        <f t="shared" si="4"/>
        <v>0</v>
      </c>
      <c r="I65" s="66" t="e">
        <f t="shared" si="1"/>
        <v>#DIV/0!</v>
      </c>
    </row>
    <row r="66" spans="4:9" x14ac:dyDescent="0.2">
      <c r="D66" t="str">
        <f t="shared" si="2"/>
        <v/>
      </c>
      <c r="E66" t="str">
        <f t="shared" si="3"/>
        <v/>
      </c>
      <c r="F66" s="59" t="e">
        <f>VLOOKUP(E66,'Tabla de Mortalidad Conmutados'!H64:P154,2,FALSE)</f>
        <v>#N/A</v>
      </c>
      <c r="G66" s="59" t="e">
        <f t="shared" si="0"/>
        <v>#N/A</v>
      </c>
      <c r="H66" s="66">
        <f t="shared" si="4"/>
        <v>0</v>
      </c>
      <c r="I66" s="66" t="e">
        <f t="shared" si="1"/>
        <v>#DIV/0!</v>
      </c>
    </row>
    <row r="67" spans="4:9" x14ac:dyDescent="0.2">
      <c r="D67" t="str">
        <f t="shared" si="2"/>
        <v/>
      </c>
      <c r="E67" t="str">
        <f t="shared" si="3"/>
        <v/>
      </c>
      <c r="F67" s="59" t="e">
        <f>VLOOKUP(E67,'Tabla de Mortalidad Conmutados'!H65:P155,2,FALSE)</f>
        <v>#N/A</v>
      </c>
      <c r="G67" s="59" t="e">
        <f t="shared" si="0"/>
        <v>#N/A</v>
      </c>
      <c r="H67" s="66">
        <f t="shared" si="4"/>
        <v>0</v>
      </c>
      <c r="I67" s="66" t="e">
        <f t="shared" si="1"/>
        <v>#DIV/0!</v>
      </c>
    </row>
    <row r="68" spans="4:9" x14ac:dyDescent="0.2">
      <c r="D68" t="str">
        <f t="shared" si="2"/>
        <v/>
      </c>
      <c r="E68" t="str">
        <f t="shared" si="3"/>
        <v/>
      </c>
      <c r="F68" s="59" t="e">
        <f>VLOOKUP(E68,'Tabla de Mortalidad Conmutados'!H66:P156,2,FALSE)</f>
        <v>#N/A</v>
      </c>
      <c r="G68" s="59" t="e">
        <f t="shared" si="0"/>
        <v>#N/A</v>
      </c>
      <c r="H68" s="66">
        <f t="shared" si="4"/>
        <v>0</v>
      </c>
      <c r="I68" s="66" t="e">
        <f t="shared" si="1"/>
        <v>#DIV/0!</v>
      </c>
    </row>
    <row r="69" spans="4:9" x14ac:dyDescent="0.2">
      <c r="D69" t="str">
        <f t="shared" si="2"/>
        <v/>
      </c>
      <c r="E69" t="str">
        <f t="shared" si="3"/>
        <v/>
      </c>
      <c r="F69" s="59" t="e">
        <f>VLOOKUP(E69,'Tabla de Mortalidad Conmutados'!H67:P157,2,FALSE)</f>
        <v>#N/A</v>
      </c>
      <c r="G69" s="59" t="e">
        <f t="shared" ref="G69:G96" si="5">1-F69</f>
        <v>#N/A</v>
      </c>
      <c r="H69" s="66">
        <f t="shared" si="4"/>
        <v>0</v>
      </c>
      <c r="I69" s="66" t="e">
        <f t="shared" ref="I69:I96" si="6">IF(D69&gt;1,(((I68/1000)+(H69/1000))*(1+$B$2)-F69)/(G69),0)*1000</f>
        <v>#DIV/0!</v>
      </c>
    </row>
    <row r="70" spans="4:9" x14ac:dyDescent="0.2">
      <c r="D70" t="str">
        <f t="shared" ref="D70:D96" si="7">IF(E69&gt;=100,"",D69+1)</f>
        <v/>
      </c>
      <c r="E70" t="str">
        <f t="shared" ref="E70:E96" si="8">IF(E69&gt;=100,"",E69+1)</f>
        <v/>
      </c>
      <c r="F70" s="59" t="e">
        <f>VLOOKUP(E70,'Tabla de Mortalidad Conmutados'!H68:P158,2,FALSE)</f>
        <v>#N/A</v>
      </c>
      <c r="G70" s="59" t="e">
        <f t="shared" si="5"/>
        <v>#N/A</v>
      </c>
      <c r="H70" s="66">
        <f t="shared" si="4"/>
        <v>0</v>
      </c>
      <c r="I70" s="66" t="e">
        <f t="shared" si="6"/>
        <v>#DIV/0!</v>
      </c>
    </row>
    <row r="71" spans="4:9" x14ac:dyDescent="0.2">
      <c r="D71" t="str">
        <f t="shared" si="7"/>
        <v/>
      </c>
      <c r="E71" t="str">
        <f t="shared" si="8"/>
        <v/>
      </c>
      <c r="F71" s="59" t="e">
        <f>VLOOKUP(E71,'Tabla de Mortalidad Conmutados'!H69:P159,2,FALSE)</f>
        <v>#N/A</v>
      </c>
      <c r="G71" s="59" t="e">
        <f t="shared" si="5"/>
        <v>#N/A</v>
      </c>
      <c r="H71" s="66">
        <f t="shared" ref="H71:H96" si="9">IF(D70&gt;=10,0,$H$5)</f>
        <v>0</v>
      </c>
      <c r="I71" s="66" t="e">
        <f t="shared" si="6"/>
        <v>#DIV/0!</v>
      </c>
    </row>
    <row r="72" spans="4:9" x14ac:dyDescent="0.2">
      <c r="D72" t="str">
        <f t="shared" si="7"/>
        <v/>
      </c>
      <c r="E72" t="str">
        <f t="shared" si="8"/>
        <v/>
      </c>
      <c r="F72" s="59" t="e">
        <f>VLOOKUP(E72,'Tabla de Mortalidad Conmutados'!H70:P160,2,FALSE)</f>
        <v>#N/A</v>
      </c>
      <c r="G72" s="59" t="e">
        <f t="shared" si="5"/>
        <v>#N/A</v>
      </c>
      <c r="H72" s="66">
        <f t="shared" si="9"/>
        <v>0</v>
      </c>
      <c r="I72" s="66" t="e">
        <f t="shared" si="6"/>
        <v>#DIV/0!</v>
      </c>
    </row>
    <row r="73" spans="4:9" x14ac:dyDescent="0.2">
      <c r="D73" t="str">
        <f t="shared" si="7"/>
        <v/>
      </c>
      <c r="E73" t="str">
        <f t="shared" si="8"/>
        <v/>
      </c>
      <c r="F73" s="59" t="e">
        <f>VLOOKUP(E73,'Tabla de Mortalidad Conmutados'!H71:P161,2,FALSE)</f>
        <v>#N/A</v>
      </c>
      <c r="G73" s="59" t="e">
        <f t="shared" si="5"/>
        <v>#N/A</v>
      </c>
      <c r="H73" s="66">
        <f t="shared" si="9"/>
        <v>0</v>
      </c>
      <c r="I73" s="66" t="e">
        <f t="shared" si="6"/>
        <v>#DIV/0!</v>
      </c>
    </row>
    <row r="74" spans="4:9" x14ac:dyDescent="0.2">
      <c r="D74" t="str">
        <f t="shared" si="7"/>
        <v/>
      </c>
      <c r="E74" t="str">
        <f t="shared" si="8"/>
        <v/>
      </c>
      <c r="F74" s="59" t="e">
        <f>VLOOKUP(E74,'Tabla de Mortalidad Conmutados'!H72:P162,2,FALSE)</f>
        <v>#N/A</v>
      </c>
      <c r="G74" s="59" t="e">
        <f t="shared" si="5"/>
        <v>#N/A</v>
      </c>
      <c r="H74" s="66">
        <f t="shared" si="9"/>
        <v>0</v>
      </c>
      <c r="I74" s="66" t="e">
        <f t="shared" si="6"/>
        <v>#DIV/0!</v>
      </c>
    </row>
    <row r="75" spans="4:9" x14ac:dyDescent="0.2">
      <c r="D75" t="str">
        <f t="shared" si="7"/>
        <v/>
      </c>
      <c r="E75" t="str">
        <f t="shared" si="8"/>
        <v/>
      </c>
      <c r="F75" s="59" t="e">
        <f>VLOOKUP(E75,'Tabla de Mortalidad Conmutados'!H73:P163,2,FALSE)</f>
        <v>#N/A</v>
      </c>
      <c r="G75" s="59" t="e">
        <f t="shared" si="5"/>
        <v>#N/A</v>
      </c>
      <c r="H75" s="66">
        <f t="shared" si="9"/>
        <v>0</v>
      </c>
      <c r="I75" s="66" t="e">
        <f t="shared" si="6"/>
        <v>#DIV/0!</v>
      </c>
    </row>
    <row r="76" spans="4:9" x14ac:dyDescent="0.2">
      <c r="D76" t="str">
        <f t="shared" si="7"/>
        <v/>
      </c>
      <c r="E76" t="str">
        <f t="shared" si="8"/>
        <v/>
      </c>
      <c r="F76" s="59" t="e">
        <f>VLOOKUP(E76,'Tabla de Mortalidad Conmutados'!H74:P164,2,FALSE)</f>
        <v>#N/A</v>
      </c>
      <c r="G76" s="59" t="e">
        <f t="shared" si="5"/>
        <v>#N/A</v>
      </c>
      <c r="H76" s="66">
        <f t="shared" si="9"/>
        <v>0</v>
      </c>
      <c r="I76" s="66" t="e">
        <f t="shared" si="6"/>
        <v>#DIV/0!</v>
      </c>
    </row>
    <row r="77" spans="4:9" x14ac:dyDescent="0.2">
      <c r="D77" t="str">
        <f t="shared" si="7"/>
        <v/>
      </c>
      <c r="E77" t="str">
        <f t="shared" si="8"/>
        <v/>
      </c>
      <c r="F77" s="59" t="e">
        <f>VLOOKUP(E77,'Tabla de Mortalidad Conmutados'!H75:P165,2,FALSE)</f>
        <v>#N/A</v>
      </c>
      <c r="G77" s="59" t="e">
        <f t="shared" si="5"/>
        <v>#N/A</v>
      </c>
      <c r="H77" s="66">
        <f t="shared" si="9"/>
        <v>0</v>
      </c>
      <c r="I77" s="66" t="e">
        <f t="shared" si="6"/>
        <v>#DIV/0!</v>
      </c>
    </row>
    <row r="78" spans="4:9" x14ac:dyDescent="0.2">
      <c r="D78" t="str">
        <f t="shared" si="7"/>
        <v/>
      </c>
      <c r="E78" t="str">
        <f t="shared" si="8"/>
        <v/>
      </c>
      <c r="F78" s="59" t="e">
        <f>VLOOKUP(E78,'Tabla de Mortalidad Conmutados'!H76:P166,2,FALSE)</f>
        <v>#N/A</v>
      </c>
      <c r="G78" s="59" t="e">
        <f t="shared" si="5"/>
        <v>#N/A</v>
      </c>
      <c r="H78" s="66">
        <f t="shared" si="9"/>
        <v>0</v>
      </c>
      <c r="I78" s="66" t="e">
        <f t="shared" si="6"/>
        <v>#DIV/0!</v>
      </c>
    </row>
    <row r="79" spans="4:9" x14ac:dyDescent="0.2">
      <c r="D79" t="str">
        <f t="shared" si="7"/>
        <v/>
      </c>
      <c r="E79" t="str">
        <f t="shared" si="8"/>
        <v/>
      </c>
      <c r="F79" s="59" t="e">
        <f>VLOOKUP(E79,'Tabla de Mortalidad Conmutados'!H77:P167,2,FALSE)</f>
        <v>#N/A</v>
      </c>
      <c r="G79" s="59" t="e">
        <f t="shared" si="5"/>
        <v>#N/A</v>
      </c>
      <c r="H79" s="66">
        <f t="shared" si="9"/>
        <v>0</v>
      </c>
      <c r="I79" s="66" t="e">
        <f t="shared" si="6"/>
        <v>#DIV/0!</v>
      </c>
    </row>
    <row r="80" spans="4:9" x14ac:dyDescent="0.2">
      <c r="D80" t="str">
        <f t="shared" si="7"/>
        <v/>
      </c>
      <c r="E80" t="str">
        <f t="shared" si="8"/>
        <v/>
      </c>
      <c r="F80" s="59" t="e">
        <f>VLOOKUP(E80,'Tabla de Mortalidad Conmutados'!H78:P168,2,FALSE)</f>
        <v>#N/A</v>
      </c>
      <c r="G80" s="59" t="e">
        <f t="shared" si="5"/>
        <v>#N/A</v>
      </c>
      <c r="H80" s="66">
        <f t="shared" si="9"/>
        <v>0</v>
      </c>
      <c r="I80" s="66" t="e">
        <f t="shared" si="6"/>
        <v>#DIV/0!</v>
      </c>
    </row>
    <row r="81" spans="4:12" x14ac:dyDescent="0.2">
      <c r="D81" t="str">
        <f t="shared" si="7"/>
        <v/>
      </c>
      <c r="E81" t="str">
        <f t="shared" si="8"/>
        <v/>
      </c>
      <c r="F81" s="59" t="e">
        <f>VLOOKUP(E81,'Tabla de Mortalidad Conmutados'!H79:P169,2,FALSE)</f>
        <v>#N/A</v>
      </c>
      <c r="G81" s="59" t="e">
        <f t="shared" si="5"/>
        <v>#N/A</v>
      </c>
      <c r="H81" s="66">
        <f t="shared" si="9"/>
        <v>0</v>
      </c>
      <c r="I81" s="66" t="e">
        <f t="shared" si="6"/>
        <v>#DIV/0!</v>
      </c>
    </row>
    <row r="82" spans="4:12" x14ac:dyDescent="0.2">
      <c r="D82" t="str">
        <f t="shared" si="7"/>
        <v/>
      </c>
      <c r="E82" t="str">
        <f t="shared" si="8"/>
        <v/>
      </c>
      <c r="F82" s="59" t="e">
        <f>VLOOKUP(E82,'Tabla de Mortalidad Conmutados'!H80:P170,2,FALSE)</f>
        <v>#N/A</v>
      </c>
      <c r="G82" s="59" t="e">
        <f t="shared" si="5"/>
        <v>#N/A</v>
      </c>
      <c r="H82" s="66">
        <f t="shared" si="9"/>
        <v>0</v>
      </c>
      <c r="I82" s="66" t="e">
        <f t="shared" si="6"/>
        <v>#DIV/0!</v>
      </c>
    </row>
    <row r="83" spans="4:12" x14ac:dyDescent="0.2">
      <c r="D83" t="str">
        <f t="shared" si="7"/>
        <v/>
      </c>
      <c r="E83" t="str">
        <f t="shared" si="8"/>
        <v/>
      </c>
      <c r="F83" s="59" t="e">
        <f>VLOOKUP(E83,'Tabla de Mortalidad Conmutados'!H81:P171,2,FALSE)</f>
        <v>#N/A</v>
      </c>
      <c r="G83" s="59" t="e">
        <f t="shared" si="5"/>
        <v>#N/A</v>
      </c>
      <c r="H83" s="66">
        <f t="shared" si="9"/>
        <v>0</v>
      </c>
      <c r="I83" s="66" t="e">
        <f t="shared" si="6"/>
        <v>#DIV/0!</v>
      </c>
    </row>
    <row r="84" spans="4:12" x14ac:dyDescent="0.2">
      <c r="D84" s="46" t="str">
        <f t="shared" si="7"/>
        <v/>
      </c>
      <c r="E84" s="46" t="str">
        <f t="shared" si="8"/>
        <v/>
      </c>
      <c r="F84" s="59" t="e">
        <f>VLOOKUP(E84,'Tabla de Mortalidad Conmutados'!H82:P172,2,FALSE)</f>
        <v>#N/A</v>
      </c>
      <c r="G84" s="59" t="e">
        <f t="shared" si="5"/>
        <v>#N/A</v>
      </c>
      <c r="H84" s="66">
        <f t="shared" si="9"/>
        <v>0</v>
      </c>
      <c r="I84" s="66" t="e">
        <f t="shared" si="6"/>
        <v>#DIV/0!</v>
      </c>
      <c r="J84" s="46"/>
      <c r="K84" s="46"/>
      <c r="L84" s="46"/>
    </row>
    <row r="85" spans="4:12" x14ac:dyDescent="0.2">
      <c r="D85" t="str">
        <f t="shared" si="7"/>
        <v/>
      </c>
      <c r="E85" t="str">
        <f t="shared" si="8"/>
        <v/>
      </c>
      <c r="F85" s="59" t="e">
        <f>VLOOKUP(E85,'Tabla de Mortalidad Conmutados'!H83:P173,2,FALSE)</f>
        <v>#N/A</v>
      </c>
      <c r="G85" s="59" t="e">
        <f t="shared" si="5"/>
        <v>#N/A</v>
      </c>
      <c r="H85" s="66">
        <f t="shared" si="9"/>
        <v>0</v>
      </c>
      <c r="I85" s="66" t="e">
        <f t="shared" si="6"/>
        <v>#DIV/0!</v>
      </c>
    </row>
    <row r="86" spans="4:12" x14ac:dyDescent="0.2">
      <c r="D86" t="str">
        <f t="shared" si="7"/>
        <v/>
      </c>
      <c r="E86" t="str">
        <f t="shared" si="8"/>
        <v/>
      </c>
      <c r="F86" s="59" t="e">
        <f>VLOOKUP(E86,'Tabla de Mortalidad Conmutados'!H84:P174,2,FALSE)</f>
        <v>#N/A</v>
      </c>
      <c r="G86" s="59" t="e">
        <f t="shared" si="5"/>
        <v>#N/A</v>
      </c>
      <c r="H86" s="66">
        <f t="shared" si="9"/>
        <v>0</v>
      </c>
      <c r="I86" s="66" t="e">
        <f t="shared" si="6"/>
        <v>#DIV/0!</v>
      </c>
    </row>
    <row r="87" spans="4:12" x14ac:dyDescent="0.2">
      <c r="D87" t="str">
        <f t="shared" si="7"/>
        <v/>
      </c>
      <c r="E87" t="str">
        <f t="shared" si="8"/>
        <v/>
      </c>
      <c r="F87" s="59" t="e">
        <f>VLOOKUP(E87,'Tabla de Mortalidad Conmutados'!H85:P175,2,FALSE)</f>
        <v>#N/A</v>
      </c>
      <c r="G87" s="59" t="e">
        <f t="shared" si="5"/>
        <v>#N/A</v>
      </c>
      <c r="H87" s="66">
        <f t="shared" si="9"/>
        <v>0</v>
      </c>
      <c r="I87" s="66" t="e">
        <f t="shared" si="6"/>
        <v>#DIV/0!</v>
      </c>
    </row>
    <row r="88" spans="4:12" x14ac:dyDescent="0.2">
      <c r="D88" t="str">
        <f t="shared" si="7"/>
        <v/>
      </c>
      <c r="E88" t="str">
        <f t="shared" si="8"/>
        <v/>
      </c>
      <c r="F88" s="59" t="e">
        <f>VLOOKUP(E88,'Tabla de Mortalidad Conmutados'!H86:P176,2,FALSE)</f>
        <v>#N/A</v>
      </c>
      <c r="G88" s="59" t="e">
        <f t="shared" si="5"/>
        <v>#N/A</v>
      </c>
      <c r="H88" s="66">
        <f t="shared" si="9"/>
        <v>0</v>
      </c>
      <c r="I88" s="66" t="e">
        <f t="shared" si="6"/>
        <v>#DIV/0!</v>
      </c>
    </row>
    <row r="89" spans="4:12" x14ac:dyDescent="0.2">
      <c r="D89" t="str">
        <f t="shared" si="7"/>
        <v/>
      </c>
      <c r="E89" t="str">
        <f t="shared" si="8"/>
        <v/>
      </c>
      <c r="F89" s="59" t="e">
        <f>VLOOKUP(E89,'Tabla de Mortalidad Conmutados'!H87:P177,2,FALSE)</f>
        <v>#N/A</v>
      </c>
      <c r="G89" s="59" t="e">
        <f t="shared" si="5"/>
        <v>#N/A</v>
      </c>
      <c r="H89" s="66">
        <f t="shared" si="9"/>
        <v>0</v>
      </c>
      <c r="I89" s="66" t="e">
        <f t="shared" si="6"/>
        <v>#DIV/0!</v>
      </c>
    </row>
    <row r="90" spans="4:12" x14ac:dyDescent="0.2">
      <c r="D90" t="str">
        <f t="shared" si="7"/>
        <v/>
      </c>
      <c r="E90" t="str">
        <f t="shared" si="8"/>
        <v/>
      </c>
      <c r="F90" s="59" t="e">
        <f>VLOOKUP(E90,'Tabla de Mortalidad Conmutados'!H88:P178,2,FALSE)</f>
        <v>#N/A</v>
      </c>
      <c r="G90" s="59" t="e">
        <f t="shared" si="5"/>
        <v>#N/A</v>
      </c>
      <c r="H90" s="66">
        <f t="shared" si="9"/>
        <v>0</v>
      </c>
      <c r="I90" s="66" t="e">
        <f t="shared" si="6"/>
        <v>#DIV/0!</v>
      </c>
    </row>
    <row r="91" spans="4:12" x14ac:dyDescent="0.2">
      <c r="D91" t="str">
        <f t="shared" si="7"/>
        <v/>
      </c>
      <c r="E91" t="str">
        <f t="shared" si="8"/>
        <v/>
      </c>
      <c r="F91" s="59" t="e">
        <f>VLOOKUP(E91,'Tabla de Mortalidad Conmutados'!H89:P179,2,FALSE)</f>
        <v>#N/A</v>
      </c>
      <c r="G91" s="59" t="e">
        <f t="shared" si="5"/>
        <v>#N/A</v>
      </c>
      <c r="H91" s="66">
        <f t="shared" si="9"/>
        <v>0</v>
      </c>
      <c r="I91" s="66" t="e">
        <f t="shared" si="6"/>
        <v>#DIV/0!</v>
      </c>
    </row>
    <row r="92" spans="4:12" x14ac:dyDescent="0.2">
      <c r="D92" t="str">
        <f t="shared" si="7"/>
        <v/>
      </c>
      <c r="E92" t="str">
        <f t="shared" si="8"/>
        <v/>
      </c>
      <c r="F92" s="59" t="e">
        <f>VLOOKUP(E92,'Tabla de Mortalidad Conmutados'!H90:P180,2,FALSE)</f>
        <v>#N/A</v>
      </c>
      <c r="G92" s="59" t="e">
        <f t="shared" si="5"/>
        <v>#N/A</v>
      </c>
      <c r="H92" s="66">
        <f t="shared" si="9"/>
        <v>0</v>
      </c>
      <c r="I92" s="66" t="e">
        <f t="shared" si="6"/>
        <v>#DIV/0!</v>
      </c>
    </row>
    <row r="93" spans="4:12" x14ac:dyDescent="0.2">
      <c r="D93" t="str">
        <f t="shared" si="7"/>
        <v/>
      </c>
      <c r="E93" t="str">
        <f t="shared" si="8"/>
        <v/>
      </c>
      <c r="F93" s="59" t="e">
        <f>VLOOKUP(E93,'Tabla de Mortalidad Conmutados'!H91:P181,2,FALSE)</f>
        <v>#N/A</v>
      </c>
      <c r="G93" s="59" t="e">
        <f t="shared" si="5"/>
        <v>#N/A</v>
      </c>
      <c r="H93" s="66">
        <f t="shared" si="9"/>
        <v>0</v>
      </c>
      <c r="I93" s="66" t="e">
        <f t="shared" si="6"/>
        <v>#DIV/0!</v>
      </c>
    </row>
    <row r="94" spans="4:12" x14ac:dyDescent="0.2">
      <c r="D94" t="str">
        <f t="shared" si="7"/>
        <v/>
      </c>
      <c r="E94" t="str">
        <f t="shared" si="8"/>
        <v/>
      </c>
      <c r="F94" s="59" t="e">
        <f>VLOOKUP(E94,'Tabla de Mortalidad Conmutados'!H92:P182,2,FALSE)</f>
        <v>#N/A</v>
      </c>
      <c r="G94" s="59" t="e">
        <f t="shared" si="5"/>
        <v>#N/A</v>
      </c>
      <c r="H94" s="66">
        <f t="shared" si="9"/>
        <v>0</v>
      </c>
      <c r="I94" s="66" t="e">
        <f t="shared" si="6"/>
        <v>#DIV/0!</v>
      </c>
    </row>
    <row r="95" spans="4:12" x14ac:dyDescent="0.2">
      <c r="D95" t="str">
        <f t="shared" si="7"/>
        <v/>
      </c>
      <c r="E95" t="str">
        <f t="shared" si="8"/>
        <v/>
      </c>
      <c r="F95" s="59" t="e">
        <f>VLOOKUP(E95,'Tabla de Mortalidad Conmutados'!H93:P183,2,FALSE)</f>
        <v>#N/A</v>
      </c>
      <c r="G95" s="59" t="e">
        <f t="shared" si="5"/>
        <v>#N/A</v>
      </c>
      <c r="H95" s="66">
        <f t="shared" si="9"/>
        <v>0</v>
      </c>
      <c r="I95" s="66" t="e">
        <f t="shared" si="6"/>
        <v>#DIV/0!</v>
      </c>
    </row>
    <row r="96" spans="4:12" x14ac:dyDescent="0.2">
      <c r="D96" t="str">
        <f t="shared" si="7"/>
        <v/>
      </c>
      <c r="E96" t="str">
        <f t="shared" si="8"/>
        <v/>
      </c>
      <c r="F96" s="59" t="e">
        <f>VLOOKUP(E96,'Tabla de Mortalidad Conmutados'!H94:P184,2,FALSE)</f>
        <v>#N/A</v>
      </c>
      <c r="G96" s="59" t="e">
        <f t="shared" si="5"/>
        <v>#N/A</v>
      </c>
      <c r="H96" s="66">
        <f t="shared" si="9"/>
        <v>0</v>
      </c>
      <c r="I96" s="66" t="e">
        <f t="shared" si="6"/>
        <v>#DIV/0!</v>
      </c>
    </row>
  </sheetData>
  <mergeCells count="4">
    <mergeCell ref="D1:E1"/>
    <mergeCell ref="D2:D3"/>
    <mergeCell ref="E2:E3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5808-F892-AF42-9093-605C2A7CE1BE}">
  <dimension ref="A1:U1229"/>
  <sheetViews>
    <sheetView topLeftCell="M1" zoomScale="114" zoomScaleNormal="114" workbookViewId="0">
      <selection activeCell="A17" sqref="A17"/>
    </sheetView>
  </sheetViews>
  <sheetFormatPr baseColWidth="10" defaultRowHeight="16" x14ac:dyDescent="0.2"/>
  <cols>
    <col min="1" max="1" width="14.6640625" bestFit="1" customWidth="1"/>
    <col min="4" max="4" width="11.5" customWidth="1"/>
    <col min="5" max="5" width="13.83203125" customWidth="1"/>
    <col min="8" max="8" width="11.6640625" style="12" bestFit="1" customWidth="1"/>
    <col min="9" max="9" width="10.83203125" style="8"/>
    <col min="10" max="10" width="10.83203125" style="13"/>
    <col min="11" max="11" width="10.83203125" style="12"/>
    <col min="12" max="12" width="10.83203125" style="11"/>
    <col min="13" max="13" width="10.83203125" style="12"/>
    <col min="14" max="14" width="12.5" style="12" bestFit="1" customWidth="1"/>
    <col min="15" max="15" width="12.6640625" style="12" bestFit="1" customWidth="1"/>
    <col min="17" max="17" width="12.6640625" bestFit="1" customWidth="1"/>
    <col min="20" max="20" width="17.83203125" bestFit="1" customWidth="1"/>
    <col min="21" max="21" width="16.6640625" bestFit="1" customWidth="1"/>
  </cols>
  <sheetData>
    <row r="1" spans="1:21" ht="17" thickBot="1" x14ac:dyDescent="0.25">
      <c r="A1" s="31" t="s">
        <v>16</v>
      </c>
      <c r="B1">
        <f>Hipotesis!B1</f>
        <v>50</v>
      </c>
      <c r="D1" s="95" t="s">
        <v>0</v>
      </c>
      <c r="E1" s="96"/>
      <c r="G1" s="97" t="s">
        <v>18</v>
      </c>
      <c r="H1" s="97"/>
      <c r="I1" s="97"/>
      <c r="J1" s="97"/>
      <c r="K1" s="97"/>
      <c r="L1" s="21"/>
      <c r="M1" s="22"/>
    </row>
    <row r="2" spans="1:21" ht="17" thickBot="1" x14ac:dyDescent="0.25">
      <c r="A2" s="32" t="s">
        <v>12</v>
      </c>
      <c r="B2" s="79">
        <f>Hipotesis!B2</f>
        <v>4.4999999999999998E-2</v>
      </c>
      <c r="D2" s="1" t="s">
        <v>1</v>
      </c>
      <c r="E2" s="2" t="s">
        <v>2</v>
      </c>
      <c r="G2" s="16" t="s">
        <v>11</v>
      </c>
      <c r="H2" s="17" t="s">
        <v>3</v>
      </c>
      <c r="I2" s="17" t="s">
        <v>2</v>
      </c>
      <c r="J2" s="19" t="s">
        <v>4</v>
      </c>
      <c r="K2" s="20" t="s">
        <v>5</v>
      </c>
      <c r="L2" s="18" t="s">
        <v>6</v>
      </c>
      <c r="M2" s="23" t="s">
        <v>7</v>
      </c>
      <c r="N2" s="23" t="s">
        <v>8</v>
      </c>
      <c r="O2" s="23" t="s">
        <v>9</v>
      </c>
      <c r="P2" s="18" t="s">
        <v>10</v>
      </c>
      <c r="Q2" s="77" t="s">
        <v>101</v>
      </c>
      <c r="R2" s="80"/>
      <c r="S2" s="60"/>
      <c r="T2" s="46"/>
    </row>
    <row r="3" spans="1:21" x14ac:dyDescent="0.2">
      <c r="A3" s="32" t="s">
        <v>13</v>
      </c>
      <c r="B3">
        <f>Hipotesis!B3</f>
        <v>50</v>
      </c>
      <c r="D3" s="3">
        <v>12</v>
      </c>
      <c r="E3" s="4">
        <v>3.9600000000000003E-4</v>
      </c>
      <c r="G3" s="9">
        <v>1</v>
      </c>
      <c r="H3" s="52">
        <f>D3</f>
        <v>12</v>
      </c>
      <c r="I3" s="61">
        <f>E3</f>
        <v>3.9600000000000003E-4</v>
      </c>
      <c r="J3" s="13">
        <v>10000</v>
      </c>
      <c r="K3" s="15">
        <f>I3*J3</f>
        <v>3.9600000000000004</v>
      </c>
      <c r="L3" s="11">
        <f>(1+$B$2)^(-($H$3))</f>
        <v>0.58966386486577083</v>
      </c>
      <c r="M3" s="35">
        <f>J3*L3</f>
        <v>5896.6386486577085</v>
      </c>
      <c r="N3" s="35">
        <f>SUM(M3:$M$91)</f>
        <v>125757.63179685638</v>
      </c>
      <c r="O3" s="34">
        <f>K3*L4</f>
        <v>2.2345156984387105</v>
      </c>
      <c r="P3" s="36">
        <f>SUM(O3:$O$92)</f>
        <v>481.23823635290233</v>
      </c>
      <c r="Q3">
        <f>I3*$T$5*$U$5</f>
        <v>2.6729999999999999E-4</v>
      </c>
      <c r="S3" s="46"/>
      <c r="T3" s="89" t="s">
        <v>50</v>
      </c>
      <c r="U3" s="89" t="s">
        <v>42</v>
      </c>
    </row>
    <row r="4" spans="1:21" x14ac:dyDescent="0.2">
      <c r="A4" s="32" t="s">
        <v>14</v>
      </c>
      <c r="B4">
        <f>Hipotesis!B4</f>
        <v>100</v>
      </c>
      <c r="D4" s="3">
        <v>13</v>
      </c>
      <c r="E4" s="4">
        <v>4.2699999999999997E-4</v>
      </c>
      <c r="G4" s="9">
        <v>2</v>
      </c>
      <c r="H4" s="52">
        <f t="shared" ref="H4:H67" si="0">D4</f>
        <v>13</v>
      </c>
      <c r="I4" s="61">
        <f t="shared" ref="I4:I67" si="1">E4</f>
        <v>4.2699999999999997E-4</v>
      </c>
      <c r="J4" s="14">
        <f>J3-K3</f>
        <v>9996.0400000000009</v>
      </c>
      <c r="K4" s="15">
        <f t="shared" ref="K4:K67" si="2">I4*J4</f>
        <v>4.2683090799999999</v>
      </c>
      <c r="L4" s="11">
        <f>(1+$B$2)^(-($H$3+G3))</f>
        <v>0.56427164101987637</v>
      </c>
      <c r="M4" s="35">
        <f t="shared" ref="M4:M67" si="3">J4*L4</f>
        <v>5640.4818945003253</v>
      </c>
      <c r="N4" s="35">
        <f>SUM(M4:$M$91)</f>
        <v>119860.9931481987</v>
      </c>
      <c r="O4" s="34">
        <f t="shared" ref="O4:O67" si="4">K4*L5</f>
        <v>2.304771070767119</v>
      </c>
      <c r="P4" s="36">
        <f>SUM(O4:$O$92)</f>
        <v>479.00372065446362</v>
      </c>
      <c r="Q4">
        <f t="shared" ref="Q4:Q67" si="5">I4*$T$5*$U$5</f>
        <v>2.8822500000000003E-4</v>
      </c>
      <c r="T4" s="89"/>
      <c r="U4" s="89"/>
    </row>
    <row r="5" spans="1:21" ht="17" thickBot="1" x14ac:dyDescent="0.25">
      <c r="A5" s="33" t="s">
        <v>15</v>
      </c>
      <c r="B5">
        <f>Hipotesis!B5</f>
        <v>10</v>
      </c>
      <c r="D5" s="3">
        <v>14</v>
      </c>
      <c r="E5" s="4">
        <v>4.6000000000000001E-4</v>
      </c>
      <c r="G5" s="9">
        <v>3</v>
      </c>
      <c r="H5" s="52">
        <f t="shared" si="0"/>
        <v>14</v>
      </c>
      <c r="I5" s="61">
        <f t="shared" si="1"/>
        <v>4.6000000000000001E-4</v>
      </c>
      <c r="J5" s="14">
        <f t="shared" ref="J5:J68" si="6">J4-K4</f>
        <v>9991.7716909200008</v>
      </c>
      <c r="K5" s="15">
        <f t="shared" si="2"/>
        <v>4.5962149778232009</v>
      </c>
      <c r="L5" s="11">
        <f t="shared" ref="L5:L68" si="7">(1+$B$2)^(-($H$3+G4))</f>
        <v>0.53997286221997753</v>
      </c>
      <c r="M5" s="35">
        <f t="shared" si="3"/>
        <v>5395.2855585946172</v>
      </c>
      <c r="N5" s="35">
        <f>SUM(M5:$M$91)</f>
        <v>114220.51125369838</v>
      </c>
      <c r="O5" s="34">
        <f t="shared" si="4"/>
        <v>2.3749582363191619</v>
      </c>
      <c r="P5" s="36">
        <f>SUM(O5:$O$92)</f>
        <v>476.69894958369656</v>
      </c>
      <c r="Q5">
        <f t="shared" si="5"/>
        <v>3.1050000000000007E-4</v>
      </c>
      <c r="T5" s="41">
        <v>0.75</v>
      </c>
      <c r="U5" s="41">
        <v>0.9</v>
      </c>
    </row>
    <row r="6" spans="1:21" x14ac:dyDescent="0.2">
      <c r="D6" s="3">
        <v>15</v>
      </c>
      <c r="E6" s="4">
        <v>4.95E-4</v>
      </c>
      <c r="G6" s="9">
        <v>4</v>
      </c>
      <c r="H6" s="52">
        <f t="shared" si="0"/>
        <v>15</v>
      </c>
      <c r="I6" s="61">
        <f t="shared" si="1"/>
        <v>4.95E-4</v>
      </c>
      <c r="J6" s="14">
        <f t="shared" si="6"/>
        <v>9987.1754759421783</v>
      </c>
      <c r="K6" s="15">
        <f t="shared" si="2"/>
        <v>4.9436518605913786</v>
      </c>
      <c r="L6" s="11">
        <f t="shared" si="7"/>
        <v>0.51672044231576797</v>
      </c>
      <c r="M6" s="35">
        <f t="shared" si="3"/>
        <v>5160.5777294140325</v>
      </c>
      <c r="N6" s="35">
        <f>SUM(M6:$M$91)</f>
        <v>108825.22569510376</v>
      </c>
      <c r="O6" s="34">
        <f t="shared" si="4"/>
        <v>2.4444841876171748</v>
      </c>
      <c r="P6" s="36">
        <f>SUM(O6:$O$92)</f>
        <v>474.32399134737733</v>
      </c>
      <c r="Q6">
        <f t="shared" si="5"/>
        <v>3.34125E-4</v>
      </c>
    </row>
    <row r="7" spans="1:21" x14ac:dyDescent="0.2">
      <c r="D7" s="3">
        <v>16</v>
      </c>
      <c r="E7" s="4">
        <v>5.3300000000000005E-4</v>
      </c>
      <c r="G7" s="9">
        <v>5</v>
      </c>
      <c r="H7" s="52">
        <f t="shared" si="0"/>
        <v>16</v>
      </c>
      <c r="I7" s="61">
        <f t="shared" si="1"/>
        <v>5.3300000000000005E-4</v>
      </c>
      <c r="J7" s="14">
        <f t="shared" si="6"/>
        <v>9982.2318240815875</v>
      </c>
      <c r="K7" s="15">
        <f t="shared" si="2"/>
        <v>5.3205295622354871</v>
      </c>
      <c r="L7" s="11">
        <f t="shared" si="7"/>
        <v>0.49446932279020878</v>
      </c>
      <c r="M7" s="35">
        <f t="shared" si="3"/>
        <v>4935.9074099884929</v>
      </c>
      <c r="N7" s="35">
        <f>SUM(M7:$M$91)</f>
        <v>103664.64796568974</v>
      </c>
      <c r="O7" s="34">
        <f t="shared" si="4"/>
        <v>2.5175489469127914</v>
      </c>
      <c r="P7" s="36">
        <f>SUM(O7:$O$92)</f>
        <v>471.87950715976018</v>
      </c>
      <c r="Q7">
        <f t="shared" si="5"/>
        <v>3.5977500000000006E-4</v>
      </c>
    </row>
    <row r="8" spans="1:21" x14ac:dyDescent="0.2">
      <c r="D8" s="3">
        <v>17</v>
      </c>
      <c r="E8" s="4">
        <v>5.7499999999999999E-4</v>
      </c>
      <c r="G8" s="9">
        <v>6</v>
      </c>
      <c r="H8" s="52">
        <f t="shared" si="0"/>
        <v>17</v>
      </c>
      <c r="I8" s="61">
        <f t="shared" si="1"/>
        <v>5.7499999999999999E-4</v>
      </c>
      <c r="J8" s="14">
        <f t="shared" si="6"/>
        <v>9976.9112945193519</v>
      </c>
      <c r="K8" s="15">
        <f t="shared" si="2"/>
        <v>5.736723994348627</v>
      </c>
      <c r="L8" s="11">
        <f t="shared" si="7"/>
        <v>0.47317638544517582</v>
      </c>
      <c r="M8" s="35">
        <f t="shared" si="3"/>
        <v>4720.8388242478168</v>
      </c>
      <c r="N8" s="35">
        <f>SUM(M8:$M$91)</f>
        <v>98728.740555701253</v>
      </c>
      <c r="O8" s="34">
        <f t="shared" si="4"/>
        <v>2.597590740614828</v>
      </c>
      <c r="P8" s="36">
        <f>SUM(O8:$O$92)</f>
        <v>469.36195821284736</v>
      </c>
      <c r="Q8">
        <f t="shared" si="5"/>
        <v>3.8812500000000002E-4</v>
      </c>
    </row>
    <row r="9" spans="1:21" x14ac:dyDescent="0.2">
      <c r="D9" s="3">
        <v>18</v>
      </c>
      <c r="E9" s="4">
        <v>6.1899999999999998E-4</v>
      </c>
      <c r="G9" s="9">
        <v>7</v>
      </c>
      <c r="H9" s="52">
        <f t="shared" si="0"/>
        <v>18</v>
      </c>
      <c r="I9" s="61">
        <f t="shared" si="1"/>
        <v>6.1899999999999998E-4</v>
      </c>
      <c r="J9" s="14">
        <f t="shared" si="6"/>
        <v>9971.1745705250032</v>
      </c>
      <c r="K9" s="15">
        <f t="shared" si="2"/>
        <v>6.1721570591549764</v>
      </c>
      <c r="L9" s="11">
        <f t="shared" si="7"/>
        <v>0.45280036884705832</v>
      </c>
      <c r="M9" s="35">
        <f t="shared" si="3"/>
        <v>4514.9515233721295</v>
      </c>
      <c r="N9" s="35">
        <f>SUM(M9:$M$91)</f>
        <v>94007.901731453429</v>
      </c>
      <c r="O9" s="34">
        <f t="shared" si="4"/>
        <v>2.6744066918347826</v>
      </c>
      <c r="P9" s="36">
        <f>SUM(O9:$O$92)</f>
        <v>466.76436747223255</v>
      </c>
      <c r="Q9">
        <f t="shared" si="5"/>
        <v>4.1782499999999998E-4</v>
      </c>
    </row>
    <row r="10" spans="1:21" x14ac:dyDescent="0.2">
      <c r="D10" s="3">
        <v>19</v>
      </c>
      <c r="E10" s="4">
        <v>6.6700000000000006E-4</v>
      </c>
      <c r="G10" s="9">
        <v>8</v>
      </c>
      <c r="H10" s="52">
        <f t="shared" si="0"/>
        <v>19</v>
      </c>
      <c r="I10" s="61">
        <f t="shared" si="1"/>
        <v>6.6700000000000006E-4</v>
      </c>
      <c r="J10" s="14">
        <f t="shared" si="6"/>
        <v>9965.0024134658488</v>
      </c>
      <c r="K10" s="15">
        <f t="shared" si="2"/>
        <v>6.6466566097817221</v>
      </c>
      <c r="L10" s="11">
        <f t="shared" si="7"/>
        <v>0.43330178837039074</v>
      </c>
      <c r="M10" s="35">
        <f t="shared" si="3"/>
        <v>4317.853366870012</v>
      </c>
      <c r="N10" s="35">
        <f>SUM(M10:$M$91)</f>
        <v>89492.950208081296</v>
      </c>
      <c r="O10" s="34">
        <f t="shared" si="4"/>
        <v>2.7559887040213389</v>
      </c>
      <c r="P10" s="36">
        <f>SUM(O10:$O$92)</f>
        <v>464.0899607803978</v>
      </c>
      <c r="Q10">
        <f t="shared" si="5"/>
        <v>4.5022500000000006E-4</v>
      </c>
    </row>
    <row r="11" spans="1:21" x14ac:dyDescent="0.2">
      <c r="D11" s="3">
        <v>20</v>
      </c>
      <c r="E11" s="4">
        <v>7.18E-4</v>
      </c>
      <c r="G11" s="9">
        <v>9</v>
      </c>
      <c r="H11" s="52">
        <f t="shared" si="0"/>
        <v>20</v>
      </c>
      <c r="I11" s="61">
        <f t="shared" si="1"/>
        <v>7.18E-4</v>
      </c>
      <c r="J11" s="14">
        <f t="shared" si="6"/>
        <v>9958.3557568560664</v>
      </c>
      <c r="K11" s="15">
        <f t="shared" si="2"/>
        <v>7.150099433422656</v>
      </c>
      <c r="L11" s="11">
        <f t="shared" si="7"/>
        <v>0.41464285968458453</v>
      </c>
      <c r="M11" s="35">
        <f t="shared" si="3"/>
        <v>4129.1611087792444</v>
      </c>
      <c r="N11" s="35">
        <f>SUM(M11:$M$91)</f>
        <v>85175.0968412113</v>
      </c>
      <c r="O11" s="34">
        <f t="shared" si="4"/>
        <v>2.837069546510524</v>
      </c>
      <c r="P11" s="36">
        <f>SUM(O11:$O$92)</f>
        <v>461.33397207637648</v>
      </c>
      <c r="Q11">
        <f t="shared" si="5"/>
        <v>4.8465000000000004E-4</v>
      </c>
    </row>
    <row r="12" spans="1:21" x14ac:dyDescent="0.2">
      <c r="D12" s="3">
        <v>21</v>
      </c>
      <c r="E12" s="4">
        <v>7.7300000000000003E-4</v>
      </c>
      <c r="G12" s="9">
        <v>10</v>
      </c>
      <c r="H12" s="52">
        <f t="shared" si="0"/>
        <v>21</v>
      </c>
      <c r="I12" s="61">
        <f t="shared" si="1"/>
        <v>7.7300000000000003E-4</v>
      </c>
      <c r="J12" s="14">
        <f t="shared" si="6"/>
        <v>9951.2056574226444</v>
      </c>
      <c r="K12" s="15">
        <f t="shared" si="2"/>
        <v>7.6922819731877041</v>
      </c>
      <c r="L12" s="11">
        <f t="shared" si="7"/>
        <v>0.39678742553548757</v>
      </c>
      <c r="M12" s="35">
        <f t="shared" si="3"/>
        <v>3948.5132737829103</v>
      </c>
      <c r="N12" s="35">
        <f>SUM(M12:$M$91)</f>
        <v>81045.935732432044</v>
      </c>
      <c r="O12" s="34">
        <f t="shared" si="4"/>
        <v>2.9207662781188426</v>
      </c>
      <c r="P12" s="36">
        <f>SUM(O12:$O$92)</f>
        <v>458.49690252986596</v>
      </c>
      <c r="Q12">
        <f t="shared" si="5"/>
        <v>5.2177500000000004E-4</v>
      </c>
    </row>
    <row r="13" spans="1:21" x14ac:dyDescent="0.2">
      <c r="D13" s="3">
        <v>22</v>
      </c>
      <c r="E13" s="4">
        <v>8.3299999999999997E-4</v>
      </c>
      <c r="G13" s="9">
        <v>11</v>
      </c>
      <c r="H13" s="52">
        <f t="shared" si="0"/>
        <v>22</v>
      </c>
      <c r="I13" s="61">
        <f t="shared" si="1"/>
        <v>8.3299999999999997E-4</v>
      </c>
      <c r="J13" s="14">
        <f t="shared" si="6"/>
        <v>9943.5133754494564</v>
      </c>
      <c r="K13" s="15">
        <f t="shared" si="2"/>
        <v>8.2829466417493975</v>
      </c>
      <c r="L13" s="11">
        <f t="shared" si="7"/>
        <v>0.37970088567989252</v>
      </c>
      <c r="M13" s="35">
        <f t="shared" si="3"/>
        <v>3775.5608354280162</v>
      </c>
      <c r="N13" s="35">
        <f>SUM(M13:$M$91)</f>
        <v>77097.422458649133</v>
      </c>
      <c r="O13" s="34">
        <f t="shared" si="4"/>
        <v>3.0096097377143898</v>
      </c>
      <c r="P13" s="36">
        <f>SUM(O13:$O$92)</f>
        <v>455.57613625174707</v>
      </c>
      <c r="Q13">
        <f t="shared" si="5"/>
        <v>5.6227499999999999E-4</v>
      </c>
    </row>
    <row r="14" spans="1:21" x14ac:dyDescent="0.2">
      <c r="D14" s="3">
        <v>23</v>
      </c>
      <c r="E14" s="4">
        <v>8.9700000000000001E-4</v>
      </c>
      <c r="G14" s="9">
        <v>12</v>
      </c>
      <c r="H14" s="52">
        <f t="shared" si="0"/>
        <v>23</v>
      </c>
      <c r="I14" s="61">
        <f t="shared" si="1"/>
        <v>8.9700000000000001E-4</v>
      </c>
      <c r="J14" s="14">
        <f t="shared" si="6"/>
        <v>9935.2304288077066</v>
      </c>
      <c r="K14" s="15">
        <f t="shared" si="2"/>
        <v>8.9119016946405125</v>
      </c>
      <c r="L14" s="11">
        <f t="shared" si="7"/>
        <v>0.36335012983721771</v>
      </c>
      <c r="M14" s="35">
        <f t="shared" si="3"/>
        <v>3609.9672662699563</v>
      </c>
      <c r="N14" s="35">
        <f>SUM(M14:$M$91)</f>
        <v>73321.861623221121</v>
      </c>
      <c r="O14" s="34">
        <f t="shared" si="4"/>
        <v>3.0986991749704798</v>
      </c>
      <c r="P14" s="36">
        <f>SUM(O14:$O$92)</f>
        <v>452.56652651403277</v>
      </c>
      <c r="Q14">
        <f t="shared" si="5"/>
        <v>6.0547499999999996E-4</v>
      </c>
    </row>
    <row r="15" spans="1:21" x14ac:dyDescent="0.2">
      <c r="D15" s="3">
        <v>24</v>
      </c>
      <c r="E15" s="4">
        <v>9.9599999999999992E-4</v>
      </c>
      <c r="G15" s="9">
        <v>13</v>
      </c>
      <c r="H15" s="52">
        <f t="shared" si="0"/>
        <v>24</v>
      </c>
      <c r="I15" s="61">
        <f t="shared" si="1"/>
        <v>9.9599999999999992E-4</v>
      </c>
      <c r="J15" s="14">
        <f t="shared" si="6"/>
        <v>9926.318527113066</v>
      </c>
      <c r="K15" s="15">
        <f t="shared" si="2"/>
        <v>9.8866132530046134</v>
      </c>
      <c r="L15" s="11">
        <f t="shared" si="7"/>
        <v>0.34770347352843806</v>
      </c>
      <c r="M15" s="35">
        <f t="shared" si="3"/>
        <v>3451.415431226902</v>
      </c>
      <c r="N15" s="35">
        <f>SUM(M15:$M$91)</f>
        <v>69711.894356951132</v>
      </c>
      <c r="O15" s="34">
        <f t="shared" si="4"/>
        <v>3.2895787267961674</v>
      </c>
      <c r="P15" s="36">
        <f>SUM(O15:$O$92)</f>
        <v>449.46782733906224</v>
      </c>
      <c r="Q15">
        <f t="shared" si="5"/>
        <v>6.7229999999999992E-4</v>
      </c>
    </row>
    <row r="16" spans="1:21" x14ac:dyDescent="0.2">
      <c r="D16" s="3">
        <v>25</v>
      </c>
      <c r="E16" s="4">
        <v>1.0409999999999998E-3</v>
      </c>
      <c r="G16" s="9">
        <v>14</v>
      </c>
      <c r="H16" s="52">
        <f t="shared" si="0"/>
        <v>25</v>
      </c>
      <c r="I16" s="61">
        <f t="shared" si="1"/>
        <v>1.0409999999999998E-3</v>
      </c>
      <c r="J16" s="14">
        <f t="shared" si="6"/>
        <v>9916.4319138600622</v>
      </c>
      <c r="K16" s="15">
        <f t="shared" si="2"/>
        <v>10.323005622328322</v>
      </c>
      <c r="L16" s="11">
        <f t="shared" si="7"/>
        <v>0.3327305966779312</v>
      </c>
      <c r="M16" s="35">
        <f t="shared" si="3"/>
        <v>3299.5003076147377</v>
      </c>
      <c r="N16" s="35">
        <f>SUM(M16:$M$91)</f>
        <v>66260.478925724208</v>
      </c>
      <c r="O16" s="34">
        <f t="shared" si="4"/>
        <v>3.2868706413654944</v>
      </c>
      <c r="P16" s="36">
        <f>SUM(O16:$O$92)</f>
        <v>446.17824861226603</v>
      </c>
      <c r="Q16">
        <f t="shared" si="5"/>
        <v>7.0267499999999994E-4</v>
      </c>
    </row>
    <row r="17" spans="4:17" x14ac:dyDescent="0.2">
      <c r="D17" s="3">
        <v>26</v>
      </c>
      <c r="E17" s="4">
        <v>1.121E-3</v>
      </c>
      <c r="G17" s="9">
        <v>15</v>
      </c>
      <c r="H17" s="52">
        <f t="shared" si="0"/>
        <v>26</v>
      </c>
      <c r="I17" s="61">
        <f t="shared" si="1"/>
        <v>1.121E-3</v>
      </c>
      <c r="J17" s="14">
        <f t="shared" si="6"/>
        <v>9906.108908237733</v>
      </c>
      <c r="K17" s="15">
        <f t="shared" si="2"/>
        <v>11.104748086134499</v>
      </c>
      <c r="L17" s="11">
        <f t="shared" si="7"/>
        <v>0.31840248485926437</v>
      </c>
      <c r="M17" s="35">
        <f t="shared" si="3"/>
        <v>3154.1296916693886</v>
      </c>
      <c r="N17" s="35">
        <f>SUM(M17:$M$91)</f>
        <v>62960.978618109482</v>
      </c>
      <c r="O17" s="34">
        <f t="shared" si="4"/>
        <v>3.3835209419726175</v>
      </c>
      <c r="P17" s="36">
        <f>SUM(O17:$O$92)</f>
        <v>442.89137797090058</v>
      </c>
      <c r="Q17">
        <f t="shared" si="5"/>
        <v>7.5667500000000006E-4</v>
      </c>
    </row>
    <row r="18" spans="4:17" x14ac:dyDescent="0.2">
      <c r="D18" s="3">
        <v>27</v>
      </c>
      <c r="E18" s="4">
        <v>1.2070000000000002E-3</v>
      </c>
      <c r="G18" s="9">
        <v>16</v>
      </c>
      <c r="H18" s="52">
        <f t="shared" si="0"/>
        <v>27</v>
      </c>
      <c r="I18" s="61">
        <f t="shared" si="1"/>
        <v>1.2070000000000002E-3</v>
      </c>
      <c r="J18" s="14">
        <f t="shared" si="6"/>
        <v>9895.0041601515986</v>
      </c>
      <c r="K18" s="15">
        <f t="shared" si="2"/>
        <v>11.943270021302981</v>
      </c>
      <c r="L18" s="11">
        <f t="shared" si="7"/>
        <v>0.30469137307106642</v>
      </c>
      <c r="M18" s="35">
        <f t="shared" si="3"/>
        <v>3014.922404100505</v>
      </c>
      <c r="N18" s="35">
        <f>SUM(M18:$M$91)</f>
        <v>59806.8489264401</v>
      </c>
      <c r="O18" s="34">
        <f t="shared" si="4"/>
        <v>3.4823075040663256</v>
      </c>
      <c r="P18" s="36">
        <f>SUM(O18:$O$92)</f>
        <v>439.50785702892796</v>
      </c>
      <c r="Q18">
        <f t="shared" si="5"/>
        <v>8.1472500000000008E-4</v>
      </c>
    </row>
    <row r="19" spans="4:17" x14ac:dyDescent="0.2">
      <c r="D19" s="3">
        <v>28</v>
      </c>
      <c r="E19" s="4">
        <v>1.2999999999999999E-3</v>
      </c>
      <c r="G19" s="9">
        <v>17</v>
      </c>
      <c r="H19" s="52">
        <f t="shared" si="0"/>
        <v>28</v>
      </c>
      <c r="I19" s="61">
        <f t="shared" si="1"/>
        <v>1.2999999999999999E-3</v>
      </c>
      <c r="J19" s="14">
        <f t="shared" si="6"/>
        <v>9883.0608901302949</v>
      </c>
      <c r="K19" s="15">
        <f t="shared" si="2"/>
        <v>12.847979157169382</v>
      </c>
      <c r="L19" s="11">
        <f t="shared" si="7"/>
        <v>0.2915706919340349</v>
      </c>
      <c r="M19" s="35">
        <f t="shared" si="3"/>
        <v>2881.6109021614889</v>
      </c>
      <c r="N19" s="35">
        <f>SUM(M19:$M$91)</f>
        <v>56791.926522339592</v>
      </c>
      <c r="O19" s="34">
        <f t="shared" si="4"/>
        <v>3.5847791127367796</v>
      </c>
      <c r="P19" s="36">
        <f>SUM(O19:$O$92)</f>
        <v>436.02554952486167</v>
      </c>
      <c r="Q19">
        <f t="shared" si="5"/>
        <v>8.7750000000000002E-4</v>
      </c>
    </row>
    <row r="20" spans="4:17" x14ac:dyDescent="0.2">
      <c r="D20" s="3">
        <v>29</v>
      </c>
      <c r="E20" s="4">
        <v>1.4E-3</v>
      </c>
      <c r="G20" s="9">
        <v>18</v>
      </c>
      <c r="H20" s="52">
        <f t="shared" si="0"/>
        <v>29</v>
      </c>
      <c r="I20" s="61">
        <f t="shared" si="1"/>
        <v>1.4E-3</v>
      </c>
      <c r="J20" s="14">
        <f t="shared" si="6"/>
        <v>9870.212910973125</v>
      </c>
      <c r="K20" s="15">
        <f t="shared" si="2"/>
        <v>13.818298075362375</v>
      </c>
      <c r="L20" s="11">
        <f t="shared" si="7"/>
        <v>0.27901501620481806</v>
      </c>
      <c r="M20" s="35">
        <f t="shared" si="3"/>
        <v>2753.9376153001708</v>
      </c>
      <c r="N20" s="35">
        <f>SUM(M20:$M$91)</f>
        <v>53910.315620178109</v>
      </c>
      <c r="O20" s="34">
        <f t="shared" si="4"/>
        <v>3.689485800402144</v>
      </c>
      <c r="P20" s="36">
        <f>SUM(O20:$O$92)</f>
        <v>432.44077041212489</v>
      </c>
      <c r="Q20">
        <f t="shared" si="5"/>
        <v>9.4499999999999998E-4</v>
      </c>
    </row>
    <row r="21" spans="4:17" x14ac:dyDescent="0.2">
      <c r="D21" s="3">
        <v>30</v>
      </c>
      <c r="E21" s="4">
        <v>1.508E-3</v>
      </c>
      <c r="G21" s="9">
        <v>19</v>
      </c>
      <c r="H21" s="52">
        <f t="shared" si="0"/>
        <v>30</v>
      </c>
      <c r="I21" s="61">
        <f t="shared" si="1"/>
        <v>1.508E-3</v>
      </c>
      <c r="J21" s="14">
        <f t="shared" si="6"/>
        <v>9856.3946128977623</v>
      </c>
      <c r="K21" s="15">
        <f t="shared" si="2"/>
        <v>14.863443076249826</v>
      </c>
      <c r="L21" s="11">
        <f t="shared" si="7"/>
        <v>0.26700001550700303</v>
      </c>
      <c r="M21" s="35">
        <f t="shared" si="3"/>
        <v>2631.6575144868439</v>
      </c>
      <c r="N21" s="35">
        <f>SUM(M21:$M$91)</f>
        <v>51156.378004877944</v>
      </c>
      <c r="O21" s="34">
        <f t="shared" si="4"/>
        <v>3.7976454850202486</v>
      </c>
      <c r="P21" s="36">
        <f>SUM(O21:$O$92)</f>
        <v>428.75128461172272</v>
      </c>
      <c r="Q21">
        <f t="shared" si="5"/>
        <v>1.0179000000000002E-3</v>
      </c>
    </row>
    <row r="22" spans="4:17" x14ac:dyDescent="0.2">
      <c r="D22" s="3">
        <v>31</v>
      </c>
      <c r="E22" s="4">
        <v>1.624E-3</v>
      </c>
      <c r="G22" s="9">
        <v>20</v>
      </c>
      <c r="H22" s="52">
        <f t="shared" si="0"/>
        <v>31</v>
      </c>
      <c r="I22" s="61">
        <f t="shared" si="1"/>
        <v>1.624E-3</v>
      </c>
      <c r="J22" s="14">
        <f t="shared" si="6"/>
        <v>9841.5311698215119</v>
      </c>
      <c r="K22" s="15">
        <f t="shared" si="2"/>
        <v>15.982646619790135</v>
      </c>
      <c r="L22" s="11">
        <f t="shared" si="7"/>
        <v>0.2555024071837349</v>
      </c>
      <c r="M22" s="35">
        <f t="shared" si="3"/>
        <v>2514.5349042631547</v>
      </c>
      <c r="N22" s="35">
        <f>SUM(M22:$M$91)</f>
        <v>48524.720490391104</v>
      </c>
      <c r="O22" s="34">
        <f t="shared" si="4"/>
        <v>3.9077556789697274</v>
      </c>
      <c r="P22" s="36">
        <f>SUM(O22:$O$92)</f>
        <v>424.95363912670251</v>
      </c>
      <c r="Q22">
        <f t="shared" si="5"/>
        <v>1.0961999999999999E-3</v>
      </c>
    </row>
    <row r="23" spans="4:17" x14ac:dyDescent="0.2">
      <c r="D23" s="3">
        <v>32</v>
      </c>
      <c r="E23" s="4">
        <v>1.7490000000000001E-3</v>
      </c>
      <c r="G23" s="9">
        <v>21</v>
      </c>
      <c r="H23" s="52">
        <f t="shared" si="0"/>
        <v>32</v>
      </c>
      <c r="I23" s="61">
        <f t="shared" si="1"/>
        <v>1.7490000000000001E-3</v>
      </c>
      <c r="J23" s="14">
        <f t="shared" si="6"/>
        <v>9825.5485232017218</v>
      </c>
      <c r="K23" s="15">
        <f t="shared" si="2"/>
        <v>17.184884367079814</v>
      </c>
      <c r="L23" s="11">
        <f t="shared" si="7"/>
        <v>0.24449991118060768</v>
      </c>
      <c r="M23" s="35">
        <f t="shared" si="3"/>
        <v>2402.3457412235721</v>
      </c>
      <c r="N23" s="35">
        <f>SUM(M23:$M$91)</f>
        <v>46010.185586127933</v>
      </c>
      <c r="O23" s="34">
        <f t="shared" si="4"/>
        <v>4.0207681353110321</v>
      </c>
      <c r="P23" s="36">
        <f>SUM(O23:$O$92)</f>
        <v>421.04588344773271</v>
      </c>
      <c r="Q23">
        <f t="shared" si="5"/>
        <v>1.1805750000000001E-3</v>
      </c>
    </row>
    <row r="24" spans="4:17" x14ac:dyDescent="0.2">
      <c r="D24" s="3">
        <v>33</v>
      </c>
      <c r="E24" s="4">
        <v>1.8839999999999998E-3</v>
      </c>
      <c r="G24" s="9">
        <v>22</v>
      </c>
      <c r="H24" s="52">
        <f t="shared" si="0"/>
        <v>33</v>
      </c>
      <c r="I24" s="61">
        <f t="shared" si="1"/>
        <v>1.8839999999999998E-3</v>
      </c>
      <c r="J24" s="14">
        <f t="shared" si="6"/>
        <v>9808.3636388346422</v>
      </c>
      <c r="K24" s="15">
        <f t="shared" si="2"/>
        <v>18.478957095564464</v>
      </c>
      <c r="L24" s="11">
        <f t="shared" si="7"/>
        <v>0.23397120687139494</v>
      </c>
      <c r="M24" s="35">
        <f t="shared" si="3"/>
        <v>2294.874678011648</v>
      </c>
      <c r="N24" s="35">
        <f>SUM(M24:$M$91)</f>
        <v>43607.839844904374</v>
      </c>
      <c r="O24" s="34">
        <f t="shared" si="4"/>
        <v>4.1373625773913352</v>
      </c>
      <c r="P24" s="36">
        <f>SUM(O24:$O$92)</f>
        <v>417.02511531242175</v>
      </c>
      <c r="Q24">
        <f t="shared" si="5"/>
        <v>1.2716999999999997E-3</v>
      </c>
    </row>
    <row r="25" spans="4:17" x14ac:dyDescent="0.2">
      <c r="D25" s="3">
        <v>34</v>
      </c>
      <c r="E25" s="4">
        <v>2.029E-3</v>
      </c>
      <c r="G25" s="9">
        <v>23</v>
      </c>
      <c r="H25" s="52">
        <f t="shared" si="0"/>
        <v>34</v>
      </c>
      <c r="I25" s="61">
        <f t="shared" si="1"/>
        <v>2.029E-3</v>
      </c>
      <c r="J25" s="14">
        <f t="shared" si="6"/>
        <v>9789.8846817390786</v>
      </c>
      <c r="K25" s="15">
        <f t="shared" si="2"/>
        <v>19.86367601924859</v>
      </c>
      <c r="L25" s="11">
        <f t="shared" si="7"/>
        <v>0.22389589174296168</v>
      </c>
      <c r="M25" s="35">
        <f t="shared" si="3"/>
        <v>2191.9149608787316</v>
      </c>
      <c r="N25" s="35">
        <f>SUM(M25:$M$91)</f>
        <v>41312.965166892725</v>
      </c>
      <c r="O25" s="34">
        <f t="shared" si="4"/>
        <v>4.2558808187779391</v>
      </c>
      <c r="P25" s="36">
        <f>SUM(O25:$O$92)</f>
        <v>412.88775273503046</v>
      </c>
      <c r="Q25">
        <f t="shared" si="5"/>
        <v>1.369575E-3</v>
      </c>
    </row>
    <row r="26" spans="4:17" x14ac:dyDescent="0.2">
      <c r="D26" s="3">
        <v>35</v>
      </c>
      <c r="E26" s="4">
        <v>2.186E-3</v>
      </c>
      <c r="G26" s="9">
        <v>24</v>
      </c>
      <c r="H26" s="52">
        <f t="shared" si="0"/>
        <v>35</v>
      </c>
      <c r="I26" s="61">
        <f t="shared" si="1"/>
        <v>2.186E-3</v>
      </c>
      <c r="J26" s="14">
        <f t="shared" si="6"/>
        <v>9770.0210057198292</v>
      </c>
      <c r="K26" s="15">
        <f t="shared" si="2"/>
        <v>21.357265918503547</v>
      </c>
      <c r="L26" s="11">
        <f t="shared" si="7"/>
        <v>0.21425444185929349</v>
      </c>
      <c r="M26" s="35">
        <f t="shared" si="3"/>
        <v>2093.2703975340751</v>
      </c>
      <c r="N26" s="35">
        <f>SUM(M26:$M$91)</f>
        <v>39121.050206013999</v>
      </c>
      <c r="O26" s="34">
        <f t="shared" si="4"/>
        <v>4.3788412335019036</v>
      </c>
      <c r="P26" s="36">
        <f>SUM(O26:$O$92)</f>
        <v>408.63187191625246</v>
      </c>
      <c r="Q26">
        <f t="shared" si="5"/>
        <v>1.47555E-3</v>
      </c>
    </row>
    <row r="27" spans="4:17" x14ac:dyDescent="0.2">
      <c r="D27" s="3">
        <v>36</v>
      </c>
      <c r="E27" s="4">
        <v>2.3540000000000002E-3</v>
      </c>
      <c r="G27" s="9">
        <v>25</v>
      </c>
      <c r="H27" s="52">
        <f t="shared" si="0"/>
        <v>36</v>
      </c>
      <c r="I27" s="61">
        <f t="shared" si="1"/>
        <v>2.3540000000000002E-3</v>
      </c>
      <c r="J27" s="14">
        <f t="shared" si="6"/>
        <v>9748.6637398013263</v>
      </c>
      <c r="K27" s="15">
        <f t="shared" si="2"/>
        <v>22.948354443492324</v>
      </c>
      <c r="L27" s="11">
        <f t="shared" si="7"/>
        <v>0.20502817402803208</v>
      </c>
      <c r="M27" s="35">
        <f t="shared" si="3"/>
        <v>1998.7507257847524</v>
      </c>
      <c r="N27" s="35">
        <f>SUM(M27:$M$91)</f>
        <v>37027.779808479929</v>
      </c>
      <c r="O27" s="34">
        <f t="shared" si="4"/>
        <v>4.5024490033467064</v>
      </c>
      <c r="P27" s="36">
        <f>SUM(O27:$O$92)</f>
        <v>404.25303068275065</v>
      </c>
      <c r="Q27">
        <f t="shared" si="5"/>
        <v>1.5889500000000002E-3</v>
      </c>
    </row>
    <row r="28" spans="4:17" x14ac:dyDescent="0.2">
      <c r="D28" s="3">
        <v>37</v>
      </c>
      <c r="E28" s="4">
        <v>2.5349999999999999E-3</v>
      </c>
      <c r="G28" s="9">
        <v>26</v>
      </c>
      <c r="H28" s="52">
        <f t="shared" si="0"/>
        <v>37</v>
      </c>
      <c r="I28" s="61">
        <f t="shared" si="1"/>
        <v>2.5349999999999999E-3</v>
      </c>
      <c r="J28" s="14">
        <f t="shared" si="6"/>
        <v>9725.7153853578347</v>
      </c>
      <c r="K28" s="15">
        <f t="shared" si="2"/>
        <v>24.654688501882109</v>
      </c>
      <c r="L28" s="11">
        <f t="shared" si="7"/>
        <v>0.19619920959620296</v>
      </c>
      <c r="M28" s="35">
        <f t="shared" si="3"/>
        <v>1908.1776713648376</v>
      </c>
      <c r="N28" s="35">
        <f>SUM(M28:$M$91)</f>
        <v>35029.029082695182</v>
      </c>
      <c r="O28" s="34">
        <f t="shared" si="4"/>
        <v>4.6289286094831237</v>
      </c>
      <c r="P28" s="36">
        <f>SUM(O28:$O$92)</f>
        <v>399.75058167940387</v>
      </c>
      <c r="Q28">
        <f t="shared" si="5"/>
        <v>1.711125E-3</v>
      </c>
    </row>
    <row r="29" spans="4:17" x14ac:dyDescent="0.2">
      <c r="D29" s="3">
        <v>38</v>
      </c>
      <c r="E29" s="4">
        <v>2.7299999999999998E-3</v>
      </c>
      <c r="G29" s="9">
        <v>27</v>
      </c>
      <c r="H29" s="52">
        <f t="shared" si="0"/>
        <v>38</v>
      </c>
      <c r="I29" s="61">
        <f t="shared" si="1"/>
        <v>2.7299999999999998E-3</v>
      </c>
      <c r="J29" s="14">
        <f t="shared" si="6"/>
        <v>9701.0606968559532</v>
      </c>
      <c r="K29" s="15">
        <f t="shared" si="2"/>
        <v>26.483895702416749</v>
      </c>
      <c r="L29" s="11">
        <f t="shared" si="7"/>
        <v>0.18775043980497894</v>
      </c>
      <c r="M29" s="35">
        <f t="shared" si="3"/>
        <v>1821.3784124095007</v>
      </c>
      <c r="N29" s="35">
        <f>SUM(M29:$M$91)</f>
        <v>33120.851411330339</v>
      </c>
      <c r="O29" s="34">
        <f t="shared" si="4"/>
        <v>4.7582421683042453</v>
      </c>
      <c r="P29" s="36">
        <f>SUM(O29:$O$92)</f>
        <v>395.1216530699208</v>
      </c>
      <c r="Q29">
        <f t="shared" si="5"/>
        <v>1.84275E-3</v>
      </c>
    </row>
    <row r="30" spans="4:17" x14ac:dyDescent="0.2">
      <c r="D30" s="3">
        <v>39</v>
      </c>
      <c r="E30" s="4">
        <v>2.9399999999999999E-3</v>
      </c>
      <c r="G30" s="9">
        <v>28</v>
      </c>
      <c r="H30" s="52">
        <f t="shared" si="0"/>
        <v>39</v>
      </c>
      <c r="I30" s="61">
        <f t="shared" si="1"/>
        <v>2.9399999999999999E-3</v>
      </c>
      <c r="J30" s="14">
        <f t="shared" si="6"/>
        <v>9674.5768011535365</v>
      </c>
      <c r="K30" s="15">
        <f t="shared" si="2"/>
        <v>28.443255795391398</v>
      </c>
      <c r="L30" s="11">
        <f t="shared" si="7"/>
        <v>0.17966549263634349</v>
      </c>
      <c r="M30" s="35">
        <f t="shared" si="3"/>
        <v>1738.1876070273902</v>
      </c>
      <c r="N30" s="35">
        <f>SUM(M30:$M$91)</f>
        <v>31299.472998920839</v>
      </c>
      <c r="O30" s="34">
        <f t="shared" si="4"/>
        <v>4.8902120235985915</v>
      </c>
      <c r="P30" s="36">
        <f>SUM(O30:$O$92)</f>
        <v>390.36341090161653</v>
      </c>
      <c r="Q30">
        <f t="shared" si="5"/>
        <v>1.9845000000000002E-3</v>
      </c>
    </row>
    <row r="31" spans="4:17" x14ac:dyDescent="0.2">
      <c r="D31" s="3">
        <v>40</v>
      </c>
      <c r="E31" s="4">
        <v>3.166E-3</v>
      </c>
      <c r="G31" s="9">
        <v>29</v>
      </c>
      <c r="H31" s="52">
        <f t="shared" si="0"/>
        <v>40</v>
      </c>
      <c r="I31" s="61">
        <f t="shared" si="1"/>
        <v>3.166E-3</v>
      </c>
      <c r="J31" s="14">
        <f t="shared" si="6"/>
        <v>9646.1335453581451</v>
      </c>
      <c r="K31" s="15">
        <f t="shared" si="2"/>
        <v>30.539658804603889</v>
      </c>
      <c r="L31" s="11">
        <f t="shared" si="7"/>
        <v>0.17192870108741007</v>
      </c>
      <c r="M31" s="35">
        <f t="shared" si="3"/>
        <v>1658.4472109691196</v>
      </c>
      <c r="N31" s="35">
        <f>SUM(M31:$M$91)</f>
        <v>29561.285391893452</v>
      </c>
      <c r="O31" s="34">
        <f t="shared" si="4"/>
        <v>5.0245395884480706</v>
      </c>
      <c r="P31" s="36">
        <f>SUM(O31:$O$92)</f>
        <v>385.47319887801785</v>
      </c>
      <c r="Q31">
        <f t="shared" si="5"/>
        <v>2.1370500000000001E-3</v>
      </c>
    </row>
    <row r="32" spans="4:17" x14ac:dyDescent="0.2">
      <c r="D32" s="3">
        <v>41</v>
      </c>
      <c r="E32" s="4">
        <v>3.4100000000000003E-3</v>
      </c>
      <c r="G32" s="9">
        <v>30</v>
      </c>
      <c r="H32" s="52">
        <f t="shared" si="0"/>
        <v>41</v>
      </c>
      <c r="I32" s="61">
        <f t="shared" si="1"/>
        <v>3.4100000000000003E-3</v>
      </c>
      <c r="J32" s="14">
        <f t="shared" si="6"/>
        <v>9615.5938865535409</v>
      </c>
      <c r="K32" s="15">
        <f t="shared" si="2"/>
        <v>32.789175153147575</v>
      </c>
      <c r="L32" s="11">
        <f t="shared" si="7"/>
        <v>0.16452507281091874</v>
      </c>
      <c r="M32" s="35">
        <f t="shared" si="3"/>
        <v>1582.0062843054463</v>
      </c>
      <c r="N32" s="35">
        <f>SUM(M32:$M$91)</f>
        <v>27902.838180924333</v>
      </c>
      <c r="O32" s="34">
        <f t="shared" si="4"/>
        <v>5.1623362961546162</v>
      </c>
      <c r="P32" s="36">
        <f>SUM(O32:$O$92)</f>
        <v>380.44865928956989</v>
      </c>
      <c r="Q32">
        <f t="shared" si="5"/>
        <v>2.3017500000000004E-3</v>
      </c>
    </row>
    <row r="33" spans="4:17" x14ac:dyDescent="0.2">
      <c r="D33" s="3">
        <v>42</v>
      </c>
      <c r="E33" s="4">
        <v>3.6720000000000004E-3</v>
      </c>
      <c r="G33" s="9">
        <v>31</v>
      </c>
      <c r="H33" s="52">
        <f t="shared" si="0"/>
        <v>42</v>
      </c>
      <c r="I33" s="61">
        <f t="shared" si="1"/>
        <v>3.6720000000000004E-3</v>
      </c>
      <c r="J33" s="14">
        <f t="shared" si="6"/>
        <v>9582.804711400393</v>
      </c>
      <c r="K33" s="15">
        <f t="shared" si="2"/>
        <v>35.188058900262249</v>
      </c>
      <c r="L33" s="11">
        <f t="shared" si="7"/>
        <v>0.15744026106308018</v>
      </c>
      <c r="M33" s="35">
        <f t="shared" si="3"/>
        <v>1508.7192754793925</v>
      </c>
      <c r="N33" s="35">
        <f>SUM(M33:$M$91)</f>
        <v>26320.831896618882</v>
      </c>
      <c r="O33" s="34">
        <f t="shared" si="4"/>
        <v>5.3014518464692149</v>
      </c>
      <c r="P33" s="36">
        <f>SUM(O33:$O$92)</f>
        <v>375.28632299341524</v>
      </c>
      <c r="Q33">
        <f t="shared" si="5"/>
        <v>2.4786000000000005E-3</v>
      </c>
    </row>
    <row r="34" spans="4:17" x14ac:dyDescent="0.2">
      <c r="D34" s="3">
        <v>43</v>
      </c>
      <c r="E34" s="4">
        <v>3.954E-3</v>
      </c>
      <c r="G34" s="9">
        <v>32</v>
      </c>
      <c r="H34" s="52">
        <f t="shared" si="0"/>
        <v>43</v>
      </c>
      <c r="I34" s="61">
        <f t="shared" si="1"/>
        <v>3.954E-3</v>
      </c>
      <c r="J34" s="14">
        <f t="shared" si="6"/>
        <v>9547.6166525001299</v>
      </c>
      <c r="K34" s="15">
        <f t="shared" si="2"/>
        <v>37.751276243985515</v>
      </c>
      <c r="L34" s="11">
        <f t="shared" si="7"/>
        <v>0.15066053690246906</v>
      </c>
      <c r="M34" s="35">
        <f t="shared" si="3"/>
        <v>1438.4490510046239</v>
      </c>
      <c r="N34" s="35">
        <f>SUM(M34:$M$91)</f>
        <v>24812.112621139488</v>
      </c>
      <c r="O34" s="34">
        <f t="shared" si="4"/>
        <v>5.4427057872462052</v>
      </c>
      <c r="P34" s="36">
        <f>SUM(O34:$O$92)</f>
        <v>369.98487114694598</v>
      </c>
      <c r="Q34">
        <f t="shared" si="5"/>
        <v>2.6689500000000002E-3</v>
      </c>
    </row>
    <row r="35" spans="4:17" x14ac:dyDescent="0.2">
      <c r="D35" s="3">
        <v>44</v>
      </c>
      <c r="E35" s="4">
        <v>4.2579999999999996E-3</v>
      </c>
      <c r="G35" s="9">
        <v>33</v>
      </c>
      <c r="H35" s="52">
        <f t="shared" si="0"/>
        <v>44</v>
      </c>
      <c r="I35" s="61">
        <f t="shared" si="1"/>
        <v>4.2579999999999996E-3</v>
      </c>
      <c r="J35" s="14">
        <f t="shared" si="6"/>
        <v>9509.8653762561444</v>
      </c>
      <c r="K35" s="15">
        <f t="shared" si="2"/>
        <v>40.49300677209866</v>
      </c>
      <c r="L35" s="11">
        <f t="shared" si="7"/>
        <v>0.14417276258609482</v>
      </c>
      <c r="M35" s="35">
        <f t="shared" si="3"/>
        <v>1371.0635631167004</v>
      </c>
      <c r="N35" s="35">
        <f>SUM(M35:$M$91)</f>
        <v>23373.66357013486</v>
      </c>
      <c r="O35" s="34">
        <f t="shared" si="4"/>
        <v>5.5865920112448899</v>
      </c>
      <c r="P35" s="36">
        <f>SUM(O35:$O$92)</f>
        <v>364.54216535969982</v>
      </c>
      <c r="Q35">
        <f t="shared" si="5"/>
        <v>2.8741499999999998E-3</v>
      </c>
    </row>
    <row r="36" spans="4:17" x14ac:dyDescent="0.2">
      <c r="D36" s="3">
        <v>45</v>
      </c>
      <c r="E36" s="4">
        <v>4.5849999999999997E-3</v>
      </c>
      <c r="G36" s="9">
        <v>34</v>
      </c>
      <c r="H36" s="52">
        <f t="shared" si="0"/>
        <v>45</v>
      </c>
      <c r="I36" s="61">
        <f t="shared" si="1"/>
        <v>4.5849999999999997E-3</v>
      </c>
      <c r="J36" s="14">
        <f t="shared" si="6"/>
        <v>9469.3723694840464</v>
      </c>
      <c r="K36" s="15">
        <f t="shared" si="2"/>
        <v>43.417072314084351</v>
      </c>
      <c r="L36" s="11">
        <f t="shared" si="7"/>
        <v>0.13796436611109553</v>
      </c>
      <c r="M36" s="35">
        <f t="shared" si="3"/>
        <v>1306.4359564257891</v>
      </c>
      <c r="N36" s="35">
        <f>SUM(M36:$M$91)</f>
        <v>22002.600007018158</v>
      </c>
      <c r="O36" s="34">
        <f t="shared" si="4"/>
        <v>5.7320658949399457</v>
      </c>
      <c r="P36" s="36">
        <f>SUM(O36:$O$92)</f>
        <v>358.95557334845495</v>
      </c>
      <c r="Q36">
        <f t="shared" si="5"/>
        <v>3.094875E-3</v>
      </c>
    </row>
    <row r="37" spans="4:17" x14ac:dyDescent="0.2">
      <c r="D37" s="3">
        <v>46</v>
      </c>
      <c r="E37" s="4">
        <v>4.9379999999999997E-3</v>
      </c>
      <c r="G37" s="9">
        <v>35</v>
      </c>
      <c r="H37" s="52">
        <f t="shared" si="0"/>
        <v>46</v>
      </c>
      <c r="I37" s="61">
        <f t="shared" si="1"/>
        <v>4.9379999999999997E-3</v>
      </c>
      <c r="J37" s="14">
        <f t="shared" si="6"/>
        <v>9425.9552971699613</v>
      </c>
      <c r="K37" s="15">
        <f t="shared" si="2"/>
        <v>46.545367257425269</v>
      </c>
      <c r="L37" s="11">
        <f t="shared" si="7"/>
        <v>0.132023316852723</v>
      </c>
      <c r="M37" s="35">
        <f t="shared" si="3"/>
        <v>1244.4458828378727</v>
      </c>
      <c r="N37" s="35">
        <f>SUM(M37:$M$91)</f>
        <v>20696.164050592368</v>
      </c>
      <c r="O37" s="34">
        <f t="shared" si="4"/>
        <v>5.8804533678980047</v>
      </c>
      <c r="P37" s="36">
        <f>SUM(O37:$O$92)</f>
        <v>353.22350745351497</v>
      </c>
      <c r="Q37">
        <f t="shared" si="5"/>
        <v>3.33315E-3</v>
      </c>
    </row>
    <row r="38" spans="4:17" x14ac:dyDescent="0.2">
      <c r="D38" s="3">
        <v>47</v>
      </c>
      <c r="E38" s="4">
        <v>5.3170000000000005E-3</v>
      </c>
      <c r="G38" s="9">
        <v>36</v>
      </c>
      <c r="H38" s="52">
        <f t="shared" si="0"/>
        <v>47</v>
      </c>
      <c r="I38" s="61">
        <f t="shared" si="1"/>
        <v>5.3170000000000005E-3</v>
      </c>
      <c r="J38" s="14">
        <f t="shared" si="6"/>
        <v>9379.4099299125355</v>
      </c>
      <c r="K38" s="15">
        <f t="shared" si="2"/>
        <v>49.870322597344959</v>
      </c>
      <c r="L38" s="11">
        <f t="shared" si="7"/>
        <v>0.12633810225140957</v>
      </c>
      <c r="M38" s="35">
        <f t="shared" si="3"/>
        <v>1184.9768507831761</v>
      </c>
      <c r="N38" s="35">
        <f>SUM(M38:$M$91)</f>
        <v>19451.718167754494</v>
      </c>
      <c r="O38" s="34">
        <f t="shared" si="4"/>
        <v>6.0292075747503837</v>
      </c>
      <c r="P38" s="36">
        <f>SUM(O38:$O$92)</f>
        <v>347.34305408561698</v>
      </c>
      <c r="Q38">
        <f t="shared" si="5"/>
        <v>3.5889749999999999E-3</v>
      </c>
    </row>
    <row r="39" spans="4:17" x14ac:dyDescent="0.2">
      <c r="D39" s="3">
        <v>48</v>
      </c>
      <c r="E39" s="4">
        <v>5.7250000000000001E-3</v>
      </c>
      <c r="G39" s="9">
        <v>37</v>
      </c>
      <c r="H39" s="52">
        <f t="shared" si="0"/>
        <v>48</v>
      </c>
      <c r="I39" s="61">
        <f t="shared" si="1"/>
        <v>5.7250000000000001E-3</v>
      </c>
      <c r="J39" s="14">
        <f t="shared" si="6"/>
        <v>9329.5396073151915</v>
      </c>
      <c r="K39" s="15">
        <f t="shared" si="2"/>
        <v>53.41161425187947</v>
      </c>
      <c r="L39" s="11">
        <f t="shared" si="7"/>
        <v>0.12089770550374127</v>
      </c>
      <c r="M39" s="35">
        <f t="shared" si="3"/>
        <v>1127.919931930682</v>
      </c>
      <c r="N39" s="35">
        <f>SUM(M39:$M$91)</f>
        <v>18266.741316971318</v>
      </c>
      <c r="O39" s="34">
        <f t="shared" si="4"/>
        <v>6.1792742682326827</v>
      </c>
      <c r="P39" s="36">
        <f>SUM(O39:$O$92)</f>
        <v>341.31384651086654</v>
      </c>
      <c r="Q39">
        <f t="shared" si="5"/>
        <v>3.8643749999999998E-3</v>
      </c>
    </row>
    <row r="40" spans="4:17" x14ac:dyDescent="0.2">
      <c r="D40" s="3">
        <v>49</v>
      </c>
      <c r="E40" s="4">
        <v>6.1639999999999993E-3</v>
      </c>
      <c r="G40" s="9">
        <v>38</v>
      </c>
      <c r="H40" s="52">
        <f t="shared" si="0"/>
        <v>49</v>
      </c>
      <c r="I40" s="61">
        <f t="shared" si="1"/>
        <v>6.1639999999999993E-3</v>
      </c>
      <c r="J40" s="14">
        <f t="shared" si="6"/>
        <v>9276.1279930633118</v>
      </c>
      <c r="K40" s="15">
        <f t="shared" si="2"/>
        <v>57.17805294924225</v>
      </c>
      <c r="L40" s="11">
        <f t="shared" si="7"/>
        <v>0.11569158421410647</v>
      </c>
      <c r="M40" s="35">
        <f t="shared" si="3"/>
        <v>1073.1699428903146</v>
      </c>
      <c r="N40" s="35">
        <f>SUM(M40:$M$91)</f>
        <v>17138.821385040636</v>
      </c>
      <c r="O40" s="34">
        <f t="shared" si="4"/>
        <v>6.3301622277281338</v>
      </c>
      <c r="P40" s="36">
        <f>SUM(O40:$O$92)</f>
        <v>335.13457224263385</v>
      </c>
      <c r="Q40">
        <f t="shared" si="5"/>
        <v>4.1606999999999998E-3</v>
      </c>
    </row>
    <row r="41" spans="4:17" x14ac:dyDescent="0.2">
      <c r="D41" s="3">
        <v>50</v>
      </c>
      <c r="E41" s="4">
        <v>6.6369999999999997E-3</v>
      </c>
      <c r="G41" s="9">
        <v>39</v>
      </c>
      <c r="H41" s="52">
        <f t="shared" si="0"/>
        <v>50</v>
      </c>
      <c r="I41" s="61">
        <f t="shared" si="1"/>
        <v>6.6369999999999997E-3</v>
      </c>
      <c r="J41" s="14">
        <f t="shared" si="6"/>
        <v>9218.9499401140692</v>
      </c>
      <c r="K41" s="15">
        <f t="shared" si="2"/>
        <v>61.186170752537073</v>
      </c>
      <c r="L41" s="11">
        <f t="shared" si="7"/>
        <v>0.11070964996565215</v>
      </c>
      <c r="M41" s="35">
        <f t="shared" si="3"/>
        <v>1020.6267209208985</v>
      </c>
      <c r="N41" s="35">
        <f>SUM(M41:$M$91)</f>
        <v>16065.651442150313</v>
      </c>
      <c r="O41" s="34">
        <f t="shared" si="4"/>
        <v>6.4822005232076583</v>
      </c>
      <c r="P41" s="36">
        <f>SUM(O41:$O$92)</f>
        <v>328.80441001490578</v>
      </c>
      <c r="Q41">
        <f t="shared" si="5"/>
        <v>4.4799749999999998E-3</v>
      </c>
    </row>
    <row r="42" spans="4:17" x14ac:dyDescent="0.2">
      <c r="D42" s="3">
        <v>51</v>
      </c>
      <c r="E42" s="4">
        <v>7.1449999999999994E-3</v>
      </c>
      <c r="G42" s="9">
        <v>40</v>
      </c>
      <c r="H42" s="52">
        <f t="shared" si="0"/>
        <v>51</v>
      </c>
      <c r="I42" s="61">
        <f t="shared" si="1"/>
        <v>7.1449999999999994E-3</v>
      </c>
      <c r="J42" s="14">
        <f t="shared" si="6"/>
        <v>9157.7637693615325</v>
      </c>
      <c r="K42" s="15">
        <f t="shared" si="2"/>
        <v>65.432222132088143</v>
      </c>
      <c r="L42" s="11">
        <f t="shared" si="7"/>
        <v>0.10594224877095899</v>
      </c>
      <c r="M42" s="35">
        <f t="shared" si="3"/>
        <v>970.19408743937458</v>
      </c>
      <c r="N42" s="35">
        <f>SUM(M42:$M$91)</f>
        <v>15045.024721229416</v>
      </c>
      <c r="O42" s="34">
        <f t="shared" si="4"/>
        <v>6.6335279949802226</v>
      </c>
      <c r="P42" s="36">
        <f>SUM(O42:$O$92)</f>
        <v>322.32220949169812</v>
      </c>
      <c r="Q42">
        <f t="shared" si="5"/>
        <v>4.8228749999999999E-3</v>
      </c>
    </row>
    <row r="43" spans="4:17" x14ac:dyDescent="0.2">
      <c r="D43" s="3">
        <v>52</v>
      </c>
      <c r="E43" s="4">
        <v>7.6929999999999993E-3</v>
      </c>
      <c r="G43" s="9">
        <v>41</v>
      </c>
      <c r="H43" s="52">
        <f t="shared" si="0"/>
        <v>52</v>
      </c>
      <c r="I43" s="61">
        <f t="shared" si="1"/>
        <v>7.6929999999999993E-3</v>
      </c>
      <c r="J43" s="14">
        <f t="shared" si="6"/>
        <v>9092.3315472294435</v>
      </c>
      <c r="K43" s="15">
        <f t="shared" si="2"/>
        <v>69.9473065928361</v>
      </c>
      <c r="L43" s="11">
        <f t="shared" si="7"/>
        <v>0.10138014236455409</v>
      </c>
      <c r="M43" s="35">
        <f t="shared" si="3"/>
        <v>921.78186668384728</v>
      </c>
      <c r="N43" s="35">
        <f>SUM(M43:$M$91)</f>
        <v>14074.830633790039</v>
      </c>
      <c r="O43" s="34">
        <f t="shared" si="4"/>
        <v>6.7859022970323783</v>
      </c>
      <c r="P43" s="36">
        <f>SUM(O43:$O$92)</f>
        <v>315.68868149671789</v>
      </c>
      <c r="Q43">
        <f t="shared" si="5"/>
        <v>5.1927750000000002E-3</v>
      </c>
    </row>
    <row r="44" spans="4:17" x14ac:dyDescent="0.2">
      <c r="D44" s="3">
        <v>53</v>
      </c>
      <c r="E44" s="4">
        <v>8.2819999999999994E-3</v>
      </c>
      <c r="G44" s="9">
        <v>42</v>
      </c>
      <c r="H44" s="52">
        <f t="shared" si="0"/>
        <v>53</v>
      </c>
      <c r="I44" s="61">
        <f t="shared" si="1"/>
        <v>8.2819999999999994E-3</v>
      </c>
      <c r="J44" s="14">
        <f t="shared" si="6"/>
        <v>9022.3842406366075</v>
      </c>
      <c r="K44" s="15">
        <f t="shared" si="2"/>
        <v>74.723386280952383</v>
      </c>
      <c r="L44" s="11">
        <f t="shared" si="7"/>
        <v>9.7014490301008685E-2</v>
      </c>
      <c r="M44" s="35">
        <f t="shared" si="3"/>
        <v>875.30200840521377</v>
      </c>
      <c r="N44" s="35">
        <f>SUM(M44:$M$91)</f>
        <v>13153.048767106193</v>
      </c>
      <c r="O44" s="34">
        <f t="shared" si="4"/>
        <v>6.9370825202028543</v>
      </c>
      <c r="P44" s="36">
        <f>SUM(O44:$O$92)</f>
        <v>308.90277919968548</v>
      </c>
      <c r="Q44">
        <f t="shared" si="5"/>
        <v>5.59035E-3</v>
      </c>
    </row>
    <row r="45" spans="4:17" x14ac:dyDescent="0.2">
      <c r="D45" s="3">
        <v>54</v>
      </c>
      <c r="E45" s="4">
        <v>8.9149999999999993E-3</v>
      </c>
      <c r="G45" s="9">
        <v>43</v>
      </c>
      <c r="H45" s="52">
        <f t="shared" si="0"/>
        <v>54</v>
      </c>
      <c r="I45" s="61">
        <f t="shared" si="1"/>
        <v>8.9149999999999993E-3</v>
      </c>
      <c r="J45" s="14">
        <f t="shared" si="6"/>
        <v>8947.6608543556558</v>
      </c>
      <c r="K45" s="15">
        <f t="shared" si="2"/>
        <v>79.768396516580665</v>
      </c>
      <c r="L45" s="11">
        <f t="shared" si="7"/>
        <v>9.2836832823931792E-2</v>
      </c>
      <c r="M45" s="35">
        <f t="shared" si="3"/>
        <v>830.67249490105473</v>
      </c>
      <c r="N45" s="35">
        <f>SUM(M45:$M$91)</f>
        <v>12277.74675870098</v>
      </c>
      <c r="O45" s="34">
        <f t="shared" si="4"/>
        <v>7.0865505187013413</v>
      </c>
      <c r="P45" s="36">
        <f>SUM(O45:$O$92)</f>
        <v>301.96569667948268</v>
      </c>
      <c r="Q45">
        <f t="shared" si="5"/>
        <v>6.0176249999999995E-3</v>
      </c>
    </row>
    <row r="46" spans="4:17" x14ac:dyDescent="0.2">
      <c r="D46" s="3">
        <v>55</v>
      </c>
      <c r="E46" s="4">
        <v>9.5969999999999996E-3</v>
      </c>
      <c r="G46" s="9">
        <v>44</v>
      </c>
      <c r="H46" s="52">
        <f t="shared" si="0"/>
        <v>55</v>
      </c>
      <c r="I46" s="61">
        <f t="shared" si="1"/>
        <v>9.5969999999999996E-3</v>
      </c>
      <c r="J46" s="14">
        <f t="shared" si="6"/>
        <v>8867.8924578390743</v>
      </c>
      <c r="K46" s="15">
        <f t="shared" si="2"/>
        <v>85.105163917881598</v>
      </c>
      <c r="L46" s="11">
        <f t="shared" si="7"/>
        <v>8.8839074472661997E-2</v>
      </c>
      <c r="M46" s="35">
        <f t="shared" si="3"/>
        <v>787.8153584775232</v>
      </c>
      <c r="N46" s="35">
        <f>SUM(M46:$M$91)</f>
        <v>11447.074263799925</v>
      </c>
      <c r="O46" s="34">
        <f t="shared" si="4"/>
        <v>7.2350851629749195</v>
      </c>
      <c r="P46" s="36">
        <f>SUM(O46:$O$92)</f>
        <v>294.87914616078132</v>
      </c>
      <c r="Q46">
        <f t="shared" si="5"/>
        <v>6.4779749999999995E-3</v>
      </c>
    </row>
    <row r="47" spans="4:17" x14ac:dyDescent="0.2">
      <c r="D47" s="3">
        <v>56</v>
      </c>
      <c r="E47" s="4">
        <v>1.0330000000000001E-2</v>
      </c>
      <c r="G47" s="9">
        <v>45</v>
      </c>
      <c r="H47" s="52">
        <f t="shared" si="0"/>
        <v>56</v>
      </c>
      <c r="I47" s="61">
        <f t="shared" si="1"/>
        <v>1.0330000000000001E-2</v>
      </c>
      <c r="J47" s="14">
        <f t="shared" si="6"/>
        <v>8782.787293921192</v>
      </c>
      <c r="K47" s="15">
        <f t="shared" si="2"/>
        <v>90.726192746205925</v>
      </c>
      <c r="L47" s="11">
        <f t="shared" si="7"/>
        <v>8.5013468394891878E-2</v>
      </c>
      <c r="M47" s="35">
        <f t="shared" si="3"/>
        <v>746.65521003082722</v>
      </c>
      <c r="N47" s="35">
        <f>SUM(M47:$M$91)</f>
        <v>10659.258905322402</v>
      </c>
      <c r="O47" s="34">
        <f t="shared" si="4"/>
        <v>7.3808117891085621</v>
      </c>
      <c r="P47" s="36">
        <f>SUM(O47:$O$92)</f>
        <v>287.64406099780638</v>
      </c>
      <c r="Q47">
        <f t="shared" si="5"/>
        <v>6.9727500000000006E-3</v>
      </c>
    </row>
    <row r="48" spans="4:17" x14ac:dyDescent="0.2">
      <c r="D48" s="3">
        <v>57</v>
      </c>
      <c r="E48" s="4">
        <v>1.1119E-2</v>
      </c>
      <c r="G48" s="9">
        <v>46</v>
      </c>
      <c r="H48" s="52">
        <f t="shared" si="0"/>
        <v>57</v>
      </c>
      <c r="I48" s="61">
        <f t="shared" si="1"/>
        <v>1.1119E-2</v>
      </c>
      <c r="J48" s="14">
        <f t="shared" si="6"/>
        <v>8692.0611011749861</v>
      </c>
      <c r="K48" s="15">
        <f t="shared" si="2"/>
        <v>96.647027383964669</v>
      </c>
      <c r="L48" s="11">
        <f t="shared" si="7"/>
        <v>8.1352601334824776E-2</v>
      </c>
      <c r="M48" s="35">
        <f t="shared" si="3"/>
        <v>707.12178154182664</v>
      </c>
      <c r="N48" s="35">
        <f>SUM(M48:$M$91)</f>
        <v>9912.6036952915765</v>
      </c>
      <c r="O48" s="34">
        <f t="shared" si="4"/>
        <v>7.5239110899172941</v>
      </c>
      <c r="P48" s="36">
        <f>SUM(O48:$O$92)</f>
        <v>280.2632492086978</v>
      </c>
      <c r="Q48">
        <f t="shared" si="5"/>
        <v>7.5053249999999993E-3</v>
      </c>
    </row>
    <row r="49" spans="4:17" x14ac:dyDescent="0.2">
      <c r="D49" s="3">
        <v>58</v>
      </c>
      <c r="E49" s="4">
        <v>1.1967E-2</v>
      </c>
      <c r="G49" s="9">
        <v>47</v>
      </c>
      <c r="H49" s="52">
        <f t="shared" si="0"/>
        <v>58</v>
      </c>
      <c r="I49" s="61">
        <f t="shared" si="1"/>
        <v>1.1967E-2</v>
      </c>
      <c r="J49" s="14">
        <f t="shared" si="6"/>
        <v>8595.414073791022</v>
      </c>
      <c r="K49" s="15">
        <f t="shared" si="2"/>
        <v>102.86132022105716</v>
      </c>
      <c r="L49" s="11">
        <f t="shared" si="7"/>
        <v>7.7849379267774924E-2</v>
      </c>
      <c r="M49" s="35">
        <f t="shared" si="3"/>
        <v>669.14765019412755</v>
      </c>
      <c r="N49" s="35">
        <f>SUM(M49:$M$91)</f>
        <v>9205.4819137497507</v>
      </c>
      <c r="O49" s="34">
        <f t="shared" si="4"/>
        <v>7.6628611769120809</v>
      </c>
      <c r="P49" s="36">
        <f>SUM(O49:$O$92)</f>
        <v>272.73933811878049</v>
      </c>
      <c r="Q49">
        <f t="shared" si="5"/>
        <v>8.0777250000000009E-3</v>
      </c>
    </row>
    <row r="50" spans="4:17" x14ac:dyDescent="0.2">
      <c r="D50" s="3">
        <v>59</v>
      </c>
      <c r="E50" s="4">
        <v>1.2879E-2</v>
      </c>
      <c r="G50" s="9">
        <v>48</v>
      </c>
      <c r="H50" s="52">
        <f t="shared" si="0"/>
        <v>59</v>
      </c>
      <c r="I50" s="61">
        <f t="shared" si="1"/>
        <v>1.2879E-2</v>
      </c>
      <c r="J50" s="14">
        <f t="shared" si="6"/>
        <v>8492.5527535699657</v>
      </c>
      <c r="K50" s="15">
        <f t="shared" si="2"/>
        <v>109.37558691322759</v>
      </c>
      <c r="L50" s="11">
        <f t="shared" si="7"/>
        <v>7.4497013653373134E-2</v>
      </c>
      <c r="M50" s="35">
        <f t="shared" si="3"/>
        <v>632.6698184346933</v>
      </c>
      <c r="N50" s="35">
        <f>SUM(M50:$M$91)</f>
        <v>8536.3342635556255</v>
      </c>
      <c r="O50" s="34">
        <f t="shared" si="4"/>
        <v>7.7972771211678626</v>
      </c>
      <c r="P50" s="36">
        <f>SUM(O50:$O$92)</f>
        <v>265.07647694186846</v>
      </c>
      <c r="Q50">
        <f t="shared" si="5"/>
        <v>8.693325E-3</v>
      </c>
    </row>
    <row r="51" spans="4:17" x14ac:dyDescent="0.2">
      <c r="D51" s="3">
        <v>60</v>
      </c>
      <c r="E51" s="4">
        <v>1.3859999999999999E-2</v>
      </c>
      <c r="G51" s="9">
        <v>49</v>
      </c>
      <c r="H51" s="52">
        <f t="shared" si="0"/>
        <v>60</v>
      </c>
      <c r="I51" s="61">
        <f t="shared" si="1"/>
        <v>1.3859999999999999E-2</v>
      </c>
      <c r="J51" s="14">
        <f t="shared" si="6"/>
        <v>8383.1771666567383</v>
      </c>
      <c r="K51" s="15">
        <f t="shared" si="2"/>
        <v>116.19083552986238</v>
      </c>
      <c r="L51" s="11">
        <f t="shared" si="7"/>
        <v>7.1289008280739849E-2</v>
      </c>
      <c r="M51" s="35">
        <f t="shared" si="3"/>
        <v>597.62838645270142</v>
      </c>
      <c r="N51" s="35">
        <f>SUM(M51:$M$91)</f>
        <v>7903.6644451209359</v>
      </c>
      <c r="O51" s="34">
        <f t="shared" si="4"/>
        <v>7.9264396518989857</v>
      </c>
      <c r="P51" s="36">
        <f>SUM(O51:$O$92)</f>
        <v>257.27919982070051</v>
      </c>
      <c r="Q51">
        <f t="shared" si="5"/>
        <v>9.3554999999999992E-3</v>
      </c>
    </row>
    <row r="52" spans="4:17" x14ac:dyDescent="0.2">
      <c r="D52" s="3">
        <v>61</v>
      </c>
      <c r="E52" s="4">
        <v>1.4914E-2</v>
      </c>
      <c r="G52" s="9">
        <v>50</v>
      </c>
      <c r="H52" s="52">
        <f t="shared" si="0"/>
        <v>61</v>
      </c>
      <c r="I52" s="61">
        <f t="shared" si="1"/>
        <v>1.4914E-2</v>
      </c>
      <c r="J52" s="14">
        <f t="shared" si="6"/>
        <v>8266.9863311268764</v>
      </c>
      <c r="K52" s="15">
        <f t="shared" si="2"/>
        <v>123.29383414242623</v>
      </c>
      <c r="L52" s="11">
        <f t="shared" si="7"/>
        <v>6.8219146680133819E-2</v>
      </c>
      <c r="M52" s="35">
        <f t="shared" si="3"/>
        <v>563.96675312580567</v>
      </c>
      <c r="N52" s="35">
        <f>SUM(M52:$M$91)</f>
        <v>7306.0360586682345</v>
      </c>
      <c r="O52" s="34">
        <f t="shared" si="4"/>
        <v>8.0488039771466688</v>
      </c>
      <c r="P52" s="36">
        <f>SUM(O52:$O$92)</f>
        <v>249.3527601688015</v>
      </c>
      <c r="Q52">
        <f t="shared" si="5"/>
        <v>1.0066950000000002E-2</v>
      </c>
    </row>
    <row r="53" spans="4:17" x14ac:dyDescent="0.2">
      <c r="D53" s="3">
        <v>62</v>
      </c>
      <c r="E53" s="4">
        <v>1.6048E-2</v>
      </c>
      <c r="G53" s="9">
        <v>51</v>
      </c>
      <c r="H53" s="52">
        <f t="shared" si="0"/>
        <v>62</v>
      </c>
      <c r="I53" s="61">
        <f t="shared" si="1"/>
        <v>1.6048E-2</v>
      </c>
      <c r="J53" s="14">
        <f t="shared" si="6"/>
        <v>8143.6924969844504</v>
      </c>
      <c r="K53" s="15">
        <f t="shared" si="2"/>
        <v>130.68997719160646</v>
      </c>
      <c r="L53" s="11">
        <f t="shared" si="7"/>
        <v>6.5281480076683107E-2</v>
      </c>
      <c r="M53" s="35">
        <f t="shared" si="3"/>
        <v>531.63229949252411</v>
      </c>
      <c r="N53" s="35">
        <f>SUM(M53:$M$91)</f>
        <v>6742.069305542429</v>
      </c>
      <c r="O53" s="34">
        <f t="shared" si="4"/>
        <v>8.1642441552689231</v>
      </c>
      <c r="P53" s="36">
        <f>SUM(O53:$O$92)</f>
        <v>241.30395619165483</v>
      </c>
      <c r="Q53">
        <f t="shared" si="5"/>
        <v>1.0832400000000001E-2</v>
      </c>
    </row>
    <row r="54" spans="4:17" x14ac:dyDescent="0.2">
      <c r="D54" s="3">
        <v>63</v>
      </c>
      <c r="E54" s="4">
        <v>1.7264999999999999E-2</v>
      </c>
      <c r="G54" s="9">
        <v>52</v>
      </c>
      <c r="H54" s="52">
        <f t="shared" si="0"/>
        <v>63</v>
      </c>
      <c r="I54" s="61">
        <f t="shared" si="1"/>
        <v>1.7264999999999999E-2</v>
      </c>
      <c r="J54" s="14">
        <f t="shared" si="6"/>
        <v>8013.0025197928435</v>
      </c>
      <c r="K54" s="15">
        <f t="shared" si="2"/>
        <v>138.34448850422345</v>
      </c>
      <c r="L54" s="11">
        <f t="shared" si="7"/>
        <v>6.2470315862854633E-2</v>
      </c>
      <c r="M54" s="35">
        <f t="shared" si="3"/>
        <v>500.57479842130903</v>
      </c>
      <c r="N54" s="35">
        <f>SUM(M54:$M$91)</f>
        <v>6210.4370060499041</v>
      </c>
      <c r="O54" s="34">
        <f t="shared" si="4"/>
        <v>8.2702621002334027</v>
      </c>
      <c r="P54" s="36">
        <f>SUM(O54:$O$92)</f>
        <v>233.1397120363859</v>
      </c>
      <c r="Q54">
        <f t="shared" si="5"/>
        <v>1.1653874999999999E-2</v>
      </c>
    </row>
    <row r="55" spans="4:17" x14ac:dyDescent="0.2">
      <c r="D55" s="3">
        <v>64</v>
      </c>
      <c r="E55" s="4">
        <v>1.8574E-2</v>
      </c>
      <c r="G55" s="9">
        <v>53</v>
      </c>
      <c r="H55" s="52">
        <f t="shared" si="0"/>
        <v>64</v>
      </c>
      <c r="I55" s="61">
        <f t="shared" si="1"/>
        <v>1.8574E-2</v>
      </c>
      <c r="J55" s="14">
        <f t="shared" si="6"/>
        <v>7874.6580312886199</v>
      </c>
      <c r="K55" s="15">
        <f t="shared" si="2"/>
        <v>146.26389827315484</v>
      </c>
      <c r="L55" s="11">
        <f t="shared" si="7"/>
        <v>5.9780206567325044E-2</v>
      </c>
      <c r="M55" s="35">
        <f t="shared" si="3"/>
        <v>470.74868375747883</v>
      </c>
      <c r="N55" s="35">
        <f>SUM(M55:$M$91)</f>
        <v>5709.8622076285947</v>
      </c>
      <c r="O55" s="34">
        <f t="shared" si="4"/>
        <v>8.3671636862310166</v>
      </c>
      <c r="P55" s="36">
        <f>SUM(O55:$O$92)</f>
        <v>224.86944993615251</v>
      </c>
      <c r="Q55">
        <f t="shared" si="5"/>
        <v>1.253745E-2</v>
      </c>
    </row>
    <row r="56" spans="4:17" x14ac:dyDescent="0.2">
      <c r="D56" s="3">
        <v>65</v>
      </c>
      <c r="E56" s="4">
        <v>1.9980000000000001E-2</v>
      </c>
      <c r="G56" s="9">
        <v>54</v>
      </c>
      <c r="H56" s="52">
        <f t="shared" si="0"/>
        <v>65</v>
      </c>
      <c r="I56" s="61">
        <f t="shared" si="1"/>
        <v>1.9980000000000001E-2</v>
      </c>
      <c r="J56" s="14">
        <f t="shared" si="6"/>
        <v>7728.3941330154648</v>
      </c>
      <c r="K56" s="15">
        <f t="shared" si="2"/>
        <v>154.41331477764899</v>
      </c>
      <c r="L56" s="11">
        <f t="shared" si="7"/>
        <v>5.7205939298875637E-2</v>
      </c>
      <c r="M56" s="35">
        <f t="shared" si="3"/>
        <v>442.1100456510693</v>
      </c>
      <c r="N56" s="35">
        <f>SUM(M56:$M$91)</f>
        <v>5239.1135238711149</v>
      </c>
      <c r="O56" s="34">
        <f t="shared" si="4"/>
        <v>8.4529748441228385</v>
      </c>
      <c r="P56" s="36">
        <f>SUM(O56:$O$92)</f>
        <v>216.5022862499215</v>
      </c>
      <c r="Q56">
        <f t="shared" si="5"/>
        <v>1.3486500000000002E-2</v>
      </c>
    </row>
    <row r="57" spans="4:17" x14ac:dyDescent="0.2">
      <c r="D57" s="3">
        <v>66</v>
      </c>
      <c r="E57" s="4">
        <v>2.1489999999999999E-2</v>
      </c>
      <c r="G57" s="9">
        <v>55</v>
      </c>
      <c r="H57" s="52">
        <f t="shared" si="0"/>
        <v>66</v>
      </c>
      <c r="I57" s="61">
        <f t="shared" si="1"/>
        <v>2.1489999999999999E-2</v>
      </c>
      <c r="J57" s="14">
        <f t="shared" si="6"/>
        <v>7573.9808182378156</v>
      </c>
      <c r="K57" s="15">
        <f t="shared" si="2"/>
        <v>162.76484778393063</v>
      </c>
      <c r="L57" s="11">
        <f t="shared" si="7"/>
        <v>5.4742525644857085E-2</v>
      </c>
      <c r="M57" s="35">
        <f t="shared" si="3"/>
        <v>414.61883917603927</v>
      </c>
      <c r="N57" s="35">
        <f>SUM(M57:$M$91)</f>
        <v>4797.0034782200455</v>
      </c>
      <c r="O57" s="34">
        <f t="shared" si="4"/>
        <v>8.526467802768499</v>
      </c>
      <c r="P57" s="36">
        <f>SUM(O57:$O$92)</f>
        <v>208.04931140579865</v>
      </c>
      <c r="Q57">
        <f t="shared" si="5"/>
        <v>1.450575E-2</v>
      </c>
    </row>
    <row r="58" spans="4:17" x14ac:dyDescent="0.2">
      <c r="D58" s="3">
        <v>67</v>
      </c>
      <c r="E58" s="4">
        <v>2.3111E-2</v>
      </c>
      <c r="G58" s="9">
        <v>56</v>
      </c>
      <c r="H58" s="52">
        <f t="shared" si="0"/>
        <v>67</v>
      </c>
      <c r="I58" s="61">
        <f t="shared" si="1"/>
        <v>2.3111E-2</v>
      </c>
      <c r="J58" s="14">
        <f t="shared" si="6"/>
        <v>7411.2159704538853</v>
      </c>
      <c r="K58" s="15">
        <f t="shared" si="2"/>
        <v>171.28061229315975</v>
      </c>
      <c r="L58" s="11">
        <f t="shared" si="7"/>
        <v>5.2385192004647925E-2</v>
      </c>
      <c r="M58" s="35">
        <f t="shared" si="3"/>
        <v>388.23797160013987</v>
      </c>
      <c r="N58" s="35">
        <f>SUM(M58:$M$91)</f>
        <v>4382.3846390440067</v>
      </c>
      <c r="O58" s="34">
        <f t="shared" si="4"/>
        <v>8.5861892455988844</v>
      </c>
      <c r="P58" s="36">
        <f>SUM(O58:$O$92)</f>
        <v>199.52284360303011</v>
      </c>
      <c r="Q58">
        <f t="shared" si="5"/>
        <v>1.5599925000000002E-2</v>
      </c>
    </row>
    <row r="59" spans="4:17" x14ac:dyDescent="0.2">
      <c r="D59" s="3">
        <v>68</v>
      </c>
      <c r="E59" s="4">
        <v>2.4850999999999998E-2</v>
      </c>
      <c r="G59" s="9">
        <v>57</v>
      </c>
      <c r="H59" s="52">
        <f t="shared" si="0"/>
        <v>68</v>
      </c>
      <c r="I59" s="61">
        <f t="shared" si="1"/>
        <v>2.4850999999999998E-2</v>
      </c>
      <c r="J59" s="14">
        <f t="shared" si="6"/>
        <v>7239.9353581607256</v>
      </c>
      <c r="K59" s="15">
        <f t="shared" si="2"/>
        <v>179.91963358565218</v>
      </c>
      <c r="L59" s="11">
        <f t="shared" si="7"/>
        <v>5.0129370339376013E-2</v>
      </c>
      <c r="M59" s="35">
        <f t="shared" si="3"/>
        <v>362.93340080238193</v>
      </c>
      <c r="N59" s="35">
        <f>SUM(M59:$M$91)</f>
        <v>3994.1466674438675</v>
      </c>
      <c r="O59" s="34">
        <f t="shared" si="4"/>
        <v>8.6308688453014284</v>
      </c>
      <c r="P59" s="36">
        <f>SUM(O59:$O$92)</f>
        <v>190.93665435743125</v>
      </c>
      <c r="Q59">
        <f t="shared" si="5"/>
        <v>1.6774424999999999E-2</v>
      </c>
    </row>
    <row r="60" spans="4:17" x14ac:dyDescent="0.2">
      <c r="D60" s="3">
        <v>69</v>
      </c>
      <c r="E60" s="4">
        <v>2.6719999999999997E-2</v>
      </c>
      <c r="G60" s="9">
        <v>58</v>
      </c>
      <c r="H60" s="52">
        <f t="shared" si="0"/>
        <v>69</v>
      </c>
      <c r="I60" s="61">
        <f t="shared" si="1"/>
        <v>2.6719999999999997E-2</v>
      </c>
      <c r="J60" s="14">
        <f t="shared" si="6"/>
        <v>7060.0157245750734</v>
      </c>
      <c r="K60" s="15">
        <f t="shared" si="2"/>
        <v>188.64362016064595</v>
      </c>
      <c r="L60" s="11">
        <f t="shared" si="7"/>
        <v>4.7970689319977049E-2</v>
      </c>
      <c r="M60" s="35">
        <f t="shared" si="3"/>
        <v>338.67382091774351</v>
      </c>
      <c r="N60" s="35">
        <f>SUM(M60:$M$91)</f>
        <v>3631.213266641485</v>
      </c>
      <c r="O60" s="34">
        <f t="shared" si="4"/>
        <v>8.6596789425091938</v>
      </c>
      <c r="P60" s="36">
        <f>SUM(O60:$O$92)</f>
        <v>182.30578551212983</v>
      </c>
      <c r="Q60">
        <f t="shared" si="5"/>
        <v>1.8036E-2</v>
      </c>
    </row>
    <row r="61" spans="4:17" x14ac:dyDescent="0.2">
      <c r="D61" s="3">
        <v>70</v>
      </c>
      <c r="E61" s="4">
        <v>2.8724E-2</v>
      </c>
      <c r="G61" s="9">
        <v>59</v>
      </c>
      <c r="H61" s="52">
        <f t="shared" si="0"/>
        <v>70</v>
      </c>
      <c r="I61" s="61">
        <f t="shared" si="1"/>
        <v>2.8724E-2</v>
      </c>
      <c r="J61" s="14">
        <f t="shared" si="6"/>
        <v>6871.3721044144277</v>
      </c>
      <c r="K61" s="15">
        <f t="shared" si="2"/>
        <v>197.37329232720001</v>
      </c>
      <c r="L61" s="11">
        <f t="shared" si="7"/>
        <v>4.5904965856437378E-2</v>
      </c>
      <c r="M61" s="35">
        <f t="shared" si="3"/>
        <v>315.43010184002054</v>
      </c>
      <c r="N61" s="35">
        <f>SUM(M61:$M$91)</f>
        <v>3292.5394457237421</v>
      </c>
      <c r="O61" s="34">
        <f t="shared" si="4"/>
        <v>8.6702528662705749</v>
      </c>
      <c r="P61" s="36">
        <f>SUM(O61:$O$92)</f>
        <v>173.64610656962063</v>
      </c>
      <c r="Q61">
        <f t="shared" si="5"/>
        <v>1.9388700000000002E-2</v>
      </c>
    </row>
    <row r="62" spans="4:17" x14ac:dyDescent="0.2">
      <c r="D62" s="3">
        <v>71</v>
      </c>
      <c r="E62" s="4">
        <v>3.0873999999999999E-2</v>
      </c>
      <c r="G62" s="9">
        <v>60</v>
      </c>
      <c r="H62" s="52">
        <f t="shared" si="0"/>
        <v>71</v>
      </c>
      <c r="I62" s="61">
        <f t="shared" si="1"/>
        <v>3.0873999999999999E-2</v>
      </c>
      <c r="J62" s="14">
        <f t="shared" si="6"/>
        <v>6673.9988120872276</v>
      </c>
      <c r="K62" s="15">
        <f t="shared" si="2"/>
        <v>206.05303932438105</v>
      </c>
      <c r="L62" s="11">
        <f t="shared" si="7"/>
        <v>4.3928196991806105E-2</v>
      </c>
      <c r="M62" s="35">
        <f t="shared" si="3"/>
        <v>293.17673454044768</v>
      </c>
      <c r="N62" s="35">
        <f>SUM(M62:$M$91)</f>
        <v>2977.109343883722</v>
      </c>
      <c r="O62" s="34">
        <f t="shared" si="4"/>
        <v>8.6617593322505098</v>
      </c>
      <c r="P62" s="36">
        <f>SUM(O62:$O$92)</f>
        <v>164.97585370335005</v>
      </c>
      <c r="Q62">
        <f t="shared" si="5"/>
        <v>2.0839949999999999E-2</v>
      </c>
    </row>
    <row r="63" spans="4:17" x14ac:dyDescent="0.2">
      <c r="D63" s="3">
        <v>72</v>
      </c>
      <c r="E63" s="4">
        <v>3.3180000000000001E-2</v>
      </c>
      <c r="G63" s="9">
        <v>61</v>
      </c>
      <c r="H63" s="52">
        <f t="shared" si="0"/>
        <v>72</v>
      </c>
      <c r="I63" s="61">
        <f t="shared" si="1"/>
        <v>3.3180000000000001E-2</v>
      </c>
      <c r="J63" s="14">
        <f t="shared" si="6"/>
        <v>6467.9457727628469</v>
      </c>
      <c r="K63" s="15">
        <f t="shared" si="2"/>
        <v>214.60644074027127</v>
      </c>
      <c r="L63" s="11">
        <f t="shared" si="7"/>
        <v>4.203655214526901E-2</v>
      </c>
      <c r="M63" s="35">
        <f t="shared" si="3"/>
        <v>271.89013974951769</v>
      </c>
      <c r="N63" s="35">
        <f>SUM(M63:$M$91)</f>
        <v>2683.9326093432742</v>
      </c>
      <c r="O63" s="34">
        <f t="shared" si="4"/>
        <v>8.6328371644870803</v>
      </c>
      <c r="P63" s="36">
        <f>SUM(O63:$O$92)</f>
        <v>156.31409437109954</v>
      </c>
      <c r="Q63">
        <f t="shared" si="5"/>
        <v>2.23965E-2</v>
      </c>
    </row>
    <row r="64" spans="4:17" x14ac:dyDescent="0.2">
      <c r="D64" s="3">
        <v>73</v>
      </c>
      <c r="E64" s="4">
        <v>3.5651000000000002E-2</v>
      </c>
      <c r="G64" s="9">
        <v>62</v>
      </c>
      <c r="H64" s="52">
        <f t="shared" si="0"/>
        <v>73</v>
      </c>
      <c r="I64" s="61">
        <f t="shared" si="1"/>
        <v>3.5651000000000002E-2</v>
      </c>
      <c r="J64" s="14">
        <f t="shared" si="6"/>
        <v>6253.3393320225759</v>
      </c>
      <c r="K64" s="15">
        <f t="shared" si="2"/>
        <v>222.93780052593686</v>
      </c>
      <c r="L64" s="11">
        <f t="shared" si="7"/>
        <v>4.0226365689252648E-2</v>
      </c>
      <c r="M64" s="35">
        <f t="shared" si="3"/>
        <v>251.54911474892702</v>
      </c>
      <c r="N64" s="35">
        <f>SUM(M64:$M$91)</f>
        <v>2412.0424695937559</v>
      </c>
      <c r="O64" s="34">
        <f t="shared" si="4"/>
        <v>8.5817966410660276</v>
      </c>
      <c r="P64" s="36">
        <f>SUM(O64:$O$92)</f>
        <v>147.68125720661243</v>
      </c>
      <c r="Q64">
        <f t="shared" si="5"/>
        <v>2.4064425E-2</v>
      </c>
    </row>
    <row r="65" spans="4:17" x14ac:dyDescent="0.2">
      <c r="D65" s="3">
        <v>74</v>
      </c>
      <c r="E65" s="4">
        <v>3.8299999999999994E-2</v>
      </c>
      <c r="G65" s="9">
        <v>63</v>
      </c>
      <c r="H65" s="52">
        <f t="shared" si="0"/>
        <v>74</v>
      </c>
      <c r="I65" s="61">
        <f t="shared" si="1"/>
        <v>3.8299999999999994E-2</v>
      </c>
      <c r="J65" s="14">
        <f t="shared" si="6"/>
        <v>6030.4015314966391</v>
      </c>
      <c r="K65" s="15">
        <f t="shared" si="2"/>
        <v>230.96437865632123</v>
      </c>
      <c r="L65" s="11">
        <f t="shared" si="7"/>
        <v>3.8494129846174785E-2</v>
      </c>
      <c r="M65" s="35">
        <f t="shared" si="3"/>
        <v>232.13505957800291</v>
      </c>
      <c r="N65" s="35">
        <f>SUM(M65:$M$91)</f>
        <v>2160.4933548448289</v>
      </c>
      <c r="O65" s="34">
        <f t="shared" si="4"/>
        <v>8.5079165376435508</v>
      </c>
      <c r="P65" s="36">
        <f>SUM(O65:$O$92)</f>
        <v>139.09946056554642</v>
      </c>
      <c r="Q65">
        <f t="shared" si="5"/>
        <v>2.5852499999999994E-2</v>
      </c>
    </row>
    <row r="66" spans="4:17" x14ac:dyDescent="0.2">
      <c r="D66" s="3">
        <v>75</v>
      </c>
      <c r="E66" s="4">
        <v>4.1136000000000006E-2</v>
      </c>
      <c r="G66" s="9">
        <v>64</v>
      </c>
      <c r="H66" s="52">
        <f t="shared" si="0"/>
        <v>75</v>
      </c>
      <c r="I66" s="61">
        <f t="shared" si="1"/>
        <v>4.1136000000000006E-2</v>
      </c>
      <c r="J66" s="14">
        <f t="shared" si="6"/>
        <v>5799.437152840318</v>
      </c>
      <c r="K66" s="15">
        <f t="shared" si="2"/>
        <v>238.56564671923937</v>
      </c>
      <c r="L66" s="11">
        <f t="shared" si="7"/>
        <v>3.6836487891076353E-2</v>
      </c>
      <c r="M66" s="35">
        <f t="shared" si="3"/>
        <v>213.63089645566069</v>
      </c>
      <c r="N66" s="35">
        <f>SUM(M66:$M$91)</f>
        <v>1928.358295266826</v>
      </c>
      <c r="O66" s="34">
        <f t="shared" si="4"/>
        <v>8.4094933555981441</v>
      </c>
      <c r="P66" s="36">
        <f>SUM(O66:$O$92)</f>
        <v>130.59154402790284</v>
      </c>
      <c r="Q66">
        <f t="shared" si="5"/>
        <v>2.7766800000000005E-2</v>
      </c>
    </row>
    <row r="67" spans="4:17" x14ac:dyDescent="0.2">
      <c r="D67" s="3">
        <v>76</v>
      </c>
      <c r="E67" s="4">
        <v>4.4173999999999998E-2</v>
      </c>
      <c r="G67" s="9">
        <v>65</v>
      </c>
      <c r="H67" s="52">
        <f t="shared" si="0"/>
        <v>76</v>
      </c>
      <c r="I67" s="61">
        <f t="shared" si="1"/>
        <v>4.4173999999999998E-2</v>
      </c>
      <c r="J67" s="14">
        <f t="shared" si="6"/>
        <v>5560.8715061210787</v>
      </c>
      <c r="K67" s="15">
        <f t="shared" si="2"/>
        <v>245.64593791139251</v>
      </c>
      <c r="L67" s="11">
        <f t="shared" si="7"/>
        <v>3.525022764696302E-2</v>
      </c>
      <c r="M67" s="35">
        <f t="shared" si="3"/>
        <v>196.02198650627813</v>
      </c>
      <c r="N67" s="35">
        <f>SUM(M67:$M$91)</f>
        <v>1714.7273988111654</v>
      </c>
      <c r="O67" s="34">
        <f t="shared" si="4"/>
        <v>8.2861963941897887</v>
      </c>
      <c r="P67" s="36">
        <f>SUM(O67:$O$92)</f>
        <v>122.18205067230471</v>
      </c>
      <c r="Q67">
        <f t="shared" si="5"/>
        <v>2.9817450000000002E-2</v>
      </c>
    </row>
    <row r="68" spans="4:17" x14ac:dyDescent="0.2">
      <c r="D68" s="3">
        <v>77</v>
      </c>
      <c r="E68" s="4">
        <v>4.7424000000000001E-2</v>
      </c>
      <c r="G68" s="9">
        <v>66</v>
      </c>
      <c r="H68" s="52">
        <f t="shared" ref="H68:H92" si="8">D68</f>
        <v>77</v>
      </c>
      <c r="I68" s="61">
        <f t="shared" ref="I68:I92" si="9">E68</f>
        <v>4.7424000000000001E-2</v>
      </c>
      <c r="J68" s="14">
        <f t="shared" si="6"/>
        <v>5315.2255682096866</v>
      </c>
      <c r="K68" s="15">
        <f t="shared" ref="K68:K92" si="10">I68*J68</f>
        <v>252.06925734677617</v>
      </c>
      <c r="L68" s="11">
        <f t="shared" si="7"/>
        <v>3.3732275260251694E-2</v>
      </c>
      <c r="M68" s="35">
        <f t="shared" ref="M68:M92" si="11">J68*L68</f>
        <v>179.29465193717687</v>
      </c>
      <c r="N68" s="35">
        <f>SUM(M68:$M$91)</f>
        <v>1518.7054123048874</v>
      </c>
      <c r="O68" s="34">
        <f t="shared" ref="O68:O92" si="12">K68*L69</f>
        <v>8.1367172951853366</v>
      </c>
      <c r="P68" s="36">
        <f>SUM(O68:$O$92)</f>
        <v>113.89585427811491</v>
      </c>
      <c r="Q68">
        <f t="shared" ref="Q68:Q92" si="13">I68*$T$5*$U$5</f>
        <v>3.2011200000000004E-2</v>
      </c>
    </row>
    <row r="69" spans="4:17" x14ac:dyDescent="0.2">
      <c r="D69" s="3">
        <v>78</v>
      </c>
      <c r="E69" s="4">
        <v>5.0902000000000003E-2</v>
      </c>
      <c r="G69" s="9">
        <v>67</v>
      </c>
      <c r="H69" s="52">
        <f t="shared" si="8"/>
        <v>78</v>
      </c>
      <c r="I69" s="61">
        <f t="shared" si="9"/>
        <v>5.0902000000000003E-2</v>
      </c>
      <c r="J69" s="14">
        <f t="shared" ref="J69:J92" si="14">J68-K68</f>
        <v>5063.1563108629107</v>
      </c>
      <c r="K69" s="15">
        <f t="shared" si="10"/>
        <v>257.72478253554391</v>
      </c>
      <c r="L69" s="11">
        <f t="shared" ref="L69:L92" si="15">(1+$B$2)^(-($H$3+G68))</f>
        <v>3.2279689244260001E-2</v>
      </c>
      <c r="M69" s="35">
        <f t="shared" si="11"/>
        <v>163.43711230976865</v>
      </c>
      <c r="N69" s="35">
        <f>SUM(M69:$M$91)</f>
        <v>1339.4107603677105</v>
      </c>
      <c r="O69" s="34">
        <f t="shared" si="12"/>
        <v>7.9610295605663586</v>
      </c>
      <c r="P69" s="36">
        <f>SUM(O69:$O$92)</f>
        <v>105.75913698292958</v>
      </c>
      <c r="Q69">
        <f t="shared" si="13"/>
        <v>3.4358850000000003E-2</v>
      </c>
    </row>
    <row r="70" spans="4:17" x14ac:dyDescent="0.2">
      <c r="D70" s="3">
        <v>79</v>
      </c>
      <c r="E70" s="4">
        <v>5.4619000000000001E-2</v>
      </c>
      <c r="G70" s="9">
        <v>68</v>
      </c>
      <c r="H70" s="52">
        <f t="shared" si="8"/>
        <v>79</v>
      </c>
      <c r="I70" s="61">
        <f t="shared" si="9"/>
        <v>5.4619000000000001E-2</v>
      </c>
      <c r="J70" s="14">
        <f t="shared" si="14"/>
        <v>4805.4315283273663</v>
      </c>
      <c r="K70" s="15">
        <f t="shared" si="10"/>
        <v>262.46786464571244</v>
      </c>
      <c r="L70" s="11">
        <f t="shared" si="15"/>
        <v>3.0889654779196175E-2</v>
      </c>
      <c r="M70" s="35">
        <f t="shared" si="11"/>
        <v>148.43812097509741</v>
      </c>
      <c r="N70" s="35">
        <f>SUM(M70:$M$91)</f>
        <v>1175.973648057942</v>
      </c>
      <c r="O70" s="34">
        <f t="shared" si="12"/>
        <v>7.7584131383146877</v>
      </c>
      <c r="P70" s="36">
        <f>SUM(O70:$O$92)</f>
        <v>97.798107422363216</v>
      </c>
      <c r="Q70">
        <f t="shared" si="13"/>
        <v>3.6867825E-2</v>
      </c>
    </row>
    <row r="71" spans="4:17" x14ac:dyDescent="0.2">
      <c r="D71" s="3">
        <v>80</v>
      </c>
      <c r="E71" s="4">
        <v>5.8591999999999998E-2</v>
      </c>
      <c r="G71" s="9">
        <v>69</v>
      </c>
      <c r="H71" s="52">
        <f t="shared" si="8"/>
        <v>80</v>
      </c>
      <c r="I71" s="61">
        <f t="shared" si="9"/>
        <v>5.8591999999999998E-2</v>
      </c>
      <c r="J71" s="14">
        <f t="shared" si="14"/>
        <v>4542.963663681654</v>
      </c>
      <c r="K71" s="15">
        <f t="shared" si="10"/>
        <v>266.18132698243545</v>
      </c>
      <c r="L71" s="11">
        <f t="shared" si="15"/>
        <v>2.9559478257604004E-2</v>
      </c>
      <c r="M71" s="35">
        <f t="shared" si="11"/>
        <v>134.28763564168287</v>
      </c>
      <c r="N71" s="35">
        <f>SUM(M71:$M$91)</f>
        <v>1027.5355270828443</v>
      </c>
      <c r="O71" s="34">
        <f t="shared" si="12"/>
        <v>7.5293599497774961</v>
      </c>
      <c r="P71" s="36">
        <f>SUM(O71:$O$92)</f>
        <v>90.039694284048537</v>
      </c>
      <c r="Q71">
        <f t="shared" si="13"/>
        <v>3.9549599999999997E-2</v>
      </c>
    </row>
    <row r="72" spans="4:17" x14ac:dyDescent="0.2">
      <c r="D72" s="3">
        <v>81</v>
      </c>
      <c r="E72" s="4">
        <v>6.2834000000000001E-2</v>
      </c>
      <c r="G72" s="9">
        <v>70</v>
      </c>
      <c r="H72" s="52">
        <f t="shared" si="8"/>
        <v>81</v>
      </c>
      <c r="I72" s="61">
        <f t="shared" si="9"/>
        <v>6.2834000000000001E-2</v>
      </c>
      <c r="J72" s="14">
        <f t="shared" si="14"/>
        <v>4276.7823366992188</v>
      </c>
      <c r="K72" s="15">
        <f t="shared" si="10"/>
        <v>268.72734134415873</v>
      </c>
      <c r="L72" s="11">
        <f t="shared" si="15"/>
        <v>2.8286582064692829E-2</v>
      </c>
      <c r="M72" s="35">
        <f t="shared" si="11"/>
        <v>120.97555453987121</v>
      </c>
      <c r="N72" s="35">
        <f>SUM(M72:$M$91)</f>
        <v>893.2478914411613</v>
      </c>
      <c r="O72" s="34">
        <f t="shared" si="12"/>
        <v>7.2740459272327929</v>
      </c>
      <c r="P72" s="36">
        <f>SUM(O72:$O$92)</f>
        <v>82.51033433427105</v>
      </c>
      <c r="Q72">
        <f t="shared" si="13"/>
        <v>4.2412950000000005E-2</v>
      </c>
    </row>
    <row r="73" spans="4:17" x14ac:dyDescent="0.2">
      <c r="D73" s="3">
        <v>82</v>
      </c>
      <c r="E73" s="4">
        <v>6.7361999999999991E-2</v>
      </c>
      <c r="G73" s="9">
        <v>71</v>
      </c>
      <c r="H73" s="52">
        <f t="shared" si="8"/>
        <v>82</v>
      </c>
      <c r="I73" s="61">
        <f t="shared" si="9"/>
        <v>6.7361999999999991E-2</v>
      </c>
      <c r="J73" s="14">
        <f t="shared" si="14"/>
        <v>4008.0549953550599</v>
      </c>
      <c r="K73" s="15">
        <f t="shared" si="10"/>
        <v>269.99060059710752</v>
      </c>
      <c r="L73" s="11">
        <f t="shared" si="15"/>
        <v>2.7068499583438117E-2</v>
      </c>
      <c r="M73" s="35">
        <f t="shared" si="11"/>
        <v>108.4920349721655</v>
      </c>
      <c r="N73" s="35">
        <f>SUM(M73:$M$91)</f>
        <v>772.27233690129015</v>
      </c>
      <c r="O73" s="34">
        <f t="shared" si="12"/>
        <v>6.9935315404736969</v>
      </c>
      <c r="P73" s="36">
        <f>SUM(O73:$O$92)</f>
        <v>75.236288407038245</v>
      </c>
      <c r="Q73">
        <f t="shared" si="13"/>
        <v>4.5469349999999999E-2</v>
      </c>
    </row>
    <row r="74" spans="4:17" x14ac:dyDescent="0.2">
      <c r="D74" s="3">
        <v>83</v>
      </c>
      <c r="E74" s="4">
        <v>7.2190000000000004E-2</v>
      </c>
      <c r="G74" s="9">
        <v>72</v>
      </c>
      <c r="H74" s="52">
        <f t="shared" si="8"/>
        <v>83</v>
      </c>
      <c r="I74" s="61">
        <f t="shared" si="9"/>
        <v>7.2190000000000004E-2</v>
      </c>
      <c r="J74" s="14">
        <f t="shared" si="14"/>
        <v>3738.0643947579524</v>
      </c>
      <c r="K74" s="15">
        <f t="shared" si="10"/>
        <v>269.8508686575766</v>
      </c>
      <c r="L74" s="11">
        <f t="shared" si="15"/>
        <v>2.5902870414773321E-2</v>
      </c>
      <c r="M74" s="35">
        <f t="shared" si="11"/>
        <v>96.826597619493313</v>
      </c>
      <c r="N74" s="35">
        <f>SUM(M74:$M$91)</f>
        <v>663.78030192912468</v>
      </c>
      <c r="O74" s="34">
        <f t="shared" si="12"/>
        <v>6.6889110833982999</v>
      </c>
      <c r="P74" s="36">
        <f>SUM(O74:$O$92)</f>
        <v>68.242756866564577</v>
      </c>
      <c r="Q74">
        <f t="shared" si="13"/>
        <v>4.8728250000000001E-2</v>
      </c>
    </row>
    <row r="75" spans="4:17" x14ac:dyDescent="0.2">
      <c r="D75" s="3">
        <v>84</v>
      </c>
      <c r="E75" s="4">
        <v>7.7337000000000003E-2</v>
      </c>
      <c r="G75" s="9">
        <v>73</v>
      </c>
      <c r="H75" s="52">
        <f t="shared" si="8"/>
        <v>84</v>
      </c>
      <c r="I75" s="61">
        <f t="shared" si="9"/>
        <v>7.7337000000000003E-2</v>
      </c>
      <c r="J75" s="14">
        <f t="shared" si="14"/>
        <v>3468.2135261003759</v>
      </c>
      <c r="K75" s="15">
        <f t="shared" si="10"/>
        <v>268.22122946802477</v>
      </c>
      <c r="L75" s="11">
        <f t="shared" si="15"/>
        <v>2.4787435803610838E-2</v>
      </c>
      <c r="M75" s="35">
        <f t="shared" si="11"/>
        <v>85.968120131427852</v>
      </c>
      <c r="N75" s="35">
        <f>SUM(M75:$M$91)</f>
        <v>566.95370430963135</v>
      </c>
      <c r="O75" s="34">
        <f t="shared" si="12"/>
        <v>6.3622167527313263</v>
      </c>
      <c r="P75" s="36">
        <f>SUM(O75:$O$92)</f>
        <v>61.553845783166281</v>
      </c>
      <c r="Q75">
        <f t="shared" si="13"/>
        <v>5.2202475000000005E-2</v>
      </c>
    </row>
    <row r="76" spans="4:17" x14ac:dyDescent="0.2">
      <c r="D76" s="3">
        <v>85</v>
      </c>
      <c r="E76" s="4">
        <v>8.2816999999999988E-2</v>
      </c>
      <c r="G76" s="9">
        <v>74</v>
      </c>
      <c r="H76" s="52">
        <f t="shared" si="8"/>
        <v>85</v>
      </c>
      <c r="I76" s="61">
        <f t="shared" si="9"/>
        <v>8.2816999999999988E-2</v>
      </c>
      <c r="J76" s="14">
        <f t="shared" si="14"/>
        <v>3199.9922966323511</v>
      </c>
      <c r="K76" s="15">
        <f t="shared" si="10"/>
        <v>265.01376203020141</v>
      </c>
      <c r="L76" s="11">
        <f t="shared" si="15"/>
        <v>2.3720034261828553E-2</v>
      </c>
      <c r="M76" s="35">
        <f t="shared" si="11"/>
        <v>75.903926913706812</v>
      </c>
      <c r="N76" s="35">
        <f>SUM(M76:$M$91)</f>
        <v>480.98558417820368</v>
      </c>
      <c r="O76" s="34">
        <f t="shared" si="12"/>
        <v>6.0154406844138348</v>
      </c>
      <c r="P76" s="36">
        <f>SUM(O76:$O$92)</f>
        <v>55.191629030434953</v>
      </c>
      <c r="Q76">
        <f t="shared" si="13"/>
        <v>5.5901474999999999E-2</v>
      </c>
    </row>
    <row r="77" spans="4:17" x14ac:dyDescent="0.2">
      <c r="D77" s="3">
        <v>86</v>
      </c>
      <c r="E77" s="4">
        <v>8.8649000000000006E-2</v>
      </c>
      <c r="G77" s="9">
        <v>75</v>
      </c>
      <c r="H77" s="52">
        <f t="shared" si="8"/>
        <v>86</v>
      </c>
      <c r="I77" s="61">
        <f t="shared" si="9"/>
        <v>8.8649000000000006E-2</v>
      </c>
      <c r="J77" s="14">
        <f t="shared" si="14"/>
        <v>2934.9785346021499</v>
      </c>
      <c r="K77" s="15">
        <f t="shared" si="10"/>
        <v>260.18291211394603</v>
      </c>
      <c r="L77" s="11">
        <f t="shared" si="15"/>
        <v>2.2698597379740247E-2</v>
      </c>
      <c r="M77" s="35">
        <f t="shared" si="11"/>
        <v>66.619896075114227</v>
      </c>
      <c r="N77" s="35">
        <f>SUM(M77:$M$91)</f>
        <v>405.08165726449693</v>
      </c>
      <c r="O77" s="34">
        <f t="shared" si="12"/>
        <v>5.6514709733615334</v>
      </c>
      <c r="P77" s="36">
        <f>SUM(O77:$O$92)</f>
        <v>49.176188346021114</v>
      </c>
      <c r="Q77">
        <f t="shared" si="13"/>
        <v>5.9838075000000011E-2</v>
      </c>
    </row>
    <row r="78" spans="4:17" x14ac:dyDescent="0.2">
      <c r="D78" s="3">
        <v>87</v>
      </c>
      <c r="E78" s="4">
        <v>9.484999999999999E-2</v>
      </c>
      <c r="G78" s="9">
        <v>76</v>
      </c>
      <c r="H78" s="52">
        <f t="shared" si="8"/>
        <v>87</v>
      </c>
      <c r="I78" s="61">
        <f t="shared" si="9"/>
        <v>9.484999999999999E-2</v>
      </c>
      <c r="J78" s="14">
        <f t="shared" si="14"/>
        <v>2674.7956224882037</v>
      </c>
      <c r="K78" s="15">
        <f t="shared" si="10"/>
        <v>253.70436479300608</v>
      </c>
      <c r="L78" s="11">
        <f t="shared" si="15"/>
        <v>2.172114581793325E-2</v>
      </c>
      <c r="M78" s="35">
        <f t="shared" si="11"/>
        <v>58.099625749235805</v>
      </c>
      <c r="N78" s="35">
        <f>SUM(M78:$M$91)</f>
        <v>338.46176118938268</v>
      </c>
      <c r="O78" s="34">
        <f t="shared" si="12"/>
        <v>5.2734444998229826</v>
      </c>
      <c r="P78" s="36">
        <f>SUM(O78:$O$92)</f>
        <v>43.52471737265958</v>
      </c>
      <c r="Q78">
        <f t="shared" si="13"/>
        <v>6.402374999999999E-2</v>
      </c>
    </row>
    <row r="79" spans="4:17" x14ac:dyDescent="0.2">
      <c r="D79" s="3">
        <v>88</v>
      </c>
      <c r="E79" s="4">
        <v>0.10143600000000001</v>
      </c>
      <c r="G79" s="9">
        <v>77</v>
      </c>
      <c r="H79" s="52">
        <f t="shared" si="8"/>
        <v>88</v>
      </c>
      <c r="I79" s="61">
        <f t="shared" si="9"/>
        <v>0.10143600000000001</v>
      </c>
      <c r="J79" s="14">
        <f t="shared" si="14"/>
        <v>2421.0912576951978</v>
      </c>
      <c r="K79" s="15">
        <f t="shared" si="10"/>
        <v>245.58581281557011</v>
      </c>
      <c r="L79" s="11">
        <f t="shared" si="15"/>
        <v>2.0785785471706463E-2</v>
      </c>
      <c r="M79" s="35">
        <f t="shared" si="11"/>
        <v>50.324283489876372</v>
      </c>
      <c r="N79" s="35">
        <f>SUM(M79:$M$91)</f>
        <v>280.36213544014691</v>
      </c>
      <c r="O79" s="34">
        <f t="shared" si="12"/>
        <v>4.8848746603627751</v>
      </c>
      <c r="P79" s="36">
        <f>SUM(O79:$O$92)</f>
        <v>38.251272872836587</v>
      </c>
      <c r="Q79">
        <f t="shared" si="13"/>
        <v>6.8469300000000011E-2</v>
      </c>
    </row>
    <row r="80" spans="4:17" x14ac:dyDescent="0.2">
      <c r="D80" s="3">
        <v>89</v>
      </c>
      <c r="E80" s="4">
        <v>0.10842400000000001</v>
      </c>
      <c r="G80" s="9">
        <v>78</v>
      </c>
      <c r="H80" s="52">
        <f t="shared" si="8"/>
        <v>89</v>
      </c>
      <c r="I80" s="61">
        <f t="shared" si="9"/>
        <v>0.10842400000000001</v>
      </c>
      <c r="J80" s="14">
        <f t="shared" si="14"/>
        <v>2175.5054448796277</v>
      </c>
      <c r="K80" s="15">
        <f t="shared" si="10"/>
        <v>235.87700235562878</v>
      </c>
      <c r="L80" s="11">
        <f t="shared" si="15"/>
        <v>1.9890703800676042E-2</v>
      </c>
      <c r="M80" s="35">
        <f t="shared" si="11"/>
        <v>43.272334420858634</v>
      </c>
      <c r="N80" s="35">
        <f>SUM(M80:$M$91)</f>
        <v>230.03785195027049</v>
      </c>
      <c r="O80" s="34">
        <f t="shared" si="12"/>
        <v>4.489722093059501</v>
      </c>
      <c r="P80" s="36">
        <f>SUM(O80:$O$92)</f>
        <v>33.366398212473811</v>
      </c>
      <c r="Q80">
        <f t="shared" si="13"/>
        <v>7.3186200000000007E-2</v>
      </c>
    </row>
    <row r="81" spans="4:17" x14ac:dyDescent="0.2">
      <c r="D81" s="3">
        <v>90</v>
      </c>
      <c r="E81" s="4">
        <v>0.11583199999999999</v>
      </c>
      <c r="G81" s="9">
        <v>79</v>
      </c>
      <c r="H81" s="52">
        <f t="shared" si="8"/>
        <v>90</v>
      </c>
      <c r="I81" s="61">
        <f t="shared" si="9"/>
        <v>0.11583199999999999</v>
      </c>
      <c r="J81" s="14">
        <f t="shared" si="14"/>
        <v>1939.628442523999</v>
      </c>
      <c r="K81" s="15">
        <f t="shared" si="10"/>
        <v>224.67104175443984</v>
      </c>
      <c r="L81" s="11">
        <f t="shared" si="15"/>
        <v>1.903416631643641E-2</v>
      </c>
      <c r="M81" s="35">
        <f t="shared" si="11"/>
        <v>36.919210367092319</v>
      </c>
      <c r="N81" s="35">
        <f>SUM(M81:$M$91)</f>
        <v>186.76551752941182</v>
      </c>
      <c r="O81" s="34">
        <f t="shared" si="12"/>
        <v>4.0922736605177379</v>
      </c>
      <c r="P81" s="36">
        <f>SUM(O81:$O$92)</f>
        <v>28.876676119414313</v>
      </c>
      <c r="Q81">
        <f t="shared" si="13"/>
        <v>7.8186599999999995E-2</v>
      </c>
    </row>
    <row r="82" spans="4:17" x14ac:dyDescent="0.2">
      <c r="D82" s="3">
        <v>91</v>
      </c>
      <c r="E82" s="4">
        <v>0.12367700000000001</v>
      </c>
      <c r="G82" s="9">
        <v>80</v>
      </c>
      <c r="H82" s="52">
        <f t="shared" si="8"/>
        <v>91</v>
      </c>
      <c r="I82" s="61">
        <f t="shared" si="9"/>
        <v>0.12367700000000001</v>
      </c>
      <c r="J82" s="14">
        <f t="shared" si="14"/>
        <v>1714.9574007695592</v>
      </c>
      <c r="K82" s="15">
        <f t="shared" si="10"/>
        <v>212.1007864549768</v>
      </c>
      <c r="L82" s="11">
        <f t="shared" si="15"/>
        <v>1.8214513221470247E-2</v>
      </c>
      <c r="M82" s="35">
        <f t="shared" si="11"/>
        <v>31.237114250575384</v>
      </c>
      <c r="N82" s="35">
        <f>SUM(M82:$M$91)</f>
        <v>149.8463071623195</v>
      </c>
      <c r="O82" s="34">
        <f t="shared" si="12"/>
        <v>3.6969498365247979</v>
      </c>
      <c r="P82" s="36">
        <f>SUM(O82:$O$92)</f>
        <v>24.784402458896576</v>
      </c>
      <c r="Q82">
        <f t="shared" si="13"/>
        <v>8.3481975E-2</v>
      </c>
    </row>
    <row r="83" spans="4:17" x14ac:dyDescent="0.2">
      <c r="D83" s="3">
        <v>92</v>
      </c>
      <c r="E83" s="4">
        <v>0.13197300000000001</v>
      </c>
      <c r="G83" s="9">
        <v>81</v>
      </c>
      <c r="H83" s="52">
        <f t="shared" si="8"/>
        <v>92</v>
      </c>
      <c r="I83" s="61">
        <f t="shared" si="9"/>
        <v>0.13197300000000001</v>
      </c>
      <c r="J83" s="14">
        <f t="shared" si="14"/>
        <v>1502.8566143145824</v>
      </c>
      <c r="K83" s="15">
        <f t="shared" si="10"/>
        <v>198.33649596093841</v>
      </c>
      <c r="L83" s="11">
        <f t="shared" si="15"/>
        <v>1.7430156192794501E-2</v>
      </c>
      <c r="M83" s="35">
        <f t="shared" si="11"/>
        <v>26.195025522877497</v>
      </c>
      <c r="N83" s="35">
        <f>SUM(M83:$M$91)</f>
        <v>118.60919291174415</v>
      </c>
      <c r="O83" s="34">
        <f t="shared" si="12"/>
        <v>3.308168519933695</v>
      </c>
      <c r="P83" s="36">
        <f>SUM(O83:$O$92)</f>
        <v>21.087452622371778</v>
      </c>
      <c r="Q83">
        <f t="shared" si="13"/>
        <v>8.9081775000000002E-2</v>
      </c>
    </row>
    <row r="84" spans="4:17" x14ac:dyDescent="0.2">
      <c r="D84" s="3">
        <v>93</v>
      </c>
      <c r="E84" s="4">
        <v>0.140737</v>
      </c>
      <c r="G84" s="9">
        <v>82</v>
      </c>
      <c r="H84" s="52">
        <f t="shared" si="8"/>
        <v>93</v>
      </c>
      <c r="I84" s="61">
        <f t="shared" si="9"/>
        <v>0.140737</v>
      </c>
      <c r="J84" s="14">
        <f t="shared" si="14"/>
        <v>1304.520118353644</v>
      </c>
      <c r="K84" s="15">
        <f t="shared" si="10"/>
        <v>183.59424789673679</v>
      </c>
      <c r="L84" s="11">
        <f t="shared" si="15"/>
        <v>1.6679575304109566E-2</v>
      </c>
      <c r="M84" s="35">
        <f t="shared" si="11"/>
        <v>21.758841549805528</v>
      </c>
      <c r="N84" s="35">
        <f>SUM(M84:$M$91)</f>
        <v>92.414167388866645</v>
      </c>
      <c r="O84" s="34">
        <f t="shared" si="12"/>
        <v>2.930405821239217</v>
      </c>
      <c r="P84" s="36">
        <f>SUM(O84:$O$92)</f>
        <v>17.779284102438083</v>
      </c>
      <c r="Q84">
        <f t="shared" si="13"/>
        <v>9.4997474999999998E-2</v>
      </c>
    </row>
    <row r="85" spans="4:17" x14ac:dyDescent="0.2">
      <c r="D85" s="3">
        <v>94</v>
      </c>
      <c r="E85" s="4">
        <v>0.14998300000000001</v>
      </c>
      <c r="G85" s="9">
        <v>83</v>
      </c>
      <c r="H85" s="52">
        <f t="shared" si="8"/>
        <v>94</v>
      </c>
      <c r="I85" s="61">
        <f t="shared" si="9"/>
        <v>0.14998300000000001</v>
      </c>
      <c r="J85" s="14">
        <f t="shared" si="14"/>
        <v>1120.9258704569072</v>
      </c>
      <c r="K85" s="15">
        <f t="shared" si="10"/>
        <v>168.11982482873833</v>
      </c>
      <c r="L85" s="11">
        <f t="shared" si="15"/>
        <v>1.596131608048763E-2</v>
      </c>
      <c r="M85" s="35">
        <f t="shared" si="11"/>
        <v>17.891452121158427</v>
      </c>
      <c r="N85" s="35">
        <f>SUM(M85:$M$91)</f>
        <v>70.655325839061092</v>
      </c>
      <c r="O85" s="34">
        <f t="shared" si="12"/>
        <v>2.5678599650600038</v>
      </c>
      <c r="P85" s="36">
        <f>SUM(O85:$O$92)</f>
        <v>14.848878281198868</v>
      </c>
      <c r="Q85">
        <f t="shared" si="13"/>
        <v>0.10123852500000001</v>
      </c>
    </row>
    <row r="86" spans="4:17" x14ac:dyDescent="0.2">
      <c r="D86" s="3">
        <v>95</v>
      </c>
      <c r="E86" s="4">
        <v>0.159723</v>
      </c>
      <c r="G86" s="9">
        <v>84</v>
      </c>
      <c r="H86" s="52">
        <f t="shared" si="8"/>
        <v>95</v>
      </c>
      <c r="I86" s="61">
        <f t="shared" si="9"/>
        <v>0.159723</v>
      </c>
      <c r="J86" s="14">
        <f t="shared" si="14"/>
        <v>952.80604562816893</v>
      </c>
      <c r="K86" s="15">
        <f t="shared" si="10"/>
        <v>152.18504002586803</v>
      </c>
      <c r="L86" s="11">
        <f t="shared" si="15"/>
        <v>1.5273986679892465E-2</v>
      </c>
      <c r="M86" s="35">
        <f t="shared" si="11"/>
        <v>14.553146849445664</v>
      </c>
      <c r="N86" s="35">
        <f>SUM(M86:$M$91)</f>
        <v>52.763873717902683</v>
      </c>
      <c r="O86" s="34">
        <f t="shared" si="12"/>
        <v>2.2243753820421159</v>
      </c>
      <c r="P86" s="36">
        <f>SUM(O86:$O$92)</f>
        <v>12.281018316138862</v>
      </c>
      <c r="Q86">
        <f t="shared" si="13"/>
        <v>0.10781302500000001</v>
      </c>
    </row>
    <row r="87" spans="4:17" x14ac:dyDescent="0.2">
      <c r="D87" s="3">
        <v>96</v>
      </c>
      <c r="E87" s="4">
        <v>0.16997000000000001</v>
      </c>
      <c r="G87" s="9">
        <v>85</v>
      </c>
      <c r="H87" s="52">
        <f t="shared" si="8"/>
        <v>96</v>
      </c>
      <c r="I87" s="61">
        <f t="shared" si="9"/>
        <v>0.16997000000000001</v>
      </c>
      <c r="J87" s="14">
        <f t="shared" si="14"/>
        <v>800.6210056023009</v>
      </c>
      <c r="K87" s="15">
        <f t="shared" si="10"/>
        <v>136.0815523222231</v>
      </c>
      <c r="L87" s="11">
        <f t="shared" si="15"/>
        <v>1.4616255196069352E-2</v>
      </c>
      <c r="M87" s="35">
        <f t="shared" si="11"/>
        <v>11.7020809332169</v>
      </c>
      <c r="N87" s="35">
        <f>SUM(M87:$M$91)</f>
        <v>38.210726868457016</v>
      </c>
      <c r="O87" s="34">
        <f t="shared" si="12"/>
        <v>1.9033518624104089</v>
      </c>
      <c r="P87" s="36">
        <f>SUM(O87:$O$92)</f>
        <v>10.056642934096747</v>
      </c>
      <c r="Q87">
        <f t="shared" si="13"/>
        <v>0.11472975000000002</v>
      </c>
    </row>
    <row r="88" spans="4:17" x14ac:dyDescent="0.2">
      <c r="D88" s="3">
        <v>97</v>
      </c>
      <c r="E88" s="4">
        <v>0.180733</v>
      </c>
      <c r="G88" s="9">
        <v>86</v>
      </c>
      <c r="H88" s="52">
        <f t="shared" si="8"/>
        <v>97</v>
      </c>
      <c r="I88" s="61">
        <f t="shared" si="9"/>
        <v>0.180733</v>
      </c>
      <c r="J88" s="14">
        <f t="shared" si="14"/>
        <v>664.53945328007785</v>
      </c>
      <c r="K88" s="15">
        <f t="shared" si="10"/>
        <v>120.10420900966831</v>
      </c>
      <c r="L88" s="11">
        <f t="shared" si="15"/>
        <v>1.3986847077578331E-2</v>
      </c>
      <c r="M88" s="35">
        <f t="shared" si="11"/>
        <v>9.2948117100459591</v>
      </c>
      <c r="N88" s="35">
        <f>SUM(M88:$M$91)</f>
        <v>26.508645935240121</v>
      </c>
      <c r="O88" s="34">
        <f t="shared" si="12"/>
        <v>1.6075399088916138</v>
      </c>
      <c r="P88" s="36">
        <f>SUM(O88:$O$92)</f>
        <v>8.1532910716863398</v>
      </c>
      <c r="Q88">
        <f t="shared" si="13"/>
        <v>0.121994775</v>
      </c>
    </row>
    <row r="89" spans="4:17" x14ac:dyDescent="0.2">
      <c r="D89" s="3">
        <v>98</v>
      </c>
      <c r="E89" s="4">
        <v>0.19202000000000002</v>
      </c>
      <c r="G89" s="9">
        <v>87</v>
      </c>
      <c r="H89" s="52">
        <f t="shared" si="8"/>
        <v>98</v>
      </c>
      <c r="I89" s="61">
        <f t="shared" si="9"/>
        <v>0.19202000000000002</v>
      </c>
      <c r="J89" s="14">
        <f t="shared" si="14"/>
        <v>544.4352442704095</v>
      </c>
      <c r="K89" s="15">
        <f t="shared" si="10"/>
        <v>104.54245560480405</v>
      </c>
      <c r="L89" s="11">
        <f t="shared" si="15"/>
        <v>1.3384542657969695E-2</v>
      </c>
      <c r="M89" s="35">
        <f t="shared" si="11"/>
        <v>7.287016751439447</v>
      </c>
      <c r="N89" s="35">
        <f>SUM(M89:$M$91)</f>
        <v>17.213834225194159</v>
      </c>
      <c r="O89" s="34">
        <f t="shared" si="12"/>
        <v>1.3389980446042133</v>
      </c>
      <c r="P89" s="36">
        <f>SUM(O89:$O$92)</f>
        <v>6.5457511627947245</v>
      </c>
      <c r="Q89">
        <f t="shared" si="13"/>
        <v>0.12961350000000002</v>
      </c>
    </row>
    <row r="90" spans="4:17" x14ac:dyDescent="0.2">
      <c r="D90" s="3">
        <v>99</v>
      </c>
      <c r="E90" s="4">
        <v>0.20383699999999999</v>
      </c>
      <c r="G90" s="9">
        <v>88</v>
      </c>
      <c r="H90" s="52">
        <f t="shared" si="8"/>
        <v>99</v>
      </c>
      <c r="I90" s="61">
        <f t="shared" si="9"/>
        <v>0.20383699999999999</v>
      </c>
      <c r="J90" s="14">
        <f t="shared" si="14"/>
        <v>439.89278866560545</v>
      </c>
      <c r="K90" s="15">
        <f t="shared" si="10"/>
        <v>89.666426363231011</v>
      </c>
      <c r="L90" s="11">
        <f t="shared" si="15"/>
        <v>1.2808174792315498E-2</v>
      </c>
      <c r="M90" s="35">
        <f t="shared" si="11"/>
        <v>5.6342237271081768</v>
      </c>
      <c r="N90" s="35">
        <f>SUM(M90:$M$91)</f>
        <v>9.9268174737547117</v>
      </c>
      <c r="O90" s="34">
        <f t="shared" si="12"/>
        <v>1.0990079060885642</v>
      </c>
      <c r="P90" s="36">
        <f>SUM(O90:$O$92)</f>
        <v>5.2067531181905116</v>
      </c>
      <c r="Q90">
        <f t="shared" si="13"/>
        <v>0.13758997499999998</v>
      </c>
    </row>
    <row r="91" spans="4:17" x14ac:dyDescent="0.2">
      <c r="D91" s="3">
        <v>100</v>
      </c>
      <c r="E91" s="4">
        <v>1</v>
      </c>
      <c r="G91" s="9">
        <v>89</v>
      </c>
      <c r="H91" s="52">
        <f t="shared" si="8"/>
        <v>100</v>
      </c>
      <c r="I91" s="61">
        <f t="shared" si="9"/>
        <v>1</v>
      </c>
      <c r="J91" s="14">
        <f t="shared" si="14"/>
        <v>350.22636230237447</v>
      </c>
      <c r="K91" s="15">
        <f t="shared" si="10"/>
        <v>350.22636230237447</v>
      </c>
      <c r="L91" s="11">
        <f t="shared" si="15"/>
        <v>1.2256626595517227E-2</v>
      </c>
      <c r="M91" s="35">
        <f t="shared" si="11"/>
        <v>4.2925937466465349</v>
      </c>
      <c r="N91" s="35">
        <f>SUM(M91:$M$91)</f>
        <v>4.2925937466465349</v>
      </c>
      <c r="O91" s="34">
        <f t="shared" si="12"/>
        <v>4.1077452121019471</v>
      </c>
      <c r="P91" s="36">
        <f>SUM(O91:$O$92)</f>
        <v>4.1077452121019471</v>
      </c>
      <c r="Q91">
        <f t="shared" si="13"/>
        <v>0.67500000000000004</v>
      </c>
    </row>
    <row r="92" spans="4:17" ht="17" thickBot="1" x14ac:dyDescent="0.25">
      <c r="D92" s="5">
        <v>101</v>
      </c>
      <c r="E92" s="6">
        <v>1</v>
      </c>
      <c r="G92" s="9">
        <v>90</v>
      </c>
      <c r="H92" s="52">
        <f t="shared" si="8"/>
        <v>101</v>
      </c>
      <c r="I92" s="61">
        <f t="shared" si="9"/>
        <v>1</v>
      </c>
      <c r="J92" s="14">
        <f t="shared" si="14"/>
        <v>0</v>
      </c>
      <c r="K92" s="15">
        <f t="shared" si="10"/>
        <v>0</v>
      </c>
      <c r="L92" s="11">
        <f t="shared" si="15"/>
        <v>1.1728829278006916E-2</v>
      </c>
      <c r="M92" s="35">
        <f t="shared" si="11"/>
        <v>0</v>
      </c>
      <c r="N92" s="35">
        <f>SUM(M$91:$M92)</f>
        <v>4.2925937466465349</v>
      </c>
      <c r="O92" s="34">
        <f t="shared" si="12"/>
        <v>0</v>
      </c>
      <c r="P92" s="36">
        <f>SUM(O92:$O$92)</f>
        <v>0</v>
      </c>
      <c r="Q92">
        <f t="shared" si="13"/>
        <v>0.67500000000000004</v>
      </c>
    </row>
    <row r="93" spans="4:17" x14ac:dyDescent="0.2">
      <c r="G93" s="8"/>
      <c r="H93" s="8"/>
      <c r="J93" s="8"/>
      <c r="K93" s="8"/>
      <c r="L93" s="8"/>
      <c r="M93" s="8"/>
      <c r="N93" s="8"/>
      <c r="O93" s="8"/>
      <c r="P93" s="8"/>
    </row>
    <row r="94" spans="4:17" x14ac:dyDescent="0.2">
      <c r="G94" s="8"/>
      <c r="H94" s="8"/>
      <c r="J94" s="8"/>
      <c r="K94" s="8"/>
      <c r="L94" s="8"/>
      <c r="M94" s="8"/>
      <c r="N94" s="8"/>
      <c r="O94" s="8"/>
      <c r="P94" s="8"/>
    </row>
    <row r="95" spans="4:17" x14ac:dyDescent="0.2">
      <c r="G95" s="8"/>
      <c r="H95" s="8"/>
      <c r="J95" s="8"/>
      <c r="K95" s="8"/>
      <c r="L95" s="8"/>
      <c r="M95" s="8"/>
      <c r="N95" s="8"/>
      <c r="O95" s="8"/>
      <c r="P95" s="8"/>
    </row>
    <row r="96" spans="4:17" x14ac:dyDescent="0.2">
      <c r="G96" s="8"/>
      <c r="H96" s="8"/>
      <c r="J96" s="8"/>
      <c r="K96" s="8"/>
      <c r="L96" s="8"/>
      <c r="M96" s="8"/>
      <c r="N96" s="8"/>
      <c r="O96" s="8"/>
      <c r="P96" s="8"/>
    </row>
    <row r="97" spans="7:16" x14ac:dyDescent="0.2">
      <c r="G97" s="8"/>
      <c r="H97" s="8"/>
      <c r="J97" s="8"/>
      <c r="K97" s="8"/>
      <c r="L97" s="8"/>
      <c r="M97" s="8"/>
      <c r="N97" s="8"/>
      <c r="O97" s="8"/>
      <c r="P97" s="8"/>
    </row>
    <row r="98" spans="7:16" x14ac:dyDescent="0.2">
      <c r="G98" s="8"/>
      <c r="H98" s="8"/>
      <c r="J98" s="8"/>
      <c r="K98" s="8"/>
      <c r="L98" s="8"/>
      <c r="M98" s="8"/>
      <c r="N98" s="8"/>
      <c r="O98" s="8"/>
      <c r="P98" s="8"/>
    </row>
    <row r="99" spans="7:16" x14ac:dyDescent="0.2">
      <c r="G99" s="8"/>
      <c r="H99" s="8"/>
      <c r="J99" s="8"/>
      <c r="K99" s="8"/>
      <c r="L99" s="8"/>
      <c r="M99" s="8"/>
      <c r="N99" s="8"/>
      <c r="O99" s="8"/>
      <c r="P99" s="8"/>
    </row>
    <row r="100" spans="7:16" x14ac:dyDescent="0.2">
      <c r="G100" s="8"/>
      <c r="H100" s="8"/>
      <c r="J100" s="8"/>
      <c r="K100" s="8"/>
      <c r="L100" s="8"/>
      <c r="M100" s="8"/>
      <c r="N100" s="8"/>
      <c r="O100" s="8"/>
      <c r="P100" s="8"/>
    </row>
    <row r="101" spans="7:16" x14ac:dyDescent="0.2">
      <c r="G101" s="8"/>
      <c r="H101" s="8"/>
      <c r="J101" s="8"/>
      <c r="K101" s="8"/>
      <c r="L101" s="8"/>
      <c r="M101" s="8"/>
      <c r="N101" s="8"/>
      <c r="O101" s="8"/>
      <c r="P101" s="8"/>
    </row>
    <row r="102" spans="7:16" x14ac:dyDescent="0.2">
      <c r="G102" s="8"/>
      <c r="H102" s="8"/>
      <c r="J102" s="8"/>
      <c r="K102" s="8"/>
      <c r="L102" s="8"/>
      <c r="M102" s="8"/>
      <c r="N102" s="8"/>
      <c r="O102" s="8"/>
      <c r="P102" s="8"/>
    </row>
    <row r="103" spans="7:16" x14ac:dyDescent="0.2">
      <c r="G103" s="8"/>
      <c r="H103" s="8"/>
      <c r="J103" s="8"/>
      <c r="K103" s="8"/>
      <c r="L103" s="8"/>
      <c r="M103" s="8"/>
      <c r="N103" s="8"/>
      <c r="O103" s="8"/>
      <c r="P103" s="8"/>
    </row>
    <row r="104" spans="7:16" x14ac:dyDescent="0.2">
      <c r="G104" s="8"/>
      <c r="H104" s="8"/>
      <c r="J104" s="8"/>
      <c r="K104" s="8"/>
      <c r="L104" s="8"/>
      <c r="M104" s="8"/>
      <c r="N104" s="8"/>
      <c r="O104" s="8"/>
      <c r="P104" s="8"/>
    </row>
    <row r="105" spans="7:16" x14ac:dyDescent="0.2">
      <c r="G105" s="8"/>
      <c r="H105" s="8"/>
      <c r="J105" s="8"/>
      <c r="K105" s="8"/>
      <c r="L105" s="8"/>
      <c r="M105" s="8"/>
      <c r="N105" s="8"/>
      <c r="O105" s="8"/>
      <c r="P105" s="8"/>
    </row>
    <row r="106" spans="7:16" x14ac:dyDescent="0.2">
      <c r="G106" s="8"/>
      <c r="H106" s="8"/>
      <c r="J106" s="8"/>
      <c r="K106" s="8"/>
      <c r="L106" s="8"/>
      <c r="M106" s="8"/>
      <c r="N106" s="8"/>
      <c r="O106" s="8"/>
      <c r="P106" s="8"/>
    </row>
    <row r="107" spans="7:16" x14ac:dyDescent="0.2">
      <c r="G107" s="8"/>
      <c r="H107" s="8"/>
      <c r="J107" s="8"/>
      <c r="K107" s="8"/>
      <c r="L107" s="8"/>
      <c r="M107" s="8"/>
      <c r="N107" s="8"/>
      <c r="O107" s="8"/>
      <c r="P107" s="8"/>
    </row>
    <row r="108" spans="7:16" x14ac:dyDescent="0.2">
      <c r="G108" s="8"/>
      <c r="H108" s="8"/>
      <c r="J108" s="8"/>
      <c r="K108" s="8"/>
      <c r="L108" s="8"/>
      <c r="M108" s="8"/>
      <c r="N108" s="8"/>
      <c r="O108" s="8"/>
      <c r="P108" s="8"/>
    </row>
    <row r="109" spans="7:16" x14ac:dyDescent="0.2">
      <c r="G109" s="8"/>
      <c r="H109" s="8"/>
      <c r="J109" s="8"/>
      <c r="K109" s="8"/>
      <c r="L109" s="8"/>
      <c r="M109" s="8"/>
      <c r="N109" s="8"/>
      <c r="O109" s="8"/>
      <c r="P109" s="8"/>
    </row>
    <row r="110" spans="7:16" x14ac:dyDescent="0.2">
      <c r="G110" s="8"/>
      <c r="H110" s="8"/>
      <c r="J110" s="8"/>
      <c r="K110" s="8"/>
      <c r="L110" s="8"/>
      <c r="M110" s="8"/>
      <c r="N110" s="8"/>
      <c r="O110" s="8"/>
      <c r="P110" s="8"/>
    </row>
    <row r="111" spans="7:16" x14ac:dyDescent="0.2">
      <c r="G111" s="8"/>
      <c r="H111" s="8"/>
      <c r="J111" s="8"/>
      <c r="K111" s="8"/>
      <c r="L111" s="8"/>
      <c r="M111" s="8"/>
      <c r="N111" s="8"/>
      <c r="O111" s="8"/>
      <c r="P111" s="8"/>
    </row>
    <row r="112" spans="7:16" x14ac:dyDescent="0.2">
      <c r="G112" s="8"/>
      <c r="H112" s="8"/>
      <c r="J112" s="8"/>
      <c r="K112" s="8"/>
      <c r="L112" s="8"/>
      <c r="M112" s="8"/>
      <c r="N112" s="8"/>
      <c r="O112" s="8"/>
      <c r="P112" s="8"/>
    </row>
    <row r="113" spans="7:16" x14ac:dyDescent="0.2">
      <c r="G113" s="8"/>
      <c r="H113" s="8"/>
      <c r="J113" s="8"/>
      <c r="K113" s="8"/>
      <c r="L113" s="8"/>
      <c r="M113" s="8"/>
      <c r="N113" s="8"/>
      <c r="O113" s="8"/>
      <c r="P113" s="8"/>
    </row>
    <row r="114" spans="7:16" x14ac:dyDescent="0.2">
      <c r="G114" s="8"/>
      <c r="H114" s="8"/>
      <c r="J114" s="8"/>
      <c r="K114" s="8"/>
      <c r="L114" s="8"/>
      <c r="M114" s="8"/>
      <c r="N114" s="8"/>
      <c r="O114" s="8"/>
      <c r="P114" s="8"/>
    </row>
    <row r="115" spans="7:16" x14ac:dyDescent="0.2">
      <c r="G115" s="8"/>
      <c r="H115" s="8"/>
      <c r="J115" s="8"/>
      <c r="K115" s="8"/>
      <c r="L115" s="8"/>
      <c r="M115" s="8"/>
      <c r="N115" s="8"/>
      <c r="O115" s="8"/>
      <c r="P115" s="8"/>
    </row>
    <row r="116" spans="7:16" x14ac:dyDescent="0.2">
      <c r="G116" s="8"/>
      <c r="H116" s="8"/>
      <c r="J116" s="8"/>
      <c r="K116" s="8"/>
      <c r="L116" s="8"/>
      <c r="M116" s="8"/>
      <c r="N116" s="8"/>
      <c r="O116" s="8"/>
      <c r="P116" s="8"/>
    </row>
    <row r="117" spans="7:16" x14ac:dyDescent="0.2">
      <c r="G117" s="8"/>
      <c r="H117" s="8"/>
      <c r="J117" s="8"/>
      <c r="K117" s="8"/>
      <c r="L117" s="8"/>
      <c r="M117" s="8"/>
      <c r="N117" s="8"/>
      <c r="O117" s="8"/>
      <c r="P117" s="8"/>
    </row>
    <row r="118" spans="7:16" x14ac:dyDescent="0.2">
      <c r="G118" s="8"/>
      <c r="H118" s="8"/>
      <c r="J118" s="8"/>
      <c r="K118" s="8"/>
      <c r="L118" s="8"/>
      <c r="M118" s="8"/>
      <c r="N118" s="8"/>
      <c r="O118" s="8"/>
      <c r="P118" s="8"/>
    </row>
    <row r="119" spans="7:16" x14ac:dyDescent="0.2">
      <c r="G119" s="8"/>
      <c r="H119" s="8"/>
      <c r="J119" s="8"/>
      <c r="K119" s="8"/>
      <c r="L119" s="8"/>
      <c r="M119" s="8"/>
      <c r="N119" s="8"/>
      <c r="O119" s="8"/>
      <c r="P119" s="8"/>
    </row>
    <row r="120" spans="7:16" x14ac:dyDescent="0.2">
      <c r="G120" s="8"/>
      <c r="H120" s="8"/>
      <c r="J120" s="8"/>
      <c r="K120" s="8"/>
      <c r="L120" s="8"/>
      <c r="M120" s="8"/>
      <c r="N120" s="8"/>
      <c r="O120" s="8"/>
      <c r="P120" s="8"/>
    </row>
    <row r="121" spans="7:16" x14ac:dyDescent="0.2">
      <c r="G121" s="8"/>
      <c r="H121" s="8"/>
      <c r="J121" s="8"/>
      <c r="K121" s="8"/>
      <c r="L121" s="8"/>
      <c r="M121" s="8"/>
      <c r="N121" s="8"/>
      <c r="O121" s="8"/>
      <c r="P121" s="8"/>
    </row>
    <row r="122" spans="7:16" x14ac:dyDescent="0.2">
      <c r="G122" s="8"/>
      <c r="H122" s="8"/>
      <c r="J122" s="8"/>
      <c r="K122" s="8"/>
      <c r="L122" s="8"/>
      <c r="M122" s="8"/>
      <c r="N122" s="8"/>
      <c r="O122" s="8"/>
      <c r="P122" s="8"/>
    </row>
    <row r="123" spans="7:16" x14ac:dyDescent="0.2">
      <c r="G123" s="8"/>
      <c r="H123" s="8"/>
      <c r="J123" s="8"/>
      <c r="K123" s="8"/>
      <c r="L123" s="8"/>
      <c r="M123" s="8"/>
      <c r="N123" s="8"/>
      <c r="O123" s="8"/>
      <c r="P123" s="8"/>
    </row>
    <row r="124" spans="7:16" x14ac:dyDescent="0.2">
      <c r="G124" s="8"/>
      <c r="H124" s="8"/>
      <c r="J124" s="8"/>
      <c r="K124" s="8"/>
      <c r="L124" s="8"/>
      <c r="M124" s="8"/>
      <c r="N124" s="8"/>
      <c r="O124" s="8"/>
      <c r="P124" s="8"/>
    </row>
    <row r="125" spans="7:16" x14ac:dyDescent="0.2">
      <c r="G125" s="8"/>
      <c r="H125" s="8"/>
      <c r="J125" s="8"/>
      <c r="K125" s="8"/>
      <c r="L125" s="8"/>
      <c r="M125" s="8"/>
      <c r="N125" s="8"/>
      <c r="O125" s="8"/>
      <c r="P125" s="8"/>
    </row>
    <row r="126" spans="7:16" x14ac:dyDescent="0.2">
      <c r="G126" s="8"/>
      <c r="H126" s="8"/>
      <c r="J126" s="8"/>
      <c r="K126" s="8"/>
      <c r="L126" s="8"/>
      <c r="M126" s="8"/>
      <c r="N126" s="8"/>
      <c r="O126" s="8"/>
      <c r="P126" s="8"/>
    </row>
    <row r="127" spans="7:16" x14ac:dyDescent="0.2">
      <c r="G127" s="8"/>
      <c r="H127" s="8"/>
      <c r="J127" s="8"/>
      <c r="K127" s="8"/>
      <c r="L127" s="8"/>
      <c r="M127" s="8"/>
      <c r="N127" s="8"/>
      <c r="O127" s="8"/>
      <c r="P127" s="8"/>
    </row>
    <row r="128" spans="7:16" x14ac:dyDescent="0.2">
      <c r="G128" s="8"/>
      <c r="H128" s="8"/>
      <c r="J128" s="8"/>
      <c r="K128" s="8"/>
      <c r="L128" s="8"/>
      <c r="M128" s="8"/>
      <c r="N128" s="8"/>
      <c r="O128" s="8"/>
      <c r="P128" s="8"/>
    </row>
    <row r="129" spans="7:16" x14ac:dyDescent="0.2">
      <c r="G129" s="8"/>
      <c r="H129" s="8"/>
      <c r="J129" s="8"/>
      <c r="K129" s="8"/>
      <c r="L129" s="8"/>
      <c r="M129" s="8"/>
      <c r="N129" s="8"/>
      <c r="O129" s="8"/>
      <c r="P129" s="8"/>
    </row>
    <row r="130" spans="7:16" x14ac:dyDescent="0.2">
      <c r="G130" s="8"/>
      <c r="H130" s="8"/>
      <c r="J130" s="8"/>
      <c r="K130" s="8"/>
      <c r="L130" s="8"/>
      <c r="M130" s="8"/>
      <c r="N130" s="8"/>
      <c r="O130" s="8"/>
      <c r="P130" s="8"/>
    </row>
    <row r="131" spans="7:16" x14ac:dyDescent="0.2">
      <c r="G131" s="8"/>
      <c r="H131" s="8"/>
      <c r="J131" s="8"/>
      <c r="K131" s="8"/>
      <c r="L131" s="8"/>
      <c r="M131" s="8"/>
      <c r="N131" s="8"/>
      <c r="O131" s="8"/>
      <c r="P131" s="8"/>
    </row>
    <row r="132" spans="7:16" x14ac:dyDescent="0.2">
      <c r="G132" s="8"/>
      <c r="H132" s="8"/>
      <c r="J132" s="8"/>
      <c r="K132" s="8"/>
      <c r="L132" s="8"/>
      <c r="M132" s="8"/>
      <c r="N132" s="8"/>
      <c r="O132" s="8"/>
      <c r="P132" s="8"/>
    </row>
    <row r="133" spans="7:16" x14ac:dyDescent="0.2">
      <c r="G133" s="8"/>
      <c r="H133" s="8"/>
      <c r="J133" s="8"/>
      <c r="K133" s="8"/>
      <c r="L133" s="8"/>
      <c r="M133" s="8"/>
      <c r="N133" s="8"/>
      <c r="O133" s="8"/>
      <c r="P133" s="8"/>
    </row>
    <row r="134" spans="7:16" x14ac:dyDescent="0.2">
      <c r="G134" s="8"/>
      <c r="H134" s="8"/>
      <c r="J134" s="8"/>
      <c r="K134" s="8"/>
      <c r="L134" s="8"/>
      <c r="M134" s="8"/>
      <c r="N134" s="8"/>
      <c r="O134" s="8"/>
      <c r="P134" s="8"/>
    </row>
    <row r="135" spans="7:16" x14ac:dyDescent="0.2">
      <c r="G135" s="8"/>
      <c r="H135" s="8"/>
      <c r="J135" s="8"/>
      <c r="K135" s="8"/>
      <c r="L135" s="8"/>
      <c r="M135" s="8"/>
      <c r="N135" s="8"/>
      <c r="O135" s="8"/>
      <c r="P135" s="8"/>
    </row>
    <row r="136" spans="7:16" x14ac:dyDescent="0.2">
      <c r="G136" s="8"/>
      <c r="H136" s="8"/>
      <c r="J136" s="8"/>
      <c r="K136" s="8"/>
      <c r="L136" s="8"/>
      <c r="M136" s="8"/>
      <c r="N136" s="8"/>
      <c r="O136" s="8"/>
      <c r="P136" s="8"/>
    </row>
    <row r="137" spans="7:16" x14ac:dyDescent="0.2">
      <c r="G137" s="8"/>
      <c r="H137" s="8"/>
      <c r="J137" s="8"/>
      <c r="K137" s="8"/>
      <c r="L137" s="8"/>
      <c r="M137" s="8"/>
      <c r="N137" s="8"/>
      <c r="O137" s="8"/>
      <c r="P137" s="8"/>
    </row>
    <row r="138" spans="7:16" x14ac:dyDescent="0.2">
      <c r="G138" s="8"/>
      <c r="H138" s="8"/>
      <c r="J138" s="8"/>
      <c r="K138" s="8"/>
      <c r="L138" s="8"/>
      <c r="M138" s="8"/>
      <c r="N138" s="8"/>
      <c r="O138" s="8"/>
      <c r="P138" s="8"/>
    </row>
    <row r="139" spans="7:16" x14ac:dyDescent="0.2">
      <c r="G139" s="8"/>
      <c r="H139" s="8"/>
      <c r="J139" s="8"/>
      <c r="K139" s="8"/>
      <c r="L139" s="8"/>
      <c r="M139" s="8"/>
      <c r="N139" s="8"/>
      <c r="O139" s="8"/>
      <c r="P139" s="8"/>
    </row>
    <row r="140" spans="7:16" x14ac:dyDescent="0.2">
      <c r="G140" s="8"/>
      <c r="H140" s="8"/>
      <c r="J140" s="8"/>
      <c r="K140" s="8"/>
      <c r="L140" s="8"/>
      <c r="M140" s="8"/>
      <c r="N140" s="8"/>
      <c r="O140" s="8"/>
      <c r="P140" s="8"/>
    </row>
    <row r="141" spans="7:16" x14ac:dyDescent="0.2">
      <c r="G141" s="8"/>
      <c r="H141" s="8"/>
      <c r="J141" s="8"/>
      <c r="K141" s="8"/>
      <c r="L141" s="8"/>
      <c r="M141" s="8"/>
      <c r="N141" s="8"/>
      <c r="O141" s="8"/>
      <c r="P141" s="8"/>
    </row>
    <row r="142" spans="7:16" x14ac:dyDescent="0.2">
      <c r="G142" s="8"/>
      <c r="H142" s="8"/>
      <c r="J142" s="8"/>
      <c r="K142" s="8"/>
      <c r="L142" s="8"/>
      <c r="M142" s="8"/>
      <c r="N142" s="8"/>
      <c r="O142" s="8"/>
      <c r="P142" s="8"/>
    </row>
    <row r="143" spans="7:16" x14ac:dyDescent="0.2">
      <c r="G143" s="8"/>
      <c r="H143" s="8"/>
      <c r="J143" s="8"/>
      <c r="K143" s="8"/>
      <c r="L143" s="8"/>
      <c r="M143" s="8"/>
      <c r="N143" s="8"/>
      <c r="O143" s="8"/>
      <c r="P143" s="8"/>
    </row>
    <row r="144" spans="7:16" x14ac:dyDescent="0.2">
      <c r="G144" s="8"/>
      <c r="H144" s="8"/>
      <c r="J144" s="8"/>
      <c r="K144" s="8"/>
      <c r="L144" s="8"/>
      <c r="M144" s="8"/>
      <c r="N144" s="8"/>
      <c r="O144" s="8"/>
      <c r="P144" s="8"/>
    </row>
    <row r="145" spans="7:16" x14ac:dyDescent="0.2">
      <c r="G145" s="8"/>
      <c r="H145" s="8"/>
      <c r="J145" s="8"/>
      <c r="K145" s="8"/>
      <c r="L145" s="8"/>
      <c r="M145" s="8"/>
      <c r="N145" s="8"/>
      <c r="O145" s="8"/>
      <c r="P145" s="8"/>
    </row>
    <row r="146" spans="7:16" x14ac:dyDescent="0.2">
      <c r="G146" s="8"/>
      <c r="H146" s="8"/>
      <c r="J146" s="8"/>
      <c r="K146" s="8"/>
      <c r="L146" s="8"/>
      <c r="M146" s="8"/>
      <c r="N146" s="8"/>
      <c r="O146" s="8"/>
      <c r="P146" s="8"/>
    </row>
    <row r="147" spans="7:16" x14ac:dyDescent="0.2">
      <c r="G147" s="8"/>
      <c r="H147" s="8"/>
      <c r="J147" s="8"/>
      <c r="K147" s="8"/>
      <c r="L147" s="8"/>
      <c r="M147" s="8"/>
      <c r="N147" s="8"/>
      <c r="O147" s="8"/>
      <c r="P147" s="8"/>
    </row>
    <row r="148" spans="7:16" x14ac:dyDescent="0.2">
      <c r="G148" s="8"/>
      <c r="H148" s="8"/>
      <c r="J148" s="8"/>
      <c r="K148" s="8"/>
      <c r="L148" s="8"/>
      <c r="M148" s="8"/>
      <c r="N148" s="8"/>
      <c r="O148" s="8"/>
      <c r="P148" s="8"/>
    </row>
    <row r="149" spans="7:16" x14ac:dyDescent="0.2">
      <c r="G149" s="8"/>
      <c r="H149" s="8"/>
      <c r="J149" s="8"/>
      <c r="K149" s="8"/>
      <c r="L149" s="8"/>
      <c r="M149" s="8"/>
      <c r="N149" s="8"/>
      <c r="O149" s="8"/>
      <c r="P149" s="8"/>
    </row>
    <row r="150" spans="7:16" x14ac:dyDescent="0.2">
      <c r="G150" s="8"/>
      <c r="H150" s="8"/>
      <c r="J150" s="8"/>
      <c r="K150" s="8"/>
      <c r="L150" s="8"/>
      <c r="M150" s="8"/>
      <c r="N150" s="8"/>
      <c r="O150" s="8"/>
      <c r="P150" s="8"/>
    </row>
    <row r="151" spans="7:16" x14ac:dyDescent="0.2">
      <c r="G151" s="8"/>
      <c r="H151" s="8"/>
      <c r="J151" s="8"/>
      <c r="K151" s="8"/>
      <c r="L151" s="8"/>
      <c r="M151" s="8"/>
      <c r="N151" s="8"/>
      <c r="O151" s="8"/>
      <c r="P151" s="8"/>
    </row>
    <row r="152" spans="7:16" x14ac:dyDescent="0.2">
      <c r="G152" s="8"/>
      <c r="H152" s="8"/>
      <c r="J152" s="8"/>
      <c r="K152" s="8"/>
      <c r="L152" s="8"/>
      <c r="M152" s="8"/>
      <c r="N152" s="8"/>
      <c r="O152" s="8"/>
      <c r="P152" s="8"/>
    </row>
    <row r="153" spans="7:16" x14ac:dyDescent="0.2">
      <c r="G153" s="8"/>
      <c r="H153" s="8"/>
      <c r="J153" s="8"/>
      <c r="K153" s="8"/>
      <c r="L153" s="8"/>
      <c r="M153" s="8"/>
      <c r="N153" s="8"/>
      <c r="O153" s="8"/>
      <c r="P153" s="8"/>
    </row>
    <row r="154" spans="7:16" x14ac:dyDescent="0.2">
      <c r="G154" s="8"/>
      <c r="H154" s="8"/>
      <c r="J154" s="8"/>
      <c r="K154" s="8"/>
      <c r="L154" s="8"/>
      <c r="M154" s="8"/>
      <c r="N154" s="8"/>
      <c r="O154" s="8"/>
      <c r="P154" s="8"/>
    </row>
    <row r="155" spans="7:16" x14ac:dyDescent="0.2">
      <c r="G155" s="8"/>
      <c r="H155" s="8"/>
      <c r="J155" s="8"/>
      <c r="K155" s="8"/>
      <c r="L155" s="8"/>
      <c r="M155" s="8"/>
      <c r="N155" s="8"/>
      <c r="O155" s="8"/>
      <c r="P155" s="8"/>
    </row>
    <row r="156" spans="7:16" x14ac:dyDescent="0.2">
      <c r="G156" s="8"/>
      <c r="H156" s="8"/>
      <c r="J156" s="8"/>
      <c r="K156" s="8"/>
      <c r="L156" s="8"/>
      <c r="M156" s="8"/>
      <c r="N156" s="8"/>
      <c r="O156" s="8"/>
      <c r="P156" s="8"/>
    </row>
    <row r="157" spans="7:16" x14ac:dyDescent="0.2">
      <c r="G157" s="8"/>
      <c r="H157" s="8"/>
      <c r="J157" s="8"/>
      <c r="K157" s="8"/>
      <c r="L157" s="8"/>
      <c r="M157" s="8"/>
      <c r="N157" s="8"/>
      <c r="O157" s="8"/>
      <c r="P157" s="8"/>
    </row>
    <row r="158" spans="7:16" x14ac:dyDescent="0.2">
      <c r="G158" s="8"/>
      <c r="H158" s="8"/>
      <c r="J158" s="8"/>
      <c r="K158" s="8"/>
      <c r="L158" s="8"/>
      <c r="M158" s="8"/>
      <c r="N158" s="8"/>
      <c r="O158" s="8"/>
      <c r="P158" s="8"/>
    </row>
    <row r="159" spans="7:16" x14ac:dyDescent="0.2">
      <c r="G159" s="8"/>
      <c r="H159" s="8"/>
      <c r="J159" s="8"/>
      <c r="K159" s="8"/>
      <c r="L159" s="8"/>
      <c r="M159" s="8"/>
      <c r="N159" s="8"/>
      <c r="O159" s="8"/>
      <c r="P159" s="8"/>
    </row>
    <row r="160" spans="7:16" x14ac:dyDescent="0.2">
      <c r="G160" s="8"/>
      <c r="H160" s="8"/>
      <c r="J160" s="8"/>
      <c r="K160" s="8"/>
      <c r="L160" s="8"/>
      <c r="M160" s="8"/>
      <c r="N160" s="8"/>
      <c r="O160" s="8"/>
      <c r="P160" s="8"/>
    </row>
    <row r="161" spans="7:16" x14ac:dyDescent="0.2">
      <c r="G161" s="8"/>
      <c r="H161" s="8"/>
      <c r="J161" s="8"/>
      <c r="K161" s="8"/>
      <c r="L161" s="8"/>
      <c r="M161" s="8"/>
      <c r="N161" s="8"/>
      <c r="O161" s="8"/>
      <c r="P161" s="8"/>
    </row>
    <row r="162" spans="7:16" x14ac:dyDescent="0.2">
      <c r="G162" s="8"/>
      <c r="H162" s="8"/>
      <c r="J162" s="8"/>
      <c r="K162" s="8"/>
      <c r="L162" s="8"/>
      <c r="M162" s="8"/>
      <c r="N162" s="8"/>
      <c r="O162" s="8"/>
      <c r="P162" s="8"/>
    </row>
    <row r="163" spans="7:16" x14ac:dyDescent="0.2">
      <c r="G163" s="8"/>
      <c r="H163" s="8"/>
      <c r="J163" s="8"/>
      <c r="K163" s="8"/>
      <c r="L163" s="8"/>
      <c r="M163" s="8"/>
      <c r="N163" s="8"/>
      <c r="O163" s="8"/>
      <c r="P163" s="8"/>
    </row>
    <row r="164" spans="7:16" x14ac:dyDescent="0.2">
      <c r="G164" s="8"/>
      <c r="H164" s="8"/>
      <c r="J164" s="8"/>
      <c r="K164" s="8"/>
      <c r="L164" s="8"/>
      <c r="M164" s="8"/>
      <c r="N164" s="8"/>
      <c r="O164" s="8"/>
      <c r="P164" s="8"/>
    </row>
    <row r="165" spans="7:16" x14ac:dyDescent="0.2">
      <c r="G165" s="8"/>
      <c r="H165" s="8"/>
      <c r="J165" s="8"/>
      <c r="K165" s="8"/>
      <c r="L165" s="8"/>
      <c r="M165" s="8"/>
      <c r="N165" s="8"/>
      <c r="O165" s="8"/>
      <c r="P165" s="8"/>
    </row>
    <row r="166" spans="7:16" x14ac:dyDescent="0.2">
      <c r="G166" s="8"/>
      <c r="H166" s="8"/>
      <c r="J166" s="8"/>
      <c r="K166" s="8"/>
      <c r="L166" s="8"/>
      <c r="M166" s="8"/>
      <c r="N166" s="8"/>
      <c r="O166" s="8"/>
      <c r="P166" s="8"/>
    </row>
    <row r="167" spans="7:16" x14ac:dyDescent="0.2">
      <c r="G167" s="8"/>
      <c r="H167" s="8"/>
      <c r="J167" s="8"/>
      <c r="K167" s="8"/>
      <c r="L167" s="8"/>
      <c r="M167" s="8"/>
      <c r="N167" s="8"/>
      <c r="O167" s="8"/>
      <c r="P167" s="8"/>
    </row>
    <row r="168" spans="7:16" x14ac:dyDescent="0.2">
      <c r="G168" s="8"/>
      <c r="H168" s="8"/>
      <c r="J168" s="8"/>
      <c r="K168" s="8"/>
      <c r="L168" s="8"/>
      <c r="M168" s="8"/>
      <c r="N168" s="8"/>
      <c r="O168" s="8"/>
      <c r="P168" s="8"/>
    </row>
    <row r="169" spans="7:16" x14ac:dyDescent="0.2">
      <c r="G169" s="8"/>
      <c r="H169" s="8"/>
      <c r="J169" s="8"/>
      <c r="K169" s="8"/>
      <c r="L169" s="8"/>
      <c r="M169" s="8"/>
      <c r="N169" s="8"/>
      <c r="O169" s="8"/>
      <c r="P169" s="8"/>
    </row>
    <row r="170" spans="7:16" x14ac:dyDescent="0.2">
      <c r="G170" s="8"/>
      <c r="H170" s="8"/>
      <c r="J170" s="8"/>
      <c r="K170" s="8"/>
      <c r="L170" s="8"/>
      <c r="M170" s="8"/>
      <c r="N170" s="8"/>
      <c r="O170" s="8"/>
      <c r="P170" s="8"/>
    </row>
    <row r="171" spans="7:16" x14ac:dyDescent="0.2">
      <c r="G171" s="8"/>
      <c r="H171" s="8"/>
      <c r="J171" s="8"/>
      <c r="K171" s="8"/>
      <c r="L171" s="8"/>
      <c r="M171" s="8"/>
      <c r="N171" s="8"/>
      <c r="O171" s="8"/>
      <c r="P171" s="8"/>
    </row>
    <row r="172" spans="7:16" x14ac:dyDescent="0.2">
      <c r="G172" s="8"/>
      <c r="H172" s="8"/>
      <c r="J172" s="8"/>
      <c r="K172" s="8"/>
      <c r="L172" s="8"/>
      <c r="M172" s="8"/>
      <c r="N172" s="8"/>
      <c r="O172" s="8"/>
      <c r="P172" s="8"/>
    </row>
    <row r="173" spans="7:16" x14ac:dyDescent="0.2">
      <c r="G173" s="8"/>
      <c r="H173" s="8"/>
      <c r="J173" s="8"/>
      <c r="K173" s="8"/>
      <c r="L173" s="8"/>
      <c r="M173" s="8"/>
      <c r="N173" s="8"/>
      <c r="O173" s="8"/>
      <c r="P173" s="8"/>
    </row>
    <row r="174" spans="7:16" x14ac:dyDescent="0.2">
      <c r="G174" s="8"/>
      <c r="H174" s="8"/>
      <c r="J174" s="8"/>
      <c r="K174" s="8"/>
      <c r="L174" s="8"/>
      <c r="M174" s="8"/>
      <c r="N174" s="8"/>
      <c r="O174" s="8"/>
      <c r="P174" s="8"/>
    </row>
    <row r="175" spans="7:16" x14ac:dyDescent="0.2">
      <c r="G175" s="8"/>
      <c r="H175" s="8"/>
      <c r="J175" s="8"/>
      <c r="K175" s="8"/>
      <c r="L175" s="8"/>
      <c r="M175" s="8"/>
      <c r="N175" s="8"/>
      <c r="O175" s="8"/>
      <c r="P175" s="8"/>
    </row>
    <row r="176" spans="7:16" x14ac:dyDescent="0.2">
      <c r="G176" s="8"/>
      <c r="H176" s="8"/>
      <c r="J176" s="8"/>
      <c r="K176" s="8"/>
      <c r="L176" s="8"/>
      <c r="M176" s="8"/>
      <c r="N176" s="8"/>
      <c r="O176" s="8"/>
      <c r="P176" s="8"/>
    </row>
    <row r="177" spans="7:16" x14ac:dyDescent="0.2">
      <c r="G177" s="8"/>
      <c r="H177" s="8"/>
      <c r="J177" s="8"/>
      <c r="K177" s="8"/>
      <c r="L177" s="8"/>
      <c r="M177" s="8"/>
      <c r="N177" s="8"/>
      <c r="O177" s="8"/>
      <c r="P177" s="8"/>
    </row>
    <row r="178" spans="7:16" x14ac:dyDescent="0.2">
      <c r="G178" s="8"/>
      <c r="H178" s="8"/>
      <c r="J178" s="8"/>
      <c r="K178" s="8"/>
      <c r="L178" s="8"/>
      <c r="M178" s="8"/>
      <c r="N178" s="8"/>
      <c r="O178" s="8"/>
      <c r="P178" s="8"/>
    </row>
    <row r="179" spans="7:16" x14ac:dyDescent="0.2">
      <c r="G179" s="8"/>
      <c r="H179" s="8"/>
      <c r="J179" s="8"/>
      <c r="K179" s="8"/>
      <c r="L179" s="8"/>
      <c r="M179" s="8"/>
      <c r="N179" s="8"/>
      <c r="O179" s="8"/>
      <c r="P179" s="8"/>
    </row>
    <row r="180" spans="7:16" x14ac:dyDescent="0.2">
      <c r="G180" s="8"/>
      <c r="H180" s="8"/>
      <c r="J180" s="8"/>
      <c r="K180" s="8"/>
      <c r="L180" s="8"/>
      <c r="M180" s="8"/>
      <c r="N180" s="8"/>
      <c r="O180" s="8"/>
      <c r="P180" s="8"/>
    </row>
    <row r="181" spans="7:16" x14ac:dyDescent="0.2">
      <c r="G181" s="8"/>
      <c r="H181" s="8"/>
      <c r="J181" s="8"/>
      <c r="K181" s="8"/>
      <c r="L181" s="8"/>
      <c r="M181" s="8"/>
      <c r="N181" s="8"/>
      <c r="O181" s="8"/>
      <c r="P181" s="8"/>
    </row>
    <row r="182" spans="7:16" x14ac:dyDescent="0.2">
      <c r="G182" s="8"/>
      <c r="H182" s="8"/>
      <c r="J182" s="8"/>
      <c r="K182" s="8"/>
      <c r="L182" s="8"/>
      <c r="M182" s="8"/>
      <c r="N182" s="8"/>
      <c r="O182" s="8"/>
      <c r="P182" s="8"/>
    </row>
    <row r="183" spans="7:16" x14ac:dyDescent="0.2">
      <c r="G183" s="8"/>
      <c r="H183" s="8"/>
      <c r="J183" s="8"/>
      <c r="K183" s="8"/>
      <c r="L183" s="8"/>
      <c r="M183" s="8"/>
      <c r="N183" s="8"/>
      <c r="O183" s="8"/>
      <c r="P183" s="8"/>
    </row>
    <row r="184" spans="7:16" x14ac:dyDescent="0.2">
      <c r="G184" s="8"/>
      <c r="H184" s="8"/>
      <c r="J184" s="8"/>
      <c r="K184" s="8"/>
      <c r="L184" s="8"/>
      <c r="M184" s="8"/>
      <c r="N184" s="8"/>
      <c r="O184" s="8"/>
      <c r="P184" s="8"/>
    </row>
    <row r="185" spans="7:16" x14ac:dyDescent="0.2">
      <c r="G185" s="8"/>
      <c r="H185" s="8"/>
      <c r="J185" s="8"/>
      <c r="K185" s="8"/>
      <c r="L185" s="8"/>
      <c r="M185" s="8"/>
      <c r="N185" s="8"/>
      <c r="O185" s="8"/>
      <c r="P185" s="8"/>
    </row>
    <row r="186" spans="7:16" x14ac:dyDescent="0.2">
      <c r="G186" s="8"/>
      <c r="H186" s="8"/>
      <c r="J186" s="8"/>
      <c r="K186" s="8"/>
      <c r="L186" s="8"/>
      <c r="M186" s="8"/>
      <c r="N186" s="8"/>
      <c r="O186" s="8"/>
      <c r="P186" s="8"/>
    </row>
    <row r="187" spans="7:16" x14ac:dyDescent="0.2">
      <c r="G187" s="8"/>
      <c r="H187" s="8"/>
      <c r="J187" s="8"/>
      <c r="K187" s="8"/>
      <c r="L187" s="8"/>
      <c r="M187" s="8"/>
      <c r="N187" s="8"/>
      <c r="O187" s="8"/>
      <c r="P187" s="8"/>
    </row>
    <row r="188" spans="7:16" x14ac:dyDescent="0.2">
      <c r="G188" s="8"/>
      <c r="H188" s="8"/>
      <c r="J188" s="8"/>
      <c r="K188" s="8"/>
      <c r="L188" s="8"/>
      <c r="M188" s="8"/>
      <c r="N188" s="8"/>
      <c r="O188" s="8"/>
      <c r="P188" s="8"/>
    </row>
    <row r="189" spans="7:16" x14ac:dyDescent="0.2">
      <c r="G189" s="8"/>
      <c r="H189" s="8"/>
      <c r="J189" s="8"/>
      <c r="K189" s="8"/>
      <c r="L189" s="8"/>
      <c r="M189" s="8"/>
      <c r="N189" s="8"/>
      <c r="O189" s="8"/>
      <c r="P189" s="8"/>
    </row>
    <row r="190" spans="7:16" x14ac:dyDescent="0.2">
      <c r="G190" s="8"/>
      <c r="H190" s="8"/>
      <c r="J190" s="8"/>
      <c r="K190" s="8"/>
      <c r="L190" s="8"/>
      <c r="M190" s="8"/>
      <c r="N190" s="8"/>
      <c r="O190" s="8"/>
      <c r="P190" s="8"/>
    </row>
    <row r="191" spans="7:16" x14ac:dyDescent="0.2">
      <c r="G191" s="8"/>
      <c r="H191" s="8"/>
      <c r="J191" s="8"/>
      <c r="K191" s="8"/>
      <c r="L191" s="8"/>
      <c r="M191" s="8"/>
      <c r="N191" s="8"/>
      <c r="O191" s="8"/>
      <c r="P191" s="8"/>
    </row>
    <row r="192" spans="7:16" x14ac:dyDescent="0.2">
      <c r="G192" s="8"/>
      <c r="H192" s="8"/>
      <c r="J192" s="8"/>
      <c r="K192" s="8"/>
      <c r="L192" s="8"/>
      <c r="M192" s="8"/>
      <c r="N192" s="8"/>
      <c r="O192" s="8"/>
      <c r="P192" s="8"/>
    </row>
    <row r="193" spans="7:16" x14ac:dyDescent="0.2">
      <c r="G193" s="8"/>
      <c r="H193" s="8"/>
      <c r="J193" s="8"/>
      <c r="K193" s="8"/>
      <c r="L193" s="8"/>
      <c r="M193" s="8"/>
      <c r="N193" s="8"/>
      <c r="O193" s="8"/>
      <c r="P193" s="8"/>
    </row>
    <row r="194" spans="7:16" x14ac:dyDescent="0.2">
      <c r="G194" s="8"/>
      <c r="H194" s="8"/>
      <c r="J194" s="8"/>
      <c r="K194" s="8"/>
      <c r="L194" s="8"/>
      <c r="M194" s="8"/>
      <c r="N194" s="8"/>
      <c r="O194" s="8"/>
      <c r="P194" s="8"/>
    </row>
    <row r="195" spans="7:16" x14ac:dyDescent="0.2">
      <c r="G195" s="8"/>
      <c r="H195" s="8"/>
      <c r="J195" s="8"/>
      <c r="K195" s="8"/>
      <c r="L195" s="8"/>
      <c r="M195" s="8"/>
      <c r="N195" s="8"/>
      <c r="O195" s="8"/>
      <c r="P195" s="8"/>
    </row>
    <row r="196" spans="7:16" x14ac:dyDescent="0.2">
      <c r="G196" s="8"/>
      <c r="H196" s="8"/>
      <c r="J196" s="8"/>
      <c r="K196" s="8"/>
      <c r="L196" s="8"/>
      <c r="M196" s="8"/>
      <c r="N196" s="8"/>
      <c r="O196" s="8"/>
      <c r="P196" s="8"/>
    </row>
    <row r="197" spans="7:16" x14ac:dyDescent="0.2">
      <c r="G197" s="8"/>
      <c r="H197" s="8"/>
      <c r="J197" s="8"/>
      <c r="K197" s="8"/>
      <c r="L197" s="8"/>
      <c r="M197" s="8"/>
      <c r="N197" s="8"/>
      <c r="O197" s="8"/>
      <c r="P197" s="8"/>
    </row>
    <row r="198" spans="7:16" x14ac:dyDescent="0.2">
      <c r="G198" s="8"/>
      <c r="H198" s="8"/>
      <c r="J198" s="8"/>
      <c r="K198" s="8"/>
      <c r="L198" s="8"/>
      <c r="M198" s="8"/>
      <c r="N198" s="8"/>
      <c r="O198" s="8"/>
      <c r="P198" s="8"/>
    </row>
    <row r="199" spans="7:16" x14ac:dyDescent="0.2">
      <c r="G199" s="8"/>
      <c r="H199" s="8"/>
      <c r="J199" s="8"/>
      <c r="K199" s="8"/>
      <c r="L199" s="8"/>
      <c r="M199" s="8"/>
      <c r="N199" s="8"/>
      <c r="O199" s="8"/>
      <c r="P199" s="8"/>
    </row>
    <row r="200" spans="7:16" x14ac:dyDescent="0.2">
      <c r="G200" s="8"/>
      <c r="H200" s="8"/>
      <c r="J200" s="8"/>
      <c r="K200" s="8"/>
      <c r="L200" s="8"/>
      <c r="M200" s="8"/>
      <c r="N200" s="8"/>
      <c r="O200" s="8"/>
      <c r="P200" s="8"/>
    </row>
    <row r="201" spans="7:16" x14ac:dyDescent="0.2">
      <c r="G201" s="8"/>
      <c r="H201" s="8"/>
      <c r="J201" s="8"/>
      <c r="K201" s="8"/>
      <c r="L201" s="8"/>
      <c r="M201" s="8"/>
      <c r="N201" s="8"/>
      <c r="O201" s="8"/>
      <c r="P201" s="8"/>
    </row>
    <row r="202" spans="7:16" x14ac:dyDescent="0.2">
      <c r="G202" s="8"/>
      <c r="H202" s="8"/>
      <c r="J202" s="8"/>
      <c r="K202" s="8"/>
      <c r="L202" s="8"/>
      <c r="M202" s="8"/>
      <c r="N202" s="8"/>
      <c r="O202" s="8"/>
      <c r="P202" s="8"/>
    </row>
    <row r="203" spans="7:16" x14ac:dyDescent="0.2">
      <c r="G203" s="8"/>
      <c r="H203" s="8"/>
      <c r="J203" s="8"/>
      <c r="K203" s="8"/>
      <c r="L203" s="8"/>
      <c r="M203" s="8"/>
      <c r="N203" s="8"/>
      <c r="O203" s="8"/>
      <c r="P203" s="8"/>
    </row>
    <row r="204" spans="7:16" x14ac:dyDescent="0.2">
      <c r="G204" s="8"/>
      <c r="H204" s="8"/>
      <c r="J204" s="8"/>
      <c r="K204" s="8"/>
      <c r="L204" s="8"/>
      <c r="M204" s="8"/>
      <c r="N204" s="8"/>
      <c r="O204" s="8"/>
      <c r="P204" s="8"/>
    </row>
    <row r="205" spans="7:16" x14ac:dyDescent="0.2">
      <c r="G205" s="8"/>
      <c r="H205" s="8"/>
      <c r="J205" s="8"/>
      <c r="K205" s="8"/>
      <c r="L205" s="8"/>
      <c r="M205" s="8"/>
      <c r="N205" s="8"/>
      <c r="O205" s="8"/>
      <c r="P205" s="8"/>
    </row>
    <row r="206" spans="7:16" x14ac:dyDescent="0.2">
      <c r="G206" s="8"/>
      <c r="H206" s="8"/>
      <c r="J206" s="8"/>
      <c r="K206" s="8"/>
      <c r="L206" s="8"/>
      <c r="M206" s="8"/>
      <c r="N206" s="8"/>
      <c r="O206" s="8"/>
      <c r="P206" s="8"/>
    </row>
    <row r="207" spans="7:16" x14ac:dyDescent="0.2">
      <c r="G207" s="8"/>
      <c r="H207" s="8"/>
      <c r="J207" s="8"/>
      <c r="K207" s="8"/>
      <c r="L207" s="8"/>
      <c r="M207" s="8"/>
      <c r="N207" s="8"/>
      <c r="O207" s="8"/>
      <c r="P207" s="8"/>
    </row>
    <row r="208" spans="7:16" x14ac:dyDescent="0.2">
      <c r="G208" s="8"/>
      <c r="H208" s="8"/>
      <c r="J208" s="8"/>
      <c r="K208" s="8"/>
      <c r="L208" s="8"/>
      <c r="M208" s="8"/>
      <c r="N208" s="8"/>
      <c r="O208" s="8"/>
      <c r="P208" s="8"/>
    </row>
    <row r="209" spans="7:16" x14ac:dyDescent="0.2">
      <c r="G209" s="8"/>
      <c r="H209" s="8"/>
      <c r="J209" s="8"/>
      <c r="K209" s="8"/>
      <c r="L209" s="8"/>
      <c r="M209" s="8"/>
      <c r="N209" s="8"/>
      <c r="O209" s="8"/>
      <c r="P209" s="8"/>
    </row>
    <row r="210" spans="7:16" x14ac:dyDescent="0.2">
      <c r="G210" s="8"/>
      <c r="H210" s="8"/>
      <c r="J210" s="8"/>
      <c r="K210" s="8"/>
      <c r="L210" s="8"/>
      <c r="M210" s="8"/>
      <c r="N210" s="8"/>
      <c r="O210" s="8"/>
      <c r="P210" s="8"/>
    </row>
    <row r="211" spans="7:16" x14ac:dyDescent="0.2">
      <c r="G211" s="8"/>
      <c r="H211" s="8"/>
      <c r="J211" s="8"/>
      <c r="K211" s="8"/>
      <c r="L211" s="8"/>
      <c r="M211" s="8"/>
      <c r="N211" s="8"/>
      <c r="O211" s="8"/>
      <c r="P211" s="8"/>
    </row>
    <row r="212" spans="7:16" x14ac:dyDescent="0.2">
      <c r="G212" s="8"/>
      <c r="H212" s="8"/>
      <c r="J212" s="8"/>
      <c r="K212" s="8"/>
      <c r="L212" s="8"/>
      <c r="M212" s="8"/>
      <c r="N212" s="8"/>
      <c r="O212" s="8"/>
      <c r="P212" s="8"/>
    </row>
    <row r="213" spans="7:16" x14ac:dyDescent="0.2">
      <c r="G213" s="8"/>
      <c r="H213" s="8"/>
      <c r="J213" s="8"/>
      <c r="K213" s="8"/>
      <c r="L213" s="8"/>
      <c r="M213" s="8"/>
      <c r="N213" s="8"/>
      <c r="O213" s="8"/>
      <c r="P213" s="8"/>
    </row>
    <row r="214" spans="7:16" x14ac:dyDescent="0.2">
      <c r="G214" s="8"/>
      <c r="H214" s="8"/>
      <c r="J214" s="8"/>
      <c r="K214" s="8"/>
      <c r="L214" s="8"/>
      <c r="M214" s="8"/>
      <c r="N214" s="8"/>
      <c r="O214" s="8"/>
      <c r="P214" s="8"/>
    </row>
    <row r="215" spans="7:16" x14ac:dyDescent="0.2">
      <c r="G215" s="8"/>
      <c r="H215" s="8"/>
      <c r="J215" s="8"/>
      <c r="K215" s="8"/>
      <c r="L215" s="8"/>
      <c r="M215" s="8"/>
      <c r="N215" s="8"/>
      <c r="O215" s="8"/>
      <c r="P215" s="8"/>
    </row>
    <row r="216" spans="7:16" x14ac:dyDescent="0.2">
      <c r="G216" s="8"/>
      <c r="H216" s="8"/>
      <c r="J216" s="8"/>
      <c r="K216" s="8"/>
      <c r="L216" s="8"/>
      <c r="M216" s="8"/>
      <c r="N216" s="8"/>
      <c r="O216" s="8"/>
      <c r="P216" s="8"/>
    </row>
    <row r="217" spans="7:16" x14ac:dyDescent="0.2">
      <c r="G217" s="8"/>
      <c r="H217" s="8"/>
      <c r="J217" s="8"/>
      <c r="K217" s="8"/>
      <c r="L217" s="8"/>
      <c r="M217" s="8"/>
      <c r="N217" s="8"/>
      <c r="O217" s="8"/>
      <c r="P217" s="8"/>
    </row>
    <row r="218" spans="7:16" x14ac:dyDescent="0.2">
      <c r="G218" s="8"/>
      <c r="H218" s="8"/>
      <c r="J218" s="8"/>
      <c r="K218" s="8"/>
      <c r="L218" s="8"/>
      <c r="M218" s="8"/>
      <c r="N218" s="8"/>
      <c r="O218" s="8"/>
      <c r="P218" s="8"/>
    </row>
    <row r="219" spans="7:16" x14ac:dyDescent="0.2">
      <c r="G219" s="8"/>
      <c r="H219" s="8"/>
      <c r="J219" s="8"/>
      <c r="K219" s="8"/>
      <c r="L219" s="8"/>
      <c r="M219" s="8"/>
      <c r="N219" s="8"/>
      <c r="O219" s="8"/>
      <c r="P219" s="8"/>
    </row>
    <row r="220" spans="7:16" x14ac:dyDescent="0.2">
      <c r="G220" s="8"/>
      <c r="H220" s="8"/>
      <c r="J220" s="8"/>
      <c r="K220" s="8"/>
      <c r="L220" s="8"/>
      <c r="M220" s="8"/>
      <c r="N220" s="8"/>
      <c r="O220" s="8"/>
      <c r="P220" s="8"/>
    </row>
    <row r="221" spans="7:16" x14ac:dyDescent="0.2">
      <c r="G221" s="8"/>
      <c r="H221" s="8"/>
      <c r="J221" s="8"/>
      <c r="K221" s="8"/>
      <c r="L221" s="8"/>
      <c r="M221" s="8"/>
      <c r="N221" s="8"/>
      <c r="O221" s="8"/>
      <c r="P221" s="8"/>
    </row>
    <row r="222" spans="7:16" x14ac:dyDescent="0.2">
      <c r="G222" s="8"/>
      <c r="H222" s="8"/>
      <c r="J222" s="8"/>
      <c r="K222" s="8"/>
      <c r="L222" s="8"/>
      <c r="M222" s="8"/>
      <c r="N222" s="8"/>
      <c r="O222" s="8"/>
      <c r="P222" s="8"/>
    </row>
    <row r="223" spans="7:16" x14ac:dyDescent="0.2">
      <c r="G223" s="8"/>
      <c r="H223" s="8"/>
      <c r="J223" s="8"/>
      <c r="K223" s="8"/>
      <c r="L223" s="8"/>
      <c r="M223" s="8"/>
      <c r="N223" s="8"/>
      <c r="O223" s="8"/>
      <c r="P223" s="8"/>
    </row>
    <row r="224" spans="7:16" x14ac:dyDescent="0.2">
      <c r="G224" s="8"/>
      <c r="H224" s="8"/>
      <c r="J224" s="8"/>
      <c r="K224" s="8"/>
      <c r="L224" s="8"/>
      <c r="M224" s="8"/>
      <c r="N224" s="8"/>
      <c r="O224" s="8"/>
      <c r="P224" s="8"/>
    </row>
    <row r="225" spans="7:16" x14ac:dyDescent="0.2">
      <c r="G225" s="8"/>
      <c r="H225" s="8"/>
      <c r="J225" s="8"/>
      <c r="K225" s="8"/>
      <c r="L225" s="8"/>
      <c r="M225" s="8"/>
      <c r="N225" s="8"/>
      <c r="O225" s="8"/>
      <c r="P225" s="8"/>
    </row>
    <row r="226" spans="7:16" x14ac:dyDescent="0.2">
      <c r="G226" s="8"/>
      <c r="H226" s="8"/>
      <c r="J226" s="8"/>
      <c r="K226" s="8"/>
      <c r="L226" s="8"/>
      <c r="M226" s="8"/>
      <c r="N226" s="8"/>
      <c r="O226" s="8"/>
      <c r="P226" s="8"/>
    </row>
    <row r="227" spans="7:16" x14ac:dyDescent="0.2">
      <c r="G227" s="8"/>
      <c r="H227" s="8"/>
      <c r="J227" s="8"/>
      <c r="K227" s="8"/>
      <c r="L227" s="8"/>
      <c r="M227" s="8"/>
      <c r="N227" s="8"/>
      <c r="O227" s="8"/>
      <c r="P227" s="8"/>
    </row>
    <row r="228" spans="7:16" x14ac:dyDescent="0.2">
      <c r="G228" s="8"/>
      <c r="H228" s="8"/>
      <c r="J228" s="8"/>
      <c r="K228" s="8"/>
      <c r="L228" s="8"/>
      <c r="M228" s="8"/>
      <c r="N228" s="8"/>
      <c r="O228" s="8"/>
      <c r="P228" s="8"/>
    </row>
    <row r="229" spans="7:16" x14ac:dyDescent="0.2">
      <c r="G229" s="8"/>
      <c r="H229" s="8"/>
      <c r="J229" s="8"/>
      <c r="K229" s="8"/>
      <c r="L229" s="8"/>
      <c r="M229" s="8"/>
      <c r="N229" s="8"/>
      <c r="O229" s="8"/>
      <c r="P229" s="8"/>
    </row>
    <row r="230" spans="7:16" x14ac:dyDescent="0.2">
      <c r="G230" s="8"/>
      <c r="H230" s="8"/>
      <c r="J230" s="8"/>
      <c r="K230" s="8"/>
      <c r="L230" s="8"/>
      <c r="M230" s="8"/>
      <c r="N230" s="8"/>
      <c r="O230" s="8"/>
      <c r="P230" s="8"/>
    </row>
    <row r="231" spans="7:16" x14ac:dyDescent="0.2">
      <c r="G231" s="8"/>
      <c r="H231" s="8"/>
      <c r="J231" s="8"/>
      <c r="K231" s="8"/>
      <c r="L231" s="8"/>
      <c r="M231" s="8"/>
      <c r="N231" s="8"/>
      <c r="O231" s="8"/>
      <c r="P231" s="8"/>
    </row>
    <row r="232" spans="7:16" x14ac:dyDescent="0.2">
      <c r="G232" s="8"/>
      <c r="H232" s="8"/>
      <c r="J232" s="8"/>
      <c r="K232" s="8"/>
      <c r="L232" s="8"/>
      <c r="M232" s="8"/>
      <c r="N232" s="8"/>
      <c r="O232" s="8"/>
      <c r="P232" s="8"/>
    </row>
    <row r="233" spans="7:16" x14ac:dyDescent="0.2">
      <c r="G233" s="8"/>
      <c r="H233" s="8"/>
      <c r="J233" s="8"/>
      <c r="K233" s="8"/>
      <c r="L233" s="8"/>
      <c r="M233" s="8"/>
      <c r="N233" s="8"/>
      <c r="O233" s="8"/>
      <c r="P233" s="8"/>
    </row>
    <row r="234" spans="7:16" x14ac:dyDescent="0.2">
      <c r="G234" s="8"/>
      <c r="H234" s="8"/>
      <c r="J234" s="8"/>
      <c r="K234" s="8"/>
      <c r="L234" s="8"/>
      <c r="M234" s="8"/>
      <c r="N234" s="8"/>
      <c r="O234" s="8"/>
      <c r="P234" s="8"/>
    </row>
    <row r="235" spans="7:16" x14ac:dyDescent="0.2">
      <c r="G235" s="8"/>
      <c r="H235" s="8"/>
      <c r="J235" s="8"/>
      <c r="K235" s="8"/>
      <c r="L235" s="8"/>
      <c r="M235" s="8"/>
      <c r="N235" s="8"/>
      <c r="O235" s="8"/>
      <c r="P235" s="8"/>
    </row>
    <row r="236" spans="7:16" x14ac:dyDescent="0.2">
      <c r="G236" s="8"/>
      <c r="H236" s="8"/>
      <c r="J236" s="8"/>
      <c r="K236" s="8"/>
      <c r="L236" s="8"/>
      <c r="M236" s="8"/>
      <c r="N236" s="8"/>
      <c r="O236" s="8"/>
      <c r="P236" s="8"/>
    </row>
    <row r="237" spans="7:16" x14ac:dyDescent="0.2">
      <c r="G237" s="8"/>
      <c r="H237" s="8"/>
      <c r="J237" s="8"/>
      <c r="K237" s="8"/>
      <c r="L237" s="8"/>
      <c r="M237" s="8"/>
      <c r="N237" s="8"/>
      <c r="O237" s="8"/>
      <c r="P237" s="8"/>
    </row>
    <row r="238" spans="7:16" x14ac:dyDescent="0.2">
      <c r="G238" s="8"/>
      <c r="H238" s="8"/>
      <c r="J238" s="8"/>
      <c r="K238" s="8"/>
      <c r="L238" s="8"/>
      <c r="M238" s="8"/>
      <c r="N238" s="8"/>
      <c r="O238" s="8"/>
      <c r="P238" s="8"/>
    </row>
    <row r="239" spans="7:16" x14ac:dyDescent="0.2">
      <c r="G239" s="8"/>
      <c r="H239" s="8"/>
      <c r="J239" s="8"/>
      <c r="K239" s="8"/>
      <c r="L239" s="8"/>
      <c r="M239" s="8"/>
      <c r="N239" s="8"/>
      <c r="O239" s="8"/>
      <c r="P239" s="8"/>
    </row>
    <row r="240" spans="7:16" x14ac:dyDescent="0.2">
      <c r="G240" s="8"/>
      <c r="H240" s="8"/>
      <c r="J240" s="8"/>
      <c r="K240" s="8"/>
      <c r="L240" s="8"/>
      <c r="M240" s="8"/>
      <c r="N240" s="8"/>
      <c r="O240" s="8"/>
      <c r="P240" s="8"/>
    </row>
    <row r="241" spans="7:16" x14ac:dyDescent="0.2">
      <c r="G241" s="8"/>
      <c r="H241" s="8"/>
      <c r="J241" s="8"/>
      <c r="K241" s="8"/>
      <c r="L241" s="8"/>
      <c r="M241" s="8"/>
      <c r="N241" s="8"/>
      <c r="O241" s="8"/>
      <c r="P241" s="8"/>
    </row>
    <row r="242" spans="7:16" x14ac:dyDescent="0.2">
      <c r="G242" s="8"/>
      <c r="H242" s="8"/>
      <c r="J242" s="8"/>
      <c r="K242" s="8"/>
      <c r="L242" s="8"/>
      <c r="M242" s="8"/>
      <c r="N242" s="8"/>
      <c r="O242" s="8"/>
      <c r="P242" s="8"/>
    </row>
    <row r="243" spans="7:16" x14ac:dyDescent="0.2">
      <c r="G243" s="8"/>
      <c r="H243" s="8"/>
      <c r="J243" s="8"/>
      <c r="K243" s="8"/>
      <c r="L243" s="8"/>
      <c r="M243" s="8"/>
      <c r="N243" s="8"/>
      <c r="O243" s="8"/>
      <c r="P243" s="8"/>
    </row>
    <row r="244" spans="7:16" x14ac:dyDescent="0.2">
      <c r="G244" s="8"/>
      <c r="H244" s="8"/>
      <c r="J244" s="8"/>
      <c r="K244" s="8"/>
      <c r="L244" s="8"/>
      <c r="M244" s="8"/>
      <c r="N244" s="8"/>
      <c r="O244" s="8"/>
      <c r="P244" s="8"/>
    </row>
    <row r="245" spans="7:16" x14ac:dyDescent="0.2">
      <c r="G245" s="8"/>
      <c r="H245" s="8"/>
      <c r="J245" s="8"/>
      <c r="K245" s="8"/>
      <c r="L245" s="8"/>
      <c r="M245" s="8"/>
      <c r="N245" s="8"/>
      <c r="O245" s="8"/>
      <c r="P245" s="8"/>
    </row>
    <row r="246" spans="7:16" x14ac:dyDescent="0.2">
      <c r="G246" s="8"/>
      <c r="H246" s="8"/>
      <c r="J246" s="8"/>
      <c r="K246" s="8"/>
      <c r="L246" s="8"/>
      <c r="M246" s="8"/>
      <c r="N246" s="8"/>
      <c r="O246" s="8"/>
      <c r="P246" s="8"/>
    </row>
    <row r="247" spans="7:16" x14ac:dyDescent="0.2">
      <c r="G247" s="8"/>
      <c r="H247" s="8"/>
      <c r="J247" s="8"/>
      <c r="K247" s="8"/>
      <c r="L247" s="8"/>
      <c r="M247" s="8"/>
      <c r="N247" s="8"/>
      <c r="O247" s="8"/>
      <c r="P247" s="8"/>
    </row>
    <row r="248" spans="7:16" x14ac:dyDescent="0.2">
      <c r="G248" s="8"/>
      <c r="H248" s="8"/>
      <c r="J248" s="8"/>
      <c r="K248" s="8"/>
      <c r="L248" s="8"/>
      <c r="M248" s="8"/>
      <c r="N248" s="8"/>
      <c r="O248" s="8"/>
      <c r="P248" s="8"/>
    </row>
    <row r="249" spans="7:16" x14ac:dyDescent="0.2">
      <c r="G249" s="8"/>
      <c r="H249" s="8"/>
      <c r="J249" s="8"/>
      <c r="K249" s="8"/>
      <c r="L249" s="8"/>
      <c r="M249" s="8"/>
      <c r="N249" s="8"/>
      <c r="O249" s="8"/>
      <c r="P249" s="8"/>
    </row>
    <row r="250" spans="7:16" x14ac:dyDescent="0.2">
      <c r="G250" s="8"/>
      <c r="H250" s="8"/>
      <c r="J250" s="8"/>
      <c r="K250" s="8"/>
      <c r="L250" s="8"/>
      <c r="M250" s="8"/>
      <c r="N250" s="8"/>
      <c r="O250" s="8"/>
      <c r="P250" s="8"/>
    </row>
    <row r="251" spans="7:16" x14ac:dyDescent="0.2">
      <c r="G251" s="8"/>
      <c r="H251" s="8"/>
      <c r="J251" s="8"/>
      <c r="K251" s="8"/>
      <c r="L251" s="8"/>
      <c r="M251" s="8"/>
      <c r="N251" s="8"/>
      <c r="O251" s="8"/>
      <c r="P251" s="8"/>
    </row>
    <row r="252" spans="7:16" x14ac:dyDescent="0.2">
      <c r="G252" s="8"/>
      <c r="H252" s="8"/>
      <c r="J252" s="8"/>
      <c r="K252" s="8"/>
      <c r="L252" s="8"/>
      <c r="M252" s="8"/>
      <c r="N252" s="8"/>
      <c r="O252" s="8"/>
      <c r="P252" s="8"/>
    </row>
    <row r="253" spans="7:16" x14ac:dyDescent="0.2">
      <c r="G253" s="8"/>
      <c r="H253" s="8"/>
      <c r="J253" s="8"/>
      <c r="K253" s="8"/>
      <c r="L253" s="8"/>
      <c r="M253" s="8"/>
      <c r="N253" s="8"/>
      <c r="O253" s="8"/>
      <c r="P253" s="8"/>
    </row>
    <row r="254" spans="7:16" x14ac:dyDescent="0.2">
      <c r="G254" s="8"/>
      <c r="H254" s="8"/>
      <c r="J254" s="8"/>
      <c r="K254" s="8"/>
      <c r="L254" s="8"/>
      <c r="M254" s="8"/>
      <c r="N254" s="8"/>
      <c r="O254" s="8"/>
      <c r="P254" s="8"/>
    </row>
    <row r="255" spans="7:16" x14ac:dyDescent="0.2">
      <c r="G255" s="8"/>
      <c r="H255" s="8"/>
      <c r="J255" s="8"/>
      <c r="K255" s="8"/>
      <c r="L255" s="8"/>
      <c r="M255" s="8"/>
      <c r="N255" s="8"/>
      <c r="O255" s="8"/>
      <c r="P255" s="8"/>
    </row>
    <row r="256" spans="7:16" x14ac:dyDescent="0.2">
      <c r="G256" s="8"/>
      <c r="H256" s="8"/>
      <c r="J256" s="8"/>
      <c r="K256" s="8"/>
      <c r="L256" s="8"/>
      <c r="M256" s="8"/>
      <c r="N256" s="8"/>
      <c r="O256" s="8"/>
      <c r="P256" s="8"/>
    </row>
    <row r="257" spans="7:16" x14ac:dyDescent="0.2">
      <c r="G257" s="8"/>
      <c r="H257" s="8"/>
      <c r="J257" s="8"/>
      <c r="K257" s="8"/>
      <c r="L257" s="8"/>
      <c r="M257" s="8"/>
      <c r="N257" s="8"/>
      <c r="O257" s="8"/>
      <c r="P257" s="8"/>
    </row>
    <row r="258" spans="7:16" x14ac:dyDescent="0.2">
      <c r="G258" s="8"/>
      <c r="H258" s="8"/>
      <c r="J258" s="8"/>
      <c r="K258" s="8"/>
      <c r="L258" s="8"/>
      <c r="M258" s="8"/>
      <c r="N258" s="8"/>
      <c r="O258" s="8"/>
      <c r="P258" s="8"/>
    </row>
    <row r="259" spans="7:16" x14ac:dyDescent="0.2">
      <c r="G259" s="8"/>
      <c r="H259" s="8"/>
      <c r="J259" s="8"/>
      <c r="K259" s="8"/>
      <c r="L259" s="8"/>
      <c r="M259" s="8"/>
      <c r="N259" s="8"/>
      <c r="O259" s="8"/>
      <c r="P259" s="8"/>
    </row>
    <row r="260" spans="7:16" x14ac:dyDescent="0.2">
      <c r="G260" s="8"/>
      <c r="H260" s="8"/>
      <c r="J260" s="8"/>
      <c r="K260" s="8"/>
      <c r="L260" s="8"/>
      <c r="M260" s="8"/>
      <c r="N260" s="8"/>
      <c r="O260" s="8"/>
      <c r="P260" s="8"/>
    </row>
    <row r="261" spans="7:16" x14ac:dyDescent="0.2">
      <c r="G261" s="8"/>
      <c r="H261" s="8"/>
      <c r="J261" s="8"/>
      <c r="K261" s="8"/>
      <c r="L261" s="8"/>
      <c r="M261" s="8"/>
      <c r="N261" s="8"/>
      <c r="O261" s="8"/>
      <c r="P261" s="8"/>
    </row>
    <row r="262" spans="7:16" x14ac:dyDescent="0.2">
      <c r="G262" s="8"/>
      <c r="H262" s="8"/>
      <c r="J262" s="8"/>
      <c r="K262" s="8"/>
      <c r="L262" s="8"/>
      <c r="M262" s="8"/>
      <c r="N262" s="8"/>
      <c r="O262" s="8"/>
      <c r="P262" s="8"/>
    </row>
    <row r="263" spans="7:16" x14ac:dyDescent="0.2">
      <c r="G263" s="8"/>
      <c r="H263" s="8"/>
      <c r="J263" s="8"/>
      <c r="K263" s="8"/>
      <c r="L263" s="8"/>
      <c r="M263" s="8"/>
      <c r="N263" s="8"/>
      <c r="O263" s="8"/>
      <c r="P263" s="8"/>
    </row>
    <row r="264" spans="7:16" x14ac:dyDescent="0.2">
      <c r="G264" s="8"/>
      <c r="H264" s="8"/>
      <c r="J264" s="8"/>
      <c r="K264" s="8"/>
      <c r="L264" s="8"/>
      <c r="M264" s="8"/>
      <c r="N264" s="8"/>
      <c r="O264" s="8"/>
      <c r="P264" s="8"/>
    </row>
    <row r="265" spans="7:16" x14ac:dyDescent="0.2">
      <c r="G265" s="8"/>
      <c r="H265" s="8"/>
      <c r="J265" s="8"/>
      <c r="K265" s="8"/>
      <c r="L265" s="8"/>
      <c r="M265" s="8"/>
      <c r="N265" s="8"/>
      <c r="O265" s="8"/>
      <c r="P265" s="8"/>
    </row>
    <row r="266" spans="7:16" x14ac:dyDescent="0.2">
      <c r="G266" s="8"/>
      <c r="H266" s="8"/>
      <c r="J266" s="8"/>
      <c r="K266" s="8"/>
      <c r="L266" s="8"/>
      <c r="M266" s="8"/>
      <c r="N266" s="8"/>
      <c r="O266" s="8"/>
      <c r="P266" s="8"/>
    </row>
    <row r="267" spans="7:16" x14ac:dyDescent="0.2">
      <c r="G267" s="8"/>
      <c r="H267" s="8"/>
      <c r="J267" s="8"/>
      <c r="K267" s="8"/>
      <c r="L267" s="8"/>
      <c r="M267" s="8"/>
      <c r="N267" s="8"/>
      <c r="O267" s="8"/>
      <c r="P267" s="8"/>
    </row>
    <row r="268" spans="7:16" x14ac:dyDescent="0.2">
      <c r="G268" s="8"/>
      <c r="H268" s="8"/>
      <c r="J268" s="8"/>
      <c r="K268" s="8"/>
      <c r="L268" s="8"/>
      <c r="M268" s="8"/>
      <c r="N268" s="8"/>
      <c r="O268" s="8"/>
      <c r="P268" s="8"/>
    </row>
    <row r="269" spans="7:16" x14ac:dyDescent="0.2">
      <c r="G269" s="8"/>
      <c r="H269" s="8"/>
      <c r="J269" s="8"/>
      <c r="K269" s="8"/>
      <c r="L269" s="8"/>
      <c r="M269" s="8"/>
      <c r="N269" s="8"/>
      <c r="O269" s="8"/>
      <c r="P269" s="8"/>
    </row>
    <row r="270" spans="7:16" x14ac:dyDescent="0.2">
      <c r="G270" s="8"/>
      <c r="H270" s="8"/>
      <c r="J270" s="8"/>
      <c r="K270" s="8"/>
      <c r="L270" s="8"/>
      <c r="M270" s="8"/>
      <c r="N270" s="8"/>
      <c r="O270" s="8"/>
      <c r="P270" s="8"/>
    </row>
    <row r="271" spans="7:16" x14ac:dyDescent="0.2">
      <c r="G271" s="8"/>
      <c r="H271" s="8"/>
      <c r="J271" s="8"/>
      <c r="K271" s="8"/>
      <c r="L271" s="8"/>
      <c r="M271" s="8"/>
      <c r="N271" s="8"/>
      <c r="O271" s="8"/>
      <c r="P271" s="8"/>
    </row>
    <row r="272" spans="7:16" x14ac:dyDescent="0.2">
      <c r="G272" s="8"/>
      <c r="H272" s="8"/>
      <c r="J272" s="8"/>
      <c r="K272" s="8"/>
      <c r="L272" s="8"/>
      <c r="M272" s="8"/>
      <c r="N272" s="8"/>
      <c r="O272" s="8"/>
      <c r="P272" s="8"/>
    </row>
    <row r="273" spans="7:16" x14ac:dyDescent="0.2">
      <c r="G273" s="8"/>
      <c r="H273" s="8"/>
      <c r="J273" s="8"/>
      <c r="K273" s="8"/>
      <c r="L273" s="8"/>
      <c r="M273" s="8"/>
      <c r="N273" s="8"/>
      <c r="O273" s="8"/>
      <c r="P273" s="8"/>
    </row>
    <row r="274" spans="7:16" x14ac:dyDescent="0.2">
      <c r="G274" s="8"/>
      <c r="H274" s="8"/>
      <c r="J274" s="8"/>
      <c r="K274" s="8"/>
      <c r="L274" s="8"/>
      <c r="M274" s="8"/>
      <c r="N274" s="8"/>
      <c r="O274" s="8"/>
      <c r="P274" s="8"/>
    </row>
    <row r="275" spans="7:16" x14ac:dyDescent="0.2">
      <c r="G275" s="8"/>
      <c r="H275" s="8"/>
      <c r="J275" s="8"/>
      <c r="K275" s="8"/>
      <c r="L275" s="8"/>
      <c r="M275" s="8"/>
      <c r="N275" s="8"/>
      <c r="O275" s="8"/>
      <c r="P275" s="8"/>
    </row>
    <row r="276" spans="7:16" x14ac:dyDescent="0.2">
      <c r="G276" s="8"/>
      <c r="H276" s="8"/>
      <c r="J276" s="8"/>
      <c r="K276" s="8"/>
      <c r="L276" s="8"/>
      <c r="M276" s="8"/>
      <c r="N276" s="8"/>
      <c r="O276" s="8"/>
      <c r="P276" s="8"/>
    </row>
    <row r="277" spans="7:16" x14ac:dyDescent="0.2">
      <c r="G277" s="8"/>
      <c r="H277" s="8"/>
      <c r="J277" s="8"/>
      <c r="K277" s="8"/>
      <c r="L277" s="8"/>
      <c r="M277" s="8"/>
      <c r="N277" s="8"/>
      <c r="O277" s="8"/>
      <c r="P277" s="8"/>
    </row>
    <row r="278" spans="7:16" x14ac:dyDescent="0.2">
      <c r="G278" s="8"/>
      <c r="H278" s="8"/>
      <c r="J278" s="8"/>
      <c r="K278" s="8"/>
      <c r="L278" s="8"/>
      <c r="M278" s="8"/>
      <c r="N278" s="8"/>
      <c r="O278" s="8"/>
      <c r="P278" s="8"/>
    </row>
    <row r="279" spans="7:16" x14ac:dyDescent="0.2">
      <c r="G279" s="8"/>
      <c r="H279" s="8"/>
      <c r="J279" s="8"/>
      <c r="K279" s="8"/>
      <c r="L279" s="8"/>
      <c r="M279" s="8"/>
      <c r="N279" s="8"/>
      <c r="O279" s="8"/>
      <c r="P279" s="8"/>
    </row>
    <row r="280" spans="7:16" x14ac:dyDescent="0.2">
      <c r="G280" s="8"/>
      <c r="H280" s="8"/>
      <c r="J280" s="8"/>
      <c r="K280" s="8"/>
      <c r="L280" s="8"/>
      <c r="M280" s="8"/>
      <c r="N280" s="8"/>
      <c r="O280" s="8"/>
      <c r="P280" s="8"/>
    </row>
    <row r="281" spans="7:16" x14ac:dyDescent="0.2">
      <c r="G281" s="8"/>
      <c r="H281" s="8"/>
      <c r="J281" s="8"/>
      <c r="K281" s="8"/>
      <c r="L281" s="8"/>
      <c r="M281" s="8"/>
      <c r="N281" s="8"/>
      <c r="O281" s="8"/>
      <c r="P281" s="8"/>
    </row>
    <row r="282" spans="7:16" x14ac:dyDescent="0.2">
      <c r="G282" s="8"/>
      <c r="H282" s="8"/>
      <c r="J282" s="8"/>
      <c r="K282" s="8"/>
      <c r="L282" s="8"/>
      <c r="M282" s="8"/>
      <c r="N282" s="8"/>
      <c r="O282" s="8"/>
      <c r="P282" s="8"/>
    </row>
    <row r="283" spans="7:16" x14ac:dyDescent="0.2">
      <c r="G283" s="8"/>
      <c r="H283" s="8"/>
      <c r="J283" s="8"/>
      <c r="K283" s="8"/>
      <c r="L283" s="8"/>
      <c r="M283" s="8"/>
      <c r="N283" s="8"/>
      <c r="O283" s="8"/>
      <c r="P283" s="8"/>
    </row>
    <row r="284" spans="7:16" x14ac:dyDescent="0.2">
      <c r="G284" s="8"/>
      <c r="H284" s="8"/>
      <c r="J284" s="8"/>
      <c r="K284" s="8"/>
      <c r="L284" s="8"/>
      <c r="M284" s="8"/>
      <c r="N284" s="8"/>
      <c r="O284" s="8"/>
      <c r="P284" s="8"/>
    </row>
    <row r="285" spans="7:16" x14ac:dyDescent="0.2">
      <c r="G285" s="8"/>
      <c r="H285" s="8"/>
      <c r="J285" s="8"/>
      <c r="K285" s="8"/>
      <c r="L285" s="8"/>
      <c r="M285" s="8"/>
      <c r="N285" s="8"/>
      <c r="O285" s="8"/>
      <c r="P285" s="8"/>
    </row>
    <row r="286" spans="7:16" x14ac:dyDescent="0.2">
      <c r="G286" s="8"/>
      <c r="H286" s="8"/>
      <c r="J286" s="8"/>
      <c r="K286" s="8"/>
      <c r="L286" s="8"/>
      <c r="M286" s="8"/>
      <c r="N286" s="8"/>
      <c r="O286" s="8"/>
      <c r="P286" s="8"/>
    </row>
    <row r="287" spans="7:16" x14ac:dyDescent="0.2">
      <c r="G287" s="8"/>
      <c r="H287" s="8"/>
      <c r="J287" s="8"/>
      <c r="K287" s="8"/>
      <c r="L287" s="8"/>
      <c r="M287" s="8"/>
      <c r="N287" s="8"/>
      <c r="O287" s="8"/>
      <c r="P287" s="8"/>
    </row>
    <row r="288" spans="7:16" x14ac:dyDescent="0.2">
      <c r="G288" s="8"/>
      <c r="H288" s="8"/>
      <c r="J288" s="8"/>
      <c r="K288" s="8"/>
      <c r="L288" s="8"/>
      <c r="M288" s="8"/>
      <c r="N288" s="8"/>
      <c r="O288" s="8"/>
      <c r="P288" s="8"/>
    </row>
    <row r="289" spans="7:16" x14ac:dyDescent="0.2">
      <c r="G289" s="8"/>
      <c r="H289" s="8"/>
      <c r="J289" s="8"/>
      <c r="K289" s="8"/>
      <c r="L289" s="8"/>
      <c r="M289" s="8"/>
      <c r="N289" s="8"/>
      <c r="O289" s="8"/>
      <c r="P289" s="8"/>
    </row>
    <row r="290" spans="7:16" x14ac:dyDescent="0.2">
      <c r="G290" s="8"/>
      <c r="H290" s="8"/>
      <c r="J290" s="8"/>
      <c r="K290" s="8"/>
      <c r="L290" s="8"/>
      <c r="M290" s="8"/>
      <c r="N290" s="8"/>
      <c r="O290" s="8"/>
      <c r="P290" s="8"/>
    </row>
    <row r="291" spans="7:16" x14ac:dyDescent="0.2">
      <c r="G291" s="8"/>
      <c r="H291" s="8"/>
      <c r="J291" s="8"/>
      <c r="K291" s="8"/>
      <c r="L291" s="8"/>
      <c r="M291" s="8"/>
      <c r="N291" s="8"/>
      <c r="O291" s="8"/>
      <c r="P291" s="8"/>
    </row>
    <row r="292" spans="7:16" x14ac:dyDescent="0.2">
      <c r="G292" s="8"/>
      <c r="H292" s="8"/>
      <c r="J292" s="8"/>
      <c r="K292" s="8"/>
      <c r="L292" s="8"/>
      <c r="M292" s="8"/>
      <c r="N292" s="8"/>
      <c r="O292" s="8"/>
      <c r="P292" s="8"/>
    </row>
    <row r="293" spans="7:16" x14ac:dyDescent="0.2">
      <c r="G293" s="8"/>
      <c r="H293" s="8"/>
      <c r="J293" s="8"/>
      <c r="K293" s="8"/>
      <c r="L293" s="8"/>
      <c r="M293" s="8"/>
      <c r="N293" s="8"/>
      <c r="O293" s="8"/>
      <c r="P293" s="8"/>
    </row>
    <row r="294" spans="7:16" x14ac:dyDescent="0.2">
      <c r="G294" s="8"/>
      <c r="H294" s="8"/>
      <c r="J294" s="8"/>
      <c r="K294" s="8"/>
      <c r="L294" s="8"/>
      <c r="M294" s="8"/>
      <c r="N294" s="8"/>
      <c r="O294" s="8"/>
      <c r="P294" s="8"/>
    </row>
    <row r="295" spans="7:16" x14ac:dyDescent="0.2">
      <c r="G295" s="8"/>
      <c r="H295" s="8"/>
      <c r="J295" s="8"/>
      <c r="K295" s="8"/>
      <c r="L295" s="8"/>
      <c r="M295" s="8"/>
      <c r="N295" s="8"/>
      <c r="O295" s="8"/>
      <c r="P295" s="8"/>
    </row>
    <row r="296" spans="7:16" x14ac:dyDescent="0.2">
      <c r="G296" s="8"/>
      <c r="H296" s="8"/>
      <c r="J296" s="8"/>
      <c r="K296" s="8"/>
      <c r="L296" s="8"/>
      <c r="M296" s="8"/>
      <c r="N296" s="8"/>
      <c r="O296" s="8"/>
      <c r="P296" s="8"/>
    </row>
    <row r="297" spans="7:16" x14ac:dyDescent="0.2">
      <c r="G297" s="8"/>
      <c r="H297" s="8"/>
      <c r="J297" s="8"/>
      <c r="K297" s="8"/>
      <c r="L297" s="8"/>
      <c r="M297" s="8"/>
      <c r="N297" s="8"/>
      <c r="O297" s="8"/>
      <c r="P297" s="8"/>
    </row>
    <row r="298" spans="7:16" x14ac:dyDescent="0.2">
      <c r="G298" s="8"/>
      <c r="H298" s="8"/>
      <c r="J298" s="8"/>
      <c r="K298" s="8"/>
      <c r="L298" s="8"/>
      <c r="M298" s="8"/>
      <c r="N298" s="8"/>
      <c r="O298" s="8"/>
      <c r="P298" s="8"/>
    </row>
    <row r="299" spans="7:16" x14ac:dyDescent="0.2">
      <c r="G299" s="8"/>
      <c r="H299" s="8"/>
      <c r="J299" s="8"/>
      <c r="K299" s="8"/>
      <c r="L299" s="8"/>
      <c r="M299" s="8"/>
      <c r="N299" s="8"/>
      <c r="O299" s="8"/>
      <c r="P299" s="8"/>
    </row>
    <row r="300" spans="7:16" x14ac:dyDescent="0.2">
      <c r="G300" s="8"/>
      <c r="H300" s="8"/>
      <c r="J300" s="8"/>
      <c r="K300" s="8"/>
      <c r="L300" s="8"/>
      <c r="M300" s="8"/>
      <c r="N300" s="8"/>
      <c r="O300" s="8"/>
      <c r="P300" s="8"/>
    </row>
    <row r="301" spans="7:16" x14ac:dyDescent="0.2">
      <c r="G301" s="8"/>
      <c r="H301" s="8"/>
      <c r="J301" s="8"/>
      <c r="K301" s="8"/>
      <c r="L301" s="8"/>
      <c r="M301" s="8"/>
      <c r="N301" s="8"/>
      <c r="O301" s="8"/>
      <c r="P301" s="8"/>
    </row>
    <row r="302" spans="7:16" x14ac:dyDescent="0.2">
      <c r="G302" s="8"/>
      <c r="H302" s="8"/>
      <c r="J302" s="8"/>
      <c r="K302" s="8"/>
      <c r="L302" s="8"/>
      <c r="M302" s="8"/>
      <c r="N302" s="8"/>
      <c r="O302" s="8"/>
      <c r="P302" s="8"/>
    </row>
    <row r="303" spans="7:16" x14ac:dyDescent="0.2">
      <c r="G303" s="8"/>
      <c r="H303" s="8"/>
      <c r="J303" s="8"/>
      <c r="K303" s="8"/>
      <c r="L303" s="8"/>
      <c r="M303" s="8"/>
      <c r="N303" s="8"/>
      <c r="O303" s="8"/>
      <c r="P303" s="8"/>
    </row>
    <row r="304" spans="7:16" x14ac:dyDescent="0.2">
      <c r="G304" s="8"/>
      <c r="H304" s="8"/>
      <c r="J304" s="8"/>
      <c r="K304" s="8"/>
      <c r="L304" s="8"/>
      <c r="M304" s="8"/>
      <c r="N304" s="8"/>
      <c r="O304" s="8"/>
      <c r="P304" s="8"/>
    </row>
    <row r="305" spans="7:16" x14ac:dyDescent="0.2">
      <c r="G305" s="8"/>
      <c r="H305" s="8"/>
      <c r="J305" s="8"/>
      <c r="K305" s="8"/>
      <c r="L305" s="8"/>
      <c r="M305" s="8"/>
      <c r="N305" s="8"/>
      <c r="O305" s="8"/>
      <c r="P305" s="8"/>
    </row>
    <row r="306" spans="7:16" x14ac:dyDescent="0.2">
      <c r="G306" s="8"/>
      <c r="H306" s="8"/>
      <c r="J306" s="8"/>
      <c r="K306" s="8"/>
      <c r="L306" s="8"/>
      <c r="M306" s="8"/>
      <c r="N306" s="8"/>
      <c r="O306" s="8"/>
      <c r="P306" s="8"/>
    </row>
    <row r="307" spans="7:16" x14ac:dyDescent="0.2">
      <c r="G307" s="8"/>
      <c r="H307" s="8"/>
      <c r="J307" s="8"/>
      <c r="K307" s="8"/>
      <c r="L307" s="8"/>
      <c r="M307" s="8"/>
      <c r="N307" s="8"/>
      <c r="O307" s="8"/>
      <c r="P307" s="8"/>
    </row>
    <row r="308" spans="7:16" x14ac:dyDescent="0.2">
      <c r="G308" s="8"/>
      <c r="H308" s="8"/>
      <c r="J308" s="8"/>
      <c r="K308" s="8"/>
      <c r="L308" s="8"/>
      <c r="M308" s="8"/>
      <c r="N308" s="8"/>
      <c r="O308" s="8"/>
      <c r="P308" s="8"/>
    </row>
    <row r="309" spans="7:16" x14ac:dyDescent="0.2">
      <c r="G309" s="8"/>
      <c r="H309" s="8"/>
      <c r="J309" s="8"/>
      <c r="K309" s="8"/>
      <c r="L309" s="8"/>
      <c r="M309" s="8"/>
      <c r="N309" s="8"/>
      <c r="O309" s="8"/>
      <c r="P309" s="8"/>
    </row>
    <row r="310" spans="7:16" x14ac:dyDescent="0.2">
      <c r="G310" s="8"/>
      <c r="H310" s="8"/>
      <c r="J310" s="8"/>
      <c r="K310" s="8"/>
      <c r="L310" s="8"/>
      <c r="M310" s="8"/>
      <c r="N310" s="8"/>
      <c r="O310" s="8"/>
      <c r="P310" s="8"/>
    </row>
    <row r="311" spans="7:16" x14ac:dyDescent="0.2">
      <c r="G311" s="8"/>
      <c r="H311" s="8"/>
      <c r="J311" s="8"/>
      <c r="K311" s="8"/>
      <c r="L311" s="8"/>
      <c r="M311" s="8"/>
      <c r="N311" s="8"/>
      <c r="O311" s="8"/>
      <c r="P311" s="8"/>
    </row>
    <row r="312" spans="7:16" x14ac:dyDescent="0.2">
      <c r="G312" s="8"/>
      <c r="H312" s="8"/>
      <c r="J312" s="8"/>
      <c r="K312" s="8"/>
      <c r="L312" s="8"/>
      <c r="M312" s="8"/>
      <c r="N312" s="8"/>
      <c r="O312" s="8"/>
      <c r="P312" s="8"/>
    </row>
    <row r="313" spans="7:16" x14ac:dyDescent="0.2">
      <c r="G313" s="8"/>
      <c r="H313" s="8"/>
      <c r="J313" s="8"/>
      <c r="K313" s="8"/>
      <c r="L313" s="8"/>
      <c r="M313" s="8"/>
      <c r="N313" s="8"/>
      <c r="O313" s="8"/>
      <c r="P313" s="8"/>
    </row>
    <row r="314" spans="7:16" x14ac:dyDescent="0.2">
      <c r="G314" s="8"/>
      <c r="H314" s="8"/>
      <c r="J314" s="8"/>
      <c r="K314" s="8"/>
      <c r="L314" s="8"/>
      <c r="M314" s="8"/>
      <c r="N314" s="8"/>
      <c r="O314" s="8"/>
      <c r="P314" s="8"/>
    </row>
    <row r="315" spans="7:16" x14ac:dyDescent="0.2">
      <c r="G315" s="8"/>
      <c r="H315" s="8"/>
      <c r="J315" s="8"/>
      <c r="K315" s="8"/>
      <c r="L315" s="8"/>
      <c r="M315" s="8"/>
      <c r="N315" s="8"/>
      <c r="O315" s="8"/>
      <c r="P315" s="8"/>
    </row>
    <row r="316" spans="7:16" x14ac:dyDescent="0.2">
      <c r="G316" s="8"/>
      <c r="H316" s="8"/>
      <c r="J316" s="8"/>
      <c r="K316" s="8"/>
      <c r="L316" s="8"/>
      <c r="M316" s="8"/>
      <c r="N316" s="8"/>
      <c r="O316" s="8"/>
      <c r="P316" s="8"/>
    </row>
    <row r="317" spans="7:16" x14ac:dyDescent="0.2">
      <c r="G317" s="8"/>
      <c r="H317" s="8"/>
      <c r="J317" s="8"/>
      <c r="K317" s="8"/>
      <c r="L317" s="8"/>
      <c r="M317" s="8"/>
      <c r="N317" s="8"/>
      <c r="O317" s="8"/>
      <c r="P317" s="8"/>
    </row>
    <row r="318" spans="7:16" x14ac:dyDescent="0.2">
      <c r="G318" s="8"/>
      <c r="H318" s="8"/>
      <c r="J318" s="8"/>
      <c r="K318" s="8"/>
      <c r="L318" s="8"/>
      <c r="M318" s="8"/>
      <c r="N318" s="8"/>
      <c r="O318" s="8"/>
      <c r="P318" s="8"/>
    </row>
    <row r="319" spans="7:16" x14ac:dyDescent="0.2">
      <c r="G319" s="8"/>
      <c r="H319" s="8"/>
      <c r="J319" s="8"/>
      <c r="K319" s="8"/>
      <c r="L319" s="8"/>
      <c r="M319" s="8"/>
      <c r="N319" s="8"/>
      <c r="O319" s="8"/>
      <c r="P319" s="8"/>
    </row>
    <row r="320" spans="7:16" x14ac:dyDescent="0.2">
      <c r="G320" s="8"/>
      <c r="H320" s="8"/>
      <c r="J320" s="8"/>
      <c r="K320" s="8"/>
      <c r="L320" s="8"/>
      <c r="M320" s="8"/>
      <c r="N320" s="8"/>
      <c r="O320" s="8"/>
      <c r="P320" s="8"/>
    </row>
    <row r="321" spans="7:16" x14ac:dyDescent="0.2">
      <c r="G321" s="8"/>
      <c r="H321" s="8"/>
      <c r="J321" s="8"/>
      <c r="K321" s="8"/>
      <c r="L321" s="8"/>
      <c r="M321" s="8"/>
      <c r="N321" s="8"/>
      <c r="O321" s="8"/>
      <c r="P321" s="8"/>
    </row>
    <row r="322" spans="7:16" x14ac:dyDescent="0.2">
      <c r="G322" s="8"/>
      <c r="H322" s="8"/>
      <c r="J322" s="8"/>
      <c r="K322" s="8"/>
      <c r="L322" s="8"/>
      <c r="M322" s="8"/>
      <c r="N322" s="8"/>
      <c r="O322" s="8"/>
      <c r="P322" s="8"/>
    </row>
    <row r="323" spans="7:16" x14ac:dyDescent="0.2">
      <c r="G323" s="8"/>
      <c r="H323" s="8"/>
      <c r="J323" s="8"/>
      <c r="K323" s="8"/>
      <c r="L323" s="8"/>
      <c r="M323" s="8"/>
      <c r="N323" s="8"/>
      <c r="O323" s="8"/>
      <c r="P323" s="8"/>
    </row>
    <row r="324" spans="7:16" x14ac:dyDescent="0.2">
      <c r="G324" s="8"/>
      <c r="H324" s="8"/>
      <c r="J324" s="8"/>
      <c r="K324" s="8"/>
      <c r="L324" s="8"/>
      <c r="M324" s="8"/>
      <c r="N324" s="8"/>
      <c r="O324" s="8"/>
      <c r="P324" s="8"/>
    </row>
    <row r="325" spans="7:16" x14ac:dyDescent="0.2">
      <c r="G325" s="8"/>
      <c r="H325" s="8"/>
      <c r="J325" s="8"/>
      <c r="K325" s="8"/>
      <c r="L325" s="8"/>
      <c r="M325" s="8"/>
      <c r="N325" s="8"/>
      <c r="O325" s="8"/>
      <c r="P325" s="8"/>
    </row>
    <row r="326" spans="7:16" x14ac:dyDescent="0.2">
      <c r="G326" s="8"/>
      <c r="H326" s="8"/>
      <c r="J326" s="8"/>
      <c r="K326" s="8"/>
      <c r="L326" s="8"/>
      <c r="M326" s="8"/>
      <c r="N326" s="8"/>
      <c r="O326" s="8"/>
      <c r="P326" s="8"/>
    </row>
    <row r="327" spans="7:16" x14ac:dyDescent="0.2">
      <c r="G327" s="8"/>
      <c r="H327" s="8"/>
      <c r="J327" s="8"/>
      <c r="K327" s="8"/>
      <c r="L327" s="8"/>
      <c r="M327" s="8"/>
      <c r="N327" s="8"/>
      <c r="O327" s="8"/>
      <c r="P327" s="8"/>
    </row>
    <row r="328" spans="7:16" x14ac:dyDescent="0.2">
      <c r="G328" s="8"/>
      <c r="H328" s="8"/>
      <c r="J328" s="8"/>
      <c r="K328" s="8"/>
      <c r="L328" s="8"/>
      <c r="M328" s="8"/>
      <c r="N328" s="8"/>
      <c r="O328" s="8"/>
      <c r="P328" s="8"/>
    </row>
    <row r="329" spans="7:16" x14ac:dyDescent="0.2">
      <c r="G329" s="8"/>
      <c r="H329" s="8"/>
      <c r="J329" s="8"/>
      <c r="K329" s="8"/>
      <c r="L329" s="8"/>
      <c r="M329" s="8"/>
      <c r="N329" s="8"/>
      <c r="O329" s="8"/>
      <c r="P329" s="8"/>
    </row>
    <row r="330" spans="7:16" x14ac:dyDescent="0.2">
      <c r="G330" s="8"/>
      <c r="H330" s="8"/>
      <c r="J330" s="8"/>
      <c r="K330" s="8"/>
      <c r="L330" s="8"/>
      <c r="M330" s="8"/>
      <c r="N330" s="8"/>
      <c r="O330" s="8"/>
      <c r="P330" s="8"/>
    </row>
    <row r="331" spans="7:16" x14ac:dyDescent="0.2">
      <c r="G331" s="8"/>
      <c r="H331" s="8"/>
      <c r="J331" s="8"/>
      <c r="K331" s="8"/>
      <c r="L331" s="8"/>
      <c r="M331" s="8"/>
      <c r="N331" s="8"/>
      <c r="O331" s="8"/>
      <c r="P331" s="8"/>
    </row>
    <row r="332" spans="7:16" x14ac:dyDescent="0.2">
      <c r="G332" s="8"/>
      <c r="H332" s="8"/>
      <c r="J332" s="8"/>
      <c r="K332" s="8"/>
      <c r="L332" s="8"/>
      <c r="M332" s="8"/>
      <c r="N332" s="8"/>
      <c r="O332" s="8"/>
      <c r="P332" s="8"/>
    </row>
    <row r="333" spans="7:16" x14ac:dyDescent="0.2">
      <c r="G333" s="8"/>
      <c r="H333" s="8"/>
      <c r="J333" s="8"/>
      <c r="K333" s="8"/>
      <c r="L333" s="8"/>
      <c r="M333" s="8"/>
      <c r="N333" s="8"/>
      <c r="O333" s="8"/>
      <c r="P333" s="8"/>
    </row>
    <row r="334" spans="7:16" x14ac:dyDescent="0.2">
      <c r="G334" s="8"/>
      <c r="H334" s="8"/>
      <c r="J334" s="8"/>
      <c r="K334" s="8"/>
      <c r="L334" s="8"/>
      <c r="M334" s="8"/>
      <c r="N334" s="8"/>
      <c r="O334" s="8"/>
      <c r="P334" s="8"/>
    </row>
    <row r="335" spans="7:16" x14ac:dyDescent="0.2">
      <c r="G335" s="8"/>
      <c r="H335" s="8"/>
      <c r="J335" s="8"/>
      <c r="K335" s="8"/>
      <c r="L335" s="8"/>
      <c r="M335" s="8"/>
      <c r="N335" s="8"/>
      <c r="O335" s="8"/>
      <c r="P335" s="8"/>
    </row>
    <row r="336" spans="7:16" x14ac:dyDescent="0.2">
      <c r="G336" s="8"/>
      <c r="H336" s="8"/>
      <c r="J336" s="8"/>
      <c r="K336" s="8"/>
      <c r="L336" s="8"/>
      <c r="M336" s="8"/>
      <c r="N336" s="8"/>
      <c r="O336" s="8"/>
      <c r="P336" s="8"/>
    </row>
    <row r="337" spans="7:16" x14ac:dyDescent="0.2">
      <c r="G337" s="8"/>
      <c r="H337" s="8"/>
      <c r="J337" s="8"/>
      <c r="K337" s="8"/>
      <c r="L337" s="8"/>
      <c r="M337" s="8"/>
      <c r="N337" s="8"/>
      <c r="O337" s="8"/>
      <c r="P337" s="8"/>
    </row>
    <row r="338" spans="7:16" x14ac:dyDescent="0.2">
      <c r="G338" s="8"/>
      <c r="H338" s="8"/>
      <c r="J338" s="8"/>
      <c r="K338" s="8"/>
      <c r="L338" s="8"/>
      <c r="M338" s="8"/>
      <c r="N338" s="8"/>
      <c r="O338" s="8"/>
      <c r="P338" s="8"/>
    </row>
    <row r="339" spans="7:16" x14ac:dyDescent="0.2">
      <c r="G339" s="8"/>
      <c r="H339" s="8"/>
      <c r="J339" s="8"/>
      <c r="K339" s="8"/>
      <c r="L339" s="8"/>
      <c r="M339" s="8"/>
      <c r="N339" s="8"/>
      <c r="O339" s="8"/>
      <c r="P339" s="8"/>
    </row>
    <row r="340" spans="7:16" x14ac:dyDescent="0.2">
      <c r="G340" s="8"/>
      <c r="H340" s="8"/>
      <c r="J340" s="8"/>
      <c r="K340" s="8"/>
      <c r="L340" s="8"/>
      <c r="M340" s="8"/>
      <c r="N340" s="8"/>
      <c r="O340" s="8"/>
      <c r="P340" s="8"/>
    </row>
    <row r="341" spans="7:16" x14ac:dyDescent="0.2">
      <c r="G341" s="8"/>
      <c r="H341" s="8"/>
      <c r="J341" s="8"/>
      <c r="K341" s="8"/>
      <c r="L341" s="8"/>
      <c r="M341" s="8"/>
      <c r="N341" s="8"/>
      <c r="O341" s="8"/>
      <c r="P341" s="8"/>
    </row>
    <row r="342" spans="7:16" x14ac:dyDescent="0.2">
      <c r="G342" s="8"/>
      <c r="H342" s="8"/>
      <c r="J342" s="8"/>
      <c r="K342" s="8"/>
      <c r="L342" s="8"/>
      <c r="M342" s="8"/>
      <c r="N342" s="8"/>
      <c r="O342" s="8"/>
      <c r="P342" s="8"/>
    </row>
    <row r="343" spans="7:16" x14ac:dyDescent="0.2">
      <c r="G343" s="8"/>
      <c r="H343" s="8"/>
      <c r="J343" s="8"/>
      <c r="K343" s="8"/>
      <c r="L343" s="8"/>
      <c r="M343" s="8"/>
      <c r="N343" s="8"/>
      <c r="O343" s="8"/>
      <c r="P343" s="8"/>
    </row>
    <row r="344" spans="7:16" x14ac:dyDescent="0.2">
      <c r="G344" s="8"/>
      <c r="H344" s="8"/>
      <c r="J344" s="8"/>
      <c r="K344" s="8"/>
      <c r="L344" s="8"/>
      <c r="M344" s="8"/>
      <c r="N344" s="8"/>
      <c r="O344" s="8"/>
      <c r="P344" s="8"/>
    </row>
    <row r="345" spans="7:16" x14ac:dyDescent="0.2">
      <c r="G345" s="8"/>
      <c r="H345" s="8"/>
      <c r="J345" s="8"/>
      <c r="K345" s="8"/>
      <c r="L345" s="8"/>
      <c r="M345" s="8"/>
      <c r="N345" s="8"/>
      <c r="O345" s="8"/>
      <c r="P345" s="8"/>
    </row>
    <row r="346" spans="7:16" x14ac:dyDescent="0.2">
      <c r="G346" s="8"/>
      <c r="H346" s="8"/>
      <c r="J346" s="8"/>
      <c r="K346" s="8"/>
      <c r="L346" s="8"/>
      <c r="M346" s="8"/>
      <c r="N346" s="8"/>
      <c r="O346" s="8"/>
      <c r="P346" s="8"/>
    </row>
    <row r="347" spans="7:16" x14ac:dyDescent="0.2">
      <c r="G347" s="8"/>
      <c r="H347" s="8"/>
      <c r="J347" s="8"/>
      <c r="K347" s="8"/>
      <c r="L347" s="8"/>
      <c r="M347" s="8"/>
      <c r="N347" s="8"/>
      <c r="O347" s="8"/>
      <c r="P347" s="8"/>
    </row>
    <row r="348" spans="7:16" x14ac:dyDescent="0.2">
      <c r="G348" s="8"/>
      <c r="H348" s="8"/>
      <c r="J348" s="8"/>
      <c r="K348" s="8"/>
      <c r="L348" s="8"/>
      <c r="M348" s="8"/>
      <c r="N348" s="8"/>
      <c r="O348" s="8"/>
      <c r="P348" s="8"/>
    </row>
    <row r="349" spans="7:16" x14ac:dyDescent="0.2">
      <c r="G349" s="8"/>
      <c r="H349" s="8"/>
      <c r="J349" s="8"/>
      <c r="K349" s="8"/>
      <c r="L349" s="8"/>
      <c r="M349" s="8"/>
      <c r="N349" s="8"/>
      <c r="O349" s="8"/>
      <c r="P349" s="8"/>
    </row>
    <row r="350" spans="7:16" x14ac:dyDescent="0.2">
      <c r="G350" s="8"/>
      <c r="H350" s="8"/>
      <c r="J350" s="8"/>
      <c r="K350" s="8"/>
      <c r="L350" s="8"/>
      <c r="M350" s="8"/>
      <c r="N350" s="8"/>
      <c r="O350" s="8"/>
      <c r="P350" s="8"/>
    </row>
    <row r="351" spans="7:16" x14ac:dyDescent="0.2">
      <c r="G351" s="8"/>
      <c r="H351" s="8"/>
      <c r="J351" s="8"/>
      <c r="K351" s="8"/>
      <c r="L351" s="8"/>
      <c r="M351" s="8"/>
      <c r="N351" s="8"/>
      <c r="O351" s="8"/>
      <c r="P351" s="8"/>
    </row>
    <row r="352" spans="7:16" x14ac:dyDescent="0.2">
      <c r="G352" s="8"/>
      <c r="H352" s="8"/>
      <c r="J352" s="8"/>
      <c r="K352" s="8"/>
      <c r="L352" s="8"/>
      <c r="M352" s="8"/>
      <c r="N352" s="8"/>
      <c r="O352" s="8"/>
      <c r="P352" s="8"/>
    </row>
    <row r="353" spans="7:16" x14ac:dyDescent="0.2">
      <c r="G353" s="8"/>
      <c r="H353" s="8"/>
      <c r="J353" s="8"/>
      <c r="K353" s="8"/>
      <c r="L353" s="8"/>
      <c r="M353" s="8"/>
      <c r="N353" s="8"/>
      <c r="O353" s="8"/>
      <c r="P353" s="8"/>
    </row>
    <row r="354" spans="7:16" x14ac:dyDescent="0.2">
      <c r="G354" s="8"/>
      <c r="H354" s="8"/>
      <c r="J354" s="8"/>
      <c r="K354" s="8"/>
      <c r="L354" s="8"/>
      <c r="M354" s="8"/>
      <c r="N354" s="8"/>
      <c r="O354" s="8"/>
      <c r="P354" s="8"/>
    </row>
    <row r="355" spans="7:16" x14ac:dyDescent="0.2">
      <c r="G355" s="8"/>
      <c r="H355" s="8"/>
      <c r="J355" s="8"/>
      <c r="K355" s="8"/>
      <c r="L355" s="8"/>
      <c r="M355" s="8"/>
      <c r="N355" s="8"/>
      <c r="O355" s="8"/>
      <c r="P355" s="8"/>
    </row>
    <row r="356" spans="7:16" x14ac:dyDescent="0.2">
      <c r="G356" s="8"/>
      <c r="H356" s="8"/>
      <c r="J356" s="8"/>
      <c r="K356" s="8"/>
      <c r="L356" s="8"/>
      <c r="M356" s="8"/>
      <c r="N356" s="8"/>
      <c r="O356" s="8"/>
      <c r="P356" s="8"/>
    </row>
    <row r="357" spans="7:16" x14ac:dyDescent="0.2">
      <c r="G357" s="8"/>
      <c r="H357" s="8"/>
      <c r="J357" s="8"/>
      <c r="K357" s="8"/>
      <c r="L357" s="8"/>
      <c r="M357" s="8"/>
      <c r="N357" s="8"/>
      <c r="O357" s="8"/>
      <c r="P357" s="8"/>
    </row>
    <row r="358" spans="7:16" x14ac:dyDescent="0.2">
      <c r="G358" s="8"/>
      <c r="H358" s="8"/>
      <c r="J358" s="8"/>
      <c r="K358" s="8"/>
      <c r="L358" s="8"/>
      <c r="M358" s="8"/>
      <c r="N358" s="8"/>
      <c r="O358" s="8"/>
      <c r="P358" s="8"/>
    </row>
    <row r="359" spans="7:16" x14ac:dyDescent="0.2">
      <c r="G359" s="8"/>
      <c r="H359" s="8"/>
      <c r="J359" s="8"/>
      <c r="K359" s="8"/>
      <c r="L359" s="8"/>
      <c r="M359" s="8"/>
      <c r="N359" s="8"/>
      <c r="O359" s="8"/>
      <c r="P359" s="8"/>
    </row>
    <row r="360" spans="7:16" x14ac:dyDescent="0.2">
      <c r="G360" s="8"/>
      <c r="H360" s="8"/>
      <c r="J360" s="8"/>
      <c r="K360" s="8"/>
      <c r="L360" s="8"/>
      <c r="M360" s="8"/>
      <c r="N360" s="8"/>
      <c r="O360" s="8"/>
      <c r="P360" s="8"/>
    </row>
    <row r="361" spans="7:16" x14ac:dyDescent="0.2">
      <c r="G361" s="8"/>
      <c r="H361" s="8"/>
      <c r="J361" s="8"/>
      <c r="K361" s="8"/>
      <c r="L361" s="8"/>
      <c r="M361" s="8"/>
      <c r="N361" s="8"/>
      <c r="O361" s="8"/>
      <c r="P361" s="8"/>
    </row>
    <row r="362" spans="7:16" x14ac:dyDescent="0.2">
      <c r="G362" s="8"/>
      <c r="H362" s="8"/>
      <c r="J362" s="8"/>
      <c r="K362" s="8"/>
      <c r="L362" s="8"/>
      <c r="M362" s="8"/>
      <c r="N362" s="8"/>
      <c r="O362" s="8"/>
      <c r="P362" s="8"/>
    </row>
    <row r="363" spans="7:16" x14ac:dyDescent="0.2">
      <c r="G363" s="8"/>
      <c r="H363" s="8"/>
      <c r="J363" s="8"/>
      <c r="K363" s="8"/>
      <c r="L363" s="8"/>
      <c r="M363" s="8"/>
      <c r="N363" s="8"/>
      <c r="O363" s="8"/>
      <c r="P363" s="8"/>
    </row>
    <row r="364" spans="7:16" x14ac:dyDescent="0.2">
      <c r="G364" s="8"/>
      <c r="H364" s="8"/>
      <c r="J364" s="8"/>
      <c r="K364" s="8"/>
      <c r="L364" s="8"/>
      <c r="M364" s="8"/>
      <c r="N364" s="8"/>
      <c r="O364" s="8"/>
      <c r="P364" s="8"/>
    </row>
    <row r="365" spans="7:16" x14ac:dyDescent="0.2">
      <c r="G365" s="8"/>
      <c r="H365" s="8"/>
      <c r="J365" s="8"/>
      <c r="K365" s="8"/>
      <c r="L365" s="8"/>
      <c r="M365" s="8"/>
      <c r="N365" s="8"/>
      <c r="O365" s="8"/>
      <c r="P365" s="8"/>
    </row>
    <row r="366" spans="7:16" x14ac:dyDescent="0.2">
      <c r="G366" s="8"/>
      <c r="H366" s="8"/>
      <c r="J366" s="8"/>
      <c r="K366" s="8"/>
      <c r="L366" s="8"/>
      <c r="M366" s="8"/>
      <c r="N366" s="8"/>
      <c r="O366" s="8"/>
      <c r="P366" s="8"/>
    </row>
    <row r="367" spans="7:16" x14ac:dyDescent="0.2">
      <c r="G367" s="8"/>
      <c r="H367" s="8"/>
      <c r="J367" s="8"/>
      <c r="K367" s="8"/>
      <c r="L367" s="8"/>
      <c r="M367" s="8"/>
      <c r="N367" s="8"/>
      <c r="O367" s="8"/>
      <c r="P367" s="8"/>
    </row>
    <row r="368" spans="7:16" x14ac:dyDescent="0.2">
      <c r="G368" s="8"/>
      <c r="H368" s="8"/>
      <c r="J368" s="8"/>
      <c r="K368" s="8"/>
      <c r="L368" s="8"/>
      <c r="M368" s="8"/>
      <c r="N368" s="8"/>
      <c r="O368" s="8"/>
      <c r="P368" s="8"/>
    </row>
    <row r="369" spans="7:16" x14ac:dyDescent="0.2">
      <c r="G369" s="8"/>
      <c r="H369" s="8"/>
      <c r="J369" s="8"/>
      <c r="K369" s="8"/>
      <c r="L369" s="8"/>
      <c r="M369" s="8"/>
      <c r="N369" s="8"/>
      <c r="O369" s="8"/>
      <c r="P369" s="8"/>
    </row>
    <row r="370" spans="7:16" x14ac:dyDescent="0.2">
      <c r="G370" s="8"/>
      <c r="H370" s="8"/>
      <c r="J370" s="8"/>
      <c r="K370" s="8"/>
      <c r="L370" s="8"/>
      <c r="M370" s="8"/>
      <c r="N370" s="8"/>
      <c r="O370" s="8"/>
      <c r="P370" s="8"/>
    </row>
    <row r="371" spans="7:16" x14ac:dyDescent="0.2">
      <c r="G371" s="8"/>
      <c r="H371" s="8"/>
      <c r="J371" s="8"/>
      <c r="K371" s="8"/>
      <c r="L371" s="8"/>
      <c r="M371" s="8"/>
      <c r="N371" s="8"/>
      <c r="O371" s="8"/>
      <c r="P371" s="8"/>
    </row>
    <row r="372" spans="7:16" x14ac:dyDescent="0.2">
      <c r="G372" s="8"/>
      <c r="H372" s="8"/>
      <c r="J372" s="8"/>
      <c r="K372" s="8"/>
      <c r="L372" s="8"/>
      <c r="M372" s="8"/>
      <c r="N372" s="8"/>
      <c r="O372" s="8"/>
      <c r="P372" s="8"/>
    </row>
    <row r="373" spans="7:16" x14ac:dyDescent="0.2">
      <c r="G373" s="8"/>
      <c r="H373" s="8"/>
      <c r="J373" s="8"/>
      <c r="K373" s="8"/>
      <c r="L373" s="8"/>
      <c r="M373" s="8"/>
      <c r="N373" s="8"/>
      <c r="O373" s="8"/>
      <c r="P373" s="8"/>
    </row>
    <row r="374" spans="7:16" x14ac:dyDescent="0.2">
      <c r="G374" s="8"/>
      <c r="H374" s="8"/>
      <c r="J374" s="8"/>
      <c r="K374" s="8"/>
      <c r="L374" s="8"/>
      <c r="M374" s="8"/>
      <c r="N374" s="8"/>
      <c r="O374" s="8"/>
      <c r="P374" s="8"/>
    </row>
    <row r="375" spans="7:16" x14ac:dyDescent="0.2">
      <c r="G375" s="8"/>
      <c r="H375" s="8"/>
      <c r="J375" s="8"/>
      <c r="K375" s="8"/>
      <c r="L375" s="8"/>
      <c r="M375" s="8"/>
      <c r="N375" s="8"/>
      <c r="O375" s="8"/>
      <c r="P375" s="8"/>
    </row>
    <row r="376" spans="7:16" x14ac:dyDescent="0.2">
      <c r="G376" s="8"/>
      <c r="H376" s="8"/>
      <c r="J376" s="8"/>
      <c r="K376" s="8"/>
      <c r="L376" s="8"/>
      <c r="M376" s="8"/>
      <c r="N376" s="8"/>
      <c r="O376" s="8"/>
      <c r="P376" s="8"/>
    </row>
    <row r="377" spans="7:16" x14ac:dyDescent="0.2">
      <c r="G377" s="8"/>
      <c r="H377" s="8"/>
      <c r="J377" s="8"/>
      <c r="K377" s="8"/>
      <c r="L377" s="8"/>
      <c r="M377" s="8"/>
      <c r="N377" s="8"/>
      <c r="O377" s="8"/>
      <c r="P377" s="8"/>
    </row>
    <row r="378" spans="7:16" x14ac:dyDescent="0.2">
      <c r="G378" s="8"/>
      <c r="H378" s="8"/>
      <c r="J378" s="8"/>
      <c r="K378" s="8"/>
      <c r="L378" s="8"/>
      <c r="M378" s="8"/>
      <c r="N378" s="8"/>
      <c r="O378" s="8"/>
      <c r="P378" s="8"/>
    </row>
    <row r="379" spans="7:16" x14ac:dyDescent="0.2">
      <c r="G379" s="8"/>
      <c r="H379" s="8"/>
      <c r="J379" s="8"/>
      <c r="K379" s="8"/>
      <c r="L379" s="8"/>
      <c r="M379" s="8"/>
      <c r="N379" s="8"/>
      <c r="O379" s="8"/>
      <c r="P379" s="8"/>
    </row>
    <row r="380" spans="7:16" x14ac:dyDescent="0.2">
      <c r="G380" s="8"/>
      <c r="H380" s="8"/>
      <c r="J380" s="8"/>
      <c r="K380" s="8"/>
      <c r="L380" s="8"/>
      <c r="M380" s="8"/>
      <c r="N380" s="8"/>
      <c r="O380" s="8"/>
      <c r="P380" s="8"/>
    </row>
    <row r="381" spans="7:16" x14ac:dyDescent="0.2">
      <c r="G381" s="8"/>
      <c r="H381" s="8"/>
      <c r="J381" s="8"/>
      <c r="K381" s="8"/>
      <c r="L381" s="8"/>
      <c r="M381" s="8"/>
      <c r="N381" s="8"/>
      <c r="O381" s="8"/>
      <c r="P381" s="8"/>
    </row>
    <row r="382" spans="7:16" x14ac:dyDescent="0.2">
      <c r="G382" s="8"/>
      <c r="H382" s="8"/>
      <c r="J382" s="8"/>
      <c r="K382" s="8"/>
      <c r="L382" s="8"/>
      <c r="M382" s="8"/>
      <c r="N382" s="8"/>
      <c r="O382" s="8"/>
      <c r="P382" s="8"/>
    </row>
    <row r="383" spans="7:16" x14ac:dyDescent="0.2">
      <c r="G383" s="8"/>
      <c r="H383" s="8"/>
      <c r="J383" s="8"/>
      <c r="K383" s="8"/>
      <c r="L383" s="8"/>
      <c r="M383" s="8"/>
      <c r="N383" s="8"/>
      <c r="O383" s="8"/>
      <c r="P383" s="8"/>
    </row>
    <row r="384" spans="7:16" x14ac:dyDescent="0.2">
      <c r="G384" s="8"/>
      <c r="H384" s="8"/>
      <c r="J384" s="8"/>
      <c r="K384" s="8"/>
      <c r="L384" s="8"/>
      <c r="M384" s="8"/>
      <c r="N384" s="8"/>
      <c r="O384" s="8"/>
      <c r="P384" s="8"/>
    </row>
    <row r="385" spans="7:16" x14ac:dyDescent="0.2">
      <c r="G385" s="8"/>
      <c r="H385" s="8"/>
      <c r="J385" s="8"/>
      <c r="K385" s="8"/>
      <c r="L385" s="8"/>
      <c r="M385" s="8"/>
      <c r="N385" s="8"/>
      <c r="O385" s="8"/>
      <c r="P385" s="8"/>
    </row>
    <row r="386" spans="7:16" x14ac:dyDescent="0.2">
      <c r="G386" s="8"/>
      <c r="H386" s="8"/>
      <c r="J386" s="8"/>
      <c r="K386" s="8"/>
      <c r="L386" s="8"/>
      <c r="M386" s="8"/>
      <c r="N386" s="8"/>
      <c r="O386" s="8"/>
      <c r="P386" s="8"/>
    </row>
    <row r="387" spans="7:16" x14ac:dyDescent="0.2">
      <c r="G387" s="8"/>
      <c r="H387" s="8"/>
      <c r="J387" s="8"/>
      <c r="K387" s="8"/>
      <c r="L387" s="8"/>
      <c r="M387" s="8"/>
      <c r="N387" s="8"/>
      <c r="O387" s="8"/>
      <c r="P387" s="8"/>
    </row>
    <row r="388" spans="7:16" x14ac:dyDescent="0.2">
      <c r="G388" s="8"/>
      <c r="H388" s="8"/>
      <c r="J388" s="8"/>
      <c r="K388" s="8"/>
      <c r="L388" s="8"/>
      <c r="M388" s="8"/>
      <c r="N388" s="8"/>
      <c r="O388" s="8"/>
      <c r="P388" s="8"/>
    </row>
    <row r="389" spans="7:16" x14ac:dyDescent="0.2">
      <c r="G389" s="8"/>
      <c r="H389" s="8"/>
      <c r="J389" s="8"/>
      <c r="K389" s="8"/>
      <c r="L389" s="8"/>
      <c r="M389" s="8"/>
      <c r="N389" s="8"/>
      <c r="O389" s="8"/>
      <c r="P389" s="8"/>
    </row>
    <row r="390" spans="7:16" x14ac:dyDescent="0.2">
      <c r="G390" s="8"/>
      <c r="H390" s="8"/>
      <c r="J390" s="8"/>
      <c r="K390" s="8"/>
      <c r="L390" s="8"/>
      <c r="M390" s="8"/>
      <c r="N390" s="8"/>
      <c r="O390" s="8"/>
      <c r="P390" s="8"/>
    </row>
    <row r="391" spans="7:16" x14ac:dyDescent="0.2">
      <c r="G391" s="8"/>
      <c r="H391" s="8"/>
      <c r="J391" s="8"/>
      <c r="K391" s="8"/>
      <c r="L391" s="8"/>
      <c r="M391" s="8"/>
      <c r="N391" s="8"/>
      <c r="O391" s="8"/>
      <c r="P391" s="8"/>
    </row>
    <row r="392" spans="7:16" x14ac:dyDescent="0.2">
      <c r="G392" s="8"/>
      <c r="H392" s="8"/>
      <c r="J392" s="8"/>
      <c r="K392" s="8"/>
      <c r="L392" s="8"/>
      <c r="M392" s="8"/>
      <c r="N392" s="8"/>
      <c r="O392" s="8"/>
      <c r="P392" s="8"/>
    </row>
    <row r="393" spans="7:16" x14ac:dyDescent="0.2">
      <c r="G393" s="8"/>
      <c r="H393" s="8"/>
      <c r="J393" s="8"/>
      <c r="K393" s="8"/>
      <c r="L393" s="8"/>
      <c r="M393" s="8"/>
      <c r="N393" s="8"/>
      <c r="O393" s="8"/>
      <c r="P393" s="8"/>
    </row>
    <row r="394" spans="7:16" x14ac:dyDescent="0.2">
      <c r="G394" s="8"/>
      <c r="H394" s="8"/>
      <c r="J394" s="8"/>
      <c r="K394" s="8"/>
      <c r="L394" s="8"/>
      <c r="M394" s="8"/>
      <c r="N394" s="8"/>
      <c r="O394" s="8"/>
      <c r="P394" s="8"/>
    </row>
    <row r="395" spans="7:16" x14ac:dyDescent="0.2">
      <c r="G395" s="8"/>
      <c r="H395" s="8"/>
      <c r="J395" s="8"/>
      <c r="K395" s="8"/>
      <c r="L395" s="8"/>
      <c r="M395" s="8"/>
      <c r="N395" s="8"/>
      <c r="O395" s="8"/>
      <c r="P395" s="8"/>
    </row>
    <row r="396" spans="7:16" x14ac:dyDescent="0.2">
      <c r="G396" s="8"/>
      <c r="H396" s="8"/>
      <c r="J396" s="8"/>
      <c r="K396" s="8"/>
      <c r="L396" s="8"/>
      <c r="M396" s="8"/>
      <c r="N396" s="8"/>
      <c r="O396" s="8"/>
      <c r="P396" s="8"/>
    </row>
    <row r="397" spans="7:16" x14ac:dyDescent="0.2">
      <c r="G397" s="8"/>
      <c r="H397" s="8"/>
      <c r="J397" s="8"/>
      <c r="K397" s="8"/>
      <c r="L397" s="8"/>
      <c r="M397" s="8"/>
      <c r="N397" s="8"/>
      <c r="O397" s="8"/>
      <c r="P397" s="8"/>
    </row>
    <row r="398" spans="7:16" x14ac:dyDescent="0.2">
      <c r="G398" s="8"/>
      <c r="H398" s="8"/>
      <c r="J398" s="8"/>
      <c r="K398" s="8"/>
      <c r="L398" s="8"/>
      <c r="M398" s="8"/>
      <c r="N398" s="8"/>
      <c r="O398" s="8"/>
      <c r="P398" s="8"/>
    </row>
    <row r="399" spans="7:16" x14ac:dyDescent="0.2">
      <c r="G399" s="8"/>
      <c r="H399" s="8"/>
      <c r="J399" s="8"/>
      <c r="K399" s="8"/>
      <c r="L399" s="8"/>
      <c r="M399" s="8"/>
      <c r="N399" s="8"/>
      <c r="O399" s="8"/>
      <c r="P399" s="8"/>
    </row>
    <row r="400" spans="7:16" x14ac:dyDescent="0.2">
      <c r="G400" s="8"/>
      <c r="H400" s="8"/>
      <c r="J400" s="8"/>
      <c r="K400" s="8"/>
      <c r="L400" s="8"/>
      <c r="M400" s="8"/>
      <c r="N400" s="8"/>
      <c r="O400" s="8"/>
      <c r="P400" s="8"/>
    </row>
    <row r="401" spans="7:16" x14ac:dyDescent="0.2">
      <c r="G401" s="8"/>
      <c r="H401" s="8"/>
      <c r="J401" s="8"/>
      <c r="K401" s="8"/>
      <c r="L401" s="8"/>
      <c r="M401" s="8"/>
      <c r="N401" s="8"/>
      <c r="O401" s="8"/>
      <c r="P401" s="8"/>
    </row>
    <row r="402" spans="7:16" x14ac:dyDescent="0.2">
      <c r="G402" s="8"/>
      <c r="H402" s="8"/>
      <c r="J402" s="8"/>
      <c r="K402" s="8"/>
      <c r="L402" s="8"/>
      <c r="M402" s="8"/>
      <c r="N402" s="8"/>
      <c r="O402" s="8"/>
      <c r="P402" s="8"/>
    </row>
    <row r="403" spans="7:16" x14ac:dyDescent="0.2">
      <c r="G403" s="8"/>
      <c r="H403" s="8"/>
      <c r="J403" s="8"/>
      <c r="K403" s="8"/>
      <c r="L403" s="8"/>
      <c r="M403" s="8"/>
      <c r="N403" s="8"/>
      <c r="O403" s="8"/>
      <c r="P403" s="8"/>
    </row>
    <row r="404" spans="7:16" x14ac:dyDescent="0.2">
      <c r="G404" s="8"/>
      <c r="H404" s="8"/>
      <c r="J404" s="8"/>
      <c r="K404" s="8"/>
      <c r="L404" s="8"/>
      <c r="M404" s="8"/>
      <c r="N404" s="8"/>
      <c r="O404" s="8"/>
      <c r="P404" s="8"/>
    </row>
    <row r="405" spans="7:16" x14ac:dyDescent="0.2">
      <c r="G405" s="8"/>
      <c r="H405" s="8"/>
      <c r="J405" s="8"/>
      <c r="K405" s="8"/>
      <c r="L405" s="8"/>
      <c r="M405" s="8"/>
      <c r="N405" s="8"/>
      <c r="O405" s="8"/>
      <c r="P405" s="8"/>
    </row>
    <row r="406" spans="7:16" x14ac:dyDescent="0.2">
      <c r="G406" s="8"/>
      <c r="H406" s="8"/>
      <c r="J406" s="8"/>
      <c r="K406" s="8"/>
      <c r="L406" s="8"/>
      <c r="M406" s="8"/>
      <c r="N406" s="8"/>
      <c r="O406" s="8"/>
      <c r="P406" s="8"/>
    </row>
    <row r="407" spans="7:16" x14ac:dyDescent="0.2">
      <c r="G407" s="8"/>
      <c r="H407" s="8"/>
      <c r="J407" s="8"/>
      <c r="K407" s="8"/>
      <c r="L407" s="8"/>
      <c r="M407" s="8"/>
      <c r="N407" s="8"/>
      <c r="O407" s="8"/>
      <c r="P407" s="8"/>
    </row>
    <row r="408" spans="7:16" x14ac:dyDescent="0.2">
      <c r="G408" s="8"/>
      <c r="H408" s="8"/>
      <c r="J408" s="8"/>
      <c r="K408" s="8"/>
      <c r="L408" s="8"/>
      <c r="M408" s="8"/>
      <c r="N408" s="8"/>
      <c r="O408" s="8"/>
      <c r="P408" s="8"/>
    </row>
    <row r="409" spans="7:16" x14ac:dyDescent="0.2">
      <c r="G409" s="8"/>
      <c r="H409" s="8"/>
      <c r="J409" s="8"/>
      <c r="K409" s="8"/>
      <c r="L409" s="8"/>
      <c r="M409" s="8"/>
      <c r="N409" s="8"/>
      <c r="O409" s="8"/>
      <c r="P409" s="8"/>
    </row>
    <row r="410" spans="7:16" x14ac:dyDescent="0.2">
      <c r="G410" s="8"/>
      <c r="H410" s="8"/>
      <c r="J410" s="8"/>
      <c r="K410" s="8"/>
      <c r="L410" s="8"/>
      <c r="M410" s="8"/>
      <c r="N410" s="8"/>
      <c r="O410" s="8"/>
      <c r="P410" s="8"/>
    </row>
    <row r="411" spans="7:16" x14ac:dyDescent="0.2">
      <c r="G411" s="8"/>
      <c r="H411" s="8"/>
      <c r="J411" s="8"/>
      <c r="K411" s="8"/>
      <c r="L411" s="8"/>
      <c r="M411" s="8"/>
      <c r="N411" s="8"/>
      <c r="O411" s="8"/>
      <c r="P411" s="8"/>
    </row>
    <row r="412" spans="7:16" x14ac:dyDescent="0.2">
      <c r="G412" s="8"/>
      <c r="H412" s="8"/>
      <c r="J412" s="8"/>
      <c r="K412" s="8"/>
      <c r="L412" s="8"/>
      <c r="M412" s="8"/>
      <c r="N412" s="8"/>
      <c r="O412" s="8"/>
      <c r="P412" s="8"/>
    </row>
    <row r="413" spans="7:16" x14ac:dyDescent="0.2">
      <c r="G413" s="8"/>
      <c r="H413" s="8"/>
      <c r="J413" s="8"/>
      <c r="K413" s="8"/>
      <c r="L413" s="8"/>
      <c r="M413" s="8"/>
      <c r="N413" s="8"/>
      <c r="O413" s="8"/>
      <c r="P413" s="8"/>
    </row>
    <row r="414" spans="7:16" x14ac:dyDescent="0.2">
      <c r="G414" s="8"/>
      <c r="H414" s="8"/>
      <c r="J414" s="8"/>
      <c r="K414" s="8"/>
      <c r="L414" s="8"/>
      <c r="M414" s="8"/>
      <c r="N414" s="8"/>
      <c r="O414" s="8"/>
      <c r="P414" s="8"/>
    </row>
    <row r="415" spans="7:16" x14ac:dyDescent="0.2">
      <c r="G415" s="8"/>
      <c r="H415" s="8"/>
      <c r="J415" s="8"/>
      <c r="K415" s="8"/>
      <c r="L415" s="8"/>
      <c r="M415" s="8"/>
      <c r="N415" s="8"/>
      <c r="O415" s="8"/>
      <c r="P415" s="8"/>
    </row>
    <row r="416" spans="7:16" x14ac:dyDescent="0.2">
      <c r="G416" s="8"/>
      <c r="H416" s="8"/>
      <c r="J416" s="8"/>
      <c r="K416" s="8"/>
      <c r="L416" s="8"/>
      <c r="M416" s="8"/>
      <c r="N416" s="8"/>
      <c r="O416" s="8"/>
      <c r="P416" s="8"/>
    </row>
    <row r="417" spans="7:16" x14ac:dyDescent="0.2">
      <c r="G417" s="8"/>
      <c r="H417" s="8"/>
      <c r="J417" s="8"/>
      <c r="K417" s="8"/>
      <c r="L417" s="8"/>
      <c r="M417" s="8"/>
      <c r="N417" s="8"/>
      <c r="O417" s="8"/>
      <c r="P417" s="8"/>
    </row>
    <row r="418" spans="7:16" x14ac:dyDescent="0.2">
      <c r="G418" s="8"/>
      <c r="H418" s="8"/>
      <c r="J418" s="8"/>
      <c r="K418" s="8"/>
      <c r="L418" s="8"/>
      <c r="M418" s="8"/>
      <c r="N418" s="8"/>
      <c r="O418" s="8"/>
      <c r="P418" s="8"/>
    </row>
    <row r="419" spans="7:16" x14ac:dyDescent="0.2">
      <c r="G419" s="8"/>
      <c r="H419" s="8"/>
      <c r="J419" s="8"/>
      <c r="K419" s="8"/>
      <c r="L419" s="8"/>
      <c r="M419" s="8"/>
      <c r="N419" s="8"/>
      <c r="O419" s="8"/>
      <c r="P419" s="8"/>
    </row>
    <row r="420" spans="7:16" x14ac:dyDescent="0.2">
      <c r="G420" s="8"/>
      <c r="H420" s="8"/>
      <c r="J420" s="8"/>
      <c r="K420" s="8"/>
      <c r="L420" s="8"/>
      <c r="M420" s="8"/>
      <c r="N420" s="8"/>
      <c r="O420" s="8"/>
      <c r="P420" s="8"/>
    </row>
    <row r="421" spans="7:16" x14ac:dyDescent="0.2">
      <c r="G421" s="8"/>
      <c r="H421" s="8"/>
      <c r="J421" s="8"/>
      <c r="K421" s="8"/>
      <c r="L421" s="8"/>
      <c r="M421" s="8"/>
      <c r="N421" s="8"/>
      <c r="O421" s="8"/>
      <c r="P421" s="8"/>
    </row>
    <row r="422" spans="7:16" x14ac:dyDescent="0.2">
      <c r="G422" s="8"/>
      <c r="H422" s="8"/>
      <c r="J422" s="8"/>
      <c r="K422" s="8"/>
      <c r="L422" s="8"/>
      <c r="M422" s="8"/>
      <c r="N422" s="8"/>
      <c r="O422" s="8"/>
      <c r="P422" s="8"/>
    </row>
    <row r="423" spans="7:16" x14ac:dyDescent="0.2">
      <c r="G423" s="8"/>
      <c r="H423" s="8"/>
      <c r="J423" s="8"/>
      <c r="K423" s="8"/>
      <c r="L423" s="8"/>
      <c r="M423" s="8"/>
      <c r="N423" s="8"/>
      <c r="O423" s="8"/>
      <c r="P423" s="8"/>
    </row>
    <row r="424" spans="7:16" x14ac:dyDescent="0.2">
      <c r="G424" s="8"/>
      <c r="H424" s="8"/>
      <c r="J424" s="8"/>
      <c r="K424" s="8"/>
      <c r="L424" s="8"/>
      <c r="M424" s="8"/>
      <c r="N424" s="8"/>
      <c r="O424" s="8"/>
      <c r="P424" s="8"/>
    </row>
    <row r="425" spans="7:16" x14ac:dyDescent="0.2">
      <c r="G425" s="8"/>
      <c r="H425" s="8"/>
      <c r="J425" s="8"/>
      <c r="K425" s="8"/>
      <c r="L425" s="8"/>
      <c r="M425" s="8"/>
      <c r="N425" s="8"/>
      <c r="O425" s="8"/>
      <c r="P425" s="8"/>
    </row>
    <row r="426" spans="7:16" x14ac:dyDescent="0.2">
      <c r="G426" s="8"/>
      <c r="H426" s="8"/>
      <c r="J426" s="8"/>
      <c r="K426" s="8"/>
      <c r="L426" s="8"/>
      <c r="M426" s="8"/>
      <c r="N426" s="8"/>
      <c r="O426" s="8"/>
      <c r="P426" s="8"/>
    </row>
    <row r="427" spans="7:16" x14ac:dyDescent="0.2">
      <c r="G427" s="8"/>
      <c r="H427" s="8"/>
      <c r="J427" s="8"/>
      <c r="K427" s="8"/>
      <c r="L427" s="8"/>
      <c r="M427" s="8"/>
      <c r="N427" s="8"/>
      <c r="O427" s="8"/>
      <c r="P427" s="8"/>
    </row>
    <row r="428" spans="7:16" x14ac:dyDescent="0.2">
      <c r="G428" s="8"/>
      <c r="H428" s="8"/>
      <c r="J428" s="8"/>
      <c r="K428" s="8"/>
      <c r="L428" s="8"/>
      <c r="M428" s="8"/>
      <c r="N428" s="8"/>
      <c r="O428" s="8"/>
      <c r="P428" s="8"/>
    </row>
    <row r="429" spans="7:16" x14ac:dyDescent="0.2">
      <c r="G429" s="8"/>
      <c r="H429" s="8"/>
      <c r="J429" s="8"/>
      <c r="K429" s="8"/>
      <c r="L429" s="8"/>
      <c r="M429" s="8"/>
      <c r="N429" s="8"/>
      <c r="O429" s="8"/>
      <c r="P429" s="8"/>
    </row>
    <row r="430" spans="7:16" x14ac:dyDescent="0.2">
      <c r="G430" s="8"/>
      <c r="H430" s="8"/>
      <c r="J430" s="8"/>
      <c r="K430" s="8"/>
      <c r="L430" s="8"/>
      <c r="M430" s="8"/>
      <c r="N430" s="8"/>
      <c r="O430" s="8"/>
      <c r="P430" s="8"/>
    </row>
    <row r="431" spans="7:16" x14ac:dyDescent="0.2">
      <c r="G431" s="8"/>
      <c r="H431" s="8"/>
      <c r="J431" s="8"/>
      <c r="K431" s="8"/>
      <c r="L431" s="8"/>
      <c r="M431" s="8"/>
      <c r="N431" s="8"/>
      <c r="O431" s="8"/>
      <c r="P431" s="8"/>
    </row>
    <row r="432" spans="7:16" x14ac:dyDescent="0.2">
      <c r="G432" s="8"/>
      <c r="H432" s="8"/>
      <c r="J432" s="8"/>
      <c r="K432" s="8"/>
      <c r="L432" s="8"/>
      <c r="M432" s="8"/>
      <c r="N432" s="8"/>
      <c r="O432" s="8"/>
      <c r="P432" s="8"/>
    </row>
    <row r="433" spans="7:16" x14ac:dyDescent="0.2">
      <c r="G433" s="8"/>
      <c r="H433" s="8"/>
      <c r="J433" s="8"/>
      <c r="K433" s="8"/>
      <c r="L433" s="8"/>
      <c r="M433" s="8"/>
      <c r="N433" s="8"/>
      <c r="O433" s="8"/>
      <c r="P433" s="8"/>
    </row>
    <row r="434" spans="7:16" x14ac:dyDescent="0.2">
      <c r="G434" s="8"/>
      <c r="H434" s="8"/>
      <c r="J434" s="8"/>
      <c r="K434" s="8"/>
      <c r="L434" s="8"/>
      <c r="M434" s="8"/>
      <c r="N434" s="8"/>
      <c r="O434" s="8"/>
      <c r="P434" s="8"/>
    </row>
    <row r="435" spans="7:16" x14ac:dyDescent="0.2">
      <c r="G435" s="8"/>
      <c r="H435" s="8"/>
      <c r="J435" s="8"/>
      <c r="K435" s="8"/>
      <c r="L435" s="8"/>
      <c r="M435" s="8"/>
      <c r="N435" s="8"/>
      <c r="O435" s="8"/>
      <c r="P435" s="8"/>
    </row>
    <row r="436" spans="7:16" x14ac:dyDescent="0.2">
      <c r="G436" s="8"/>
      <c r="H436" s="8"/>
      <c r="J436" s="8"/>
      <c r="K436" s="8"/>
      <c r="L436" s="8"/>
      <c r="M436" s="8"/>
      <c r="N436" s="8"/>
      <c r="O436" s="8"/>
      <c r="P436" s="8"/>
    </row>
    <row r="437" spans="7:16" x14ac:dyDescent="0.2">
      <c r="G437" s="8"/>
      <c r="H437" s="8"/>
      <c r="J437" s="8"/>
      <c r="K437" s="8"/>
      <c r="L437" s="8"/>
      <c r="M437" s="8"/>
      <c r="N437" s="8"/>
      <c r="O437" s="8"/>
      <c r="P437" s="8"/>
    </row>
    <row r="438" spans="7:16" x14ac:dyDescent="0.2">
      <c r="G438" s="8"/>
      <c r="H438" s="8"/>
      <c r="J438" s="8"/>
      <c r="K438" s="8"/>
      <c r="L438" s="8"/>
      <c r="M438" s="8"/>
      <c r="N438" s="8"/>
      <c r="O438" s="8"/>
      <c r="P438" s="8"/>
    </row>
    <row r="439" spans="7:16" x14ac:dyDescent="0.2">
      <c r="G439" s="8"/>
      <c r="H439" s="8"/>
      <c r="J439" s="8"/>
      <c r="K439" s="8"/>
      <c r="L439" s="8"/>
      <c r="M439" s="8"/>
      <c r="N439" s="8"/>
      <c r="O439" s="8"/>
      <c r="P439" s="8"/>
    </row>
    <row r="440" spans="7:16" x14ac:dyDescent="0.2">
      <c r="G440" s="8"/>
      <c r="H440" s="8"/>
      <c r="J440" s="8"/>
      <c r="K440" s="8"/>
      <c r="L440" s="8"/>
      <c r="M440" s="8"/>
      <c r="N440" s="8"/>
      <c r="O440" s="8"/>
      <c r="P440" s="8"/>
    </row>
    <row r="441" spans="7:16" x14ac:dyDescent="0.2">
      <c r="G441" s="8"/>
      <c r="H441" s="8"/>
      <c r="J441" s="8"/>
      <c r="K441" s="8"/>
      <c r="L441" s="8"/>
      <c r="M441" s="8"/>
      <c r="N441" s="8"/>
      <c r="O441" s="8"/>
      <c r="P441" s="8"/>
    </row>
    <row r="442" spans="7:16" x14ac:dyDescent="0.2">
      <c r="G442" s="8"/>
      <c r="H442" s="8"/>
      <c r="J442" s="8"/>
      <c r="K442" s="8"/>
      <c r="L442" s="8"/>
      <c r="M442" s="8"/>
      <c r="N442" s="8"/>
      <c r="O442" s="8"/>
      <c r="P442" s="8"/>
    </row>
    <row r="443" spans="7:16" x14ac:dyDescent="0.2">
      <c r="G443" s="8"/>
      <c r="H443" s="8"/>
      <c r="J443" s="8"/>
      <c r="K443" s="8"/>
      <c r="L443" s="8"/>
      <c r="M443" s="8"/>
      <c r="N443" s="8"/>
      <c r="O443" s="8"/>
      <c r="P443" s="8"/>
    </row>
    <row r="444" spans="7:16" x14ac:dyDescent="0.2">
      <c r="G444" s="8"/>
      <c r="H444" s="8"/>
      <c r="J444" s="8"/>
      <c r="K444" s="8"/>
      <c r="L444" s="8"/>
      <c r="M444" s="8"/>
      <c r="N444" s="8"/>
      <c r="O444" s="8"/>
      <c r="P444" s="8"/>
    </row>
    <row r="445" spans="7:16" x14ac:dyDescent="0.2">
      <c r="G445" s="8"/>
      <c r="H445" s="8"/>
      <c r="J445" s="8"/>
      <c r="K445" s="8"/>
      <c r="L445" s="8"/>
      <c r="M445" s="8"/>
      <c r="N445" s="8"/>
      <c r="O445" s="8"/>
      <c r="P445" s="8"/>
    </row>
    <row r="446" spans="7:16" x14ac:dyDescent="0.2">
      <c r="G446" s="8"/>
      <c r="H446" s="8"/>
      <c r="J446" s="8"/>
      <c r="K446" s="8"/>
      <c r="L446" s="8"/>
      <c r="M446" s="8"/>
      <c r="N446" s="8"/>
      <c r="O446" s="8"/>
      <c r="P446" s="8"/>
    </row>
    <row r="447" spans="7:16" x14ac:dyDescent="0.2">
      <c r="G447" s="8"/>
      <c r="H447" s="8"/>
      <c r="J447" s="8"/>
      <c r="K447" s="8"/>
      <c r="L447" s="8"/>
      <c r="M447" s="8"/>
      <c r="N447" s="8"/>
      <c r="O447" s="8"/>
      <c r="P447" s="8"/>
    </row>
    <row r="448" spans="7:16" x14ac:dyDescent="0.2">
      <c r="G448" s="8"/>
      <c r="H448" s="8"/>
      <c r="J448" s="8"/>
      <c r="K448" s="8"/>
      <c r="L448" s="8"/>
      <c r="M448" s="8"/>
      <c r="N448" s="8"/>
      <c r="O448" s="8"/>
      <c r="P448" s="8"/>
    </row>
    <row r="449" spans="7:16" x14ac:dyDescent="0.2">
      <c r="G449" s="8"/>
      <c r="H449" s="8"/>
      <c r="J449" s="8"/>
      <c r="K449" s="8"/>
      <c r="L449" s="8"/>
      <c r="M449" s="8"/>
      <c r="N449" s="8"/>
      <c r="O449" s="8"/>
      <c r="P449" s="8"/>
    </row>
    <row r="450" spans="7:16" x14ac:dyDescent="0.2">
      <c r="G450" s="8"/>
      <c r="H450" s="8"/>
      <c r="J450" s="8"/>
      <c r="K450" s="8"/>
      <c r="L450" s="8"/>
      <c r="M450" s="8"/>
      <c r="N450" s="8"/>
      <c r="O450" s="8"/>
      <c r="P450" s="8"/>
    </row>
    <row r="451" spans="7:16" x14ac:dyDescent="0.2">
      <c r="G451" s="8"/>
      <c r="H451" s="8"/>
      <c r="J451" s="8"/>
      <c r="K451" s="8"/>
      <c r="L451" s="8"/>
      <c r="M451" s="8"/>
      <c r="N451" s="8"/>
      <c r="O451" s="8"/>
      <c r="P451" s="8"/>
    </row>
    <row r="452" spans="7:16" x14ac:dyDescent="0.2">
      <c r="G452" s="8"/>
      <c r="H452" s="8"/>
      <c r="J452" s="8"/>
      <c r="K452" s="8"/>
      <c r="L452" s="8"/>
      <c r="M452" s="8"/>
      <c r="N452" s="8"/>
      <c r="O452" s="8"/>
      <c r="P452" s="8"/>
    </row>
    <row r="453" spans="7:16" x14ac:dyDescent="0.2">
      <c r="G453" s="8"/>
      <c r="H453" s="8"/>
      <c r="J453" s="8"/>
      <c r="K453" s="8"/>
      <c r="L453" s="8"/>
      <c r="M453" s="8"/>
      <c r="N453" s="8"/>
      <c r="O453" s="8"/>
      <c r="P453" s="8"/>
    </row>
    <row r="454" spans="7:16" x14ac:dyDescent="0.2">
      <c r="G454" s="8"/>
      <c r="H454" s="8"/>
      <c r="J454" s="8"/>
      <c r="K454" s="8"/>
      <c r="L454" s="8"/>
      <c r="M454" s="8"/>
      <c r="N454" s="8"/>
      <c r="O454" s="8"/>
      <c r="P454" s="8"/>
    </row>
    <row r="455" spans="7:16" x14ac:dyDescent="0.2">
      <c r="G455" s="8"/>
      <c r="H455" s="8"/>
      <c r="J455" s="8"/>
      <c r="K455" s="8"/>
      <c r="L455" s="8"/>
      <c r="M455" s="8"/>
      <c r="N455" s="8"/>
      <c r="O455" s="8"/>
      <c r="P455" s="8"/>
    </row>
    <row r="456" spans="7:16" x14ac:dyDescent="0.2">
      <c r="G456" s="8"/>
      <c r="H456" s="8"/>
      <c r="J456" s="8"/>
      <c r="K456" s="8"/>
      <c r="L456" s="8"/>
      <c r="M456" s="8"/>
      <c r="N456" s="8"/>
      <c r="O456" s="8"/>
      <c r="P456" s="8"/>
    </row>
    <row r="457" spans="7:16" x14ac:dyDescent="0.2">
      <c r="G457" s="8"/>
      <c r="H457" s="8"/>
      <c r="J457" s="8"/>
      <c r="K457" s="8"/>
      <c r="L457" s="8"/>
      <c r="M457" s="8"/>
      <c r="N457" s="8"/>
      <c r="O457" s="8"/>
      <c r="P457" s="8"/>
    </row>
    <row r="458" spans="7:16" x14ac:dyDescent="0.2">
      <c r="G458" s="8"/>
      <c r="H458" s="8"/>
      <c r="J458" s="8"/>
      <c r="K458" s="8"/>
      <c r="L458" s="8"/>
      <c r="M458" s="8"/>
      <c r="N458" s="8"/>
      <c r="O458" s="8"/>
      <c r="P458" s="8"/>
    </row>
    <row r="459" spans="7:16" x14ac:dyDescent="0.2">
      <c r="G459" s="8"/>
      <c r="H459" s="8"/>
      <c r="J459" s="8"/>
      <c r="K459" s="8"/>
      <c r="L459" s="8"/>
      <c r="M459" s="8"/>
      <c r="N459" s="8"/>
      <c r="O459" s="8"/>
      <c r="P459" s="8"/>
    </row>
    <row r="460" spans="7:16" x14ac:dyDescent="0.2">
      <c r="G460" s="8"/>
      <c r="H460" s="8"/>
      <c r="J460" s="8"/>
      <c r="K460" s="8"/>
      <c r="L460" s="8"/>
      <c r="M460" s="8"/>
      <c r="N460" s="8"/>
      <c r="O460" s="8"/>
      <c r="P460" s="8"/>
    </row>
    <row r="461" spans="7:16" x14ac:dyDescent="0.2">
      <c r="G461" s="8"/>
      <c r="H461" s="8"/>
      <c r="J461" s="8"/>
      <c r="K461" s="8"/>
      <c r="L461" s="8"/>
      <c r="M461" s="8"/>
      <c r="N461" s="8"/>
      <c r="O461" s="8"/>
      <c r="P461" s="8"/>
    </row>
    <row r="462" spans="7:16" x14ac:dyDescent="0.2">
      <c r="G462" s="8"/>
      <c r="H462" s="8"/>
      <c r="J462" s="8"/>
      <c r="K462" s="8"/>
      <c r="L462" s="8"/>
      <c r="M462" s="8"/>
      <c r="N462" s="8"/>
      <c r="O462" s="8"/>
      <c r="P462" s="8"/>
    </row>
    <row r="463" spans="7:16" x14ac:dyDescent="0.2">
      <c r="G463" s="8"/>
      <c r="H463" s="8"/>
      <c r="J463" s="8"/>
      <c r="K463" s="8"/>
      <c r="L463" s="8"/>
      <c r="M463" s="8"/>
      <c r="N463" s="8"/>
      <c r="O463" s="8"/>
      <c r="P463" s="8"/>
    </row>
    <row r="464" spans="7:16" x14ac:dyDescent="0.2">
      <c r="G464" s="8"/>
      <c r="H464" s="8"/>
      <c r="J464" s="8"/>
      <c r="K464" s="8"/>
      <c r="L464" s="8"/>
      <c r="M464" s="8"/>
      <c r="N464" s="8"/>
      <c r="O464" s="8"/>
      <c r="P464" s="8"/>
    </row>
    <row r="465" spans="7:16" x14ac:dyDescent="0.2">
      <c r="G465" s="8"/>
      <c r="H465" s="8"/>
      <c r="J465" s="8"/>
      <c r="K465" s="8"/>
      <c r="L465" s="8"/>
      <c r="M465" s="8"/>
      <c r="N465" s="8"/>
      <c r="O465" s="8"/>
      <c r="P465" s="8"/>
    </row>
    <row r="466" spans="7:16" x14ac:dyDescent="0.2">
      <c r="G466" s="8"/>
      <c r="H466" s="8"/>
      <c r="J466" s="8"/>
      <c r="K466" s="8"/>
      <c r="L466" s="8"/>
      <c r="M466" s="8"/>
      <c r="N466" s="8"/>
      <c r="O466" s="8"/>
      <c r="P466" s="8"/>
    </row>
    <row r="467" spans="7:16" x14ac:dyDescent="0.2">
      <c r="G467" s="8"/>
      <c r="H467" s="8"/>
      <c r="J467" s="8"/>
      <c r="K467" s="8"/>
      <c r="L467" s="8"/>
      <c r="M467" s="8"/>
      <c r="N467" s="8"/>
      <c r="O467" s="8"/>
      <c r="P467" s="8"/>
    </row>
    <row r="468" spans="7:16" x14ac:dyDescent="0.2">
      <c r="G468" s="8"/>
      <c r="H468" s="8"/>
      <c r="J468" s="8"/>
      <c r="K468" s="8"/>
      <c r="L468" s="8"/>
      <c r="M468" s="8"/>
      <c r="N468" s="8"/>
      <c r="O468" s="8"/>
      <c r="P468" s="8"/>
    </row>
    <row r="469" spans="7:16" x14ac:dyDescent="0.2">
      <c r="G469" s="8"/>
      <c r="H469" s="8"/>
      <c r="J469" s="8"/>
      <c r="K469" s="8"/>
      <c r="L469" s="8"/>
      <c r="M469" s="8"/>
      <c r="N469" s="8"/>
      <c r="O469" s="8"/>
      <c r="P469" s="8"/>
    </row>
    <row r="470" spans="7:16" x14ac:dyDescent="0.2">
      <c r="G470" s="8"/>
      <c r="H470" s="8"/>
      <c r="J470" s="8"/>
      <c r="K470" s="8"/>
      <c r="L470" s="8"/>
      <c r="M470" s="8"/>
      <c r="N470" s="8"/>
      <c r="O470" s="8"/>
      <c r="P470" s="8"/>
    </row>
    <row r="471" spans="7:16" x14ac:dyDescent="0.2">
      <c r="G471" s="8"/>
      <c r="H471" s="8"/>
      <c r="J471" s="8"/>
      <c r="K471" s="8"/>
      <c r="L471" s="8"/>
      <c r="M471" s="8"/>
      <c r="N471" s="8"/>
      <c r="O471" s="8"/>
      <c r="P471" s="8"/>
    </row>
    <row r="472" spans="7:16" x14ac:dyDescent="0.2">
      <c r="G472" s="8"/>
      <c r="H472" s="8"/>
      <c r="J472" s="8"/>
      <c r="K472" s="8"/>
      <c r="L472" s="8"/>
      <c r="M472" s="8"/>
      <c r="N472" s="8"/>
      <c r="O472" s="8"/>
      <c r="P472" s="8"/>
    </row>
    <row r="473" spans="7:16" x14ac:dyDescent="0.2">
      <c r="G473" s="8"/>
      <c r="H473" s="8"/>
      <c r="J473" s="8"/>
      <c r="K473" s="8"/>
      <c r="L473" s="8"/>
      <c r="M473" s="8"/>
      <c r="N473" s="8"/>
      <c r="O473" s="8"/>
      <c r="P473" s="8"/>
    </row>
    <row r="474" spans="7:16" x14ac:dyDescent="0.2">
      <c r="G474" s="8"/>
      <c r="H474" s="8"/>
      <c r="J474" s="8"/>
      <c r="K474" s="8"/>
      <c r="L474" s="8"/>
      <c r="M474" s="8"/>
      <c r="N474" s="8"/>
      <c r="O474" s="8"/>
      <c r="P474" s="8"/>
    </row>
    <row r="475" spans="7:16" x14ac:dyDescent="0.2">
      <c r="G475" s="8"/>
      <c r="H475" s="8"/>
      <c r="J475" s="8"/>
      <c r="K475" s="8"/>
      <c r="L475" s="8"/>
      <c r="M475" s="8"/>
      <c r="N475" s="8"/>
      <c r="O475" s="8"/>
      <c r="P475" s="8"/>
    </row>
    <row r="476" spans="7:16" x14ac:dyDescent="0.2">
      <c r="G476" s="8"/>
      <c r="H476" s="8"/>
      <c r="J476" s="8"/>
      <c r="K476" s="8"/>
      <c r="L476" s="8"/>
      <c r="M476" s="8"/>
      <c r="N476" s="8"/>
      <c r="O476" s="8"/>
      <c r="P476" s="8"/>
    </row>
    <row r="477" spans="7:16" x14ac:dyDescent="0.2">
      <c r="G477" s="8"/>
      <c r="H477" s="8"/>
      <c r="J477" s="8"/>
      <c r="K477" s="8"/>
      <c r="L477" s="8"/>
      <c r="M477" s="8"/>
      <c r="N477" s="8"/>
      <c r="O477" s="8"/>
      <c r="P477" s="8"/>
    </row>
    <row r="478" spans="7:16" x14ac:dyDescent="0.2">
      <c r="G478" s="8"/>
      <c r="H478" s="8"/>
      <c r="J478" s="8"/>
      <c r="K478" s="8"/>
      <c r="L478" s="8"/>
      <c r="M478" s="8"/>
      <c r="N478" s="8"/>
      <c r="O478" s="8"/>
      <c r="P478" s="8"/>
    </row>
    <row r="479" spans="7:16" x14ac:dyDescent="0.2">
      <c r="G479" s="8"/>
      <c r="H479" s="8"/>
      <c r="J479" s="8"/>
      <c r="K479" s="8"/>
      <c r="L479" s="8"/>
      <c r="M479" s="8"/>
      <c r="N479" s="8"/>
      <c r="O479" s="8"/>
      <c r="P479" s="8"/>
    </row>
    <row r="480" spans="7:16" x14ac:dyDescent="0.2">
      <c r="G480" s="8"/>
      <c r="H480" s="8"/>
      <c r="J480" s="8"/>
      <c r="K480" s="8"/>
      <c r="L480" s="8"/>
      <c r="M480" s="8"/>
      <c r="N480" s="8"/>
      <c r="O480" s="8"/>
      <c r="P480" s="8"/>
    </row>
    <row r="481" spans="7:16" x14ac:dyDescent="0.2">
      <c r="G481" s="8"/>
      <c r="H481" s="8"/>
      <c r="J481" s="8"/>
      <c r="K481" s="8"/>
      <c r="L481" s="8"/>
      <c r="M481" s="8"/>
      <c r="N481" s="8"/>
      <c r="O481" s="8"/>
      <c r="P481" s="8"/>
    </row>
    <row r="482" spans="7:16" x14ac:dyDescent="0.2">
      <c r="G482" s="8"/>
      <c r="H482" s="8"/>
      <c r="J482" s="8"/>
      <c r="K482" s="8"/>
      <c r="L482" s="8"/>
      <c r="M482" s="8"/>
      <c r="N482" s="8"/>
      <c r="O482" s="8"/>
      <c r="P482" s="8"/>
    </row>
    <row r="483" spans="7:16" x14ac:dyDescent="0.2">
      <c r="G483" s="8"/>
      <c r="H483" s="8"/>
      <c r="J483" s="8"/>
      <c r="K483" s="8"/>
      <c r="L483" s="8"/>
      <c r="M483" s="8"/>
      <c r="N483" s="8"/>
      <c r="O483" s="8"/>
      <c r="P483" s="8"/>
    </row>
    <row r="484" spans="7:16" x14ac:dyDescent="0.2">
      <c r="G484" s="8"/>
      <c r="H484" s="8"/>
      <c r="J484" s="8"/>
      <c r="K484" s="8"/>
      <c r="L484" s="8"/>
      <c r="M484" s="8"/>
      <c r="N484" s="8"/>
      <c r="O484" s="8"/>
      <c r="P484" s="8"/>
    </row>
    <row r="485" spans="7:16" x14ac:dyDescent="0.2">
      <c r="G485" s="8"/>
      <c r="H485" s="8"/>
      <c r="J485" s="8"/>
      <c r="K485" s="8"/>
      <c r="L485" s="8"/>
      <c r="M485" s="8"/>
      <c r="N485" s="8"/>
      <c r="O485" s="8"/>
      <c r="P485" s="8"/>
    </row>
    <row r="486" spans="7:16" x14ac:dyDescent="0.2">
      <c r="G486" s="8"/>
      <c r="H486" s="8"/>
      <c r="J486" s="8"/>
      <c r="K486" s="8"/>
      <c r="L486" s="8"/>
      <c r="M486" s="8"/>
      <c r="N486" s="8"/>
      <c r="O486" s="8"/>
      <c r="P486" s="8"/>
    </row>
    <row r="487" spans="7:16" x14ac:dyDescent="0.2">
      <c r="G487" s="8"/>
      <c r="H487" s="8"/>
      <c r="J487" s="8"/>
      <c r="K487" s="8"/>
      <c r="L487" s="8"/>
      <c r="M487" s="8"/>
      <c r="N487" s="8"/>
      <c r="O487" s="8"/>
      <c r="P487" s="8"/>
    </row>
    <row r="488" spans="7:16" x14ac:dyDescent="0.2">
      <c r="G488" s="8"/>
      <c r="H488" s="8"/>
      <c r="J488" s="8"/>
      <c r="K488" s="8"/>
      <c r="L488" s="8"/>
      <c r="M488" s="8"/>
      <c r="N488" s="8"/>
      <c r="O488" s="8"/>
      <c r="P488" s="8"/>
    </row>
    <row r="489" spans="7:16" x14ac:dyDescent="0.2">
      <c r="G489" s="8"/>
      <c r="H489" s="8"/>
      <c r="J489" s="8"/>
      <c r="K489" s="8"/>
      <c r="L489" s="8"/>
      <c r="M489" s="8"/>
      <c r="N489" s="8"/>
      <c r="O489" s="8"/>
      <c r="P489" s="8"/>
    </row>
    <row r="490" spans="7:16" x14ac:dyDescent="0.2">
      <c r="G490" s="8"/>
      <c r="H490" s="8"/>
      <c r="J490" s="8"/>
      <c r="K490" s="8"/>
      <c r="L490" s="8"/>
      <c r="M490" s="8"/>
      <c r="N490" s="8"/>
      <c r="O490" s="8"/>
      <c r="P490" s="8"/>
    </row>
    <row r="491" spans="7:16" x14ac:dyDescent="0.2">
      <c r="G491" s="8"/>
      <c r="H491" s="8"/>
      <c r="J491" s="8"/>
      <c r="K491" s="8"/>
      <c r="L491" s="8"/>
      <c r="M491" s="8"/>
      <c r="N491" s="8"/>
      <c r="O491" s="8"/>
      <c r="P491" s="8"/>
    </row>
    <row r="492" spans="7:16" x14ac:dyDescent="0.2">
      <c r="G492" s="8"/>
      <c r="H492" s="8"/>
      <c r="J492" s="8"/>
      <c r="K492" s="8"/>
      <c r="L492" s="8"/>
      <c r="M492" s="8"/>
      <c r="N492" s="8"/>
      <c r="O492" s="8"/>
      <c r="P492" s="8"/>
    </row>
    <row r="493" spans="7:16" x14ac:dyDescent="0.2">
      <c r="G493" s="8"/>
      <c r="H493" s="8"/>
      <c r="J493" s="8"/>
      <c r="K493" s="8"/>
      <c r="L493" s="8"/>
      <c r="M493" s="8"/>
      <c r="N493" s="8"/>
      <c r="O493" s="8"/>
      <c r="P493" s="8"/>
    </row>
    <row r="494" spans="7:16" x14ac:dyDescent="0.2">
      <c r="G494" s="8"/>
      <c r="H494" s="8"/>
      <c r="J494" s="8"/>
      <c r="K494" s="8"/>
      <c r="L494" s="8"/>
      <c r="M494" s="8"/>
      <c r="N494" s="8"/>
      <c r="O494" s="8"/>
      <c r="P494" s="8"/>
    </row>
    <row r="495" spans="7:16" x14ac:dyDescent="0.2">
      <c r="G495" s="8"/>
      <c r="H495" s="8"/>
      <c r="J495" s="8"/>
      <c r="K495" s="8"/>
      <c r="L495" s="8"/>
      <c r="M495" s="8"/>
      <c r="N495" s="8"/>
      <c r="O495" s="8"/>
      <c r="P495" s="8"/>
    </row>
    <row r="496" spans="7:16" x14ac:dyDescent="0.2">
      <c r="G496" s="8"/>
      <c r="H496" s="8"/>
      <c r="J496" s="8"/>
      <c r="K496" s="8"/>
      <c r="L496" s="8"/>
      <c r="M496" s="8"/>
      <c r="N496" s="8"/>
      <c r="O496" s="8"/>
      <c r="P496" s="8"/>
    </row>
    <row r="497" spans="7:16" x14ac:dyDescent="0.2">
      <c r="G497" s="8"/>
      <c r="H497" s="8"/>
      <c r="J497" s="8"/>
      <c r="K497" s="8"/>
      <c r="L497" s="8"/>
      <c r="M497" s="8"/>
      <c r="N497" s="8"/>
      <c r="O497" s="8"/>
      <c r="P497" s="8"/>
    </row>
    <row r="498" spans="7:16" x14ac:dyDescent="0.2">
      <c r="G498" s="8"/>
      <c r="H498" s="8"/>
      <c r="J498" s="8"/>
      <c r="K498" s="8"/>
      <c r="L498" s="8"/>
      <c r="M498" s="8"/>
      <c r="N498" s="8"/>
      <c r="O498" s="8"/>
      <c r="P498" s="8"/>
    </row>
    <row r="499" spans="7:16" x14ac:dyDescent="0.2">
      <c r="G499" s="8"/>
      <c r="H499" s="8"/>
      <c r="J499" s="8"/>
      <c r="K499" s="8"/>
      <c r="L499" s="8"/>
      <c r="M499" s="8"/>
      <c r="N499" s="8"/>
      <c r="O499" s="8"/>
      <c r="P499" s="8"/>
    </row>
    <row r="500" spans="7:16" x14ac:dyDescent="0.2">
      <c r="G500" s="8"/>
      <c r="H500" s="8"/>
      <c r="J500" s="8"/>
      <c r="K500" s="8"/>
      <c r="L500" s="8"/>
      <c r="M500" s="8"/>
      <c r="N500" s="8"/>
      <c r="O500" s="8"/>
      <c r="P500" s="8"/>
    </row>
    <row r="501" spans="7:16" x14ac:dyDescent="0.2">
      <c r="G501" s="8"/>
      <c r="H501" s="8"/>
      <c r="J501" s="8"/>
      <c r="K501" s="8"/>
      <c r="L501" s="8"/>
      <c r="M501" s="8"/>
      <c r="N501" s="8"/>
      <c r="O501" s="8"/>
      <c r="P501" s="8"/>
    </row>
    <row r="502" spans="7:16" x14ac:dyDescent="0.2">
      <c r="G502" s="8"/>
      <c r="H502" s="8"/>
      <c r="J502" s="8"/>
      <c r="K502" s="8"/>
      <c r="L502" s="8"/>
      <c r="M502" s="8"/>
      <c r="N502" s="8"/>
      <c r="O502" s="8"/>
      <c r="P502" s="8"/>
    </row>
    <row r="503" spans="7:16" x14ac:dyDescent="0.2">
      <c r="G503" s="8"/>
      <c r="H503" s="8"/>
      <c r="J503" s="8"/>
      <c r="K503" s="8"/>
      <c r="L503" s="8"/>
      <c r="M503" s="8"/>
      <c r="N503" s="8"/>
      <c r="O503" s="8"/>
      <c r="P503" s="8"/>
    </row>
    <row r="504" spans="7:16" x14ac:dyDescent="0.2">
      <c r="G504" s="8"/>
      <c r="H504" s="8"/>
      <c r="J504" s="8"/>
      <c r="K504" s="8"/>
      <c r="L504" s="8"/>
      <c r="M504" s="8"/>
      <c r="N504" s="8"/>
      <c r="O504" s="8"/>
      <c r="P504" s="8"/>
    </row>
    <row r="505" spans="7:16" x14ac:dyDescent="0.2">
      <c r="G505" s="8"/>
      <c r="H505" s="8"/>
      <c r="J505" s="8"/>
      <c r="K505" s="8"/>
      <c r="L505" s="8"/>
      <c r="M505" s="8"/>
      <c r="N505" s="8"/>
      <c r="O505" s="8"/>
      <c r="P505" s="8"/>
    </row>
    <row r="506" spans="7:16" x14ac:dyDescent="0.2">
      <c r="G506" s="8"/>
      <c r="H506" s="8"/>
      <c r="J506" s="8"/>
      <c r="K506" s="8"/>
      <c r="L506" s="8"/>
      <c r="M506" s="8"/>
      <c r="N506" s="8"/>
      <c r="O506" s="8"/>
      <c r="P506" s="8"/>
    </row>
    <row r="507" spans="7:16" x14ac:dyDescent="0.2">
      <c r="G507" s="8"/>
      <c r="H507" s="8"/>
      <c r="J507" s="8"/>
      <c r="K507" s="8"/>
      <c r="L507" s="8"/>
      <c r="M507" s="8"/>
      <c r="N507" s="8"/>
      <c r="O507" s="8"/>
      <c r="P507" s="8"/>
    </row>
    <row r="508" spans="7:16" x14ac:dyDescent="0.2">
      <c r="G508" s="8"/>
      <c r="H508" s="8"/>
      <c r="J508" s="8"/>
      <c r="K508" s="8"/>
      <c r="L508" s="8"/>
      <c r="M508" s="8"/>
      <c r="N508" s="8"/>
      <c r="O508" s="8"/>
      <c r="P508" s="8"/>
    </row>
    <row r="509" spans="7:16" x14ac:dyDescent="0.2">
      <c r="G509" s="8"/>
      <c r="H509" s="8"/>
      <c r="J509" s="8"/>
      <c r="K509" s="8"/>
      <c r="L509" s="8"/>
      <c r="M509" s="8"/>
      <c r="N509" s="8"/>
      <c r="O509" s="8"/>
      <c r="P509" s="8"/>
    </row>
    <row r="510" spans="7:16" x14ac:dyDescent="0.2">
      <c r="G510" s="8"/>
      <c r="H510" s="8"/>
      <c r="J510" s="8"/>
      <c r="K510" s="8"/>
      <c r="L510" s="8"/>
      <c r="M510" s="8"/>
      <c r="N510" s="8"/>
      <c r="O510" s="8"/>
      <c r="P510" s="8"/>
    </row>
    <row r="511" spans="7:16" x14ac:dyDescent="0.2">
      <c r="G511" s="8"/>
      <c r="H511" s="8"/>
      <c r="J511" s="8"/>
      <c r="K511" s="8"/>
      <c r="L511" s="8"/>
      <c r="M511" s="8"/>
      <c r="N511" s="8"/>
      <c r="O511" s="8"/>
      <c r="P511" s="8"/>
    </row>
    <row r="512" spans="7:16" x14ac:dyDescent="0.2">
      <c r="G512" s="8"/>
      <c r="H512" s="8"/>
      <c r="J512" s="8"/>
      <c r="K512" s="8"/>
      <c r="L512" s="8"/>
      <c r="M512" s="8"/>
      <c r="N512" s="8"/>
      <c r="O512" s="8"/>
      <c r="P512" s="8"/>
    </row>
    <row r="513" spans="7:16" x14ac:dyDescent="0.2">
      <c r="G513" s="8"/>
      <c r="H513" s="8"/>
      <c r="J513" s="8"/>
      <c r="K513" s="8"/>
      <c r="L513" s="8"/>
      <c r="M513" s="8"/>
      <c r="N513" s="8"/>
      <c r="O513" s="8"/>
      <c r="P513" s="8"/>
    </row>
    <row r="514" spans="7:16" x14ac:dyDescent="0.2">
      <c r="G514" s="8"/>
      <c r="H514" s="8"/>
      <c r="J514" s="8"/>
      <c r="K514" s="8"/>
      <c r="L514" s="8"/>
      <c r="M514" s="8"/>
      <c r="N514" s="8"/>
      <c r="O514" s="8"/>
      <c r="P514" s="8"/>
    </row>
    <row r="515" spans="7:16" x14ac:dyDescent="0.2">
      <c r="G515" s="8"/>
      <c r="H515" s="8"/>
      <c r="J515" s="8"/>
      <c r="K515" s="8"/>
      <c r="L515" s="8"/>
      <c r="M515" s="8"/>
      <c r="N515" s="8"/>
      <c r="O515" s="8"/>
      <c r="P515" s="8"/>
    </row>
    <row r="516" spans="7:16" x14ac:dyDescent="0.2">
      <c r="G516" s="8"/>
      <c r="H516" s="8"/>
      <c r="J516" s="8"/>
      <c r="K516" s="8"/>
      <c r="L516" s="8"/>
      <c r="M516" s="8"/>
      <c r="N516" s="8"/>
      <c r="O516" s="8"/>
      <c r="P516" s="8"/>
    </row>
    <row r="517" spans="7:16" x14ac:dyDescent="0.2">
      <c r="G517" s="8"/>
      <c r="H517" s="8"/>
      <c r="J517" s="8"/>
      <c r="K517" s="8"/>
      <c r="L517" s="8"/>
      <c r="M517" s="8"/>
      <c r="N517" s="8"/>
      <c r="O517" s="8"/>
      <c r="P517" s="8"/>
    </row>
    <row r="518" spans="7:16" x14ac:dyDescent="0.2">
      <c r="G518" s="8"/>
      <c r="H518" s="8"/>
      <c r="J518" s="8"/>
      <c r="K518" s="8"/>
      <c r="L518" s="8"/>
      <c r="M518" s="8"/>
      <c r="N518" s="8"/>
      <c r="O518" s="8"/>
      <c r="P518" s="8"/>
    </row>
    <row r="519" spans="7:16" x14ac:dyDescent="0.2">
      <c r="G519" s="8"/>
      <c r="H519" s="8"/>
      <c r="J519" s="8"/>
      <c r="K519" s="8"/>
      <c r="L519" s="8"/>
      <c r="M519" s="8"/>
      <c r="N519" s="8"/>
      <c r="O519" s="8"/>
      <c r="P519" s="8"/>
    </row>
    <row r="520" spans="7:16" x14ac:dyDescent="0.2">
      <c r="G520" s="8"/>
      <c r="H520" s="8"/>
      <c r="J520" s="8"/>
      <c r="K520" s="8"/>
      <c r="L520" s="8"/>
      <c r="M520" s="8"/>
      <c r="N520" s="8"/>
      <c r="O520" s="8"/>
      <c r="P520" s="8"/>
    </row>
    <row r="521" spans="7:16" x14ac:dyDescent="0.2">
      <c r="G521" s="8"/>
      <c r="H521" s="8"/>
      <c r="J521" s="8"/>
      <c r="K521" s="8"/>
      <c r="L521" s="8"/>
      <c r="M521" s="8"/>
      <c r="N521" s="8"/>
      <c r="O521" s="8"/>
      <c r="P521" s="8"/>
    </row>
    <row r="522" spans="7:16" x14ac:dyDescent="0.2">
      <c r="G522" s="8"/>
      <c r="H522" s="8"/>
      <c r="J522" s="8"/>
      <c r="K522" s="8"/>
      <c r="L522" s="8"/>
      <c r="M522" s="8"/>
      <c r="N522" s="8"/>
      <c r="O522" s="8"/>
      <c r="P522" s="8"/>
    </row>
    <row r="523" spans="7:16" x14ac:dyDescent="0.2">
      <c r="G523" s="8"/>
      <c r="H523" s="8"/>
      <c r="J523" s="8"/>
      <c r="K523" s="8"/>
      <c r="L523" s="8"/>
      <c r="M523" s="8"/>
      <c r="N523" s="8"/>
      <c r="O523" s="8"/>
      <c r="P523" s="8"/>
    </row>
    <row r="524" spans="7:16" x14ac:dyDescent="0.2">
      <c r="G524" s="8"/>
      <c r="H524" s="8"/>
      <c r="J524" s="8"/>
      <c r="K524" s="8"/>
      <c r="L524" s="8"/>
      <c r="M524" s="8"/>
      <c r="N524" s="8"/>
      <c r="O524" s="8"/>
      <c r="P524" s="8"/>
    </row>
    <row r="525" spans="7:16" x14ac:dyDescent="0.2">
      <c r="G525" s="8"/>
      <c r="H525" s="8"/>
      <c r="J525" s="8"/>
      <c r="K525" s="8"/>
      <c r="L525" s="8"/>
      <c r="M525" s="8"/>
      <c r="N525" s="8"/>
      <c r="O525" s="8"/>
      <c r="P525" s="8"/>
    </row>
    <row r="526" spans="7:16" x14ac:dyDescent="0.2">
      <c r="G526" s="8"/>
      <c r="H526" s="8"/>
      <c r="J526" s="8"/>
      <c r="K526" s="8"/>
      <c r="L526" s="8"/>
      <c r="M526" s="8"/>
      <c r="N526" s="8"/>
      <c r="O526" s="8"/>
      <c r="P526" s="8"/>
    </row>
    <row r="527" spans="7:16" x14ac:dyDescent="0.2">
      <c r="G527" s="8"/>
      <c r="H527" s="8"/>
      <c r="J527" s="8"/>
      <c r="K527" s="8"/>
      <c r="L527" s="8"/>
      <c r="M527" s="8"/>
      <c r="N527" s="8"/>
      <c r="O527" s="8"/>
      <c r="P527" s="8"/>
    </row>
    <row r="528" spans="7:16" x14ac:dyDescent="0.2">
      <c r="G528" s="8"/>
      <c r="H528" s="8"/>
      <c r="J528" s="8"/>
      <c r="K528" s="8"/>
      <c r="L528" s="8"/>
      <c r="M528" s="8"/>
      <c r="N528" s="8"/>
      <c r="O528" s="8"/>
      <c r="P528" s="8"/>
    </row>
    <row r="529" spans="7:16" x14ac:dyDescent="0.2">
      <c r="G529" s="8"/>
      <c r="H529" s="8"/>
      <c r="J529" s="8"/>
      <c r="K529" s="8"/>
      <c r="L529" s="8"/>
      <c r="M529" s="8"/>
      <c r="N529" s="8"/>
      <c r="O529" s="8"/>
      <c r="P529" s="8"/>
    </row>
    <row r="530" spans="7:16" x14ac:dyDescent="0.2">
      <c r="G530" s="8"/>
      <c r="H530" s="8"/>
      <c r="J530" s="8"/>
      <c r="K530" s="8"/>
      <c r="L530" s="8"/>
      <c r="M530" s="8"/>
      <c r="N530" s="8"/>
      <c r="O530" s="8"/>
      <c r="P530" s="8"/>
    </row>
    <row r="531" spans="7:16" x14ac:dyDescent="0.2">
      <c r="G531" s="8"/>
      <c r="H531" s="8"/>
      <c r="J531" s="8"/>
      <c r="K531" s="8"/>
      <c r="L531" s="8"/>
      <c r="M531" s="8"/>
      <c r="N531" s="8"/>
      <c r="O531" s="8"/>
      <c r="P531" s="8"/>
    </row>
    <row r="532" spans="7:16" x14ac:dyDescent="0.2">
      <c r="G532" s="8"/>
      <c r="H532" s="8"/>
      <c r="J532" s="8"/>
      <c r="K532" s="8"/>
      <c r="L532" s="8"/>
      <c r="M532" s="8"/>
      <c r="N532" s="8"/>
      <c r="O532" s="8"/>
      <c r="P532" s="8"/>
    </row>
    <row r="533" spans="7:16" x14ac:dyDescent="0.2">
      <c r="G533" s="8"/>
      <c r="H533" s="8"/>
      <c r="J533" s="8"/>
      <c r="K533" s="8"/>
      <c r="L533" s="8"/>
      <c r="M533" s="8"/>
      <c r="N533" s="8"/>
      <c r="O533" s="8"/>
      <c r="P533" s="8"/>
    </row>
    <row r="534" spans="7:16" x14ac:dyDescent="0.2">
      <c r="G534" s="8"/>
      <c r="H534" s="8"/>
      <c r="J534" s="8"/>
      <c r="K534" s="8"/>
      <c r="L534" s="8"/>
      <c r="M534" s="8"/>
      <c r="N534" s="8"/>
      <c r="O534" s="8"/>
      <c r="P534" s="8"/>
    </row>
    <row r="535" spans="7:16" x14ac:dyDescent="0.2">
      <c r="G535" s="8"/>
      <c r="H535" s="8"/>
      <c r="J535" s="8"/>
      <c r="K535" s="8"/>
      <c r="L535" s="8"/>
      <c r="M535" s="8"/>
      <c r="N535" s="8"/>
      <c r="O535" s="8"/>
      <c r="P535" s="8"/>
    </row>
    <row r="536" spans="7:16" x14ac:dyDescent="0.2">
      <c r="G536" s="8"/>
      <c r="H536" s="8"/>
      <c r="J536" s="8"/>
      <c r="K536" s="8"/>
      <c r="L536" s="8"/>
      <c r="M536" s="8"/>
      <c r="N536" s="8"/>
      <c r="O536" s="8"/>
      <c r="P536" s="8"/>
    </row>
    <row r="537" spans="7:16" x14ac:dyDescent="0.2">
      <c r="G537" s="8"/>
      <c r="H537" s="8"/>
      <c r="J537" s="8"/>
      <c r="K537" s="8"/>
      <c r="L537" s="8"/>
      <c r="M537" s="8"/>
      <c r="N537" s="8"/>
      <c r="O537" s="8"/>
      <c r="P537" s="8"/>
    </row>
    <row r="538" spans="7:16" x14ac:dyDescent="0.2">
      <c r="G538" s="8"/>
      <c r="H538" s="8"/>
      <c r="J538" s="8"/>
      <c r="K538" s="8"/>
      <c r="L538" s="8"/>
      <c r="M538" s="8"/>
      <c r="N538" s="8"/>
      <c r="O538" s="8"/>
      <c r="P538" s="8"/>
    </row>
    <row r="539" spans="7:16" x14ac:dyDescent="0.2">
      <c r="G539" s="8"/>
      <c r="H539" s="8"/>
      <c r="J539" s="8"/>
      <c r="K539" s="8"/>
      <c r="L539" s="8"/>
      <c r="M539" s="8"/>
      <c r="N539" s="8"/>
      <c r="O539" s="8"/>
      <c r="P539" s="8"/>
    </row>
    <row r="540" spans="7:16" x14ac:dyDescent="0.2">
      <c r="G540" s="8"/>
      <c r="H540" s="8"/>
      <c r="J540" s="8"/>
      <c r="K540" s="8"/>
      <c r="L540" s="8"/>
      <c r="M540" s="8"/>
      <c r="N540" s="8"/>
      <c r="O540" s="8"/>
      <c r="P540" s="8"/>
    </row>
    <row r="541" spans="7:16" x14ac:dyDescent="0.2">
      <c r="G541" s="8"/>
      <c r="H541" s="8"/>
      <c r="J541" s="8"/>
      <c r="K541" s="8"/>
      <c r="L541" s="8"/>
      <c r="M541" s="8"/>
      <c r="N541" s="8"/>
      <c r="O541" s="8"/>
      <c r="P541" s="8"/>
    </row>
    <row r="542" spans="7:16" x14ac:dyDescent="0.2">
      <c r="G542" s="8"/>
      <c r="H542" s="8"/>
      <c r="J542" s="8"/>
      <c r="K542" s="8"/>
      <c r="L542" s="8"/>
      <c r="M542" s="8"/>
      <c r="N542" s="8"/>
      <c r="O542" s="8"/>
      <c r="P542" s="8"/>
    </row>
    <row r="543" spans="7:16" x14ac:dyDescent="0.2">
      <c r="G543" s="8"/>
      <c r="H543" s="8"/>
      <c r="J543" s="8"/>
      <c r="K543" s="8"/>
      <c r="L543" s="8"/>
      <c r="M543" s="8"/>
      <c r="N543" s="8"/>
      <c r="O543" s="8"/>
      <c r="P543" s="8"/>
    </row>
    <row r="544" spans="7:16" x14ac:dyDescent="0.2">
      <c r="G544" s="8"/>
      <c r="H544" s="8"/>
      <c r="J544" s="8"/>
      <c r="K544" s="8"/>
      <c r="L544" s="8"/>
      <c r="M544" s="8"/>
      <c r="N544" s="8"/>
      <c r="O544" s="8"/>
      <c r="P544" s="8"/>
    </row>
    <row r="545" spans="7:16" x14ac:dyDescent="0.2">
      <c r="G545" s="8"/>
      <c r="H545" s="8"/>
      <c r="J545" s="8"/>
      <c r="K545" s="8"/>
      <c r="L545" s="8"/>
      <c r="M545" s="8"/>
      <c r="N545" s="8"/>
      <c r="O545" s="8"/>
      <c r="P545" s="8"/>
    </row>
    <row r="546" spans="7:16" x14ac:dyDescent="0.2">
      <c r="G546" s="8"/>
      <c r="H546" s="8"/>
      <c r="J546" s="8"/>
      <c r="K546" s="8"/>
      <c r="L546" s="8"/>
      <c r="M546" s="8"/>
      <c r="N546" s="8"/>
      <c r="O546" s="8"/>
      <c r="P546" s="8"/>
    </row>
    <row r="547" spans="7:16" x14ac:dyDescent="0.2">
      <c r="G547" s="8"/>
      <c r="H547" s="8"/>
      <c r="J547" s="8"/>
      <c r="K547" s="8"/>
      <c r="L547" s="8"/>
      <c r="M547" s="8"/>
      <c r="N547" s="8"/>
      <c r="O547" s="8"/>
      <c r="P547" s="8"/>
    </row>
    <row r="548" spans="7:16" x14ac:dyDescent="0.2">
      <c r="G548" s="8"/>
      <c r="H548" s="8"/>
      <c r="J548" s="8"/>
      <c r="K548" s="8"/>
      <c r="L548" s="8"/>
      <c r="M548" s="8"/>
      <c r="N548" s="8"/>
      <c r="O548" s="8"/>
      <c r="P548" s="8"/>
    </row>
    <row r="549" spans="7:16" x14ac:dyDescent="0.2">
      <c r="G549" s="8"/>
      <c r="H549" s="8"/>
      <c r="J549" s="8"/>
      <c r="K549" s="8"/>
      <c r="L549" s="8"/>
      <c r="M549" s="8"/>
      <c r="N549" s="8"/>
      <c r="O549" s="8"/>
      <c r="P549" s="8"/>
    </row>
    <row r="550" spans="7:16" x14ac:dyDescent="0.2">
      <c r="G550" s="8"/>
      <c r="H550" s="8"/>
      <c r="J550" s="8"/>
      <c r="K550" s="8"/>
      <c r="L550" s="8"/>
      <c r="M550" s="8"/>
      <c r="N550" s="8"/>
      <c r="O550" s="8"/>
      <c r="P550" s="8"/>
    </row>
    <row r="551" spans="7:16" x14ac:dyDescent="0.2">
      <c r="G551" s="8"/>
      <c r="H551" s="8"/>
      <c r="J551" s="8"/>
      <c r="K551" s="8"/>
      <c r="L551" s="8"/>
      <c r="M551" s="8"/>
      <c r="N551" s="8"/>
      <c r="O551" s="8"/>
      <c r="P551" s="8"/>
    </row>
    <row r="552" spans="7:16" x14ac:dyDescent="0.2">
      <c r="G552" s="8"/>
      <c r="H552" s="8"/>
      <c r="J552" s="8"/>
      <c r="K552" s="8"/>
      <c r="L552" s="8"/>
      <c r="M552" s="8"/>
      <c r="N552" s="8"/>
      <c r="O552" s="8"/>
      <c r="P552" s="8"/>
    </row>
    <row r="553" spans="7:16" x14ac:dyDescent="0.2">
      <c r="G553" s="8"/>
      <c r="H553" s="8"/>
      <c r="J553" s="8"/>
      <c r="K553" s="8"/>
      <c r="L553" s="8"/>
      <c r="M553" s="8"/>
      <c r="N553" s="8"/>
      <c r="O553" s="8"/>
      <c r="P553" s="8"/>
    </row>
    <row r="554" spans="7:16" x14ac:dyDescent="0.2">
      <c r="G554" s="8"/>
      <c r="H554" s="8"/>
      <c r="J554" s="8"/>
      <c r="K554" s="8"/>
      <c r="L554" s="8"/>
      <c r="M554" s="8"/>
      <c r="N554" s="8"/>
      <c r="O554" s="8"/>
      <c r="P554" s="8"/>
    </row>
    <row r="555" spans="7:16" x14ac:dyDescent="0.2">
      <c r="G555" s="8"/>
      <c r="H555" s="8"/>
      <c r="J555" s="8"/>
      <c r="K555" s="8"/>
      <c r="L555" s="8"/>
      <c r="M555" s="8"/>
      <c r="N555" s="8"/>
      <c r="O555" s="8"/>
      <c r="P555" s="8"/>
    </row>
    <row r="556" spans="7:16" x14ac:dyDescent="0.2">
      <c r="G556" s="8"/>
      <c r="H556" s="8"/>
      <c r="J556" s="8"/>
      <c r="K556" s="8"/>
      <c r="L556" s="8"/>
      <c r="M556" s="8"/>
      <c r="N556" s="8"/>
      <c r="O556" s="8"/>
      <c r="P556" s="8"/>
    </row>
    <row r="557" spans="7:16" x14ac:dyDescent="0.2">
      <c r="G557" s="8"/>
      <c r="H557" s="8"/>
      <c r="J557" s="8"/>
      <c r="K557" s="8"/>
      <c r="L557" s="8"/>
      <c r="M557" s="8"/>
      <c r="N557" s="8"/>
      <c r="O557" s="8"/>
      <c r="P557" s="8"/>
    </row>
    <row r="558" spans="7:16" x14ac:dyDescent="0.2">
      <c r="G558" s="8"/>
      <c r="H558" s="8"/>
      <c r="J558" s="8"/>
      <c r="K558" s="8"/>
      <c r="L558" s="8"/>
      <c r="M558" s="8"/>
      <c r="N558" s="8"/>
      <c r="O558" s="8"/>
      <c r="P558" s="8"/>
    </row>
    <row r="559" spans="7:16" x14ac:dyDescent="0.2">
      <c r="G559" s="8"/>
      <c r="H559" s="8"/>
      <c r="J559" s="8"/>
      <c r="K559" s="8"/>
      <c r="L559" s="8"/>
      <c r="M559" s="8"/>
      <c r="N559" s="8"/>
      <c r="O559" s="8"/>
      <c r="P559" s="8"/>
    </row>
    <row r="560" spans="7:16" x14ac:dyDescent="0.2">
      <c r="G560" s="8"/>
      <c r="H560" s="8"/>
      <c r="J560" s="8"/>
      <c r="K560" s="8"/>
      <c r="L560" s="8"/>
      <c r="M560" s="8"/>
      <c r="N560" s="8"/>
      <c r="O560" s="8"/>
      <c r="P560" s="8"/>
    </row>
    <row r="561" spans="7:16" x14ac:dyDescent="0.2">
      <c r="G561" s="8"/>
      <c r="H561" s="8"/>
      <c r="J561" s="8"/>
      <c r="K561" s="8"/>
      <c r="L561" s="8"/>
      <c r="M561" s="8"/>
      <c r="N561" s="8"/>
      <c r="O561" s="8"/>
      <c r="P561" s="8"/>
    </row>
    <row r="562" spans="7:16" x14ac:dyDescent="0.2">
      <c r="G562" s="8"/>
      <c r="H562" s="8"/>
      <c r="J562" s="8"/>
      <c r="K562" s="8"/>
      <c r="L562" s="8"/>
      <c r="M562" s="8"/>
      <c r="N562" s="8"/>
      <c r="O562" s="8"/>
      <c r="P562" s="8"/>
    </row>
    <row r="563" spans="7:16" x14ac:dyDescent="0.2">
      <c r="G563" s="8"/>
      <c r="H563" s="8"/>
      <c r="J563" s="8"/>
      <c r="K563" s="8"/>
      <c r="L563" s="8"/>
      <c r="M563" s="8"/>
      <c r="N563" s="8"/>
      <c r="O563" s="8"/>
      <c r="P563" s="8"/>
    </row>
    <row r="564" spans="7:16" x14ac:dyDescent="0.2">
      <c r="G564" s="8"/>
      <c r="H564" s="8"/>
      <c r="J564" s="8"/>
      <c r="K564" s="8"/>
      <c r="L564" s="8"/>
      <c r="M564" s="8"/>
      <c r="N564" s="8"/>
      <c r="O564" s="8"/>
      <c r="P564" s="8"/>
    </row>
    <row r="565" spans="7:16" x14ac:dyDescent="0.2">
      <c r="G565" s="8"/>
      <c r="H565" s="8"/>
      <c r="J565" s="8"/>
      <c r="K565" s="8"/>
      <c r="L565" s="8"/>
      <c r="M565" s="8"/>
      <c r="N565" s="8"/>
      <c r="O565" s="8"/>
      <c r="P565" s="8"/>
    </row>
    <row r="566" spans="7:16" x14ac:dyDescent="0.2">
      <c r="G566" s="8"/>
      <c r="H566" s="8"/>
      <c r="J566" s="8"/>
      <c r="K566" s="8"/>
      <c r="L566" s="8"/>
      <c r="M566" s="8"/>
      <c r="N566" s="8"/>
      <c r="O566" s="8"/>
      <c r="P566" s="8"/>
    </row>
    <row r="567" spans="7:16" x14ac:dyDescent="0.2">
      <c r="G567" s="8"/>
      <c r="H567" s="8"/>
      <c r="J567" s="8"/>
      <c r="K567" s="8"/>
      <c r="L567" s="8"/>
      <c r="M567" s="8"/>
      <c r="N567" s="8"/>
      <c r="O567" s="8"/>
      <c r="P567" s="8"/>
    </row>
    <row r="568" spans="7:16" x14ac:dyDescent="0.2">
      <c r="G568" s="8"/>
      <c r="H568" s="8"/>
      <c r="J568" s="8"/>
      <c r="K568" s="8"/>
      <c r="L568" s="8"/>
      <c r="M568" s="8"/>
      <c r="N568" s="8"/>
      <c r="O568" s="8"/>
      <c r="P568" s="8"/>
    </row>
    <row r="569" spans="7:16" x14ac:dyDescent="0.2">
      <c r="G569" s="8"/>
      <c r="H569" s="8"/>
      <c r="J569" s="8"/>
      <c r="K569" s="8"/>
      <c r="L569" s="8"/>
      <c r="M569" s="8"/>
      <c r="N569" s="8"/>
      <c r="O569" s="8"/>
      <c r="P569" s="8"/>
    </row>
    <row r="570" spans="7:16" x14ac:dyDescent="0.2">
      <c r="G570" s="8"/>
      <c r="H570" s="8"/>
      <c r="J570" s="8"/>
      <c r="K570" s="8"/>
      <c r="L570" s="8"/>
      <c r="M570" s="8"/>
      <c r="N570" s="8"/>
      <c r="O570" s="8"/>
      <c r="P570" s="8"/>
    </row>
    <row r="571" spans="7:16" x14ac:dyDescent="0.2">
      <c r="G571" s="8"/>
      <c r="H571" s="8"/>
      <c r="J571" s="8"/>
      <c r="K571" s="8"/>
      <c r="L571" s="8"/>
      <c r="M571" s="8"/>
      <c r="N571" s="8"/>
      <c r="O571" s="8"/>
      <c r="P571" s="8"/>
    </row>
    <row r="572" spans="7:16" x14ac:dyDescent="0.2">
      <c r="G572" s="8"/>
      <c r="H572" s="8"/>
      <c r="J572" s="8"/>
      <c r="K572" s="8"/>
      <c r="L572" s="8"/>
      <c r="M572" s="8"/>
      <c r="N572" s="8"/>
      <c r="O572" s="8"/>
      <c r="P572" s="8"/>
    </row>
    <row r="573" spans="7:16" x14ac:dyDescent="0.2">
      <c r="G573" s="8"/>
      <c r="H573" s="8"/>
      <c r="J573" s="8"/>
      <c r="K573" s="8"/>
      <c r="L573" s="8"/>
      <c r="M573" s="8"/>
      <c r="N573" s="8"/>
      <c r="O573" s="8"/>
      <c r="P573" s="8"/>
    </row>
    <row r="574" spans="7:16" x14ac:dyDescent="0.2">
      <c r="G574" s="8"/>
      <c r="H574" s="8"/>
      <c r="J574" s="8"/>
      <c r="K574" s="8"/>
      <c r="L574" s="8"/>
      <c r="M574" s="8"/>
      <c r="N574" s="8"/>
      <c r="O574" s="8"/>
      <c r="P574" s="8"/>
    </row>
    <row r="575" spans="7:16" x14ac:dyDescent="0.2">
      <c r="G575" s="8"/>
      <c r="H575" s="8"/>
      <c r="J575" s="8"/>
      <c r="K575" s="8"/>
      <c r="L575" s="8"/>
      <c r="M575" s="8"/>
      <c r="N575" s="8"/>
      <c r="O575" s="8"/>
      <c r="P575" s="8"/>
    </row>
    <row r="576" spans="7:16" x14ac:dyDescent="0.2">
      <c r="G576" s="8"/>
      <c r="H576" s="8"/>
      <c r="J576" s="8"/>
      <c r="K576" s="8"/>
      <c r="L576" s="8"/>
      <c r="M576" s="8"/>
      <c r="N576" s="8"/>
      <c r="O576" s="8"/>
      <c r="P576" s="8"/>
    </row>
    <row r="577" spans="7:16" x14ac:dyDescent="0.2">
      <c r="G577" s="8"/>
      <c r="H577" s="8"/>
      <c r="J577" s="8"/>
      <c r="K577" s="8"/>
      <c r="L577" s="8"/>
      <c r="M577" s="8"/>
      <c r="N577" s="8"/>
      <c r="O577" s="8"/>
      <c r="P577" s="8"/>
    </row>
    <row r="578" spans="7:16" x14ac:dyDescent="0.2">
      <c r="G578" s="8"/>
      <c r="H578" s="8"/>
      <c r="J578" s="8"/>
      <c r="K578" s="8"/>
      <c r="L578" s="8"/>
      <c r="M578" s="8"/>
      <c r="N578" s="8"/>
      <c r="O578" s="8"/>
      <c r="P578" s="8"/>
    </row>
    <row r="579" spans="7:16" x14ac:dyDescent="0.2">
      <c r="G579" s="8"/>
      <c r="H579" s="8"/>
      <c r="J579" s="8"/>
      <c r="K579" s="8"/>
      <c r="L579" s="8"/>
      <c r="M579" s="8"/>
      <c r="N579" s="8"/>
      <c r="O579" s="8"/>
      <c r="P579" s="8"/>
    </row>
    <row r="580" spans="7:16" x14ac:dyDescent="0.2">
      <c r="G580" s="8"/>
      <c r="H580" s="8"/>
      <c r="J580" s="8"/>
      <c r="K580" s="8"/>
      <c r="L580" s="8"/>
      <c r="M580" s="8"/>
      <c r="N580" s="8"/>
      <c r="O580" s="8"/>
      <c r="P580" s="8"/>
    </row>
    <row r="581" spans="7:16" x14ac:dyDescent="0.2">
      <c r="G581" s="8"/>
      <c r="H581" s="8"/>
      <c r="J581" s="8"/>
      <c r="K581" s="8"/>
      <c r="L581" s="8"/>
      <c r="M581" s="8"/>
      <c r="N581" s="8"/>
      <c r="O581" s="8"/>
      <c r="P581" s="8"/>
    </row>
    <row r="582" spans="7:16" x14ac:dyDescent="0.2">
      <c r="G582" s="8"/>
      <c r="H582" s="8"/>
      <c r="J582" s="8"/>
      <c r="K582" s="8"/>
      <c r="L582" s="8"/>
      <c r="M582" s="8"/>
      <c r="N582" s="8"/>
      <c r="O582" s="8"/>
      <c r="P582" s="8"/>
    </row>
    <row r="583" spans="7:16" x14ac:dyDescent="0.2">
      <c r="G583" s="8"/>
      <c r="H583" s="8"/>
      <c r="J583" s="8"/>
      <c r="K583" s="8"/>
      <c r="L583" s="8"/>
      <c r="M583" s="8"/>
      <c r="N583" s="8"/>
      <c r="O583" s="8"/>
      <c r="P583" s="8"/>
    </row>
    <row r="584" spans="7:16" x14ac:dyDescent="0.2">
      <c r="G584" s="8"/>
      <c r="H584" s="8"/>
      <c r="J584" s="8"/>
      <c r="K584" s="8"/>
      <c r="L584" s="8"/>
      <c r="M584" s="8"/>
      <c r="N584" s="8"/>
      <c r="O584" s="8"/>
      <c r="P584" s="8"/>
    </row>
    <row r="585" spans="7:16" x14ac:dyDescent="0.2">
      <c r="G585" s="8"/>
      <c r="H585" s="8"/>
      <c r="J585" s="8"/>
      <c r="K585" s="8"/>
      <c r="L585" s="8"/>
      <c r="M585" s="8"/>
      <c r="N585" s="8"/>
      <c r="O585" s="8"/>
      <c r="P585" s="8"/>
    </row>
    <row r="586" spans="7:16" x14ac:dyDescent="0.2">
      <c r="G586" s="8"/>
      <c r="H586" s="8"/>
      <c r="J586" s="8"/>
      <c r="K586" s="8"/>
      <c r="L586" s="8"/>
      <c r="M586" s="8"/>
      <c r="N586" s="8"/>
      <c r="O586" s="8"/>
      <c r="P586" s="8"/>
    </row>
    <row r="587" spans="7:16" x14ac:dyDescent="0.2">
      <c r="G587" s="8"/>
      <c r="H587" s="8"/>
      <c r="J587" s="8"/>
      <c r="K587" s="8"/>
      <c r="L587" s="8"/>
      <c r="M587" s="8"/>
      <c r="N587" s="8"/>
      <c r="O587" s="8"/>
      <c r="P587" s="8"/>
    </row>
    <row r="588" spans="7:16" x14ac:dyDescent="0.2">
      <c r="G588" s="8"/>
      <c r="H588" s="8"/>
      <c r="J588" s="8"/>
      <c r="K588" s="8"/>
      <c r="L588" s="8"/>
      <c r="M588" s="8"/>
      <c r="N588" s="8"/>
      <c r="O588" s="8"/>
      <c r="P588" s="8"/>
    </row>
    <row r="589" spans="7:16" x14ac:dyDescent="0.2">
      <c r="G589" s="8"/>
      <c r="H589" s="8"/>
      <c r="J589" s="8"/>
      <c r="K589" s="8"/>
      <c r="L589" s="8"/>
      <c r="M589" s="8"/>
      <c r="N589" s="8"/>
      <c r="O589" s="8"/>
      <c r="P589" s="8"/>
    </row>
    <row r="590" spans="7:16" x14ac:dyDescent="0.2">
      <c r="G590" s="8"/>
      <c r="H590" s="8"/>
      <c r="J590" s="8"/>
      <c r="K590" s="8"/>
      <c r="L590" s="8"/>
      <c r="M590" s="8"/>
      <c r="N590" s="8"/>
      <c r="O590" s="8"/>
      <c r="P590" s="8"/>
    </row>
    <row r="591" spans="7:16" x14ac:dyDescent="0.2">
      <c r="G591" s="8"/>
      <c r="H591" s="8"/>
      <c r="J591" s="8"/>
      <c r="K591" s="8"/>
      <c r="L591" s="8"/>
      <c r="M591" s="8"/>
      <c r="N591" s="8"/>
      <c r="O591" s="8"/>
      <c r="P591" s="8"/>
    </row>
    <row r="592" spans="7:16" x14ac:dyDescent="0.2">
      <c r="G592" s="8"/>
      <c r="H592" s="8"/>
      <c r="J592" s="8"/>
      <c r="K592" s="8"/>
      <c r="L592" s="8"/>
      <c r="M592" s="8"/>
      <c r="N592" s="8"/>
      <c r="O592" s="8"/>
      <c r="P592" s="8"/>
    </row>
    <row r="593" spans="7:16" x14ac:dyDescent="0.2">
      <c r="G593" s="8"/>
      <c r="H593" s="8"/>
      <c r="J593" s="8"/>
      <c r="K593" s="8"/>
      <c r="L593" s="8"/>
      <c r="M593" s="8"/>
      <c r="N593" s="8"/>
      <c r="O593" s="8"/>
      <c r="P593" s="8"/>
    </row>
    <row r="594" spans="7:16" x14ac:dyDescent="0.2">
      <c r="G594" s="8"/>
      <c r="H594" s="8"/>
      <c r="J594" s="8"/>
      <c r="K594" s="8"/>
      <c r="L594" s="8"/>
      <c r="M594" s="8"/>
      <c r="N594" s="8"/>
      <c r="O594" s="8"/>
      <c r="P594" s="8"/>
    </row>
    <row r="595" spans="7:16" x14ac:dyDescent="0.2">
      <c r="G595" s="8"/>
      <c r="H595" s="8"/>
      <c r="J595" s="8"/>
      <c r="K595" s="8"/>
      <c r="L595" s="8"/>
      <c r="M595" s="8"/>
      <c r="N595" s="8"/>
      <c r="O595" s="8"/>
      <c r="P595" s="8"/>
    </row>
    <row r="596" spans="7:16" x14ac:dyDescent="0.2">
      <c r="G596" s="8"/>
      <c r="H596" s="8"/>
      <c r="J596" s="8"/>
      <c r="K596" s="8"/>
      <c r="L596" s="8"/>
      <c r="M596" s="8"/>
      <c r="N596" s="8"/>
      <c r="O596" s="8"/>
      <c r="P596" s="8"/>
    </row>
    <row r="597" spans="7:16" x14ac:dyDescent="0.2">
      <c r="G597" s="8"/>
      <c r="H597" s="8"/>
      <c r="J597" s="8"/>
      <c r="K597" s="8"/>
      <c r="L597" s="8"/>
      <c r="M597" s="8"/>
      <c r="N597" s="8"/>
      <c r="O597" s="8"/>
      <c r="P597" s="8"/>
    </row>
    <row r="598" spans="7:16" x14ac:dyDescent="0.2">
      <c r="G598" s="8"/>
      <c r="H598" s="8"/>
      <c r="J598" s="8"/>
      <c r="K598" s="8"/>
      <c r="L598" s="8"/>
      <c r="M598" s="8"/>
      <c r="N598" s="8"/>
      <c r="O598" s="8"/>
      <c r="P598" s="8"/>
    </row>
    <row r="599" spans="7:16" x14ac:dyDescent="0.2">
      <c r="G599" s="8"/>
      <c r="H599" s="8"/>
      <c r="J599" s="8"/>
      <c r="K599" s="8"/>
      <c r="L599" s="8"/>
      <c r="M599" s="8"/>
      <c r="N599" s="8"/>
      <c r="O599" s="8"/>
      <c r="P599" s="8"/>
    </row>
    <row r="600" spans="7:16" x14ac:dyDescent="0.2">
      <c r="G600" s="8"/>
      <c r="H600" s="8"/>
      <c r="J600" s="8"/>
      <c r="K600" s="8"/>
      <c r="L600" s="8"/>
      <c r="M600" s="8"/>
      <c r="N600" s="8"/>
      <c r="O600" s="8"/>
      <c r="P600" s="8"/>
    </row>
    <row r="601" spans="7:16" x14ac:dyDescent="0.2">
      <c r="G601" s="8"/>
      <c r="H601" s="8"/>
      <c r="J601" s="8"/>
      <c r="K601" s="8"/>
      <c r="L601" s="8"/>
      <c r="M601" s="8"/>
      <c r="N601" s="8"/>
      <c r="O601" s="8"/>
      <c r="P601" s="8"/>
    </row>
    <row r="602" spans="7:16" x14ac:dyDescent="0.2">
      <c r="G602" s="8"/>
      <c r="H602" s="8"/>
      <c r="J602" s="8"/>
      <c r="K602" s="8"/>
      <c r="L602" s="8"/>
      <c r="M602" s="8"/>
      <c r="N602" s="8"/>
      <c r="O602" s="8"/>
      <c r="P602" s="8"/>
    </row>
    <row r="603" spans="7:16" x14ac:dyDescent="0.2">
      <c r="G603" s="8"/>
      <c r="H603" s="8"/>
      <c r="J603" s="8"/>
      <c r="K603" s="8"/>
      <c r="L603" s="8"/>
      <c r="M603" s="8"/>
      <c r="N603" s="8"/>
      <c r="O603" s="8"/>
      <c r="P603" s="8"/>
    </row>
    <row r="604" spans="7:16" x14ac:dyDescent="0.2">
      <c r="G604" s="8"/>
      <c r="H604" s="8"/>
      <c r="J604" s="8"/>
      <c r="K604" s="8"/>
      <c r="L604" s="8"/>
      <c r="M604" s="8"/>
      <c r="N604" s="8"/>
      <c r="O604" s="8"/>
      <c r="P604" s="8"/>
    </row>
    <row r="605" spans="7:16" x14ac:dyDescent="0.2">
      <c r="G605" s="8"/>
      <c r="H605" s="8"/>
      <c r="J605" s="8"/>
      <c r="K605" s="8"/>
      <c r="L605" s="8"/>
      <c r="M605" s="8"/>
      <c r="N605" s="8"/>
      <c r="O605" s="8"/>
      <c r="P605" s="8"/>
    </row>
    <row r="606" spans="7:16" x14ac:dyDescent="0.2">
      <c r="G606" s="8"/>
      <c r="H606" s="8"/>
      <c r="J606" s="8"/>
      <c r="K606" s="8"/>
      <c r="L606" s="8"/>
      <c r="M606" s="8"/>
      <c r="N606" s="8"/>
      <c r="O606" s="8"/>
      <c r="P606" s="8"/>
    </row>
    <row r="607" spans="7:16" x14ac:dyDescent="0.2">
      <c r="G607" s="8"/>
      <c r="H607" s="8"/>
      <c r="J607" s="8"/>
      <c r="K607" s="8"/>
      <c r="L607" s="8"/>
      <c r="M607" s="8"/>
      <c r="N607" s="8"/>
      <c r="O607" s="8"/>
      <c r="P607" s="8"/>
    </row>
    <row r="608" spans="7:16" x14ac:dyDescent="0.2">
      <c r="G608" s="8"/>
      <c r="H608" s="8"/>
      <c r="J608" s="8"/>
      <c r="K608" s="8"/>
      <c r="L608" s="8"/>
      <c r="M608" s="8"/>
      <c r="N608" s="8"/>
      <c r="O608" s="8"/>
      <c r="P608" s="8"/>
    </row>
    <row r="609" spans="7:16" x14ac:dyDescent="0.2">
      <c r="G609" s="8"/>
      <c r="H609" s="8"/>
      <c r="J609" s="8"/>
      <c r="K609" s="8"/>
      <c r="L609" s="8"/>
      <c r="M609" s="8"/>
      <c r="N609" s="8"/>
      <c r="O609" s="8"/>
      <c r="P609" s="8"/>
    </row>
    <row r="610" spans="7:16" x14ac:dyDescent="0.2">
      <c r="G610" s="8"/>
      <c r="H610" s="8"/>
      <c r="J610" s="8"/>
      <c r="K610" s="8"/>
      <c r="L610" s="8"/>
      <c r="M610" s="8"/>
      <c r="N610" s="8"/>
      <c r="O610" s="8"/>
      <c r="P610" s="8"/>
    </row>
    <row r="611" spans="7:16" x14ac:dyDescent="0.2">
      <c r="G611" s="8"/>
      <c r="H611" s="8"/>
      <c r="J611" s="8"/>
      <c r="K611" s="8"/>
      <c r="L611" s="8"/>
      <c r="M611" s="8"/>
      <c r="N611" s="8"/>
      <c r="O611" s="8"/>
      <c r="P611" s="8"/>
    </row>
    <row r="612" spans="7:16" x14ac:dyDescent="0.2">
      <c r="G612" s="8"/>
      <c r="H612" s="8"/>
      <c r="J612" s="8"/>
      <c r="K612" s="8"/>
      <c r="L612" s="8"/>
      <c r="M612" s="8"/>
      <c r="N612" s="8"/>
      <c r="O612" s="8"/>
      <c r="P612" s="8"/>
    </row>
    <row r="613" spans="7:16" x14ac:dyDescent="0.2">
      <c r="G613" s="8"/>
      <c r="H613" s="8"/>
      <c r="J613" s="8"/>
      <c r="K613" s="8"/>
      <c r="L613" s="8"/>
      <c r="M613" s="8"/>
      <c r="N613" s="8"/>
      <c r="O613" s="8"/>
      <c r="P613" s="8"/>
    </row>
    <row r="614" spans="7:16" x14ac:dyDescent="0.2">
      <c r="G614" s="8"/>
      <c r="H614" s="8"/>
      <c r="J614" s="8"/>
      <c r="K614" s="8"/>
      <c r="L614" s="8"/>
      <c r="M614" s="8"/>
      <c r="N614" s="8"/>
      <c r="O614" s="8"/>
      <c r="P614" s="8"/>
    </row>
    <row r="615" spans="7:16" x14ac:dyDescent="0.2">
      <c r="G615" s="8"/>
      <c r="H615" s="8"/>
      <c r="J615" s="8"/>
      <c r="K615" s="8"/>
      <c r="L615" s="8"/>
      <c r="M615" s="8"/>
      <c r="N615" s="8"/>
      <c r="O615" s="8"/>
      <c r="P615" s="8"/>
    </row>
    <row r="616" spans="7:16" x14ac:dyDescent="0.2">
      <c r="G616" s="8"/>
      <c r="H616" s="8"/>
      <c r="J616" s="8"/>
      <c r="K616" s="8"/>
      <c r="L616" s="8"/>
      <c r="M616" s="8"/>
      <c r="N616" s="8"/>
      <c r="O616" s="8"/>
      <c r="P616" s="8"/>
    </row>
    <row r="617" spans="7:16" x14ac:dyDescent="0.2">
      <c r="G617" s="8"/>
      <c r="H617" s="8"/>
      <c r="J617" s="8"/>
      <c r="K617" s="8"/>
      <c r="L617" s="8"/>
      <c r="M617" s="8"/>
      <c r="N617" s="8"/>
      <c r="O617" s="8"/>
      <c r="P617" s="8"/>
    </row>
    <row r="618" spans="7:16" x14ac:dyDescent="0.2">
      <c r="G618" s="8"/>
      <c r="H618" s="8"/>
      <c r="J618" s="8"/>
      <c r="K618" s="8"/>
      <c r="L618" s="8"/>
      <c r="M618" s="8"/>
      <c r="N618" s="8"/>
      <c r="O618" s="8"/>
      <c r="P618" s="8"/>
    </row>
    <row r="619" spans="7:16" x14ac:dyDescent="0.2">
      <c r="G619" s="8"/>
      <c r="H619" s="8"/>
      <c r="J619" s="8"/>
      <c r="K619" s="8"/>
      <c r="L619" s="8"/>
      <c r="M619" s="8"/>
      <c r="N619" s="8"/>
      <c r="O619" s="8"/>
      <c r="P619" s="8"/>
    </row>
    <row r="620" spans="7:16" x14ac:dyDescent="0.2">
      <c r="G620" s="8"/>
      <c r="H620" s="8"/>
      <c r="J620" s="8"/>
      <c r="K620" s="8"/>
      <c r="L620" s="8"/>
      <c r="M620" s="8"/>
      <c r="N620" s="8"/>
      <c r="O620" s="8"/>
      <c r="P620" s="8"/>
    </row>
    <row r="621" spans="7:16" x14ac:dyDescent="0.2">
      <c r="G621" s="8"/>
      <c r="H621" s="8"/>
      <c r="J621" s="8"/>
      <c r="K621" s="8"/>
      <c r="L621" s="8"/>
      <c r="M621" s="8"/>
      <c r="N621" s="8"/>
      <c r="O621" s="8"/>
      <c r="P621" s="8"/>
    </row>
    <row r="622" spans="7:16" x14ac:dyDescent="0.2">
      <c r="G622" s="8"/>
      <c r="H622" s="8"/>
      <c r="J622" s="8"/>
      <c r="K622" s="8"/>
      <c r="L622" s="8"/>
      <c r="M622" s="8"/>
      <c r="N622" s="8"/>
      <c r="O622" s="8"/>
      <c r="P622" s="8"/>
    </row>
    <row r="623" spans="7:16" x14ac:dyDescent="0.2">
      <c r="G623" s="8"/>
      <c r="H623" s="8"/>
      <c r="J623" s="8"/>
      <c r="K623" s="8"/>
      <c r="L623" s="8"/>
      <c r="M623" s="8"/>
      <c r="N623" s="8"/>
      <c r="O623" s="8"/>
      <c r="P623" s="8"/>
    </row>
    <row r="624" spans="7:16" x14ac:dyDescent="0.2">
      <c r="G624" s="8"/>
      <c r="H624" s="8"/>
      <c r="J624" s="8"/>
      <c r="K624" s="8"/>
      <c r="L624" s="8"/>
      <c r="M624" s="8"/>
      <c r="N624" s="8"/>
      <c r="O624" s="8"/>
      <c r="P624" s="8"/>
    </row>
    <row r="625" spans="7:16" x14ac:dyDescent="0.2">
      <c r="G625" s="8"/>
      <c r="H625" s="8"/>
      <c r="J625" s="8"/>
      <c r="K625" s="8"/>
      <c r="L625" s="8"/>
      <c r="M625" s="8"/>
      <c r="N625" s="8"/>
      <c r="O625" s="8"/>
      <c r="P625" s="8"/>
    </row>
    <row r="626" spans="7:16" x14ac:dyDescent="0.2">
      <c r="G626" s="8"/>
      <c r="H626" s="8"/>
      <c r="J626" s="8"/>
      <c r="K626" s="8"/>
      <c r="L626" s="8"/>
      <c r="M626" s="8"/>
      <c r="N626" s="8"/>
      <c r="O626" s="8"/>
      <c r="P626" s="8"/>
    </row>
    <row r="627" spans="7:16" x14ac:dyDescent="0.2">
      <c r="G627" s="8"/>
      <c r="H627" s="8"/>
      <c r="J627" s="8"/>
      <c r="K627" s="8"/>
      <c r="L627" s="8"/>
      <c r="M627" s="8"/>
      <c r="N627" s="8"/>
      <c r="O627" s="8"/>
      <c r="P627" s="8"/>
    </row>
    <row r="628" spans="7:16" x14ac:dyDescent="0.2">
      <c r="G628" s="8"/>
      <c r="H628" s="8"/>
      <c r="J628" s="8"/>
      <c r="K628" s="8"/>
      <c r="L628" s="8"/>
      <c r="M628" s="8"/>
      <c r="N628" s="8"/>
      <c r="O628" s="8"/>
      <c r="P628" s="8"/>
    </row>
    <row r="629" spans="7:16" x14ac:dyDescent="0.2">
      <c r="G629" s="8"/>
      <c r="H629" s="8"/>
      <c r="J629" s="8"/>
      <c r="K629" s="8"/>
      <c r="L629" s="8"/>
      <c r="M629" s="8"/>
      <c r="N629" s="8"/>
      <c r="O629" s="8"/>
      <c r="P629" s="8"/>
    </row>
    <row r="630" spans="7:16" x14ac:dyDescent="0.2">
      <c r="G630" s="8"/>
      <c r="H630" s="8"/>
      <c r="J630" s="8"/>
      <c r="K630" s="8"/>
      <c r="L630" s="8"/>
      <c r="M630" s="8"/>
      <c r="N630" s="8"/>
      <c r="O630" s="8"/>
      <c r="P630" s="8"/>
    </row>
    <row r="631" spans="7:16" x14ac:dyDescent="0.2">
      <c r="G631" s="8"/>
      <c r="H631" s="8"/>
      <c r="J631" s="8"/>
      <c r="K631" s="8"/>
      <c r="L631" s="8"/>
      <c r="M631" s="8"/>
      <c r="N631" s="8"/>
      <c r="O631" s="8"/>
      <c r="P631" s="8"/>
    </row>
    <row r="632" spans="7:16" x14ac:dyDescent="0.2">
      <c r="G632" s="8"/>
      <c r="H632" s="8"/>
      <c r="J632" s="8"/>
      <c r="K632" s="8"/>
      <c r="L632" s="8"/>
      <c r="M632" s="8"/>
      <c r="N632" s="8"/>
      <c r="O632" s="8"/>
      <c r="P632" s="8"/>
    </row>
    <row r="633" spans="7:16" x14ac:dyDescent="0.2">
      <c r="G633" s="8"/>
      <c r="H633" s="8"/>
      <c r="J633" s="8"/>
      <c r="K633" s="8"/>
      <c r="L633" s="8"/>
      <c r="M633" s="8"/>
      <c r="N633" s="8"/>
      <c r="O633" s="8"/>
      <c r="P633" s="8"/>
    </row>
    <row r="634" spans="7:16" x14ac:dyDescent="0.2">
      <c r="G634" s="8"/>
      <c r="H634" s="8"/>
      <c r="J634" s="8"/>
      <c r="K634" s="8"/>
      <c r="L634" s="8"/>
      <c r="M634" s="8"/>
      <c r="N634" s="8"/>
      <c r="O634" s="8"/>
      <c r="P634" s="8"/>
    </row>
    <row r="635" spans="7:16" x14ac:dyDescent="0.2">
      <c r="G635" s="8"/>
      <c r="H635" s="8"/>
      <c r="J635" s="8"/>
      <c r="K635" s="8"/>
      <c r="L635" s="8"/>
      <c r="M635" s="8"/>
      <c r="N635" s="8"/>
      <c r="O635" s="8"/>
      <c r="P635" s="8"/>
    </row>
    <row r="636" spans="7:16" x14ac:dyDescent="0.2">
      <c r="G636" s="8"/>
      <c r="H636" s="8"/>
      <c r="J636" s="8"/>
      <c r="K636" s="8"/>
      <c r="L636" s="8"/>
      <c r="M636" s="8"/>
      <c r="N636" s="8"/>
      <c r="O636" s="8"/>
      <c r="P636" s="8"/>
    </row>
    <row r="637" spans="7:16" x14ac:dyDescent="0.2">
      <c r="G637" s="8"/>
      <c r="H637" s="8"/>
      <c r="J637" s="8"/>
      <c r="K637" s="8"/>
      <c r="L637" s="8"/>
      <c r="M637" s="8"/>
      <c r="N637" s="8"/>
      <c r="O637" s="8"/>
      <c r="P637" s="8"/>
    </row>
    <row r="638" spans="7:16" x14ac:dyDescent="0.2">
      <c r="G638" s="8"/>
      <c r="H638" s="8"/>
      <c r="J638" s="8"/>
      <c r="K638" s="8"/>
      <c r="L638" s="8"/>
      <c r="M638" s="8"/>
      <c r="N638" s="8"/>
      <c r="O638" s="8"/>
      <c r="P638" s="8"/>
    </row>
    <row r="639" spans="7:16" x14ac:dyDescent="0.2">
      <c r="G639" s="8"/>
      <c r="H639" s="8"/>
      <c r="J639" s="8"/>
      <c r="K639" s="8"/>
      <c r="L639" s="8"/>
      <c r="M639" s="8"/>
      <c r="N639" s="8"/>
      <c r="O639" s="8"/>
      <c r="P639" s="8"/>
    </row>
    <row r="640" spans="7:16" x14ac:dyDescent="0.2">
      <c r="G640" s="8"/>
      <c r="H640" s="8"/>
      <c r="J640" s="8"/>
      <c r="K640" s="8"/>
      <c r="L640" s="8"/>
      <c r="M640" s="8"/>
      <c r="N640" s="8"/>
      <c r="O640" s="8"/>
      <c r="P640" s="8"/>
    </row>
    <row r="641" spans="7:16" x14ac:dyDescent="0.2">
      <c r="G641" s="8"/>
      <c r="H641" s="8"/>
      <c r="J641" s="8"/>
      <c r="K641" s="8"/>
      <c r="L641" s="8"/>
      <c r="M641" s="8"/>
      <c r="N641" s="8"/>
      <c r="O641" s="8"/>
      <c r="P641" s="8"/>
    </row>
    <row r="642" spans="7:16" x14ac:dyDescent="0.2">
      <c r="G642" s="8"/>
      <c r="H642" s="8"/>
      <c r="J642" s="8"/>
      <c r="K642" s="8"/>
      <c r="L642" s="8"/>
      <c r="M642" s="8"/>
      <c r="N642" s="8"/>
      <c r="O642" s="8"/>
      <c r="P642" s="8"/>
    </row>
    <row r="643" spans="7:16" x14ac:dyDescent="0.2">
      <c r="G643" s="8"/>
      <c r="H643" s="8"/>
      <c r="J643" s="8"/>
      <c r="K643" s="8"/>
      <c r="L643" s="8"/>
      <c r="M643" s="8"/>
      <c r="N643" s="8"/>
      <c r="O643" s="8"/>
      <c r="P643" s="8"/>
    </row>
    <row r="644" spans="7:16" x14ac:dyDescent="0.2">
      <c r="G644" s="8"/>
      <c r="H644" s="8"/>
      <c r="J644" s="8"/>
      <c r="K644" s="8"/>
      <c r="L644" s="8"/>
      <c r="M644" s="8"/>
      <c r="N644" s="8"/>
      <c r="O644" s="8"/>
      <c r="P644" s="8"/>
    </row>
    <row r="645" spans="7:16" x14ac:dyDescent="0.2">
      <c r="G645" s="8"/>
      <c r="H645" s="8"/>
      <c r="J645" s="8"/>
      <c r="K645" s="8"/>
      <c r="L645" s="8"/>
      <c r="M645" s="8"/>
      <c r="N645" s="8"/>
      <c r="O645" s="8"/>
      <c r="P645" s="8"/>
    </row>
    <row r="646" spans="7:16" x14ac:dyDescent="0.2">
      <c r="G646" s="8"/>
      <c r="H646" s="8"/>
      <c r="J646" s="8"/>
      <c r="K646" s="8"/>
      <c r="L646" s="8"/>
      <c r="M646" s="8"/>
      <c r="N646" s="8"/>
      <c r="O646" s="8"/>
      <c r="P646" s="8"/>
    </row>
    <row r="647" spans="7:16" x14ac:dyDescent="0.2">
      <c r="G647" s="8"/>
      <c r="H647" s="8"/>
      <c r="J647" s="8"/>
      <c r="K647" s="8"/>
      <c r="L647" s="8"/>
      <c r="M647" s="8"/>
      <c r="N647" s="8"/>
      <c r="O647" s="8"/>
      <c r="P647" s="8"/>
    </row>
    <row r="648" spans="7:16" x14ac:dyDescent="0.2">
      <c r="G648" s="8"/>
      <c r="H648" s="8"/>
      <c r="J648" s="8"/>
      <c r="K648" s="8"/>
      <c r="L648" s="8"/>
      <c r="M648" s="8"/>
      <c r="N648" s="8"/>
      <c r="O648" s="8"/>
      <c r="P648" s="8"/>
    </row>
    <row r="649" spans="7:16" x14ac:dyDescent="0.2">
      <c r="G649" s="8"/>
      <c r="H649" s="8"/>
      <c r="J649" s="8"/>
      <c r="K649" s="8"/>
      <c r="L649" s="8"/>
      <c r="M649" s="8"/>
      <c r="N649" s="8"/>
      <c r="O649" s="8"/>
      <c r="P649" s="8"/>
    </row>
    <row r="650" spans="7:16" x14ac:dyDescent="0.2">
      <c r="G650" s="8"/>
      <c r="H650" s="8"/>
      <c r="J650" s="8"/>
      <c r="K650" s="8"/>
      <c r="L650" s="8"/>
      <c r="M650" s="8"/>
      <c r="N650" s="8"/>
      <c r="O650" s="8"/>
      <c r="P650" s="8"/>
    </row>
    <row r="651" spans="7:16" x14ac:dyDescent="0.2">
      <c r="G651" s="8"/>
      <c r="H651" s="8"/>
      <c r="J651" s="8"/>
      <c r="K651" s="8"/>
      <c r="L651" s="8"/>
      <c r="M651" s="8"/>
      <c r="N651" s="8"/>
      <c r="O651" s="8"/>
      <c r="P651" s="8"/>
    </row>
    <row r="652" spans="7:16" x14ac:dyDescent="0.2">
      <c r="G652" s="8"/>
      <c r="H652" s="8"/>
      <c r="J652" s="8"/>
      <c r="K652" s="8"/>
      <c r="L652" s="8"/>
      <c r="M652" s="8"/>
      <c r="N652" s="8"/>
      <c r="O652" s="8"/>
      <c r="P652" s="8"/>
    </row>
    <row r="653" spans="7:16" x14ac:dyDescent="0.2">
      <c r="G653" s="8"/>
      <c r="H653" s="8"/>
      <c r="J653" s="8"/>
      <c r="K653" s="8"/>
      <c r="L653" s="8"/>
      <c r="M653" s="8"/>
      <c r="N653" s="8"/>
      <c r="O653" s="8"/>
      <c r="P653" s="8"/>
    </row>
    <row r="654" spans="7:16" x14ac:dyDescent="0.2">
      <c r="G654" s="8"/>
      <c r="H654" s="8"/>
      <c r="J654" s="8"/>
      <c r="K654" s="8"/>
      <c r="L654" s="8"/>
      <c r="M654" s="8"/>
      <c r="N654" s="8"/>
      <c r="O654" s="8"/>
      <c r="P654" s="8"/>
    </row>
    <row r="655" spans="7:16" x14ac:dyDescent="0.2">
      <c r="G655" s="8"/>
      <c r="H655" s="8"/>
      <c r="J655" s="8"/>
      <c r="K655" s="8"/>
      <c r="L655" s="8"/>
      <c r="M655" s="8"/>
      <c r="N655" s="8"/>
      <c r="O655" s="8"/>
      <c r="P655" s="8"/>
    </row>
    <row r="656" spans="7:16" x14ac:dyDescent="0.2">
      <c r="G656" s="8"/>
      <c r="H656" s="8"/>
      <c r="J656" s="8"/>
      <c r="K656" s="8"/>
      <c r="L656" s="8"/>
      <c r="M656" s="8"/>
      <c r="N656" s="8"/>
      <c r="O656" s="8"/>
      <c r="P656" s="8"/>
    </row>
    <row r="657" spans="7:16" x14ac:dyDescent="0.2">
      <c r="G657" s="8"/>
      <c r="H657" s="8"/>
      <c r="J657" s="8"/>
      <c r="K657" s="8"/>
      <c r="L657" s="8"/>
      <c r="M657" s="8"/>
      <c r="N657" s="8"/>
      <c r="O657" s="8"/>
      <c r="P657" s="8"/>
    </row>
    <row r="658" spans="7:16" x14ac:dyDescent="0.2">
      <c r="G658" s="8"/>
      <c r="H658" s="8"/>
      <c r="J658" s="8"/>
      <c r="K658" s="8"/>
      <c r="L658" s="8"/>
      <c r="M658" s="8"/>
      <c r="N658" s="8"/>
      <c r="O658" s="8"/>
      <c r="P658" s="8"/>
    </row>
    <row r="659" spans="7:16" x14ac:dyDescent="0.2">
      <c r="G659" s="8"/>
      <c r="H659" s="8"/>
      <c r="J659" s="8"/>
      <c r="K659" s="8"/>
      <c r="L659" s="8"/>
      <c r="M659" s="8"/>
      <c r="N659" s="8"/>
      <c r="O659" s="8"/>
      <c r="P659" s="8"/>
    </row>
    <row r="660" spans="7:16" x14ac:dyDescent="0.2">
      <c r="G660" s="8"/>
      <c r="H660" s="8"/>
      <c r="J660" s="8"/>
      <c r="K660" s="8"/>
      <c r="L660" s="8"/>
      <c r="M660" s="8"/>
      <c r="N660" s="8"/>
      <c r="O660" s="8"/>
      <c r="P660" s="8"/>
    </row>
    <row r="661" spans="7:16" x14ac:dyDescent="0.2">
      <c r="G661" s="8"/>
      <c r="H661" s="8"/>
      <c r="J661" s="8"/>
      <c r="K661" s="8"/>
      <c r="L661" s="8"/>
      <c r="M661" s="8"/>
      <c r="N661" s="8"/>
      <c r="O661" s="8"/>
      <c r="P661" s="8"/>
    </row>
    <row r="662" spans="7:16" x14ac:dyDescent="0.2">
      <c r="G662" s="8"/>
      <c r="H662" s="8"/>
      <c r="J662" s="8"/>
      <c r="K662" s="8"/>
      <c r="L662" s="8"/>
      <c r="M662" s="8"/>
      <c r="N662" s="8"/>
      <c r="O662" s="8"/>
      <c r="P662" s="8"/>
    </row>
    <row r="663" spans="7:16" x14ac:dyDescent="0.2">
      <c r="G663" s="8"/>
      <c r="H663" s="8"/>
      <c r="J663" s="8"/>
      <c r="K663" s="8"/>
      <c r="L663" s="8"/>
      <c r="M663" s="8"/>
      <c r="N663" s="8"/>
      <c r="O663" s="8"/>
      <c r="P663" s="8"/>
    </row>
    <row r="664" spans="7:16" x14ac:dyDescent="0.2">
      <c r="G664" s="8"/>
      <c r="H664" s="8"/>
      <c r="J664" s="8"/>
      <c r="K664" s="8"/>
      <c r="L664" s="8"/>
      <c r="M664" s="8"/>
      <c r="N664" s="8"/>
      <c r="O664" s="8"/>
      <c r="P664" s="8"/>
    </row>
    <row r="665" spans="7:16" x14ac:dyDescent="0.2">
      <c r="G665" s="8"/>
      <c r="H665" s="8"/>
      <c r="J665" s="8"/>
      <c r="K665" s="8"/>
      <c r="L665" s="8"/>
      <c r="M665" s="8"/>
      <c r="N665" s="8"/>
      <c r="O665" s="8"/>
      <c r="P665" s="8"/>
    </row>
    <row r="666" spans="7:16" x14ac:dyDescent="0.2">
      <c r="G666" s="8"/>
      <c r="H666" s="8"/>
      <c r="J666" s="8"/>
      <c r="K666" s="8"/>
      <c r="L666" s="8"/>
      <c r="M666" s="8"/>
      <c r="N666" s="8"/>
      <c r="O666" s="8"/>
      <c r="P666" s="8"/>
    </row>
    <row r="667" spans="7:16" x14ac:dyDescent="0.2">
      <c r="G667" s="8"/>
      <c r="H667" s="8"/>
      <c r="J667" s="8"/>
      <c r="K667" s="8"/>
      <c r="L667" s="8"/>
      <c r="M667" s="8"/>
      <c r="N667" s="8"/>
      <c r="O667" s="8"/>
      <c r="P667" s="8"/>
    </row>
    <row r="668" spans="7:16" x14ac:dyDescent="0.2">
      <c r="G668" s="8"/>
      <c r="H668" s="8"/>
      <c r="J668" s="8"/>
      <c r="K668" s="8"/>
      <c r="L668" s="8"/>
      <c r="M668" s="8"/>
      <c r="N668" s="8"/>
      <c r="O668" s="8"/>
      <c r="P668" s="8"/>
    </row>
    <row r="669" spans="7:16" x14ac:dyDescent="0.2">
      <c r="G669" s="8"/>
      <c r="H669" s="8"/>
      <c r="J669" s="8"/>
      <c r="K669" s="8"/>
      <c r="L669" s="8"/>
      <c r="M669" s="8"/>
      <c r="N669" s="8"/>
      <c r="O669" s="8"/>
      <c r="P669" s="8"/>
    </row>
    <row r="670" spans="7:16" x14ac:dyDescent="0.2">
      <c r="G670" s="8"/>
      <c r="H670" s="8"/>
      <c r="J670" s="8"/>
      <c r="K670" s="8"/>
      <c r="L670" s="8"/>
      <c r="M670" s="8"/>
      <c r="N670" s="8"/>
      <c r="O670" s="8"/>
      <c r="P670" s="8"/>
    </row>
    <row r="671" spans="7:16" x14ac:dyDescent="0.2">
      <c r="G671" s="8"/>
      <c r="H671" s="8"/>
      <c r="J671" s="8"/>
      <c r="K671" s="8"/>
      <c r="L671" s="8"/>
      <c r="M671" s="8"/>
      <c r="N671" s="8"/>
      <c r="O671" s="8"/>
      <c r="P671" s="8"/>
    </row>
    <row r="672" spans="7:16" x14ac:dyDescent="0.2">
      <c r="G672" s="8"/>
      <c r="H672" s="8"/>
      <c r="J672" s="8"/>
      <c r="K672" s="8"/>
      <c r="L672" s="8"/>
      <c r="M672" s="8"/>
      <c r="N672" s="8"/>
      <c r="O672" s="8"/>
      <c r="P672" s="8"/>
    </row>
    <row r="673" spans="7:16" x14ac:dyDescent="0.2">
      <c r="G673" s="8"/>
      <c r="H673" s="8"/>
      <c r="J673" s="8"/>
      <c r="K673" s="8"/>
      <c r="L673" s="8"/>
      <c r="M673" s="8"/>
      <c r="N673" s="8"/>
      <c r="O673" s="8"/>
      <c r="P673" s="8"/>
    </row>
    <row r="674" spans="7:16" x14ac:dyDescent="0.2">
      <c r="G674" s="8"/>
      <c r="H674" s="8"/>
      <c r="J674" s="8"/>
      <c r="K674" s="8"/>
      <c r="L674" s="8"/>
      <c r="M674" s="8"/>
      <c r="N674" s="8"/>
      <c r="O674" s="8"/>
      <c r="P674" s="8"/>
    </row>
    <row r="675" spans="7:16" x14ac:dyDescent="0.2">
      <c r="G675" s="8"/>
      <c r="H675" s="8"/>
      <c r="J675" s="8"/>
      <c r="K675" s="8"/>
      <c r="L675" s="8"/>
      <c r="M675" s="8"/>
      <c r="N675" s="8"/>
      <c r="O675" s="8"/>
      <c r="P675" s="8"/>
    </row>
    <row r="676" spans="7:16" x14ac:dyDescent="0.2">
      <c r="G676" s="8"/>
      <c r="H676" s="8"/>
      <c r="J676" s="8"/>
      <c r="K676" s="8"/>
      <c r="L676" s="8"/>
      <c r="M676" s="8"/>
      <c r="N676" s="8"/>
      <c r="O676" s="8"/>
      <c r="P676" s="8"/>
    </row>
    <row r="677" spans="7:16" x14ac:dyDescent="0.2">
      <c r="G677" s="8"/>
      <c r="H677" s="8"/>
      <c r="J677" s="8"/>
      <c r="K677" s="8"/>
      <c r="L677" s="8"/>
      <c r="M677" s="8"/>
      <c r="N677" s="8"/>
      <c r="O677" s="8"/>
      <c r="P677" s="8"/>
    </row>
    <row r="678" spans="7:16" x14ac:dyDescent="0.2">
      <c r="G678" s="8"/>
      <c r="H678" s="8"/>
      <c r="J678" s="8"/>
      <c r="K678" s="8"/>
      <c r="L678" s="8"/>
      <c r="M678" s="8"/>
      <c r="N678" s="8"/>
      <c r="O678" s="8"/>
      <c r="P678" s="8"/>
    </row>
    <row r="679" spans="7:16" x14ac:dyDescent="0.2">
      <c r="G679" s="8"/>
      <c r="H679" s="8"/>
      <c r="J679" s="8"/>
      <c r="K679" s="8"/>
      <c r="L679" s="8"/>
      <c r="M679" s="8"/>
      <c r="N679" s="8"/>
      <c r="O679" s="8"/>
      <c r="P679" s="8"/>
    </row>
    <row r="680" spans="7:16" x14ac:dyDescent="0.2">
      <c r="G680" s="8"/>
      <c r="H680" s="8"/>
      <c r="J680" s="8"/>
      <c r="K680" s="8"/>
      <c r="L680" s="8"/>
      <c r="M680" s="8"/>
      <c r="N680" s="8"/>
      <c r="O680" s="8"/>
      <c r="P680" s="8"/>
    </row>
    <row r="681" spans="7:16" x14ac:dyDescent="0.2">
      <c r="G681" s="8"/>
      <c r="H681" s="8"/>
      <c r="J681" s="8"/>
      <c r="K681" s="8"/>
      <c r="L681" s="8"/>
      <c r="M681" s="8"/>
      <c r="N681" s="8"/>
      <c r="O681" s="8"/>
      <c r="P681" s="8"/>
    </row>
    <row r="682" spans="7:16" x14ac:dyDescent="0.2">
      <c r="G682" s="8"/>
      <c r="H682" s="8"/>
      <c r="J682" s="8"/>
      <c r="K682" s="8"/>
      <c r="L682" s="8"/>
      <c r="M682" s="8"/>
      <c r="N682" s="8"/>
      <c r="O682" s="8"/>
      <c r="P682" s="8"/>
    </row>
    <row r="683" spans="7:16" x14ac:dyDescent="0.2">
      <c r="G683" s="8"/>
      <c r="H683" s="8"/>
      <c r="J683" s="8"/>
      <c r="K683" s="8"/>
      <c r="L683" s="8"/>
      <c r="M683" s="8"/>
      <c r="N683" s="8"/>
      <c r="O683" s="8"/>
      <c r="P683" s="8"/>
    </row>
    <row r="684" spans="7:16" x14ac:dyDescent="0.2">
      <c r="G684" s="8"/>
      <c r="H684" s="8"/>
      <c r="J684" s="8"/>
      <c r="K684" s="8"/>
      <c r="L684" s="8"/>
      <c r="M684" s="8"/>
      <c r="N684" s="8"/>
      <c r="O684" s="8"/>
      <c r="P684" s="8"/>
    </row>
    <row r="685" spans="7:16" x14ac:dyDescent="0.2">
      <c r="G685" s="8"/>
      <c r="H685" s="8"/>
      <c r="J685" s="8"/>
      <c r="K685" s="8"/>
      <c r="L685" s="8"/>
      <c r="M685" s="8"/>
      <c r="N685" s="8"/>
      <c r="O685" s="8"/>
      <c r="P685" s="8"/>
    </row>
    <row r="686" spans="7:16" x14ac:dyDescent="0.2">
      <c r="G686" s="8"/>
      <c r="H686" s="8"/>
      <c r="J686" s="8"/>
      <c r="K686" s="8"/>
      <c r="L686" s="8"/>
      <c r="M686" s="8"/>
      <c r="N686" s="8"/>
      <c r="O686" s="8"/>
      <c r="P686" s="8"/>
    </row>
    <row r="687" spans="7:16" x14ac:dyDescent="0.2">
      <c r="G687" s="8"/>
      <c r="H687" s="8"/>
      <c r="J687" s="8"/>
      <c r="K687" s="8"/>
      <c r="L687" s="8"/>
      <c r="M687" s="8"/>
      <c r="N687" s="8"/>
      <c r="O687" s="8"/>
      <c r="P687" s="8"/>
    </row>
    <row r="688" spans="7:16" x14ac:dyDescent="0.2">
      <c r="G688" s="8"/>
      <c r="H688" s="8"/>
      <c r="J688" s="8"/>
      <c r="K688" s="8"/>
      <c r="L688" s="8"/>
      <c r="M688" s="8"/>
      <c r="N688" s="8"/>
      <c r="O688" s="8"/>
      <c r="P688" s="8"/>
    </row>
    <row r="689" spans="7:16" x14ac:dyDescent="0.2">
      <c r="G689" s="8"/>
      <c r="H689" s="8"/>
      <c r="J689" s="8"/>
      <c r="K689" s="8"/>
      <c r="L689" s="8"/>
      <c r="M689" s="8"/>
      <c r="N689" s="8"/>
      <c r="O689" s="8"/>
      <c r="P689" s="8"/>
    </row>
    <row r="690" spans="7:16" x14ac:dyDescent="0.2">
      <c r="G690" s="8"/>
      <c r="H690" s="8"/>
      <c r="J690" s="8"/>
      <c r="K690" s="8"/>
      <c r="L690" s="8"/>
      <c r="M690" s="8"/>
      <c r="N690" s="8"/>
      <c r="O690" s="8"/>
      <c r="P690" s="8"/>
    </row>
    <row r="691" spans="7:16" x14ac:dyDescent="0.2">
      <c r="G691" s="8"/>
      <c r="H691" s="8"/>
      <c r="J691" s="8"/>
      <c r="K691" s="8"/>
      <c r="L691" s="8"/>
      <c r="M691" s="8"/>
      <c r="N691" s="8"/>
      <c r="O691" s="8"/>
      <c r="P691" s="8"/>
    </row>
    <row r="692" spans="7:16" x14ac:dyDescent="0.2">
      <c r="G692" s="8"/>
      <c r="H692" s="8"/>
      <c r="J692" s="8"/>
      <c r="K692" s="8"/>
      <c r="L692" s="8"/>
      <c r="M692" s="8"/>
      <c r="N692" s="8"/>
      <c r="O692" s="8"/>
      <c r="P692" s="8"/>
    </row>
    <row r="693" spans="7:16" x14ac:dyDescent="0.2">
      <c r="G693" s="8"/>
      <c r="H693" s="8"/>
      <c r="J693" s="8"/>
      <c r="K693" s="8"/>
      <c r="L693" s="8"/>
      <c r="M693" s="8"/>
      <c r="N693" s="8"/>
      <c r="O693" s="8"/>
      <c r="P693" s="8"/>
    </row>
    <row r="694" spans="7:16" x14ac:dyDescent="0.2">
      <c r="G694" s="8"/>
      <c r="H694" s="8"/>
      <c r="J694" s="8"/>
      <c r="K694" s="8"/>
      <c r="L694" s="8"/>
      <c r="M694" s="8"/>
      <c r="N694" s="8"/>
      <c r="O694" s="8"/>
      <c r="P694" s="8"/>
    </row>
    <row r="695" spans="7:16" x14ac:dyDescent="0.2">
      <c r="G695" s="8"/>
      <c r="H695" s="8"/>
      <c r="J695" s="8"/>
      <c r="K695" s="8"/>
      <c r="L695" s="8"/>
      <c r="M695" s="8"/>
      <c r="N695" s="8"/>
      <c r="O695" s="8"/>
      <c r="P695" s="8"/>
    </row>
    <row r="696" spans="7:16" x14ac:dyDescent="0.2">
      <c r="G696" s="8"/>
      <c r="H696" s="8"/>
      <c r="J696" s="8"/>
      <c r="K696" s="8"/>
      <c r="L696" s="8"/>
      <c r="M696" s="8"/>
      <c r="N696" s="8"/>
      <c r="O696" s="8"/>
      <c r="P696" s="8"/>
    </row>
    <row r="697" spans="7:16" x14ac:dyDescent="0.2">
      <c r="G697" s="8"/>
      <c r="H697" s="8"/>
      <c r="J697" s="8"/>
      <c r="K697" s="8"/>
      <c r="L697" s="8"/>
      <c r="M697" s="8"/>
      <c r="N697" s="8"/>
      <c r="O697" s="8"/>
      <c r="P697" s="8"/>
    </row>
    <row r="698" spans="7:16" x14ac:dyDescent="0.2">
      <c r="G698" s="8"/>
      <c r="H698" s="8"/>
      <c r="J698" s="8"/>
      <c r="K698" s="8"/>
      <c r="L698" s="8"/>
      <c r="M698" s="8"/>
      <c r="N698" s="8"/>
      <c r="O698" s="8"/>
      <c r="P698" s="8"/>
    </row>
    <row r="699" spans="7:16" x14ac:dyDescent="0.2">
      <c r="G699" s="8"/>
      <c r="H699" s="8"/>
      <c r="J699" s="8"/>
      <c r="K699" s="8"/>
      <c r="L699" s="8"/>
      <c r="M699" s="8"/>
      <c r="N699" s="8"/>
      <c r="O699" s="8"/>
      <c r="P699" s="8"/>
    </row>
    <row r="700" spans="7:16" x14ac:dyDescent="0.2">
      <c r="G700" s="8"/>
      <c r="H700" s="8"/>
      <c r="J700" s="8"/>
      <c r="K700" s="8"/>
      <c r="L700" s="8"/>
      <c r="M700" s="8"/>
      <c r="N700" s="8"/>
      <c r="O700" s="8"/>
      <c r="P700" s="8"/>
    </row>
    <row r="701" spans="7:16" x14ac:dyDescent="0.2">
      <c r="G701" s="8"/>
      <c r="H701" s="8"/>
      <c r="J701" s="8"/>
      <c r="K701" s="8"/>
      <c r="L701" s="8"/>
      <c r="M701" s="8"/>
      <c r="N701" s="8"/>
      <c r="O701" s="8"/>
      <c r="P701" s="8"/>
    </row>
    <row r="702" spans="7:16" x14ac:dyDescent="0.2">
      <c r="G702" s="8"/>
      <c r="H702" s="8"/>
      <c r="J702" s="8"/>
      <c r="K702" s="8"/>
      <c r="L702" s="8"/>
      <c r="M702" s="8"/>
      <c r="N702" s="8"/>
      <c r="O702" s="8"/>
      <c r="P702" s="8"/>
    </row>
    <row r="703" spans="7:16" x14ac:dyDescent="0.2">
      <c r="G703" s="8"/>
      <c r="H703" s="8"/>
      <c r="J703" s="8"/>
      <c r="K703" s="8"/>
      <c r="L703" s="8"/>
      <c r="M703" s="8"/>
      <c r="N703" s="8"/>
      <c r="O703" s="8"/>
      <c r="P703" s="8"/>
    </row>
    <row r="704" spans="7:16" x14ac:dyDescent="0.2">
      <c r="G704" s="8"/>
      <c r="H704" s="8"/>
      <c r="J704" s="8"/>
      <c r="K704" s="8"/>
      <c r="L704" s="8"/>
      <c r="M704" s="8"/>
      <c r="N704" s="8"/>
      <c r="O704" s="8"/>
      <c r="P704" s="8"/>
    </row>
    <row r="705" spans="7:16" x14ac:dyDescent="0.2">
      <c r="G705" s="8"/>
      <c r="H705" s="8"/>
      <c r="J705" s="8"/>
      <c r="K705" s="8"/>
      <c r="L705" s="8"/>
      <c r="M705" s="8"/>
      <c r="N705" s="8"/>
      <c r="O705" s="8"/>
      <c r="P705" s="8"/>
    </row>
    <row r="706" spans="7:16" x14ac:dyDescent="0.2">
      <c r="G706" s="8"/>
      <c r="H706" s="8"/>
      <c r="J706" s="8"/>
      <c r="K706" s="8"/>
      <c r="L706" s="8"/>
      <c r="M706" s="8"/>
      <c r="N706" s="8"/>
      <c r="O706" s="8"/>
      <c r="P706" s="8"/>
    </row>
    <row r="707" spans="7:16" x14ac:dyDescent="0.2">
      <c r="G707" s="8"/>
      <c r="H707" s="8"/>
      <c r="J707" s="8"/>
      <c r="K707" s="8"/>
      <c r="L707" s="8"/>
      <c r="M707" s="8"/>
      <c r="N707" s="8"/>
      <c r="O707" s="8"/>
      <c r="P707" s="8"/>
    </row>
    <row r="708" spans="7:16" x14ac:dyDescent="0.2">
      <c r="G708" s="8"/>
      <c r="H708" s="8"/>
      <c r="J708" s="8"/>
      <c r="K708" s="8"/>
      <c r="L708" s="8"/>
      <c r="M708" s="8"/>
      <c r="N708" s="8"/>
      <c r="O708" s="8"/>
      <c r="P708" s="8"/>
    </row>
    <row r="709" spans="7:16" x14ac:dyDescent="0.2">
      <c r="G709" s="8"/>
      <c r="H709" s="8"/>
      <c r="J709" s="8"/>
      <c r="K709" s="8"/>
      <c r="L709" s="8"/>
      <c r="M709" s="8"/>
      <c r="N709" s="8"/>
      <c r="O709" s="8"/>
      <c r="P709" s="8"/>
    </row>
    <row r="710" spans="7:16" x14ac:dyDescent="0.2">
      <c r="G710" s="8"/>
      <c r="H710" s="8"/>
      <c r="J710" s="8"/>
      <c r="K710" s="8"/>
      <c r="L710" s="8"/>
      <c r="M710" s="8"/>
      <c r="N710" s="8"/>
      <c r="O710" s="8"/>
      <c r="P710" s="8"/>
    </row>
    <row r="711" spans="7:16" x14ac:dyDescent="0.2">
      <c r="G711" s="8"/>
      <c r="H711" s="8"/>
      <c r="J711" s="8"/>
      <c r="K711" s="8"/>
      <c r="L711" s="8"/>
      <c r="M711" s="8"/>
      <c r="N711" s="8"/>
      <c r="O711" s="8"/>
      <c r="P711" s="8"/>
    </row>
    <row r="712" spans="7:16" x14ac:dyDescent="0.2">
      <c r="G712" s="8"/>
      <c r="H712" s="8"/>
      <c r="J712" s="8"/>
      <c r="K712" s="8"/>
      <c r="L712" s="8"/>
      <c r="M712" s="8"/>
      <c r="N712" s="8"/>
      <c r="O712" s="8"/>
      <c r="P712" s="8"/>
    </row>
    <row r="713" spans="7:16" x14ac:dyDescent="0.2">
      <c r="G713" s="8"/>
      <c r="H713" s="8"/>
      <c r="J713" s="8"/>
      <c r="K713" s="8"/>
      <c r="L713" s="8"/>
      <c r="M713" s="8"/>
      <c r="N713" s="8"/>
      <c r="O713" s="8"/>
      <c r="P713" s="8"/>
    </row>
    <row r="714" spans="7:16" x14ac:dyDescent="0.2">
      <c r="G714" s="8"/>
      <c r="H714" s="8"/>
      <c r="J714" s="8"/>
      <c r="K714" s="8"/>
      <c r="L714" s="8"/>
      <c r="M714" s="8"/>
      <c r="N714" s="8"/>
      <c r="O714" s="8"/>
      <c r="P714" s="8"/>
    </row>
    <row r="715" spans="7:16" x14ac:dyDescent="0.2">
      <c r="G715" s="8"/>
      <c r="H715" s="8"/>
      <c r="J715" s="8"/>
      <c r="K715" s="8"/>
      <c r="L715" s="8"/>
      <c r="M715" s="8"/>
      <c r="N715" s="8"/>
      <c r="O715" s="8"/>
      <c r="P715" s="8"/>
    </row>
    <row r="716" spans="7:16" x14ac:dyDescent="0.2">
      <c r="G716" s="8"/>
      <c r="H716" s="8"/>
      <c r="J716" s="8"/>
      <c r="K716" s="8"/>
      <c r="L716" s="8"/>
      <c r="M716" s="8"/>
      <c r="N716" s="8"/>
      <c r="O716" s="8"/>
      <c r="P716" s="8"/>
    </row>
    <row r="717" spans="7:16" x14ac:dyDescent="0.2">
      <c r="G717" s="8"/>
      <c r="H717" s="8"/>
      <c r="J717" s="8"/>
      <c r="K717" s="8"/>
      <c r="L717" s="8"/>
      <c r="M717" s="8"/>
      <c r="N717" s="8"/>
      <c r="O717" s="8"/>
      <c r="P717" s="8"/>
    </row>
    <row r="718" spans="7:16" x14ac:dyDescent="0.2">
      <c r="G718" s="8"/>
      <c r="H718" s="8"/>
      <c r="J718" s="8"/>
      <c r="K718" s="8"/>
      <c r="L718" s="8"/>
      <c r="M718" s="8"/>
      <c r="N718" s="8"/>
      <c r="O718" s="8"/>
      <c r="P718" s="8"/>
    </row>
    <row r="719" spans="7:16" x14ac:dyDescent="0.2">
      <c r="G719" s="8"/>
      <c r="H719" s="8"/>
      <c r="J719" s="8"/>
      <c r="K719" s="8"/>
      <c r="L719" s="8"/>
      <c r="M719" s="8"/>
      <c r="N719" s="8"/>
      <c r="O719" s="8"/>
      <c r="P719" s="8"/>
    </row>
    <row r="720" spans="7:16" x14ac:dyDescent="0.2">
      <c r="G720" s="8"/>
      <c r="H720" s="8"/>
      <c r="J720" s="8"/>
      <c r="K720" s="8"/>
      <c r="L720" s="8"/>
      <c r="M720" s="8"/>
      <c r="N720" s="8"/>
      <c r="O720" s="8"/>
      <c r="P720" s="8"/>
    </row>
    <row r="721" spans="7:16" x14ac:dyDescent="0.2">
      <c r="G721" s="8"/>
      <c r="H721" s="8"/>
      <c r="J721" s="8"/>
      <c r="K721" s="8"/>
      <c r="L721" s="8"/>
      <c r="M721" s="8"/>
      <c r="N721" s="8"/>
      <c r="O721" s="8"/>
      <c r="P721" s="8"/>
    </row>
    <row r="722" spans="7:16" x14ac:dyDescent="0.2">
      <c r="G722" s="8"/>
      <c r="H722" s="8"/>
      <c r="J722" s="8"/>
      <c r="K722" s="8"/>
      <c r="L722" s="8"/>
      <c r="M722" s="8"/>
      <c r="N722" s="8"/>
      <c r="O722" s="8"/>
      <c r="P722" s="8"/>
    </row>
    <row r="723" spans="7:16" x14ac:dyDescent="0.2">
      <c r="G723" s="8"/>
      <c r="H723" s="8"/>
      <c r="J723" s="8"/>
      <c r="K723" s="8"/>
      <c r="L723" s="8"/>
      <c r="M723" s="8"/>
      <c r="N723" s="8"/>
      <c r="O723" s="8"/>
      <c r="P723" s="8"/>
    </row>
    <row r="724" spans="7:16" x14ac:dyDescent="0.2">
      <c r="G724" s="8"/>
      <c r="H724" s="8"/>
      <c r="J724" s="8"/>
      <c r="K724" s="8"/>
      <c r="L724" s="8"/>
      <c r="M724" s="8"/>
      <c r="N724" s="8"/>
      <c r="O724" s="8"/>
      <c r="P724" s="8"/>
    </row>
    <row r="725" spans="7:16" x14ac:dyDescent="0.2">
      <c r="G725" s="8"/>
      <c r="H725" s="8"/>
      <c r="J725" s="8"/>
      <c r="K725" s="8"/>
      <c r="L725" s="8"/>
      <c r="M725" s="8"/>
      <c r="N725" s="8"/>
      <c r="O725" s="8"/>
      <c r="P725" s="8"/>
    </row>
    <row r="726" spans="7:16" x14ac:dyDescent="0.2">
      <c r="G726" s="8"/>
      <c r="H726" s="8"/>
      <c r="J726" s="8"/>
      <c r="K726" s="8"/>
      <c r="L726" s="8"/>
      <c r="M726" s="8"/>
      <c r="N726" s="8"/>
      <c r="O726" s="8"/>
      <c r="P726" s="8"/>
    </row>
    <row r="727" spans="7:16" x14ac:dyDescent="0.2">
      <c r="G727" s="8"/>
      <c r="H727" s="8"/>
      <c r="J727" s="8"/>
      <c r="K727" s="8"/>
      <c r="L727" s="8"/>
      <c r="M727" s="8"/>
      <c r="N727" s="8"/>
      <c r="O727" s="8"/>
      <c r="P727" s="8"/>
    </row>
    <row r="728" spans="7:16" x14ac:dyDescent="0.2">
      <c r="G728" s="8"/>
      <c r="H728" s="8"/>
      <c r="J728" s="8"/>
      <c r="K728" s="8"/>
      <c r="L728" s="8"/>
      <c r="M728" s="8"/>
      <c r="N728" s="8"/>
      <c r="O728" s="8"/>
      <c r="P728" s="8"/>
    </row>
    <row r="729" spans="7:16" x14ac:dyDescent="0.2">
      <c r="G729" s="8"/>
      <c r="H729" s="8"/>
      <c r="J729" s="8"/>
      <c r="K729" s="8"/>
      <c r="L729" s="8"/>
      <c r="M729" s="8"/>
      <c r="N729" s="8"/>
      <c r="O729" s="8"/>
      <c r="P729" s="8"/>
    </row>
    <row r="730" spans="7:16" x14ac:dyDescent="0.2">
      <c r="G730" s="8"/>
      <c r="H730" s="8"/>
      <c r="J730" s="8"/>
      <c r="K730" s="8"/>
      <c r="L730" s="8"/>
      <c r="M730" s="8"/>
      <c r="N730" s="8"/>
      <c r="O730" s="8"/>
      <c r="P730" s="8"/>
    </row>
    <row r="731" spans="7:16" x14ac:dyDescent="0.2">
      <c r="G731" s="8"/>
      <c r="H731" s="8"/>
      <c r="J731" s="8"/>
      <c r="K731" s="8"/>
      <c r="L731" s="8"/>
      <c r="M731" s="8"/>
      <c r="N731" s="8"/>
      <c r="O731" s="8"/>
      <c r="P731" s="8"/>
    </row>
    <row r="732" spans="7:16" x14ac:dyDescent="0.2">
      <c r="G732" s="8"/>
      <c r="H732" s="8"/>
      <c r="J732" s="8"/>
      <c r="K732" s="8"/>
      <c r="L732" s="8"/>
      <c r="M732" s="8"/>
      <c r="N732" s="8"/>
      <c r="O732" s="8"/>
      <c r="P732" s="8"/>
    </row>
    <row r="733" spans="7:16" x14ac:dyDescent="0.2">
      <c r="G733" s="8"/>
      <c r="H733" s="8"/>
      <c r="J733" s="8"/>
      <c r="K733" s="8"/>
      <c r="L733" s="8"/>
      <c r="M733" s="8"/>
      <c r="N733" s="8"/>
      <c r="O733" s="8"/>
      <c r="P733" s="8"/>
    </row>
    <row r="734" spans="7:16" x14ac:dyDescent="0.2">
      <c r="G734" s="8"/>
      <c r="H734" s="8"/>
      <c r="J734" s="8"/>
      <c r="K734" s="8"/>
      <c r="L734" s="8"/>
      <c r="M734" s="8"/>
      <c r="N734" s="8"/>
      <c r="O734" s="8"/>
      <c r="P734" s="8"/>
    </row>
    <row r="735" spans="7:16" x14ac:dyDescent="0.2">
      <c r="G735" s="8"/>
      <c r="H735" s="8"/>
      <c r="J735" s="8"/>
      <c r="K735" s="8"/>
      <c r="L735" s="8"/>
      <c r="M735" s="8"/>
      <c r="N735" s="8"/>
      <c r="O735" s="8"/>
      <c r="P735" s="8"/>
    </row>
    <row r="736" spans="7:16" x14ac:dyDescent="0.2">
      <c r="G736" s="8"/>
      <c r="H736" s="8"/>
      <c r="J736" s="8"/>
      <c r="K736" s="8"/>
      <c r="L736" s="8"/>
      <c r="M736" s="8"/>
      <c r="N736" s="8"/>
      <c r="O736" s="8"/>
      <c r="P736" s="8"/>
    </row>
    <row r="737" spans="7:16" x14ac:dyDescent="0.2">
      <c r="G737" s="8"/>
      <c r="H737" s="8"/>
      <c r="J737" s="8"/>
      <c r="K737" s="8"/>
      <c r="L737" s="8"/>
      <c r="M737" s="8"/>
      <c r="N737" s="8"/>
      <c r="O737" s="8"/>
      <c r="P737" s="8"/>
    </row>
    <row r="738" spans="7:16" x14ac:dyDescent="0.2">
      <c r="G738" s="8"/>
      <c r="H738" s="8"/>
      <c r="J738" s="8"/>
      <c r="K738" s="8"/>
      <c r="L738" s="8"/>
      <c r="M738" s="8"/>
      <c r="N738" s="8"/>
      <c r="O738" s="8"/>
      <c r="P738" s="8"/>
    </row>
    <row r="739" spans="7:16" x14ac:dyDescent="0.2">
      <c r="G739" s="8"/>
      <c r="H739" s="8"/>
      <c r="J739" s="8"/>
      <c r="K739" s="8"/>
      <c r="L739" s="8"/>
      <c r="M739" s="8"/>
      <c r="N739" s="8"/>
      <c r="O739" s="8"/>
      <c r="P739" s="8"/>
    </row>
    <row r="740" spans="7:16" x14ac:dyDescent="0.2">
      <c r="G740" s="8"/>
      <c r="H740" s="8"/>
      <c r="J740" s="8"/>
      <c r="K740" s="8"/>
      <c r="L740" s="8"/>
      <c r="M740" s="8"/>
      <c r="N740" s="8"/>
      <c r="O740" s="8"/>
      <c r="P740" s="8"/>
    </row>
    <row r="741" spans="7:16" x14ac:dyDescent="0.2">
      <c r="G741" s="8"/>
      <c r="H741" s="8"/>
      <c r="J741" s="8"/>
      <c r="K741" s="8"/>
      <c r="L741" s="8"/>
      <c r="M741" s="8"/>
      <c r="N741" s="8"/>
      <c r="O741" s="8"/>
      <c r="P741" s="8"/>
    </row>
    <row r="742" spans="7:16" x14ac:dyDescent="0.2">
      <c r="G742" s="8"/>
      <c r="H742" s="8"/>
      <c r="J742" s="8"/>
      <c r="K742" s="8"/>
      <c r="L742" s="8"/>
      <c r="M742" s="8"/>
      <c r="N742" s="8"/>
      <c r="O742" s="8"/>
      <c r="P742" s="8"/>
    </row>
    <row r="743" spans="7:16" x14ac:dyDescent="0.2">
      <c r="G743" s="8"/>
      <c r="H743" s="8"/>
      <c r="J743" s="8"/>
      <c r="K743" s="8"/>
      <c r="L743" s="8"/>
      <c r="M743" s="8"/>
      <c r="N743" s="8"/>
      <c r="O743" s="8"/>
      <c r="P743" s="8"/>
    </row>
    <row r="744" spans="7:16" x14ac:dyDescent="0.2">
      <c r="G744" s="8"/>
      <c r="H744" s="8"/>
      <c r="J744" s="8"/>
      <c r="K744" s="8"/>
      <c r="L744" s="8"/>
      <c r="M744" s="8"/>
      <c r="N744" s="8"/>
      <c r="O744" s="8"/>
      <c r="P744" s="8"/>
    </row>
    <row r="745" spans="7:16" x14ac:dyDescent="0.2">
      <c r="G745" s="8"/>
      <c r="H745" s="8"/>
      <c r="J745" s="8"/>
      <c r="K745" s="8"/>
      <c r="L745" s="8"/>
      <c r="M745" s="8"/>
      <c r="N745" s="8"/>
      <c r="O745" s="8"/>
      <c r="P745" s="8"/>
    </row>
    <row r="746" spans="7:16" x14ac:dyDescent="0.2">
      <c r="G746" s="8"/>
      <c r="H746" s="8"/>
      <c r="J746" s="8"/>
      <c r="K746" s="8"/>
      <c r="L746" s="8"/>
      <c r="M746" s="8"/>
      <c r="N746" s="8"/>
      <c r="O746" s="8"/>
      <c r="P746" s="8"/>
    </row>
    <row r="747" spans="7:16" x14ac:dyDescent="0.2">
      <c r="G747" s="8"/>
      <c r="H747" s="8"/>
      <c r="J747" s="8"/>
      <c r="K747" s="8"/>
      <c r="L747" s="8"/>
      <c r="M747" s="8"/>
      <c r="N747" s="8"/>
      <c r="O747" s="8"/>
      <c r="P747" s="8"/>
    </row>
    <row r="748" spans="7:16" x14ac:dyDescent="0.2">
      <c r="G748" s="8"/>
      <c r="H748" s="8"/>
      <c r="J748" s="8"/>
      <c r="K748" s="8"/>
      <c r="L748" s="8"/>
      <c r="M748" s="8"/>
      <c r="N748" s="8"/>
      <c r="O748" s="8"/>
      <c r="P748" s="8"/>
    </row>
    <row r="749" spans="7:16" x14ac:dyDescent="0.2">
      <c r="G749" s="8"/>
      <c r="H749" s="8"/>
      <c r="J749" s="8"/>
      <c r="K749" s="8"/>
      <c r="L749" s="8"/>
      <c r="M749" s="8"/>
      <c r="N749" s="8"/>
      <c r="O749" s="8"/>
      <c r="P749" s="8"/>
    </row>
    <row r="750" spans="7:16" x14ac:dyDescent="0.2">
      <c r="G750" s="8"/>
      <c r="H750" s="8"/>
      <c r="J750" s="8"/>
      <c r="K750" s="8"/>
      <c r="L750" s="8"/>
      <c r="M750" s="8"/>
      <c r="N750" s="8"/>
      <c r="O750" s="8"/>
      <c r="P750" s="8"/>
    </row>
    <row r="751" spans="7:16" x14ac:dyDescent="0.2">
      <c r="G751" s="8"/>
      <c r="H751" s="8"/>
      <c r="J751" s="8"/>
      <c r="K751" s="8"/>
      <c r="L751" s="8"/>
      <c r="M751" s="8"/>
      <c r="N751" s="8"/>
      <c r="O751" s="8"/>
      <c r="P751" s="8"/>
    </row>
    <row r="752" spans="7:16" x14ac:dyDescent="0.2">
      <c r="G752" s="8"/>
      <c r="H752" s="8"/>
      <c r="J752" s="8"/>
      <c r="K752" s="8"/>
      <c r="L752" s="8"/>
      <c r="M752" s="8"/>
      <c r="N752" s="8"/>
      <c r="O752" s="8"/>
      <c r="P752" s="8"/>
    </row>
    <row r="753" spans="7:16" x14ac:dyDescent="0.2">
      <c r="G753" s="8"/>
      <c r="H753" s="8"/>
      <c r="J753" s="8"/>
      <c r="K753" s="8"/>
      <c r="L753" s="8"/>
      <c r="M753" s="8"/>
      <c r="N753" s="8"/>
      <c r="O753" s="8"/>
      <c r="P753" s="8"/>
    </row>
    <row r="754" spans="7:16" x14ac:dyDescent="0.2">
      <c r="G754" s="8"/>
      <c r="H754" s="8"/>
      <c r="J754" s="8"/>
      <c r="K754" s="8"/>
      <c r="L754" s="8"/>
      <c r="M754" s="8"/>
      <c r="N754" s="8"/>
      <c r="O754" s="8"/>
      <c r="P754" s="8"/>
    </row>
    <row r="755" spans="7:16" x14ac:dyDescent="0.2">
      <c r="G755" s="8"/>
      <c r="H755" s="8"/>
      <c r="J755" s="8"/>
      <c r="K755" s="8"/>
      <c r="L755" s="8"/>
      <c r="M755" s="8"/>
      <c r="N755" s="8"/>
      <c r="O755" s="8"/>
      <c r="P755" s="8"/>
    </row>
    <row r="756" spans="7:16" x14ac:dyDescent="0.2">
      <c r="G756" s="8"/>
      <c r="H756" s="8"/>
      <c r="J756" s="8"/>
      <c r="K756" s="8"/>
      <c r="L756" s="8"/>
      <c r="M756" s="8"/>
      <c r="N756" s="8"/>
      <c r="O756" s="8"/>
      <c r="P756" s="8"/>
    </row>
    <row r="757" spans="7:16" x14ac:dyDescent="0.2">
      <c r="G757" s="8"/>
      <c r="H757" s="8"/>
      <c r="J757" s="8"/>
      <c r="K757" s="8"/>
      <c r="L757" s="8"/>
      <c r="M757" s="8"/>
      <c r="N757" s="8"/>
      <c r="O757" s="8"/>
      <c r="P757" s="8"/>
    </row>
    <row r="758" spans="7:16" x14ac:dyDescent="0.2">
      <c r="G758" s="8"/>
      <c r="H758" s="8"/>
      <c r="J758" s="8"/>
      <c r="K758" s="8"/>
      <c r="L758" s="8"/>
      <c r="M758" s="8"/>
      <c r="N758" s="8"/>
      <c r="O758" s="8"/>
      <c r="P758" s="8"/>
    </row>
    <row r="759" spans="7:16" x14ac:dyDescent="0.2">
      <c r="G759" s="8"/>
      <c r="H759" s="8"/>
      <c r="J759" s="8"/>
      <c r="K759" s="8"/>
      <c r="L759" s="8"/>
      <c r="M759" s="8"/>
      <c r="N759" s="8"/>
      <c r="O759" s="8"/>
      <c r="P759" s="8"/>
    </row>
    <row r="760" spans="7:16" x14ac:dyDescent="0.2">
      <c r="G760" s="8"/>
      <c r="H760" s="8"/>
      <c r="J760" s="8"/>
      <c r="K760" s="8"/>
      <c r="L760" s="8"/>
      <c r="M760" s="8"/>
      <c r="N760" s="8"/>
      <c r="O760" s="8"/>
      <c r="P760" s="8"/>
    </row>
    <row r="761" spans="7:16" x14ac:dyDescent="0.2">
      <c r="G761" s="8"/>
      <c r="H761" s="8"/>
      <c r="J761" s="8"/>
      <c r="K761" s="8"/>
      <c r="L761" s="8"/>
      <c r="M761" s="8"/>
      <c r="N761" s="8"/>
      <c r="O761" s="8"/>
      <c r="P761" s="8"/>
    </row>
    <row r="762" spans="7:16" x14ac:dyDescent="0.2">
      <c r="G762" s="8"/>
      <c r="H762" s="8"/>
      <c r="J762" s="8"/>
      <c r="K762" s="8"/>
      <c r="L762" s="8"/>
      <c r="M762" s="8"/>
      <c r="N762" s="8"/>
      <c r="O762" s="8"/>
      <c r="P762" s="8"/>
    </row>
    <row r="763" spans="7:16" x14ac:dyDescent="0.2">
      <c r="G763" s="8"/>
      <c r="H763" s="8"/>
      <c r="J763" s="8"/>
      <c r="K763" s="8"/>
      <c r="L763" s="8"/>
      <c r="M763" s="8"/>
      <c r="N763" s="8"/>
      <c r="O763" s="8"/>
      <c r="P763" s="8"/>
    </row>
    <row r="764" spans="7:16" x14ac:dyDescent="0.2">
      <c r="G764" s="8"/>
      <c r="H764" s="8"/>
      <c r="J764" s="8"/>
      <c r="K764" s="8"/>
      <c r="L764" s="8"/>
      <c r="M764" s="8"/>
      <c r="N764" s="8"/>
      <c r="O764" s="8"/>
      <c r="P764" s="8"/>
    </row>
    <row r="765" spans="7:16" x14ac:dyDescent="0.2">
      <c r="G765" s="8"/>
      <c r="H765" s="8"/>
      <c r="J765" s="8"/>
      <c r="K765" s="8"/>
      <c r="L765" s="8"/>
      <c r="M765" s="8"/>
      <c r="N765" s="8"/>
      <c r="O765" s="8"/>
      <c r="P765" s="8"/>
    </row>
    <row r="766" spans="7:16" x14ac:dyDescent="0.2">
      <c r="G766" s="8"/>
      <c r="H766" s="8"/>
      <c r="J766" s="8"/>
      <c r="K766" s="8"/>
      <c r="L766" s="8"/>
      <c r="M766" s="8"/>
      <c r="N766" s="8"/>
      <c r="O766" s="8"/>
      <c r="P766" s="8"/>
    </row>
    <row r="767" spans="7:16" x14ac:dyDescent="0.2">
      <c r="G767" s="8"/>
      <c r="H767" s="8"/>
      <c r="J767" s="8"/>
      <c r="K767" s="8"/>
      <c r="L767" s="8"/>
      <c r="M767" s="8"/>
      <c r="N767" s="8"/>
      <c r="O767" s="8"/>
      <c r="P767" s="8"/>
    </row>
    <row r="768" spans="7:16" x14ac:dyDescent="0.2">
      <c r="G768" s="8"/>
      <c r="H768" s="8"/>
      <c r="J768" s="8"/>
      <c r="K768" s="8"/>
      <c r="L768" s="8"/>
      <c r="M768" s="8"/>
      <c r="N768" s="8"/>
      <c r="O768" s="8"/>
      <c r="P768" s="8"/>
    </row>
    <row r="769" spans="7:16" x14ac:dyDescent="0.2">
      <c r="G769" s="8"/>
      <c r="H769" s="8"/>
      <c r="J769" s="8"/>
      <c r="K769" s="8"/>
      <c r="L769" s="8"/>
      <c r="M769" s="8"/>
      <c r="N769" s="8"/>
      <c r="O769" s="8"/>
      <c r="P769" s="8"/>
    </row>
    <row r="770" spans="7:16" x14ac:dyDescent="0.2">
      <c r="G770" s="8"/>
      <c r="H770" s="8"/>
      <c r="J770" s="8"/>
      <c r="K770" s="8"/>
      <c r="L770" s="8"/>
      <c r="M770" s="8"/>
      <c r="N770" s="8"/>
      <c r="O770" s="8"/>
      <c r="P770" s="8"/>
    </row>
    <row r="771" spans="7:16" x14ac:dyDescent="0.2">
      <c r="G771" s="8"/>
      <c r="H771" s="8"/>
      <c r="J771" s="8"/>
      <c r="K771" s="8"/>
      <c r="L771" s="8"/>
      <c r="M771" s="8"/>
      <c r="N771" s="8"/>
      <c r="O771" s="8"/>
      <c r="P771" s="8"/>
    </row>
    <row r="772" spans="7:16" x14ac:dyDescent="0.2">
      <c r="G772" s="8"/>
      <c r="H772" s="8"/>
      <c r="J772" s="8"/>
      <c r="K772" s="8"/>
      <c r="L772" s="8"/>
      <c r="M772" s="8"/>
      <c r="N772" s="8"/>
      <c r="O772" s="8"/>
      <c r="P772" s="8"/>
    </row>
    <row r="773" spans="7:16" x14ac:dyDescent="0.2">
      <c r="G773" s="8"/>
      <c r="H773" s="8"/>
      <c r="J773" s="8"/>
      <c r="K773" s="8"/>
      <c r="L773" s="8"/>
      <c r="M773" s="8"/>
      <c r="N773" s="8"/>
      <c r="O773" s="8"/>
      <c r="P773" s="8"/>
    </row>
    <row r="774" spans="7:16" x14ac:dyDescent="0.2">
      <c r="G774" s="8"/>
      <c r="H774" s="8"/>
      <c r="J774" s="8"/>
      <c r="K774" s="8"/>
      <c r="L774" s="8"/>
      <c r="M774" s="8"/>
      <c r="N774" s="8"/>
      <c r="O774" s="8"/>
      <c r="P774" s="8"/>
    </row>
    <row r="775" spans="7:16" x14ac:dyDescent="0.2">
      <c r="G775" s="8"/>
      <c r="H775" s="8"/>
      <c r="J775" s="8"/>
      <c r="K775" s="8"/>
      <c r="L775" s="8"/>
      <c r="M775" s="8"/>
      <c r="N775" s="8"/>
      <c r="O775" s="8"/>
      <c r="P775" s="8"/>
    </row>
    <row r="776" spans="7:16" x14ac:dyDescent="0.2">
      <c r="G776" s="8"/>
      <c r="H776" s="8"/>
      <c r="J776" s="8"/>
      <c r="K776" s="8"/>
      <c r="L776" s="8"/>
      <c r="M776" s="8"/>
      <c r="N776" s="8"/>
      <c r="O776" s="8"/>
      <c r="P776" s="8"/>
    </row>
    <row r="777" spans="7:16" x14ac:dyDescent="0.2">
      <c r="G777" s="8"/>
      <c r="H777" s="8"/>
      <c r="J777" s="8"/>
      <c r="K777" s="8"/>
      <c r="L777" s="8"/>
      <c r="M777" s="8"/>
      <c r="N777" s="8"/>
      <c r="O777" s="8"/>
      <c r="P777" s="8"/>
    </row>
    <row r="778" spans="7:16" x14ac:dyDescent="0.2">
      <c r="G778" s="8"/>
      <c r="H778" s="8"/>
      <c r="J778" s="8"/>
      <c r="K778" s="8"/>
      <c r="L778" s="8"/>
      <c r="M778" s="8"/>
      <c r="N778" s="8"/>
      <c r="O778" s="8"/>
      <c r="P778" s="8"/>
    </row>
    <row r="779" spans="7:16" x14ac:dyDescent="0.2">
      <c r="G779" s="8"/>
      <c r="H779" s="8"/>
      <c r="J779" s="8"/>
      <c r="K779" s="8"/>
      <c r="L779" s="8"/>
      <c r="M779" s="8"/>
      <c r="N779" s="8"/>
      <c r="O779" s="8"/>
      <c r="P779" s="8"/>
    </row>
    <row r="780" spans="7:16" x14ac:dyDescent="0.2">
      <c r="G780" s="8"/>
      <c r="H780" s="8"/>
      <c r="J780" s="8"/>
      <c r="K780" s="8"/>
      <c r="L780" s="8"/>
      <c r="M780" s="8"/>
      <c r="N780" s="8"/>
      <c r="O780" s="8"/>
      <c r="P780" s="8"/>
    </row>
    <row r="781" spans="7:16" x14ac:dyDescent="0.2">
      <c r="G781" s="8"/>
      <c r="H781" s="8"/>
      <c r="J781" s="8"/>
      <c r="K781" s="8"/>
      <c r="L781" s="8"/>
      <c r="M781" s="8"/>
      <c r="N781" s="8"/>
      <c r="O781" s="8"/>
      <c r="P781" s="8"/>
    </row>
    <row r="782" spans="7:16" x14ac:dyDescent="0.2">
      <c r="G782" s="8"/>
      <c r="H782" s="8"/>
      <c r="J782" s="8"/>
      <c r="K782" s="8"/>
      <c r="L782" s="8"/>
      <c r="M782" s="8"/>
      <c r="N782" s="8"/>
      <c r="O782" s="8"/>
      <c r="P782" s="8"/>
    </row>
    <row r="783" spans="7:16" x14ac:dyDescent="0.2">
      <c r="G783" s="8"/>
      <c r="H783" s="8"/>
      <c r="J783" s="8"/>
      <c r="K783" s="8"/>
      <c r="L783" s="8"/>
      <c r="M783" s="8"/>
      <c r="N783" s="8"/>
      <c r="O783" s="8"/>
      <c r="P783" s="8"/>
    </row>
    <row r="784" spans="7:16" x14ac:dyDescent="0.2">
      <c r="G784" s="8"/>
      <c r="H784" s="8"/>
      <c r="J784" s="8"/>
      <c r="K784" s="8"/>
      <c r="L784" s="8"/>
      <c r="M784" s="8"/>
      <c r="N784" s="8"/>
      <c r="O784" s="8"/>
      <c r="P784" s="8"/>
    </row>
    <row r="785" spans="7:16" x14ac:dyDescent="0.2">
      <c r="G785" s="8"/>
      <c r="H785" s="8"/>
      <c r="J785" s="8"/>
      <c r="K785" s="8"/>
      <c r="L785" s="8"/>
      <c r="M785" s="8"/>
      <c r="N785" s="8"/>
      <c r="O785" s="8"/>
      <c r="P785" s="8"/>
    </row>
    <row r="786" spans="7:16" x14ac:dyDescent="0.2">
      <c r="G786" s="8"/>
      <c r="H786" s="8"/>
      <c r="J786" s="8"/>
      <c r="K786" s="8"/>
      <c r="L786" s="8"/>
      <c r="M786" s="8"/>
      <c r="N786" s="8"/>
      <c r="O786" s="8"/>
      <c r="P786" s="8"/>
    </row>
    <row r="787" spans="7:16" x14ac:dyDescent="0.2">
      <c r="G787" s="8"/>
      <c r="H787" s="8"/>
      <c r="J787" s="8"/>
      <c r="K787" s="8"/>
      <c r="L787" s="8"/>
      <c r="M787" s="8"/>
      <c r="N787" s="8"/>
      <c r="O787" s="8"/>
      <c r="P787" s="8"/>
    </row>
    <row r="788" spans="7:16" x14ac:dyDescent="0.2">
      <c r="G788" s="8"/>
      <c r="H788" s="8"/>
      <c r="J788" s="8"/>
      <c r="K788" s="8"/>
      <c r="L788" s="8"/>
      <c r="M788" s="8"/>
      <c r="N788" s="8"/>
      <c r="O788" s="8"/>
      <c r="P788" s="8"/>
    </row>
    <row r="789" spans="7:16" x14ac:dyDescent="0.2">
      <c r="G789" s="8"/>
      <c r="H789" s="8"/>
      <c r="J789" s="8"/>
      <c r="K789" s="8"/>
      <c r="L789" s="8"/>
      <c r="M789" s="8"/>
      <c r="N789" s="8"/>
      <c r="O789" s="8"/>
      <c r="P789" s="8"/>
    </row>
    <row r="790" spans="7:16" x14ac:dyDescent="0.2">
      <c r="G790" s="8"/>
      <c r="H790" s="8"/>
      <c r="J790" s="8"/>
      <c r="K790" s="8"/>
      <c r="L790" s="8"/>
      <c r="M790" s="8"/>
      <c r="N790" s="8"/>
      <c r="O790" s="8"/>
      <c r="P790" s="8"/>
    </row>
    <row r="791" spans="7:16" x14ac:dyDescent="0.2">
      <c r="G791" s="8"/>
      <c r="H791" s="8"/>
      <c r="J791" s="8"/>
      <c r="K791" s="8"/>
      <c r="L791" s="8"/>
      <c r="M791" s="8"/>
      <c r="N791" s="8"/>
      <c r="O791" s="8"/>
      <c r="P791" s="8"/>
    </row>
    <row r="792" spans="7:16" x14ac:dyDescent="0.2">
      <c r="G792" s="8"/>
      <c r="H792" s="8"/>
      <c r="J792" s="8"/>
      <c r="K792" s="8"/>
      <c r="L792" s="8"/>
      <c r="M792" s="8"/>
      <c r="N792" s="8"/>
      <c r="O792" s="8"/>
      <c r="P792" s="8"/>
    </row>
    <row r="793" spans="7:16" x14ac:dyDescent="0.2">
      <c r="G793" s="8"/>
      <c r="H793" s="8"/>
      <c r="J793" s="8"/>
      <c r="K793" s="8"/>
      <c r="L793" s="8"/>
      <c r="M793" s="8"/>
      <c r="N793" s="8"/>
      <c r="O793" s="8"/>
      <c r="P793" s="8"/>
    </row>
    <row r="794" spans="7:16" x14ac:dyDescent="0.2">
      <c r="G794" s="8"/>
      <c r="H794" s="8"/>
      <c r="J794" s="8"/>
      <c r="K794" s="8"/>
      <c r="L794" s="8"/>
      <c r="M794" s="8"/>
      <c r="N794" s="8"/>
      <c r="O794" s="8"/>
      <c r="P794" s="8"/>
    </row>
    <row r="795" spans="7:16" x14ac:dyDescent="0.2">
      <c r="G795" s="8"/>
      <c r="H795" s="8"/>
      <c r="J795" s="8"/>
      <c r="K795" s="8"/>
      <c r="L795" s="8"/>
      <c r="M795" s="8"/>
      <c r="N795" s="8"/>
      <c r="O795" s="8"/>
      <c r="P795" s="8"/>
    </row>
    <row r="796" spans="7:16" x14ac:dyDescent="0.2">
      <c r="G796" s="8"/>
      <c r="H796" s="8"/>
      <c r="J796" s="8"/>
      <c r="K796" s="8"/>
      <c r="L796" s="8"/>
      <c r="M796" s="8"/>
      <c r="N796" s="8"/>
      <c r="O796" s="8"/>
      <c r="P796" s="8"/>
    </row>
    <row r="797" spans="7:16" x14ac:dyDescent="0.2">
      <c r="G797" s="8"/>
      <c r="H797" s="8"/>
      <c r="J797" s="8"/>
      <c r="K797" s="8"/>
      <c r="L797" s="8"/>
      <c r="M797" s="8"/>
      <c r="N797" s="8"/>
      <c r="O797" s="8"/>
      <c r="P797" s="8"/>
    </row>
    <row r="798" spans="7:16" x14ac:dyDescent="0.2">
      <c r="G798" s="8"/>
      <c r="H798" s="8"/>
      <c r="J798" s="8"/>
      <c r="K798" s="8"/>
      <c r="L798" s="8"/>
      <c r="M798" s="8"/>
      <c r="N798" s="8"/>
      <c r="O798" s="8"/>
      <c r="P798" s="8"/>
    </row>
    <row r="799" spans="7:16" x14ac:dyDescent="0.2">
      <c r="G799" s="8"/>
      <c r="H799" s="8"/>
      <c r="J799" s="8"/>
      <c r="K799" s="8"/>
      <c r="L799" s="8"/>
      <c r="M799" s="8"/>
      <c r="N799" s="8"/>
      <c r="O799" s="8"/>
      <c r="P799" s="8"/>
    </row>
    <row r="800" spans="7:16" x14ac:dyDescent="0.2">
      <c r="G800" s="8"/>
      <c r="H800" s="8"/>
      <c r="J800" s="8"/>
      <c r="K800" s="8"/>
      <c r="L800" s="8"/>
      <c r="M800" s="8"/>
      <c r="N800" s="8"/>
      <c r="O800" s="8"/>
      <c r="P800" s="8"/>
    </row>
    <row r="801" spans="7:16" x14ac:dyDescent="0.2">
      <c r="G801" s="8"/>
      <c r="H801" s="8"/>
      <c r="J801" s="8"/>
      <c r="K801" s="8"/>
      <c r="L801" s="8"/>
      <c r="M801" s="8"/>
      <c r="N801" s="8"/>
      <c r="O801" s="8"/>
      <c r="P801" s="8"/>
    </row>
    <row r="802" spans="7:16" x14ac:dyDescent="0.2">
      <c r="G802" s="8"/>
      <c r="H802" s="8"/>
      <c r="J802" s="8"/>
      <c r="K802" s="8"/>
      <c r="L802" s="8"/>
      <c r="M802" s="8"/>
      <c r="N802" s="8"/>
      <c r="O802" s="8"/>
      <c r="P802" s="8"/>
    </row>
    <row r="803" spans="7:16" x14ac:dyDescent="0.2">
      <c r="G803" s="8"/>
      <c r="H803" s="8"/>
      <c r="J803" s="8"/>
      <c r="K803" s="8"/>
      <c r="L803" s="8"/>
      <c r="M803" s="8"/>
      <c r="N803" s="8"/>
      <c r="O803" s="8"/>
      <c r="P803" s="8"/>
    </row>
    <row r="804" spans="7:16" x14ac:dyDescent="0.2">
      <c r="G804" s="8"/>
      <c r="H804" s="8"/>
      <c r="J804" s="8"/>
      <c r="K804" s="8"/>
      <c r="L804" s="8"/>
      <c r="M804" s="8"/>
      <c r="N804" s="8"/>
      <c r="O804" s="8"/>
      <c r="P804" s="8"/>
    </row>
    <row r="805" spans="7:16" x14ac:dyDescent="0.2">
      <c r="G805" s="8"/>
      <c r="H805" s="8"/>
      <c r="J805" s="8"/>
      <c r="K805" s="8"/>
      <c r="L805" s="8"/>
      <c r="M805" s="8"/>
      <c r="N805" s="8"/>
      <c r="O805" s="8"/>
      <c r="P805" s="8"/>
    </row>
    <row r="806" spans="7:16" x14ac:dyDescent="0.2">
      <c r="G806" s="8"/>
      <c r="H806" s="8"/>
      <c r="J806" s="8"/>
      <c r="K806" s="8"/>
      <c r="L806" s="8"/>
      <c r="M806" s="8"/>
      <c r="N806" s="8"/>
      <c r="O806" s="8"/>
      <c r="P806" s="8"/>
    </row>
    <row r="807" spans="7:16" x14ac:dyDescent="0.2">
      <c r="G807" s="8"/>
      <c r="H807" s="8"/>
      <c r="J807" s="8"/>
      <c r="K807" s="8"/>
      <c r="L807" s="8"/>
      <c r="M807" s="8"/>
      <c r="N807" s="8"/>
      <c r="O807" s="8"/>
      <c r="P807" s="8"/>
    </row>
    <row r="808" spans="7:16" x14ac:dyDescent="0.2">
      <c r="G808" s="8"/>
      <c r="H808" s="8"/>
      <c r="J808" s="8"/>
      <c r="K808" s="8"/>
      <c r="L808" s="8"/>
      <c r="M808" s="8"/>
      <c r="N808" s="8"/>
      <c r="O808" s="8"/>
      <c r="P808" s="8"/>
    </row>
    <row r="809" spans="7:16" x14ac:dyDescent="0.2">
      <c r="G809" s="8"/>
      <c r="H809" s="8"/>
      <c r="J809" s="8"/>
      <c r="K809" s="8"/>
      <c r="L809" s="8"/>
      <c r="M809" s="8"/>
      <c r="N809" s="8"/>
      <c r="O809" s="8"/>
      <c r="P809" s="8"/>
    </row>
    <row r="810" spans="7:16" x14ac:dyDescent="0.2">
      <c r="G810" s="8"/>
      <c r="H810" s="8"/>
      <c r="J810" s="8"/>
      <c r="K810" s="8"/>
      <c r="L810" s="8"/>
      <c r="M810" s="8"/>
      <c r="N810" s="8"/>
      <c r="O810" s="8"/>
      <c r="P810" s="8"/>
    </row>
    <row r="811" spans="7:16" x14ac:dyDescent="0.2">
      <c r="G811" s="8"/>
      <c r="H811" s="8"/>
      <c r="J811" s="8"/>
      <c r="K811" s="8"/>
      <c r="L811" s="8"/>
      <c r="M811" s="8"/>
      <c r="N811" s="8"/>
      <c r="O811" s="8"/>
      <c r="P811" s="8"/>
    </row>
    <row r="812" spans="7:16" x14ac:dyDescent="0.2">
      <c r="G812" s="8"/>
      <c r="H812" s="8"/>
      <c r="J812" s="8"/>
      <c r="K812" s="8"/>
      <c r="L812" s="8"/>
      <c r="M812" s="8"/>
      <c r="N812" s="8"/>
      <c r="O812" s="8"/>
      <c r="P812" s="8"/>
    </row>
    <row r="813" spans="7:16" x14ac:dyDescent="0.2">
      <c r="G813" s="8"/>
      <c r="H813" s="8"/>
      <c r="J813" s="8"/>
      <c r="K813" s="8"/>
      <c r="L813" s="8"/>
      <c r="M813" s="8"/>
      <c r="N813" s="8"/>
      <c r="O813" s="8"/>
      <c r="P813" s="8"/>
    </row>
    <row r="814" spans="7:16" x14ac:dyDescent="0.2">
      <c r="G814" s="8"/>
      <c r="H814" s="8"/>
      <c r="J814" s="8"/>
      <c r="K814" s="8"/>
      <c r="L814" s="8"/>
      <c r="M814" s="8"/>
      <c r="N814" s="8"/>
      <c r="O814" s="8"/>
      <c r="P814" s="8"/>
    </row>
    <row r="815" spans="7:16" x14ac:dyDescent="0.2">
      <c r="G815" s="8"/>
      <c r="H815" s="8"/>
      <c r="J815" s="8"/>
      <c r="K815" s="8"/>
      <c r="L815" s="8"/>
      <c r="M815" s="8"/>
      <c r="N815" s="8"/>
      <c r="O815" s="8"/>
      <c r="P815" s="8"/>
    </row>
    <row r="816" spans="7:16" x14ac:dyDescent="0.2">
      <c r="G816" s="8"/>
      <c r="H816" s="8"/>
      <c r="J816" s="8"/>
      <c r="K816" s="8"/>
      <c r="L816" s="8"/>
      <c r="M816" s="8"/>
      <c r="N816" s="8"/>
      <c r="O816" s="8"/>
      <c r="P816" s="8"/>
    </row>
    <row r="817" spans="7:16" x14ac:dyDescent="0.2">
      <c r="G817" s="8"/>
      <c r="H817" s="8"/>
      <c r="J817" s="8"/>
      <c r="K817" s="8"/>
      <c r="L817" s="8"/>
      <c r="M817" s="8"/>
      <c r="N817" s="8"/>
      <c r="O817" s="8"/>
      <c r="P817" s="8"/>
    </row>
    <row r="818" spans="7:16" x14ac:dyDescent="0.2">
      <c r="G818" s="8"/>
      <c r="H818" s="8"/>
      <c r="J818" s="8"/>
      <c r="K818" s="8"/>
      <c r="L818" s="8"/>
      <c r="M818" s="8"/>
      <c r="N818" s="8"/>
      <c r="O818" s="8"/>
      <c r="P818" s="8"/>
    </row>
    <row r="819" spans="7:16" x14ac:dyDescent="0.2">
      <c r="G819" s="8"/>
      <c r="H819" s="8"/>
      <c r="J819" s="8"/>
      <c r="K819" s="8"/>
      <c r="L819" s="8"/>
      <c r="M819" s="8"/>
      <c r="N819" s="8"/>
      <c r="O819" s="8"/>
      <c r="P819" s="8"/>
    </row>
    <row r="820" spans="7:16" x14ac:dyDescent="0.2">
      <c r="G820" s="8"/>
      <c r="H820" s="8"/>
      <c r="J820" s="8"/>
      <c r="K820" s="8"/>
      <c r="L820" s="8"/>
      <c r="M820" s="8"/>
      <c r="N820" s="8"/>
      <c r="O820" s="8"/>
      <c r="P820" s="8"/>
    </row>
    <row r="821" spans="7:16" x14ac:dyDescent="0.2">
      <c r="G821" s="8"/>
      <c r="H821" s="8"/>
      <c r="J821" s="8"/>
      <c r="K821" s="8"/>
      <c r="L821" s="8"/>
      <c r="M821" s="8"/>
      <c r="N821" s="8"/>
      <c r="O821" s="8"/>
      <c r="P821" s="8"/>
    </row>
    <row r="822" spans="7:16" x14ac:dyDescent="0.2">
      <c r="G822" s="8"/>
      <c r="H822" s="8"/>
      <c r="J822" s="8"/>
      <c r="K822" s="8"/>
      <c r="L822" s="8"/>
      <c r="M822" s="8"/>
      <c r="N822" s="8"/>
      <c r="O822" s="8"/>
      <c r="P822" s="8"/>
    </row>
    <row r="823" spans="7:16" x14ac:dyDescent="0.2">
      <c r="G823" s="8"/>
      <c r="H823" s="8"/>
      <c r="J823" s="8"/>
      <c r="K823" s="8"/>
      <c r="L823" s="8"/>
      <c r="M823" s="8"/>
      <c r="N823" s="8"/>
      <c r="O823" s="8"/>
      <c r="P823" s="8"/>
    </row>
    <row r="824" spans="7:16" x14ac:dyDescent="0.2">
      <c r="G824" s="8"/>
      <c r="H824" s="8"/>
      <c r="J824" s="8"/>
      <c r="K824" s="8"/>
      <c r="L824" s="8"/>
      <c r="M824" s="8"/>
      <c r="N824" s="8"/>
      <c r="O824" s="8"/>
      <c r="P824" s="8"/>
    </row>
    <row r="825" spans="7:16" x14ac:dyDescent="0.2">
      <c r="G825" s="8"/>
      <c r="H825" s="8"/>
      <c r="J825" s="8"/>
      <c r="K825" s="8"/>
      <c r="L825" s="8"/>
      <c r="M825" s="8"/>
      <c r="N825" s="8"/>
      <c r="O825" s="8"/>
      <c r="P825" s="8"/>
    </row>
    <row r="826" spans="7:16" x14ac:dyDescent="0.2">
      <c r="G826" s="8"/>
      <c r="H826" s="8"/>
      <c r="J826" s="8"/>
      <c r="K826" s="8"/>
      <c r="L826" s="8"/>
      <c r="M826" s="8"/>
      <c r="N826" s="8"/>
      <c r="O826" s="8"/>
      <c r="P826" s="8"/>
    </row>
    <row r="827" spans="7:16" x14ac:dyDescent="0.2">
      <c r="G827" s="8"/>
      <c r="H827" s="8"/>
      <c r="J827" s="8"/>
      <c r="K827" s="8"/>
      <c r="L827" s="8"/>
      <c r="M827" s="8"/>
      <c r="N827" s="8"/>
      <c r="O827" s="8"/>
      <c r="P827" s="8"/>
    </row>
    <row r="828" spans="7:16" x14ac:dyDescent="0.2">
      <c r="G828" s="8"/>
      <c r="H828" s="8"/>
      <c r="J828" s="8"/>
      <c r="K828" s="8"/>
      <c r="L828" s="8"/>
      <c r="M828" s="8"/>
      <c r="N828" s="8"/>
      <c r="O828" s="8"/>
      <c r="P828" s="8"/>
    </row>
    <row r="829" spans="7:16" x14ac:dyDescent="0.2">
      <c r="G829" s="8"/>
      <c r="H829" s="8"/>
      <c r="J829" s="8"/>
      <c r="K829" s="8"/>
      <c r="L829" s="8"/>
      <c r="M829" s="8"/>
      <c r="N829" s="8"/>
      <c r="O829" s="8"/>
      <c r="P829" s="8"/>
    </row>
    <row r="830" spans="7:16" x14ac:dyDescent="0.2">
      <c r="G830" s="8"/>
      <c r="H830" s="8"/>
      <c r="J830" s="8"/>
      <c r="K830" s="8"/>
      <c r="L830" s="8"/>
      <c r="M830" s="8"/>
      <c r="N830" s="8"/>
      <c r="O830" s="8"/>
      <c r="P830" s="8"/>
    </row>
    <row r="831" spans="7:16" x14ac:dyDescent="0.2">
      <c r="G831" s="8"/>
      <c r="H831" s="8"/>
      <c r="J831" s="8"/>
      <c r="K831" s="8"/>
      <c r="L831" s="8"/>
      <c r="M831" s="8"/>
      <c r="N831" s="8"/>
      <c r="O831" s="8"/>
      <c r="P831" s="8"/>
    </row>
    <row r="832" spans="7:16" x14ac:dyDescent="0.2">
      <c r="G832" s="8"/>
      <c r="H832" s="8"/>
      <c r="J832" s="8"/>
      <c r="K832" s="8"/>
      <c r="L832" s="8"/>
      <c r="M832" s="8"/>
      <c r="N832" s="8"/>
      <c r="O832" s="8"/>
      <c r="P832" s="8"/>
    </row>
    <row r="833" spans="7:16" x14ac:dyDescent="0.2">
      <c r="G833" s="8"/>
      <c r="H833" s="8"/>
      <c r="J833" s="8"/>
      <c r="K833" s="8"/>
      <c r="L833" s="8"/>
      <c r="M833" s="8"/>
      <c r="N833" s="8"/>
      <c r="O833" s="8"/>
      <c r="P833" s="8"/>
    </row>
    <row r="834" spans="7:16" x14ac:dyDescent="0.2">
      <c r="G834" s="8"/>
      <c r="H834" s="8"/>
      <c r="J834" s="8"/>
      <c r="K834" s="8"/>
      <c r="L834" s="8"/>
      <c r="M834" s="8"/>
      <c r="N834" s="8"/>
      <c r="O834" s="8"/>
      <c r="P834" s="8"/>
    </row>
    <row r="835" spans="7:16" x14ac:dyDescent="0.2">
      <c r="G835" s="8"/>
      <c r="H835" s="8"/>
      <c r="J835" s="8"/>
      <c r="K835" s="8"/>
      <c r="L835" s="8"/>
      <c r="M835" s="8"/>
      <c r="N835" s="8"/>
      <c r="O835" s="8"/>
      <c r="P835" s="8"/>
    </row>
    <row r="836" spans="7:16" x14ac:dyDescent="0.2">
      <c r="G836" s="8"/>
      <c r="H836" s="8"/>
      <c r="J836" s="8"/>
      <c r="K836" s="8"/>
      <c r="L836" s="8"/>
      <c r="M836" s="8"/>
      <c r="N836" s="8"/>
      <c r="O836" s="8"/>
      <c r="P836" s="8"/>
    </row>
    <row r="837" spans="7:16" x14ac:dyDescent="0.2">
      <c r="G837" s="8"/>
      <c r="H837" s="8"/>
      <c r="J837" s="8"/>
      <c r="K837" s="8"/>
      <c r="L837" s="8"/>
      <c r="M837" s="8"/>
      <c r="N837" s="8"/>
      <c r="O837" s="8"/>
      <c r="P837" s="8"/>
    </row>
    <row r="838" spans="7:16" x14ac:dyDescent="0.2">
      <c r="G838" s="8"/>
      <c r="H838" s="8"/>
      <c r="J838" s="8"/>
      <c r="K838" s="8"/>
      <c r="L838" s="8"/>
      <c r="M838" s="8"/>
      <c r="N838" s="8"/>
      <c r="O838" s="8"/>
      <c r="P838" s="8"/>
    </row>
    <row r="839" spans="7:16" x14ac:dyDescent="0.2">
      <c r="G839" s="8"/>
      <c r="H839" s="8"/>
      <c r="J839" s="8"/>
      <c r="K839" s="8"/>
      <c r="L839" s="8"/>
      <c r="M839" s="8"/>
      <c r="N839" s="8"/>
      <c r="O839" s="8"/>
      <c r="P839" s="8"/>
    </row>
    <row r="840" spans="7:16" x14ac:dyDescent="0.2">
      <c r="G840" s="8"/>
      <c r="H840" s="8"/>
      <c r="J840" s="8"/>
      <c r="K840" s="8"/>
      <c r="L840" s="8"/>
      <c r="M840" s="8"/>
      <c r="N840" s="8"/>
      <c r="O840" s="8"/>
      <c r="P840" s="8"/>
    </row>
    <row r="841" spans="7:16" x14ac:dyDescent="0.2">
      <c r="G841" s="8"/>
      <c r="H841" s="8"/>
      <c r="J841" s="8"/>
      <c r="K841" s="8"/>
      <c r="L841" s="8"/>
      <c r="M841" s="8"/>
      <c r="N841" s="8"/>
      <c r="O841" s="8"/>
      <c r="P841" s="8"/>
    </row>
    <row r="842" spans="7:16" x14ac:dyDescent="0.2">
      <c r="G842" s="8"/>
      <c r="H842" s="8"/>
      <c r="J842" s="8"/>
      <c r="K842" s="8"/>
      <c r="L842" s="8"/>
      <c r="M842" s="8"/>
      <c r="N842" s="8"/>
      <c r="O842" s="8"/>
      <c r="P842" s="8"/>
    </row>
    <row r="843" spans="7:16" x14ac:dyDescent="0.2">
      <c r="G843" s="8"/>
      <c r="H843" s="8"/>
      <c r="J843" s="8"/>
      <c r="K843" s="8"/>
      <c r="L843" s="8"/>
      <c r="M843" s="8"/>
      <c r="N843" s="8"/>
      <c r="O843" s="8"/>
      <c r="P843" s="8"/>
    </row>
    <row r="844" spans="7:16" x14ac:dyDescent="0.2">
      <c r="G844" s="8"/>
      <c r="H844" s="8"/>
      <c r="J844" s="8"/>
      <c r="K844" s="8"/>
      <c r="L844" s="8"/>
      <c r="M844" s="8"/>
      <c r="N844" s="8"/>
      <c r="O844" s="8"/>
      <c r="P844" s="8"/>
    </row>
    <row r="845" spans="7:16" x14ac:dyDescent="0.2">
      <c r="G845" s="8"/>
      <c r="H845" s="8"/>
      <c r="J845" s="8"/>
      <c r="K845" s="8"/>
      <c r="L845" s="8"/>
      <c r="M845" s="8"/>
      <c r="N845" s="8"/>
      <c r="O845" s="8"/>
      <c r="P845" s="8"/>
    </row>
    <row r="846" spans="7:16" x14ac:dyDescent="0.2">
      <c r="G846" s="8"/>
      <c r="H846" s="8"/>
      <c r="J846" s="8"/>
      <c r="K846" s="8"/>
      <c r="L846" s="8"/>
      <c r="M846" s="8"/>
      <c r="N846" s="8"/>
      <c r="O846" s="8"/>
      <c r="P846" s="8"/>
    </row>
    <row r="847" spans="7:16" x14ac:dyDescent="0.2">
      <c r="G847" s="8"/>
      <c r="H847" s="8"/>
      <c r="J847" s="8"/>
      <c r="K847" s="8"/>
      <c r="L847" s="8"/>
      <c r="M847" s="8"/>
      <c r="N847" s="8"/>
      <c r="O847" s="8"/>
      <c r="P847" s="8"/>
    </row>
    <row r="848" spans="7:16" x14ac:dyDescent="0.2">
      <c r="G848" s="8"/>
      <c r="H848" s="8"/>
      <c r="J848" s="8"/>
      <c r="K848" s="8"/>
      <c r="L848" s="8"/>
      <c r="M848" s="8"/>
      <c r="N848" s="8"/>
      <c r="O848" s="8"/>
      <c r="P848" s="8"/>
    </row>
    <row r="849" spans="7:16" x14ac:dyDescent="0.2">
      <c r="G849" s="8"/>
      <c r="H849" s="8"/>
      <c r="J849" s="8"/>
      <c r="K849" s="8"/>
      <c r="L849" s="8"/>
      <c r="M849" s="8"/>
      <c r="N849" s="8"/>
      <c r="O849" s="8"/>
      <c r="P849" s="8"/>
    </row>
    <row r="850" spans="7:16" x14ac:dyDescent="0.2">
      <c r="G850" s="8"/>
      <c r="H850" s="8"/>
      <c r="J850" s="8"/>
      <c r="K850" s="8"/>
      <c r="L850" s="8"/>
      <c r="M850" s="8"/>
      <c r="N850" s="8"/>
      <c r="O850" s="8"/>
      <c r="P850" s="8"/>
    </row>
    <row r="851" spans="7:16" x14ac:dyDescent="0.2">
      <c r="G851" s="8"/>
      <c r="H851" s="8"/>
      <c r="J851" s="8"/>
      <c r="K851" s="8"/>
      <c r="L851" s="8"/>
      <c r="M851" s="8"/>
      <c r="N851" s="8"/>
      <c r="O851" s="8"/>
      <c r="P851" s="8"/>
    </row>
    <row r="852" spans="7:16" x14ac:dyDescent="0.2">
      <c r="G852" s="8"/>
      <c r="H852" s="8"/>
      <c r="J852" s="8"/>
      <c r="K852" s="8"/>
      <c r="L852" s="8"/>
      <c r="M852" s="8"/>
      <c r="N852" s="8"/>
      <c r="O852" s="8"/>
      <c r="P852" s="8"/>
    </row>
    <row r="853" spans="7:16" x14ac:dyDescent="0.2">
      <c r="G853" s="8"/>
      <c r="H853" s="8"/>
      <c r="J853" s="8"/>
      <c r="K853" s="8"/>
      <c r="L853" s="8"/>
      <c r="M853" s="8"/>
      <c r="N853" s="8"/>
      <c r="O853" s="8"/>
      <c r="P853" s="8"/>
    </row>
    <row r="854" spans="7:16" x14ac:dyDescent="0.2">
      <c r="G854" s="8"/>
      <c r="H854" s="8"/>
      <c r="J854" s="8"/>
      <c r="K854" s="8"/>
      <c r="L854" s="8"/>
      <c r="M854" s="8"/>
      <c r="N854" s="8"/>
      <c r="O854" s="8"/>
      <c r="P854" s="8"/>
    </row>
    <row r="855" spans="7:16" x14ac:dyDescent="0.2">
      <c r="G855" s="8"/>
      <c r="H855" s="8"/>
      <c r="J855" s="8"/>
      <c r="K855" s="8"/>
      <c r="L855" s="8"/>
      <c r="M855" s="8"/>
      <c r="N855" s="8"/>
      <c r="O855" s="8"/>
      <c r="P855" s="8"/>
    </row>
    <row r="856" spans="7:16" x14ac:dyDescent="0.2">
      <c r="G856" s="8"/>
      <c r="H856" s="8"/>
      <c r="J856" s="8"/>
      <c r="K856" s="8"/>
      <c r="L856" s="8"/>
      <c r="M856" s="8"/>
      <c r="N856" s="8"/>
      <c r="O856" s="8"/>
      <c r="P856" s="8"/>
    </row>
    <row r="857" spans="7:16" x14ac:dyDescent="0.2">
      <c r="G857" s="8"/>
      <c r="H857" s="8"/>
      <c r="J857" s="8"/>
      <c r="K857" s="8"/>
      <c r="L857" s="8"/>
      <c r="M857" s="8"/>
      <c r="N857" s="8"/>
      <c r="O857" s="8"/>
      <c r="P857" s="8"/>
    </row>
    <row r="858" spans="7:16" x14ac:dyDescent="0.2">
      <c r="G858" s="8"/>
      <c r="H858" s="8"/>
      <c r="J858" s="8"/>
      <c r="K858" s="8"/>
      <c r="L858" s="8"/>
      <c r="M858" s="8"/>
      <c r="N858" s="8"/>
      <c r="O858" s="8"/>
      <c r="P858" s="8"/>
    </row>
    <row r="859" spans="7:16" x14ac:dyDescent="0.2">
      <c r="G859" s="8"/>
      <c r="H859" s="8"/>
      <c r="J859" s="8"/>
      <c r="K859" s="8"/>
      <c r="L859" s="8"/>
      <c r="M859" s="8"/>
      <c r="N859" s="8"/>
      <c r="O859" s="8"/>
      <c r="P859" s="8"/>
    </row>
    <row r="860" spans="7:16" x14ac:dyDescent="0.2">
      <c r="G860" s="8"/>
      <c r="H860" s="8"/>
      <c r="J860" s="8"/>
      <c r="K860" s="8"/>
      <c r="L860" s="8"/>
      <c r="M860" s="8"/>
      <c r="N860" s="8"/>
      <c r="O860" s="8"/>
      <c r="P860" s="8"/>
    </row>
    <row r="861" spans="7:16" x14ac:dyDescent="0.2">
      <c r="G861" s="8"/>
      <c r="H861" s="8"/>
      <c r="J861" s="8"/>
      <c r="K861" s="8"/>
      <c r="L861" s="8"/>
      <c r="M861" s="8"/>
      <c r="N861" s="8"/>
      <c r="O861" s="8"/>
      <c r="P861" s="8"/>
    </row>
    <row r="862" spans="7:16" x14ac:dyDescent="0.2">
      <c r="G862" s="8"/>
      <c r="H862" s="8"/>
      <c r="J862" s="8"/>
      <c r="K862" s="8"/>
      <c r="L862" s="8"/>
      <c r="M862" s="8"/>
      <c r="N862" s="8"/>
      <c r="O862" s="8"/>
      <c r="P862" s="8"/>
    </row>
    <row r="863" spans="7:16" x14ac:dyDescent="0.2">
      <c r="G863" s="8"/>
      <c r="H863" s="8"/>
      <c r="J863" s="8"/>
      <c r="K863" s="8"/>
      <c r="L863" s="8"/>
      <c r="M863" s="8"/>
      <c r="N863" s="8"/>
      <c r="O863" s="8"/>
      <c r="P863" s="8"/>
    </row>
    <row r="864" spans="7:16" x14ac:dyDescent="0.2">
      <c r="G864" s="8"/>
      <c r="H864" s="8"/>
      <c r="J864" s="8"/>
      <c r="K864" s="8"/>
      <c r="L864" s="8"/>
      <c r="M864" s="8"/>
      <c r="N864" s="8"/>
      <c r="O864" s="8"/>
      <c r="P864" s="8"/>
    </row>
    <row r="865" spans="7:16" x14ac:dyDescent="0.2">
      <c r="G865" s="8"/>
      <c r="H865" s="8"/>
      <c r="J865" s="8"/>
      <c r="K865" s="8"/>
      <c r="L865" s="8"/>
      <c r="M865" s="8"/>
      <c r="N865" s="8"/>
      <c r="O865" s="8"/>
      <c r="P865" s="8"/>
    </row>
    <row r="866" spans="7:16" x14ac:dyDescent="0.2">
      <c r="G866" s="8"/>
      <c r="H866" s="8"/>
      <c r="J866" s="8"/>
      <c r="K866" s="8"/>
      <c r="L866" s="8"/>
      <c r="M866" s="8"/>
      <c r="N866" s="8"/>
      <c r="O866" s="8"/>
      <c r="P866" s="8"/>
    </row>
    <row r="867" spans="7:16" x14ac:dyDescent="0.2">
      <c r="G867" s="8"/>
      <c r="H867" s="8"/>
      <c r="J867" s="8"/>
      <c r="K867" s="8"/>
      <c r="L867" s="8"/>
      <c r="M867" s="8"/>
      <c r="N867" s="8"/>
      <c r="O867" s="8"/>
      <c r="P867" s="8"/>
    </row>
    <row r="868" spans="7:16" x14ac:dyDescent="0.2">
      <c r="G868" s="8"/>
      <c r="H868" s="8"/>
      <c r="J868" s="8"/>
      <c r="K868" s="8"/>
      <c r="L868" s="8"/>
      <c r="M868" s="8"/>
      <c r="N868" s="8"/>
      <c r="O868" s="8"/>
      <c r="P868" s="8"/>
    </row>
    <row r="869" spans="7:16" x14ac:dyDescent="0.2">
      <c r="G869" s="8"/>
      <c r="H869" s="8"/>
      <c r="J869" s="8"/>
      <c r="K869" s="8"/>
      <c r="L869" s="8"/>
      <c r="M869" s="8"/>
      <c r="N869" s="8"/>
      <c r="O869" s="8"/>
      <c r="P869" s="8"/>
    </row>
    <row r="870" spans="7:16" x14ac:dyDescent="0.2">
      <c r="G870" s="8"/>
      <c r="H870" s="8"/>
      <c r="J870" s="8"/>
      <c r="K870" s="8"/>
      <c r="L870" s="8"/>
      <c r="M870" s="8"/>
      <c r="N870" s="8"/>
      <c r="O870" s="8"/>
      <c r="P870" s="8"/>
    </row>
    <row r="871" spans="7:16" x14ac:dyDescent="0.2">
      <c r="G871" s="8"/>
      <c r="H871" s="8"/>
      <c r="J871" s="8"/>
      <c r="K871" s="8"/>
      <c r="L871" s="8"/>
      <c r="M871" s="8"/>
      <c r="N871" s="8"/>
      <c r="O871" s="8"/>
      <c r="P871" s="8"/>
    </row>
    <row r="872" spans="7:16" x14ac:dyDescent="0.2">
      <c r="G872" s="8"/>
      <c r="H872" s="8"/>
      <c r="J872" s="8"/>
      <c r="K872" s="8"/>
      <c r="L872" s="8"/>
      <c r="M872" s="8"/>
      <c r="N872" s="8"/>
      <c r="O872" s="8"/>
      <c r="P872" s="8"/>
    </row>
    <row r="873" spans="7:16" x14ac:dyDescent="0.2">
      <c r="G873" s="8"/>
      <c r="H873" s="8"/>
      <c r="J873" s="8"/>
      <c r="K873" s="8"/>
      <c r="L873" s="8"/>
      <c r="M873" s="8"/>
      <c r="N873" s="8"/>
      <c r="O873" s="8"/>
      <c r="P873" s="8"/>
    </row>
    <row r="874" spans="7:16" x14ac:dyDescent="0.2">
      <c r="G874" s="8"/>
      <c r="H874" s="8"/>
      <c r="J874" s="8"/>
      <c r="K874" s="8"/>
      <c r="L874" s="8"/>
      <c r="M874" s="8"/>
      <c r="N874" s="8"/>
      <c r="O874" s="8"/>
      <c r="P874" s="8"/>
    </row>
    <row r="875" spans="7:16" x14ac:dyDescent="0.2">
      <c r="G875" s="8"/>
      <c r="H875" s="8"/>
      <c r="J875" s="8"/>
      <c r="K875" s="8"/>
      <c r="L875" s="8"/>
      <c r="M875" s="8"/>
      <c r="N875" s="8"/>
      <c r="O875" s="8"/>
      <c r="P875" s="8"/>
    </row>
    <row r="876" spans="7:16" x14ac:dyDescent="0.2">
      <c r="G876" s="8"/>
      <c r="H876" s="8"/>
      <c r="J876" s="8"/>
      <c r="K876" s="8"/>
      <c r="L876" s="8"/>
      <c r="M876" s="8"/>
      <c r="N876" s="8"/>
      <c r="O876" s="8"/>
      <c r="P876" s="8"/>
    </row>
    <row r="877" spans="7:16" x14ac:dyDescent="0.2">
      <c r="G877" s="8"/>
      <c r="H877" s="8"/>
      <c r="J877" s="8"/>
      <c r="K877" s="8"/>
      <c r="L877" s="8"/>
      <c r="M877" s="8"/>
      <c r="N877" s="8"/>
      <c r="O877" s="8"/>
      <c r="P877" s="8"/>
    </row>
    <row r="878" spans="7:16" x14ac:dyDescent="0.2">
      <c r="G878" s="8"/>
      <c r="H878" s="8"/>
      <c r="J878" s="8"/>
      <c r="K878" s="8"/>
      <c r="L878" s="8"/>
      <c r="M878" s="8"/>
      <c r="N878" s="8"/>
      <c r="O878" s="8"/>
      <c r="P878" s="8"/>
    </row>
    <row r="879" spans="7:16" x14ac:dyDescent="0.2">
      <c r="G879" s="8"/>
      <c r="H879" s="8"/>
      <c r="J879" s="8"/>
      <c r="K879" s="8"/>
      <c r="L879" s="8"/>
      <c r="M879" s="8"/>
      <c r="N879" s="8"/>
      <c r="O879" s="8"/>
      <c r="P879" s="8"/>
    </row>
    <row r="880" spans="7:16" x14ac:dyDescent="0.2">
      <c r="G880" s="8"/>
      <c r="H880" s="8"/>
      <c r="J880" s="8"/>
      <c r="K880" s="8"/>
      <c r="L880" s="8"/>
      <c r="M880" s="8"/>
      <c r="N880" s="8"/>
      <c r="O880" s="8"/>
      <c r="P880" s="8"/>
    </row>
    <row r="881" spans="7:16" x14ac:dyDescent="0.2">
      <c r="G881" s="8"/>
      <c r="H881" s="8"/>
      <c r="J881" s="8"/>
      <c r="K881" s="8"/>
      <c r="L881" s="8"/>
      <c r="M881" s="8"/>
      <c r="N881" s="8"/>
      <c r="O881" s="8"/>
      <c r="P881" s="8"/>
    </row>
    <row r="882" spans="7:16" x14ac:dyDescent="0.2">
      <c r="G882" s="8"/>
      <c r="H882" s="8"/>
      <c r="J882" s="8"/>
      <c r="K882" s="8"/>
      <c r="L882" s="8"/>
      <c r="M882" s="8"/>
      <c r="N882" s="8"/>
      <c r="O882" s="8"/>
      <c r="P882" s="8"/>
    </row>
    <row r="883" spans="7:16" x14ac:dyDescent="0.2">
      <c r="G883" s="8"/>
      <c r="H883" s="8"/>
      <c r="J883" s="8"/>
      <c r="K883" s="8"/>
      <c r="L883" s="8"/>
      <c r="M883" s="8"/>
      <c r="N883" s="8"/>
      <c r="O883" s="8"/>
      <c r="P883" s="8"/>
    </row>
    <row r="884" spans="7:16" x14ac:dyDescent="0.2">
      <c r="G884" s="8"/>
      <c r="H884" s="8"/>
      <c r="J884" s="8"/>
      <c r="K884" s="8"/>
      <c r="L884" s="8"/>
      <c r="M884" s="8"/>
      <c r="N884" s="8"/>
      <c r="O884" s="8"/>
      <c r="P884" s="8"/>
    </row>
    <row r="885" spans="7:16" x14ac:dyDescent="0.2">
      <c r="G885" s="8"/>
      <c r="H885" s="8"/>
      <c r="J885" s="8"/>
      <c r="K885" s="8"/>
      <c r="L885" s="8"/>
      <c r="M885" s="8"/>
      <c r="N885" s="8"/>
      <c r="O885" s="8"/>
      <c r="P885" s="8"/>
    </row>
    <row r="886" spans="7:16" x14ac:dyDescent="0.2">
      <c r="G886" s="8"/>
      <c r="H886" s="8"/>
      <c r="J886" s="8"/>
      <c r="K886" s="8"/>
      <c r="L886" s="8"/>
      <c r="M886" s="8"/>
      <c r="N886" s="8"/>
      <c r="O886" s="8"/>
      <c r="P886" s="8"/>
    </row>
    <row r="887" spans="7:16" x14ac:dyDescent="0.2">
      <c r="G887" s="8"/>
      <c r="H887" s="8"/>
      <c r="J887" s="8"/>
      <c r="K887" s="8"/>
      <c r="L887" s="8"/>
      <c r="M887" s="8"/>
      <c r="N887" s="8"/>
      <c r="O887" s="8"/>
      <c r="P887" s="8"/>
    </row>
    <row r="888" spans="7:16" x14ac:dyDescent="0.2">
      <c r="G888" s="8"/>
      <c r="H888" s="8"/>
      <c r="J888" s="8"/>
      <c r="K888" s="8"/>
      <c r="L888" s="8"/>
      <c r="M888" s="8"/>
      <c r="N888" s="8"/>
      <c r="O888" s="8"/>
      <c r="P888" s="8"/>
    </row>
    <row r="889" spans="7:16" x14ac:dyDescent="0.2">
      <c r="G889" s="8"/>
      <c r="H889" s="8"/>
      <c r="J889" s="8"/>
      <c r="K889" s="8"/>
      <c r="L889" s="8"/>
      <c r="M889" s="8"/>
      <c r="N889" s="8"/>
      <c r="O889" s="8"/>
      <c r="P889" s="8"/>
    </row>
    <row r="890" spans="7:16" x14ac:dyDescent="0.2">
      <c r="G890" s="8"/>
      <c r="H890" s="8"/>
      <c r="J890" s="8"/>
      <c r="K890" s="8"/>
      <c r="L890" s="8"/>
      <c r="M890" s="8"/>
      <c r="N890" s="8"/>
      <c r="O890" s="8"/>
      <c r="P890" s="8"/>
    </row>
    <row r="891" spans="7:16" x14ac:dyDescent="0.2">
      <c r="G891" s="8"/>
      <c r="H891" s="8"/>
      <c r="J891" s="8"/>
      <c r="K891" s="8"/>
      <c r="L891" s="8"/>
      <c r="M891" s="8"/>
      <c r="N891" s="8"/>
      <c r="O891" s="8"/>
      <c r="P891" s="8"/>
    </row>
    <row r="892" spans="7:16" x14ac:dyDescent="0.2">
      <c r="G892" s="8"/>
      <c r="H892" s="8"/>
      <c r="J892" s="8"/>
      <c r="K892" s="8"/>
      <c r="L892" s="8"/>
      <c r="M892" s="8"/>
      <c r="N892" s="8"/>
      <c r="O892" s="8"/>
      <c r="P892" s="8"/>
    </row>
    <row r="893" spans="7:16" x14ac:dyDescent="0.2">
      <c r="G893" s="8"/>
      <c r="H893" s="8"/>
      <c r="J893" s="8"/>
      <c r="K893" s="8"/>
      <c r="L893" s="8"/>
      <c r="M893" s="8"/>
      <c r="N893" s="8"/>
      <c r="O893" s="8"/>
      <c r="P893" s="8"/>
    </row>
    <row r="894" spans="7:16" x14ac:dyDescent="0.2">
      <c r="G894" s="8"/>
      <c r="H894" s="8"/>
      <c r="J894" s="8"/>
      <c r="K894" s="8"/>
      <c r="L894" s="8"/>
      <c r="M894" s="8"/>
      <c r="N894" s="8"/>
      <c r="O894" s="8"/>
      <c r="P894" s="8"/>
    </row>
    <row r="895" spans="7:16" x14ac:dyDescent="0.2">
      <c r="G895" s="8"/>
      <c r="H895" s="8"/>
      <c r="J895" s="8"/>
      <c r="K895" s="8"/>
      <c r="L895" s="8"/>
      <c r="M895" s="8"/>
      <c r="N895" s="8"/>
      <c r="O895" s="8"/>
      <c r="P895" s="8"/>
    </row>
    <row r="896" spans="7:16" x14ac:dyDescent="0.2">
      <c r="G896" s="8"/>
      <c r="H896" s="8"/>
      <c r="J896" s="8"/>
      <c r="K896" s="8"/>
      <c r="L896" s="8"/>
      <c r="M896" s="8"/>
      <c r="N896" s="8"/>
      <c r="O896" s="8"/>
      <c r="P896" s="8"/>
    </row>
    <row r="897" spans="7:16" x14ac:dyDescent="0.2">
      <c r="G897" s="8"/>
      <c r="H897" s="8"/>
      <c r="J897" s="8"/>
      <c r="K897" s="8"/>
      <c r="L897" s="8"/>
      <c r="M897" s="8"/>
      <c r="N897" s="8"/>
      <c r="O897" s="8"/>
      <c r="P897" s="8"/>
    </row>
    <row r="898" spans="7:16" x14ac:dyDescent="0.2">
      <c r="G898" s="8"/>
      <c r="H898" s="8"/>
      <c r="J898" s="8"/>
      <c r="K898" s="8"/>
      <c r="L898" s="8"/>
      <c r="M898" s="8"/>
      <c r="N898" s="8"/>
      <c r="O898" s="8"/>
      <c r="P898" s="8"/>
    </row>
    <row r="899" spans="7:16" x14ac:dyDescent="0.2">
      <c r="G899" s="8"/>
      <c r="H899" s="8"/>
      <c r="J899" s="8"/>
      <c r="K899" s="8"/>
      <c r="L899" s="8"/>
      <c r="M899" s="8"/>
      <c r="N899" s="8"/>
      <c r="O899" s="8"/>
      <c r="P899" s="8"/>
    </row>
    <row r="900" spans="7:16" x14ac:dyDescent="0.2">
      <c r="G900" s="8"/>
      <c r="H900" s="8"/>
      <c r="J900" s="8"/>
      <c r="K900" s="8"/>
      <c r="L900" s="8"/>
      <c r="M900" s="8"/>
      <c r="N900" s="8"/>
      <c r="O900" s="8"/>
      <c r="P900" s="8"/>
    </row>
    <row r="901" spans="7:16" x14ac:dyDescent="0.2">
      <c r="G901" s="8"/>
      <c r="H901" s="8"/>
      <c r="J901" s="8"/>
      <c r="K901" s="8"/>
      <c r="L901" s="8"/>
      <c r="M901" s="8"/>
      <c r="N901" s="8"/>
      <c r="O901" s="8"/>
      <c r="P901" s="8"/>
    </row>
    <row r="902" spans="7:16" x14ac:dyDescent="0.2">
      <c r="G902" s="8"/>
      <c r="H902" s="8"/>
      <c r="J902" s="8"/>
      <c r="K902" s="8"/>
      <c r="L902" s="8"/>
      <c r="M902" s="8"/>
      <c r="N902" s="8"/>
      <c r="O902" s="8"/>
      <c r="P902" s="8"/>
    </row>
    <row r="903" spans="7:16" x14ac:dyDescent="0.2">
      <c r="G903" s="8"/>
      <c r="H903" s="8"/>
      <c r="J903" s="8"/>
      <c r="K903" s="8"/>
      <c r="L903" s="8"/>
      <c r="M903" s="8"/>
      <c r="N903" s="8"/>
      <c r="O903" s="8"/>
      <c r="P903" s="8"/>
    </row>
    <row r="904" spans="7:16" x14ac:dyDescent="0.2">
      <c r="G904" s="8"/>
      <c r="H904" s="8"/>
      <c r="J904" s="8"/>
      <c r="K904" s="8"/>
      <c r="L904" s="8"/>
      <c r="M904" s="8"/>
      <c r="N904" s="8"/>
      <c r="O904" s="8"/>
      <c r="P904" s="8"/>
    </row>
    <row r="905" spans="7:16" x14ac:dyDescent="0.2">
      <c r="G905" s="8"/>
      <c r="H905" s="8"/>
      <c r="J905" s="8"/>
      <c r="K905" s="8"/>
      <c r="L905" s="8"/>
      <c r="M905" s="8"/>
      <c r="N905" s="8"/>
      <c r="O905" s="8"/>
      <c r="P905" s="8"/>
    </row>
    <row r="906" spans="7:16" x14ac:dyDescent="0.2">
      <c r="G906" s="8"/>
      <c r="H906" s="8"/>
      <c r="J906" s="8"/>
      <c r="K906" s="8"/>
      <c r="L906" s="8"/>
      <c r="M906" s="8"/>
      <c r="N906" s="8"/>
      <c r="O906" s="8"/>
      <c r="P906" s="8"/>
    </row>
    <row r="907" spans="7:16" x14ac:dyDescent="0.2">
      <c r="G907" s="8"/>
      <c r="H907" s="8"/>
      <c r="J907" s="8"/>
      <c r="K907" s="8"/>
      <c r="L907" s="8"/>
      <c r="M907" s="8"/>
      <c r="N907" s="8"/>
      <c r="O907" s="8"/>
      <c r="P907" s="8"/>
    </row>
    <row r="908" spans="7:16" x14ac:dyDescent="0.2">
      <c r="G908" s="8"/>
      <c r="H908" s="8"/>
      <c r="J908" s="8"/>
      <c r="K908" s="8"/>
      <c r="L908" s="8"/>
      <c r="M908" s="8"/>
      <c r="N908" s="8"/>
      <c r="O908" s="8"/>
      <c r="P908" s="8"/>
    </row>
    <row r="909" spans="7:16" x14ac:dyDescent="0.2">
      <c r="G909" s="8"/>
      <c r="H909" s="8"/>
      <c r="J909" s="8"/>
      <c r="K909" s="8"/>
      <c r="L909" s="8"/>
      <c r="M909" s="8"/>
      <c r="N909" s="8"/>
      <c r="O909" s="8"/>
      <c r="P909" s="8"/>
    </row>
    <row r="910" spans="7:16" x14ac:dyDescent="0.2">
      <c r="G910" s="8"/>
      <c r="H910" s="8"/>
      <c r="J910" s="8"/>
      <c r="K910" s="8"/>
      <c r="L910" s="8"/>
      <c r="M910" s="8"/>
      <c r="N910" s="8"/>
      <c r="O910" s="8"/>
      <c r="P910" s="8"/>
    </row>
    <row r="911" spans="7:16" x14ac:dyDescent="0.2">
      <c r="G911" s="8"/>
      <c r="H911" s="8"/>
      <c r="J911" s="8"/>
      <c r="K911" s="8"/>
      <c r="L911" s="8"/>
      <c r="M911" s="8"/>
      <c r="N911" s="8"/>
      <c r="O911" s="8"/>
      <c r="P911" s="8"/>
    </row>
    <row r="912" spans="7:16" x14ac:dyDescent="0.2">
      <c r="G912" s="8"/>
      <c r="H912" s="8"/>
      <c r="J912" s="8"/>
      <c r="K912" s="8"/>
      <c r="L912" s="8"/>
      <c r="M912" s="8"/>
      <c r="N912" s="8"/>
      <c r="O912" s="8"/>
      <c r="P912" s="8"/>
    </row>
    <row r="913" spans="7:16" x14ac:dyDescent="0.2">
      <c r="G913" s="8"/>
      <c r="H913" s="8"/>
      <c r="J913" s="8"/>
      <c r="K913" s="8"/>
      <c r="L913" s="8"/>
      <c r="M913" s="8"/>
      <c r="N913" s="8"/>
      <c r="O913" s="8"/>
      <c r="P913" s="8"/>
    </row>
    <row r="914" spans="7:16" x14ac:dyDescent="0.2">
      <c r="G914" s="8"/>
      <c r="H914" s="8"/>
      <c r="J914" s="8"/>
      <c r="K914" s="8"/>
      <c r="L914" s="8"/>
      <c r="M914" s="8"/>
      <c r="N914" s="8"/>
      <c r="O914" s="8"/>
      <c r="P914" s="8"/>
    </row>
    <row r="915" spans="7:16" x14ac:dyDescent="0.2">
      <c r="G915" s="8"/>
      <c r="H915" s="8"/>
      <c r="J915" s="8"/>
      <c r="K915" s="8"/>
      <c r="L915" s="8"/>
      <c r="M915" s="8"/>
      <c r="N915" s="8"/>
      <c r="O915" s="8"/>
      <c r="P915" s="8"/>
    </row>
    <row r="916" spans="7:16" x14ac:dyDescent="0.2">
      <c r="G916" s="8"/>
      <c r="H916" s="8"/>
      <c r="J916" s="8"/>
      <c r="K916" s="8"/>
      <c r="L916" s="8"/>
      <c r="M916" s="8"/>
      <c r="N916" s="8"/>
      <c r="O916" s="8"/>
      <c r="P916" s="8"/>
    </row>
    <row r="917" spans="7:16" x14ac:dyDescent="0.2">
      <c r="G917" s="8"/>
      <c r="H917" s="8"/>
      <c r="J917" s="8"/>
      <c r="K917" s="8"/>
      <c r="L917" s="8"/>
      <c r="M917" s="8"/>
      <c r="N917" s="8"/>
      <c r="O917" s="8"/>
      <c r="P917" s="8"/>
    </row>
    <row r="918" spans="7:16" x14ac:dyDescent="0.2">
      <c r="G918" s="8"/>
      <c r="H918" s="8"/>
      <c r="J918" s="8"/>
      <c r="K918" s="8"/>
      <c r="L918" s="8"/>
      <c r="M918" s="8"/>
      <c r="N918" s="8"/>
      <c r="O918" s="8"/>
      <c r="P918" s="8"/>
    </row>
    <row r="919" spans="7:16" x14ac:dyDescent="0.2">
      <c r="G919" s="8"/>
      <c r="H919" s="8"/>
      <c r="J919" s="8"/>
      <c r="K919" s="8"/>
      <c r="L919" s="8"/>
      <c r="M919" s="8"/>
      <c r="N919" s="8"/>
      <c r="O919" s="8"/>
      <c r="P919" s="8"/>
    </row>
    <row r="920" spans="7:16" x14ac:dyDescent="0.2">
      <c r="G920" s="8"/>
      <c r="H920" s="8"/>
      <c r="J920" s="8"/>
      <c r="K920" s="8"/>
      <c r="L920" s="8"/>
      <c r="M920" s="8"/>
      <c r="N920" s="8"/>
      <c r="O920" s="8"/>
      <c r="P920" s="8"/>
    </row>
    <row r="921" spans="7:16" x14ac:dyDescent="0.2">
      <c r="G921" s="8"/>
      <c r="H921" s="8"/>
      <c r="J921" s="8"/>
      <c r="K921" s="8"/>
      <c r="L921" s="8"/>
      <c r="M921" s="8"/>
      <c r="N921" s="8"/>
      <c r="O921" s="8"/>
      <c r="P921" s="8"/>
    </row>
    <row r="922" spans="7:16" x14ac:dyDescent="0.2">
      <c r="G922" s="8"/>
      <c r="H922" s="8"/>
      <c r="J922" s="8"/>
      <c r="K922" s="8"/>
      <c r="L922" s="8"/>
      <c r="M922" s="8"/>
      <c r="N922" s="8"/>
      <c r="O922" s="8"/>
      <c r="P922" s="8"/>
    </row>
    <row r="923" spans="7:16" x14ac:dyDescent="0.2">
      <c r="G923" s="8"/>
      <c r="H923" s="8"/>
      <c r="J923" s="8"/>
      <c r="K923" s="8"/>
      <c r="L923" s="8"/>
      <c r="M923" s="8"/>
      <c r="N923" s="8"/>
      <c r="O923" s="8"/>
      <c r="P923" s="8"/>
    </row>
    <row r="924" spans="7:16" x14ac:dyDescent="0.2">
      <c r="G924" s="8"/>
      <c r="H924" s="8"/>
      <c r="J924" s="8"/>
      <c r="K924" s="8"/>
      <c r="L924" s="8"/>
      <c r="M924" s="8"/>
      <c r="N924" s="8"/>
      <c r="O924" s="8"/>
      <c r="P924" s="8"/>
    </row>
    <row r="925" spans="7:16" x14ac:dyDescent="0.2">
      <c r="G925" s="8"/>
      <c r="H925" s="8"/>
      <c r="J925" s="8"/>
      <c r="K925" s="8"/>
      <c r="L925" s="8"/>
      <c r="M925" s="8"/>
      <c r="N925" s="8"/>
      <c r="O925" s="8"/>
      <c r="P925" s="8"/>
    </row>
    <row r="926" spans="7:16" x14ac:dyDescent="0.2">
      <c r="G926" s="8"/>
      <c r="H926" s="8"/>
      <c r="J926" s="8"/>
      <c r="K926" s="8"/>
      <c r="L926" s="8"/>
      <c r="M926" s="8"/>
      <c r="N926" s="8"/>
      <c r="O926" s="8"/>
      <c r="P926" s="8"/>
    </row>
    <row r="927" spans="7:16" x14ac:dyDescent="0.2">
      <c r="G927" s="8"/>
      <c r="H927" s="8"/>
      <c r="J927" s="8"/>
      <c r="K927" s="8"/>
      <c r="L927" s="8"/>
      <c r="M927" s="8"/>
      <c r="N927" s="8"/>
      <c r="O927" s="8"/>
      <c r="P927" s="8"/>
    </row>
    <row r="928" spans="7:16" x14ac:dyDescent="0.2">
      <c r="G928" s="8"/>
      <c r="H928" s="8"/>
      <c r="J928" s="8"/>
      <c r="K928" s="8"/>
      <c r="L928" s="8"/>
      <c r="M928" s="8"/>
      <c r="N928" s="8"/>
      <c r="O928" s="8"/>
      <c r="P928" s="8"/>
    </row>
    <row r="929" spans="7:16" x14ac:dyDescent="0.2">
      <c r="G929" s="8"/>
      <c r="H929" s="8"/>
      <c r="J929" s="8"/>
      <c r="K929" s="8"/>
      <c r="L929" s="8"/>
      <c r="M929" s="8"/>
      <c r="N929" s="8"/>
      <c r="O929" s="8"/>
      <c r="P929" s="8"/>
    </row>
    <row r="930" spans="7:16" x14ac:dyDescent="0.2">
      <c r="G930" s="8"/>
      <c r="H930" s="8"/>
      <c r="J930" s="8"/>
      <c r="K930" s="8"/>
      <c r="L930" s="8"/>
      <c r="M930" s="8"/>
      <c r="N930" s="8"/>
      <c r="O930" s="8"/>
      <c r="P930" s="8"/>
    </row>
    <row r="931" spans="7:16" x14ac:dyDescent="0.2">
      <c r="G931" s="8"/>
      <c r="H931" s="8"/>
      <c r="J931" s="8"/>
      <c r="K931" s="8"/>
      <c r="L931" s="8"/>
      <c r="M931" s="8"/>
      <c r="N931" s="8"/>
      <c r="O931" s="8"/>
      <c r="P931" s="8"/>
    </row>
    <row r="932" spans="7:16" x14ac:dyDescent="0.2">
      <c r="G932" s="8"/>
      <c r="H932" s="8"/>
      <c r="J932" s="8"/>
      <c r="K932" s="8"/>
      <c r="L932" s="8"/>
      <c r="M932" s="8"/>
      <c r="N932" s="8"/>
      <c r="O932" s="8"/>
      <c r="P932" s="8"/>
    </row>
    <row r="933" spans="7:16" x14ac:dyDescent="0.2">
      <c r="G933" s="8"/>
      <c r="H933" s="8"/>
      <c r="J933" s="8"/>
      <c r="K933" s="8"/>
      <c r="L933" s="8"/>
      <c r="M933" s="8"/>
      <c r="N933" s="8"/>
      <c r="O933" s="8"/>
      <c r="P933" s="8"/>
    </row>
    <row r="934" spans="7:16" x14ac:dyDescent="0.2">
      <c r="G934" s="8"/>
      <c r="H934" s="8"/>
      <c r="J934" s="8"/>
      <c r="K934" s="8"/>
      <c r="L934" s="8"/>
      <c r="M934" s="8"/>
      <c r="N934" s="8"/>
      <c r="O934" s="8"/>
      <c r="P934" s="8"/>
    </row>
    <row r="935" spans="7:16" x14ac:dyDescent="0.2">
      <c r="G935" s="8"/>
      <c r="H935" s="8"/>
      <c r="J935" s="8"/>
      <c r="K935" s="8"/>
      <c r="L935" s="8"/>
      <c r="M935" s="8"/>
      <c r="N935" s="8"/>
      <c r="O935" s="8"/>
      <c r="P935" s="8"/>
    </row>
    <row r="936" spans="7:16" x14ac:dyDescent="0.2">
      <c r="G936" s="8"/>
      <c r="H936" s="8"/>
      <c r="J936" s="8"/>
      <c r="K936" s="8"/>
      <c r="L936" s="8"/>
      <c r="M936" s="8"/>
      <c r="N936" s="8"/>
      <c r="O936" s="8"/>
      <c r="P936" s="8"/>
    </row>
    <row r="937" spans="7:16" x14ac:dyDescent="0.2">
      <c r="G937" s="8"/>
      <c r="H937" s="8"/>
      <c r="J937" s="8"/>
      <c r="K937" s="8"/>
      <c r="L937" s="8"/>
      <c r="M937" s="8"/>
      <c r="N937" s="8"/>
      <c r="O937" s="8"/>
      <c r="P937" s="8"/>
    </row>
    <row r="938" spans="7:16" x14ac:dyDescent="0.2">
      <c r="G938" s="8"/>
      <c r="H938" s="8"/>
      <c r="J938" s="8"/>
      <c r="K938" s="8"/>
      <c r="L938" s="8"/>
      <c r="M938" s="8"/>
      <c r="N938" s="8"/>
      <c r="O938" s="8"/>
      <c r="P938" s="8"/>
    </row>
    <row r="939" spans="7:16" x14ac:dyDescent="0.2">
      <c r="G939" s="8"/>
      <c r="H939" s="8"/>
      <c r="J939" s="8"/>
      <c r="K939" s="8"/>
      <c r="L939" s="8"/>
      <c r="M939" s="8"/>
      <c r="N939" s="8"/>
      <c r="O939" s="8"/>
      <c r="P939" s="8"/>
    </row>
    <row r="940" spans="7:16" x14ac:dyDescent="0.2">
      <c r="G940" s="8"/>
      <c r="H940" s="8"/>
      <c r="J940" s="8"/>
      <c r="K940" s="8"/>
      <c r="L940" s="8"/>
      <c r="M940" s="8"/>
      <c r="N940" s="8"/>
      <c r="O940" s="8"/>
      <c r="P940" s="8"/>
    </row>
    <row r="941" spans="7:16" x14ac:dyDescent="0.2">
      <c r="G941" s="8"/>
      <c r="H941" s="8"/>
      <c r="J941" s="8"/>
      <c r="K941" s="8"/>
      <c r="L941" s="8"/>
      <c r="M941" s="8"/>
      <c r="N941" s="8"/>
      <c r="O941" s="8"/>
      <c r="P941" s="8"/>
    </row>
    <row r="942" spans="7:16" x14ac:dyDescent="0.2">
      <c r="G942" s="8"/>
      <c r="H942" s="8"/>
      <c r="J942" s="8"/>
      <c r="K942" s="8"/>
      <c r="L942" s="8"/>
      <c r="M942" s="8"/>
      <c r="N942" s="8"/>
      <c r="O942" s="8"/>
      <c r="P942" s="8"/>
    </row>
    <row r="943" spans="7:16" x14ac:dyDescent="0.2">
      <c r="G943" s="8"/>
      <c r="H943" s="8"/>
      <c r="J943" s="8"/>
      <c r="K943" s="8"/>
      <c r="L943" s="8"/>
      <c r="M943" s="8"/>
      <c r="N943" s="8"/>
      <c r="O943" s="8"/>
      <c r="P943" s="8"/>
    </row>
    <row r="944" spans="7:16" x14ac:dyDescent="0.2">
      <c r="G944" s="8"/>
      <c r="H944" s="8"/>
      <c r="J944" s="8"/>
      <c r="K944" s="8"/>
      <c r="L944" s="8"/>
      <c r="M944" s="8"/>
      <c r="N944" s="8"/>
      <c r="O944" s="8"/>
      <c r="P944" s="8"/>
    </row>
    <row r="945" spans="7:16" x14ac:dyDescent="0.2">
      <c r="G945" s="8"/>
      <c r="H945" s="8"/>
      <c r="J945" s="8"/>
      <c r="K945" s="8"/>
      <c r="L945" s="8"/>
      <c r="M945" s="8"/>
      <c r="N945" s="8"/>
      <c r="O945" s="8"/>
      <c r="P945" s="8"/>
    </row>
    <row r="946" spans="7:16" x14ac:dyDescent="0.2">
      <c r="G946" s="8"/>
      <c r="H946" s="8"/>
      <c r="J946" s="8"/>
      <c r="K946" s="8"/>
      <c r="L946" s="8"/>
      <c r="M946" s="8"/>
      <c r="N946" s="8"/>
      <c r="O946" s="8"/>
      <c r="P946" s="8"/>
    </row>
    <row r="947" spans="7:16" x14ac:dyDescent="0.2">
      <c r="G947" s="8"/>
      <c r="H947" s="8"/>
      <c r="J947" s="8"/>
      <c r="K947" s="8"/>
      <c r="L947" s="8"/>
      <c r="M947" s="8"/>
      <c r="N947" s="8"/>
      <c r="O947" s="8"/>
      <c r="P947" s="8"/>
    </row>
    <row r="948" spans="7:16" x14ac:dyDescent="0.2">
      <c r="G948" s="8"/>
      <c r="H948" s="8"/>
      <c r="J948" s="8"/>
      <c r="K948" s="8"/>
      <c r="L948" s="8"/>
      <c r="M948" s="8"/>
      <c r="N948" s="8"/>
      <c r="O948" s="8"/>
      <c r="P948" s="8"/>
    </row>
    <row r="949" spans="7:16" x14ac:dyDescent="0.2">
      <c r="G949" s="8"/>
      <c r="H949" s="8"/>
      <c r="J949" s="8"/>
      <c r="K949" s="8"/>
      <c r="L949" s="8"/>
      <c r="M949" s="8"/>
      <c r="N949" s="8"/>
      <c r="O949" s="8"/>
      <c r="P949" s="8"/>
    </row>
    <row r="950" spans="7:16" x14ac:dyDescent="0.2">
      <c r="G950" s="8"/>
      <c r="H950" s="8"/>
      <c r="J950" s="8"/>
      <c r="K950" s="8"/>
      <c r="L950" s="8"/>
      <c r="M950" s="8"/>
      <c r="N950" s="8"/>
      <c r="O950" s="8"/>
      <c r="P950" s="8"/>
    </row>
    <row r="951" spans="7:16" x14ac:dyDescent="0.2">
      <c r="G951" s="8"/>
      <c r="H951" s="8"/>
      <c r="J951" s="8"/>
      <c r="K951" s="8"/>
      <c r="L951" s="8"/>
      <c r="M951" s="8"/>
      <c r="N951" s="8"/>
      <c r="O951" s="8"/>
      <c r="P951" s="8"/>
    </row>
    <row r="952" spans="7:16" x14ac:dyDescent="0.2">
      <c r="G952" s="8"/>
      <c r="H952" s="8"/>
      <c r="J952" s="8"/>
      <c r="K952" s="8"/>
      <c r="L952" s="8"/>
      <c r="M952" s="8"/>
      <c r="N952" s="8"/>
      <c r="O952" s="8"/>
      <c r="P952" s="8"/>
    </row>
    <row r="953" spans="7:16" x14ac:dyDescent="0.2">
      <c r="G953" s="8"/>
      <c r="H953" s="8"/>
      <c r="J953" s="8"/>
      <c r="K953" s="8"/>
      <c r="L953" s="8"/>
      <c r="M953" s="8"/>
      <c r="N953" s="8"/>
      <c r="O953" s="8"/>
      <c r="P953" s="8"/>
    </row>
    <row r="954" spans="7:16" x14ac:dyDescent="0.2">
      <c r="G954" s="8"/>
      <c r="H954" s="8"/>
      <c r="J954" s="8"/>
      <c r="K954" s="8"/>
      <c r="L954" s="8"/>
      <c r="M954" s="8"/>
      <c r="N954" s="8"/>
      <c r="O954" s="8"/>
      <c r="P954" s="8"/>
    </row>
    <row r="955" spans="7:16" x14ac:dyDescent="0.2">
      <c r="G955" s="8"/>
      <c r="H955" s="8"/>
      <c r="J955" s="8"/>
      <c r="K955" s="8"/>
      <c r="L955" s="8"/>
      <c r="M955" s="8"/>
      <c r="N955" s="8"/>
      <c r="O955" s="8"/>
      <c r="P955" s="8"/>
    </row>
    <row r="956" spans="7:16" x14ac:dyDescent="0.2">
      <c r="G956" s="8"/>
      <c r="H956" s="8"/>
      <c r="J956" s="8"/>
      <c r="K956" s="8"/>
      <c r="L956" s="8"/>
      <c r="M956" s="8"/>
      <c r="N956" s="8"/>
      <c r="O956" s="8"/>
      <c r="P956" s="8"/>
    </row>
    <row r="957" spans="7:16" x14ac:dyDescent="0.2">
      <c r="G957" s="8"/>
      <c r="H957" s="8"/>
      <c r="J957" s="8"/>
      <c r="K957" s="8"/>
      <c r="L957" s="8"/>
      <c r="M957" s="8"/>
      <c r="N957" s="8"/>
      <c r="O957" s="8"/>
      <c r="P957" s="8"/>
    </row>
    <row r="958" spans="7:16" x14ac:dyDescent="0.2">
      <c r="G958" s="8"/>
      <c r="H958" s="8"/>
      <c r="J958" s="8"/>
      <c r="K958" s="8"/>
      <c r="L958" s="8"/>
      <c r="M958" s="8"/>
      <c r="N958" s="8"/>
      <c r="O958" s="8"/>
      <c r="P958" s="8"/>
    </row>
    <row r="959" spans="7:16" x14ac:dyDescent="0.2">
      <c r="G959" s="8"/>
      <c r="H959" s="8"/>
      <c r="J959" s="8"/>
      <c r="K959" s="8"/>
      <c r="L959" s="8"/>
      <c r="M959" s="8"/>
      <c r="N959" s="8"/>
      <c r="O959" s="8"/>
      <c r="P959" s="8"/>
    </row>
    <row r="960" spans="7:16" x14ac:dyDescent="0.2">
      <c r="G960" s="8"/>
      <c r="H960" s="8"/>
      <c r="J960" s="8"/>
      <c r="K960" s="8"/>
      <c r="L960" s="8"/>
      <c r="M960" s="8"/>
      <c r="N960" s="8"/>
      <c r="O960" s="8"/>
      <c r="P960" s="8"/>
    </row>
    <row r="961" spans="7:16" x14ac:dyDescent="0.2">
      <c r="G961" s="8"/>
      <c r="H961" s="8"/>
      <c r="J961" s="8"/>
      <c r="K961" s="8"/>
      <c r="L961" s="8"/>
      <c r="M961" s="8"/>
      <c r="N961" s="8"/>
      <c r="O961" s="8"/>
      <c r="P961" s="8"/>
    </row>
    <row r="962" spans="7:16" x14ac:dyDescent="0.2">
      <c r="G962" s="8"/>
      <c r="H962" s="8"/>
      <c r="J962" s="8"/>
      <c r="K962" s="8"/>
      <c r="L962" s="8"/>
      <c r="M962" s="8"/>
      <c r="N962" s="8"/>
      <c r="O962" s="8"/>
      <c r="P962" s="8"/>
    </row>
    <row r="963" spans="7:16" x14ac:dyDescent="0.2">
      <c r="G963" s="8"/>
      <c r="H963" s="8"/>
      <c r="J963" s="8"/>
      <c r="K963" s="8"/>
      <c r="L963" s="8"/>
      <c r="M963" s="8"/>
      <c r="N963" s="8"/>
      <c r="O963" s="8"/>
      <c r="P963" s="8"/>
    </row>
    <row r="964" spans="7:16" x14ac:dyDescent="0.2">
      <c r="G964" s="8"/>
      <c r="H964" s="8"/>
      <c r="J964" s="8"/>
      <c r="K964" s="8"/>
      <c r="L964" s="8"/>
      <c r="M964" s="8"/>
      <c r="N964" s="8"/>
      <c r="O964" s="8"/>
      <c r="P964" s="8"/>
    </row>
    <row r="965" spans="7:16" x14ac:dyDescent="0.2">
      <c r="G965" s="8"/>
      <c r="H965" s="8"/>
      <c r="J965" s="8"/>
      <c r="K965" s="8"/>
      <c r="L965" s="8"/>
      <c r="M965" s="8"/>
      <c r="N965" s="8"/>
      <c r="O965" s="8"/>
      <c r="P965" s="8"/>
    </row>
    <row r="966" spans="7:16" x14ac:dyDescent="0.2">
      <c r="G966" s="8"/>
      <c r="H966" s="8"/>
      <c r="J966" s="8"/>
      <c r="K966" s="8"/>
      <c r="L966" s="8"/>
      <c r="M966" s="8"/>
      <c r="N966" s="8"/>
      <c r="O966" s="8"/>
      <c r="P966" s="8"/>
    </row>
    <row r="967" spans="7:16" x14ac:dyDescent="0.2">
      <c r="G967" s="8"/>
      <c r="H967" s="8"/>
      <c r="J967" s="8"/>
      <c r="K967" s="8"/>
      <c r="L967" s="8"/>
      <c r="M967" s="8"/>
      <c r="N967" s="8"/>
      <c r="O967" s="8"/>
      <c r="P967" s="8"/>
    </row>
    <row r="968" spans="7:16" x14ac:dyDescent="0.2">
      <c r="G968" s="8"/>
      <c r="H968" s="8"/>
      <c r="J968" s="8"/>
      <c r="K968" s="8"/>
      <c r="L968" s="8"/>
      <c r="M968" s="8"/>
      <c r="N968" s="8"/>
      <c r="O968" s="8"/>
      <c r="P968" s="8"/>
    </row>
    <row r="969" spans="7:16" x14ac:dyDescent="0.2">
      <c r="G969" s="8"/>
      <c r="H969" s="8"/>
      <c r="J969" s="8"/>
      <c r="K969" s="8"/>
      <c r="L969" s="8"/>
      <c r="M969" s="8"/>
      <c r="N969" s="8"/>
      <c r="O969" s="8"/>
      <c r="P969" s="8"/>
    </row>
    <row r="970" spans="7:16" x14ac:dyDescent="0.2">
      <c r="G970" s="8"/>
      <c r="H970" s="8"/>
      <c r="J970" s="8"/>
      <c r="K970" s="8"/>
      <c r="L970" s="8"/>
      <c r="M970" s="8"/>
      <c r="N970" s="8"/>
      <c r="O970" s="8"/>
      <c r="P970" s="8"/>
    </row>
    <row r="971" spans="7:16" x14ac:dyDescent="0.2">
      <c r="G971" s="8"/>
      <c r="H971" s="8"/>
      <c r="J971" s="8"/>
      <c r="K971" s="8"/>
      <c r="L971" s="8"/>
      <c r="M971" s="8"/>
      <c r="N971" s="8"/>
      <c r="O971" s="8"/>
      <c r="P971" s="8"/>
    </row>
    <row r="972" spans="7:16" x14ac:dyDescent="0.2">
      <c r="G972" s="8"/>
      <c r="H972" s="8"/>
      <c r="J972" s="8"/>
      <c r="K972" s="8"/>
      <c r="L972" s="8"/>
      <c r="M972" s="8"/>
      <c r="N972" s="8"/>
      <c r="O972" s="8"/>
      <c r="P972" s="8"/>
    </row>
    <row r="973" spans="7:16" x14ac:dyDescent="0.2">
      <c r="G973" s="8"/>
      <c r="H973" s="8"/>
      <c r="J973" s="8"/>
      <c r="K973" s="8"/>
      <c r="L973" s="8"/>
      <c r="M973" s="8"/>
      <c r="N973" s="8"/>
      <c r="O973" s="8"/>
      <c r="P973" s="8"/>
    </row>
    <row r="974" spans="7:16" x14ac:dyDescent="0.2">
      <c r="G974" s="8"/>
      <c r="H974" s="8"/>
      <c r="J974" s="8"/>
      <c r="K974" s="8"/>
      <c r="L974" s="8"/>
      <c r="M974" s="8"/>
      <c r="N974" s="8"/>
      <c r="O974" s="8"/>
      <c r="P974" s="8"/>
    </row>
    <row r="975" spans="7:16" x14ac:dyDescent="0.2">
      <c r="G975" s="8"/>
      <c r="H975" s="8"/>
      <c r="J975" s="8"/>
      <c r="K975" s="8"/>
      <c r="L975" s="8"/>
      <c r="M975" s="8"/>
      <c r="N975" s="8"/>
      <c r="O975" s="8"/>
      <c r="P975" s="8"/>
    </row>
    <row r="976" spans="7:16" x14ac:dyDescent="0.2">
      <c r="G976" s="8"/>
      <c r="H976" s="8"/>
      <c r="J976" s="8"/>
      <c r="K976" s="8"/>
      <c r="L976" s="8"/>
      <c r="M976" s="8"/>
      <c r="N976" s="8"/>
      <c r="O976" s="8"/>
      <c r="P976" s="8"/>
    </row>
    <row r="977" spans="7:16" x14ac:dyDescent="0.2">
      <c r="G977" s="8"/>
      <c r="H977" s="8"/>
      <c r="J977" s="8"/>
      <c r="K977" s="8"/>
      <c r="L977" s="8"/>
      <c r="M977" s="8"/>
      <c r="N977" s="8"/>
      <c r="O977" s="8"/>
      <c r="P977" s="8"/>
    </row>
    <row r="978" spans="7:16" x14ac:dyDescent="0.2">
      <c r="G978" s="8"/>
      <c r="H978" s="8"/>
      <c r="J978" s="8"/>
      <c r="K978" s="8"/>
      <c r="L978" s="8"/>
      <c r="M978" s="8"/>
      <c r="N978" s="8"/>
      <c r="O978" s="8"/>
      <c r="P978" s="8"/>
    </row>
    <row r="979" spans="7:16" x14ac:dyDescent="0.2">
      <c r="G979" s="8"/>
      <c r="H979" s="8"/>
      <c r="J979" s="8"/>
      <c r="K979" s="8"/>
      <c r="L979" s="8"/>
      <c r="M979" s="8"/>
      <c r="N979" s="8"/>
      <c r="O979" s="8"/>
      <c r="P979" s="8"/>
    </row>
    <row r="980" spans="7:16" x14ac:dyDescent="0.2">
      <c r="G980" s="8"/>
      <c r="H980" s="8"/>
      <c r="J980" s="8"/>
      <c r="K980" s="8"/>
      <c r="L980" s="8"/>
      <c r="M980" s="8"/>
      <c r="N980" s="8"/>
      <c r="O980" s="8"/>
      <c r="P980" s="8"/>
    </row>
    <row r="981" spans="7:16" x14ac:dyDescent="0.2">
      <c r="G981" s="8"/>
      <c r="H981" s="8"/>
      <c r="J981" s="8"/>
      <c r="K981" s="8"/>
      <c r="L981" s="8"/>
      <c r="M981" s="8"/>
      <c r="N981" s="8"/>
      <c r="O981" s="8"/>
      <c r="P981" s="8"/>
    </row>
    <row r="982" spans="7:16" x14ac:dyDescent="0.2">
      <c r="G982" s="8"/>
      <c r="H982" s="8"/>
      <c r="J982" s="8"/>
      <c r="K982" s="8"/>
      <c r="L982" s="8"/>
      <c r="M982" s="8"/>
      <c r="N982" s="8"/>
      <c r="O982" s="8"/>
      <c r="P982" s="8"/>
    </row>
    <row r="983" spans="7:16" x14ac:dyDescent="0.2">
      <c r="G983" s="8"/>
      <c r="H983" s="8"/>
      <c r="J983" s="8"/>
      <c r="K983" s="8"/>
      <c r="L983" s="8"/>
      <c r="M983" s="8"/>
      <c r="N983" s="8"/>
      <c r="O983" s="8"/>
      <c r="P983" s="8"/>
    </row>
    <row r="984" spans="7:16" x14ac:dyDescent="0.2">
      <c r="G984" s="8"/>
      <c r="H984" s="8"/>
      <c r="J984" s="8"/>
      <c r="K984" s="8"/>
      <c r="L984" s="8"/>
      <c r="M984" s="8"/>
      <c r="N984" s="8"/>
      <c r="O984" s="8"/>
      <c r="P984" s="8"/>
    </row>
    <row r="985" spans="7:16" x14ac:dyDescent="0.2">
      <c r="G985" s="8"/>
      <c r="H985" s="8"/>
      <c r="J985" s="8"/>
      <c r="K985" s="8"/>
      <c r="L985" s="8"/>
      <c r="M985" s="8"/>
      <c r="N985" s="8"/>
      <c r="O985" s="8"/>
      <c r="P985" s="8"/>
    </row>
    <row r="986" spans="7:16" x14ac:dyDescent="0.2">
      <c r="G986" s="8"/>
      <c r="H986" s="8"/>
      <c r="J986" s="8"/>
      <c r="K986" s="8"/>
      <c r="L986" s="8"/>
      <c r="M986" s="8"/>
      <c r="N986" s="8"/>
      <c r="O986" s="8"/>
      <c r="P986" s="8"/>
    </row>
    <row r="987" spans="7:16" x14ac:dyDescent="0.2">
      <c r="G987" s="8"/>
      <c r="H987" s="8"/>
      <c r="J987" s="8"/>
      <c r="K987" s="8"/>
      <c r="L987" s="8"/>
      <c r="M987" s="8"/>
      <c r="N987" s="8"/>
      <c r="O987" s="8"/>
      <c r="P987" s="8"/>
    </row>
    <row r="988" spans="7:16" x14ac:dyDescent="0.2">
      <c r="G988" s="8"/>
      <c r="H988" s="8"/>
      <c r="J988" s="8"/>
      <c r="K988" s="8"/>
      <c r="L988" s="8"/>
      <c r="M988" s="8"/>
      <c r="N988" s="8"/>
      <c r="O988" s="8"/>
      <c r="P988" s="8"/>
    </row>
    <row r="989" spans="7:16" x14ac:dyDescent="0.2">
      <c r="G989" s="8"/>
      <c r="H989" s="8"/>
      <c r="J989" s="8"/>
      <c r="K989" s="8"/>
      <c r="L989" s="8"/>
      <c r="M989" s="8"/>
      <c r="N989" s="8"/>
      <c r="O989" s="8"/>
      <c r="P989" s="8"/>
    </row>
    <row r="990" spans="7:16" x14ac:dyDescent="0.2">
      <c r="G990" s="8"/>
      <c r="H990" s="8"/>
      <c r="J990" s="8"/>
      <c r="K990" s="8"/>
      <c r="L990" s="8"/>
      <c r="M990" s="8"/>
      <c r="N990" s="8"/>
      <c r="O990" s="8"/>
      <c r="P990" s="8"/>
    </row>
    <row r="991" spans="7:16" x14ac:dyDescent="0.2">
      <c r="G991" s="8"/>
      <c r="H991" s="8"/>
      <c r="J991" s="8"/>
      <c r="K991" s="8"/>
      <c r="L991" s="8"/>
      <c r="M991" s="8"/>
      <c r="N991" s="8"/>
      <c r="O991" s="8"/>
      <c r="P991" s="8"/>
    </row>
    <row r="992" spans="7:16" x14ac:dyDescent="0.2">
      <c r="G992" s="8"/>
      <c r="H992" s="8"/>
      <c r="J992" s="8"/>
      <c r="K992" s="8"/>
      <c r="L992" s="8"/>
      <c r="M992" s="8"/>
      <c r="N992" s="8"/>
      <c r="O992" s="8"/>
      <c r="P992" s="8"/>
    </row>
    <row r="993" spans="7:16" x14ac:dyDescent="0.2">
      <c r="G993" s="8"/>
      <c r="H993" s="8"/>
      <c r="J993" s="8"/>
      <c r="K993" s="8"/>
      <c r="L993" s="8"/>
      <c r="M993" s="8"/>
      <c r="N993" s="8"/>
      <c r="O993" s="8"/>
      <c r="P993" s="8"/>
    </row>
    <row r="994" spans="7:16" x14ac:dyDescent="0.2">
      <c r="G994" s="8"/>
      <c r="H994" s="8"/>
      <c r="J994" s="8"/>
      <c r="K994" s="8"/>
      <c r="L994" s="8"/>
      <c r="M994" s="8"/>
      <c r="N994" s="8"/>
      <c r="O994" s="8"/>
      <c r="P994" s="8"/>
    </row>
    <row r="995" spans="7:16" x14ac:dyDescent="0.2">
      <c r="G995" s="8"/>
      <c r="H995" s="8"/>
      <c r="J995" s="8"/>
      <c r="K995" s="8"/>
      <c r="L995" s="8"/>
      <c r="M995" s="8"/>
      <c r="N995" s="8"/>
      <c r="O995" s="8"/>
      <c r="P995" s="8"/>
    </row>
    <row r="996" spans="7:16" x14ac:dyDescent="0.2">
      <c r="G996" s="8"/>
      <c r="H996" s="8"/>
      <c r="J996" s="8"/>
      <c r="K996" s="8"/>
      <c r="L996" s="8"/>
      <c r="M996" s="8"/>
      <c r="N996" s="8"/>
      <c r="O996" s="8"/>
      <c r="P996" s="8"/>
    </row>
    <row r="997" spans="7:16" x14ac:dyDescent="0.2">
      <c r="G997" s="8"/>
      <c r="H997" s="8"/>
      <c r="J997" s="8"/>
      <c r="K997" s="8"/>
      <c r="L997" s="8"/>
      <c r="M997" s="8"/>
      <c r="N997" s="8"/>
      <c r="O997" s="8"/>
      <c r="P997" s="8"/>
    </row>
    <row r="998" spans="7:16" x14ac:dyDescent="0.2">
      <c r="G998" s="8"/>
      <c r="H998" s="8"/>
      <c r="J998" s="8"/>
      <c r="K998" s="8"/>
      <c r="L998" s="8"/>
      <c r="M998" s="8"/>
      <c r="N998" s="8"/>
      <c r="O998" s="8"/>
      <c r="P998" s="8"/>
    </row>
    <row r="999" spans="7:16" x14ac:dyDescent="0.2">
      <c r="G999" s="8"/>
      <c r="H999" s="8"/>
      <c r="J999" s="8"/>
      <c r="K999" s="8"/>
      <c r="L999" s="8"/>
      <c r="M999" s="8"/>
      <c r="N999" s="8"/>
      <c r="O999" s="8"/>
      <c r="P999" s="8"/>
    </row>
    <row r="1000" spans="7:16" x14ac:dyDescent="0.2">
      <c r="G1000" s="8"/>
      <c r="H1000" s="8"/>
      <c r="J1000" s="8"/>
      <c r="K1000" s="8"/>
      <c r="L1000" s="8"/>
      <c r="M1000" s="8"/>
      <c r="N1000" s="8"/>
      <c r="O1000" s="8"/>
      <c r="P1000" s="8"/>
    </row>
    <row r="1001" spans="7:16" x14ac:dyDescent="0.2">
      <c r="G1001" s="8"/>
      <c r="H1001" s="8"/>
      <c r="J1001" s="8"/>
      <c r="K1001" s="8"/>
      <c r="L1001" s="8"/>
      <c r="M1001" s="8"/>
      <c r="N1001" s="8"/>
      <c r="O1001" s="8"/>
      <c r="P1001" s="8"/>
    </row>
    <row r="1002" spans="7:16" x14ac:dyDescent="0.2">
      <c r="G1002" s="8"/>
      <c r="H1002" s="8"/>
      <c r="J1002" s="8"/>
      <c r="K1002" s="8"/>
      <c r="L1002" s="8"/>
      <c r="M1002" s="8"/>
      <c r="N1002" s="8"/>
      <c r="O1002" s="8"/>
      <c r="P1002" s="8"/>
    </row>
    <row r="1003" spans="7:16" x14ac:dyDescent="0.2">
      <c r="G1003" s="8"/>
      <c r="H1003" s="8"/>
      <c r="J1003" s="8"/>
      <c r="K1003" s="8"/>
      <c r="L1003" s="8"/>
      <c r="M1003" s="8"/>
      <c r="N1003" s="8"/>
      <c r="O1003" s="8"/>
      <c r="P1003" s="8"/>
    </row>
    <row r="1004" spans="7:16" x14ac:dyDescent="0.2">
      <c r="G1004" s="8"/>
      <c r="H1004" s="8"/>
      <c r="J1004" s="8"/>
      <c r="K1004" s="8"/>
      <c r="L1004" s="8"/>
      <c r="M1004" s="8"/>
      <c r="N1004" s="8"/>
      <c r="O1004" s="8"/>
      <c r="P1004" s="8"/>
    </row>
    <row r="1005" spans="7:16" x14ac:dyDescent="0.2">
      <c r="G1005" s="8"/>
      <c r="H1005" s="8"/>
      <c r="J1005" s="8"/>
      <c r="K1005" s="8"/>
      <c r="L1005" s="8"/>
      <c r="M1005" s="8"/>
      <c r="N1005" s="8"/>
      <c r="O1005" s="8"/>
      <c r="P1005" s="8"/>
    </row>
    <row r="1006" spans="7:16" x14ac:dyDescent="0.2">
      <c r="G1006" s="8"/>
      <c r="H1006" s="8"/>
      <c r="J1006" s="8"/>
      <c r="K1006" s="8"/>
      <c r="L1006" s="8"/>
      <c r="M1006" s="8"/>
      <c r="N1006" s="8"/>
      <c r="O1006" s="8"/>
      <c r="P1006" s="8"/>
    </row>
    <row r="1007" spans="7:16" x14ac:dyDescent="0.2">
      <c r="G1007" s="8"/>
      <c r="H1007" s="8"/>
      <c r="J1007" s="8"/>
      <c r="K1007" s="8"/>
      <c r="L1007" s="8"/>
      <c r="M1007" s="8"/>
      <c r="N1007" s="8"/>
      <c r="O1007" s="8"/>
      <c r="P1007" s="8"/>
    </row>
    <row r="1008" spans="7:16" x14ac:dyDescent="0.2">
      <c r="G1008" s="8"/>
      <c r="H1008" s="8"/>
      <c r="J1008" s="8"/>
      <c r="K1008" s="8"/>
      <c r="L1008" s="8"/>
      <c r="M1008" s="8"/>
      <c r="N1008" s="8"/>
      <c r="O1008" s="8"/>
      <c r="P1008" s="8"/>
    </row>
    <row r="1009" spans="7:16" x14ac:dyDescent="0.2">
      <c r="G1009" s="8"/>
      <c r="H1009" s="8"/>
      <c r="J1009" s="8"/>
      <c r="K1009" s="8"/>
      <c r="L1009" s="8"/>
      <c r="M1009" s="8"/>
      <c r="N1009" s="8"/>
      <c r="O1009" s="8"/>
      <c r="P1009" s="8"/>
    </row>
    <row r="1010" spans="7:16" x14ac:dyDescent="0.2">
      <c r="G1010" s="8"/>
      <c r="H1010" s="8"/>
      <c r="J1010" s="8"/>
      <c r="K1010" s="8"/>
      <c r="L1010" s="8"/>
      <c r="M1010" s="8"/>
      <c r="N1010" s="8"/>
      <c r="O1010" s="8"/>
      <c r="P1010" s="8"/>
    </row>
    <row r="1011" spans="7:16" x14ac:dyDescent="0.2">
      <c r="G1011" s="8"/>
      <c r="H1011" s="8"/>
      <c r="J1011" s="8"/>
      <c r="K1011" s="8"/>
      <c r="L1011" s="8"/>
      <c r="M1011" s="8"/>
      <c r="N1011" s="8"/>
      <c r="O1011" s="8"/>
      <c r="P1011" s="8"/>
    </row>
    <row r="1012" spans="7:16" x14ac:dyDescent="0.2">
      <c r="G1012" s="8"/>
      <c r="H1012" s="8"/>
      <c r="J1012" s="8"/>
      <c r="K1012" s="8"/>
      <c r="L1012" s="8"/>
      <c r="M1012" s="8"/>
      <c r="N1012" s="8"/>
      <c r="O1012" s="8"/>
      <c r="P1012" s="8"/>
    </row>
    <row r="1013" spans="7:16" x14ac:dyDescent="0.2">
      <c r="G1013" s="8"/>
      <c r="H1013" s="8"/>
      <c r="J1013" s="8"/>
      <c r="K1013" s="8"/>
      <c r="L1013" s="8"/>
      <c r="M1013" s="8"/>
      <c r="N1013" s="8"/>
      <c r="O1013" s="8"/>
      <c r="P1013" s="8"/>
    </row>
    <row r="1014" spans="7:16" x14ac:dyDescent="0.2">
      <c r="G1014" s="8"/>
      <c r="H1014" s="8"/>
      <c r="J1014" s="8"/>
      <c r="K1014" s="8"/>
      <c r="L1014" s="8"/>
      <c r="M1014" s="8"/>
      <c r="N1014" s="8"/>
      <c r="O1014" s="8"/>
      <c r="P1014" s="8"/>
    </row>
    <row r="1015" spans="7:16" x14ac:dyDescent="0.2">
      <c r="G1015" s="8"/>
      <c r="H1015" s="8"/>
      <c r="J1015" s="8"/>
      <c r="K1015" s="8"/>
      <c r="L1015" s="8"/>
      <c r="M1015" s="8"/>
      <c r="N1015" s="8"/>
      <c r="O1015" s="8"/>
      <c r="P1015" s="8"/>
    </row>
    <row r="1016" spans="7:16" x14ac:dyDescent="0.2">
      <c r="G1016" s="8"/>
      <c r="H1016" s="8"/>
      <c r="J1016" s="8"/>
      <c r="K1016" s="8"/>
      <c r="L1016" s="8"/>
      <c r="M1016" s="8"/>
      <c r="N1016" s="8"/>
      <c r="O1016" s="8"/>
      <c r="P1016" s="8"/>
    </row>
    <row r="1017" spans="7:16" x14ac:dyDescent="0.2">
      <c r="G1017" s="8"/>
      <c r="H1017" s="8"/>
      <c r="J1017" s="8"/>
      <c r="K1017" s="8"/>
      <c r="L1017" s="8"/>
      <c r="M1017" s="8"/>
      <c r="N1017" s="8"/>
      <c r="O1017" s="8"/>
      <c r="P1017" s="8"/>
    </row>
    <row r="1018" spans="7:16" x14ac:dyDescent="0.2">
      <c r="G1018" s="8"/>
      <c r="H1018" s="8"/>
      <c r="J1018" s="8"/>
      <c r="K1018" s="8"/>
      <c r="L1018" s="8"/>
      <c r="M1018" s="8"/>
      <c r="N1018" s="8"/>
      <c r="O1018" s="8"/>
      <c r="P1018" s="8"/>
    </row>
    <row r="1019" spans="7:16" x14ac:dyDescent="0.2">
      <c r="G1019" s="8"/>
      <c r="H1019" s="8"/>
      <c r="J1019" s="8"/>
      <c r="K1019" s="8"/>
      <c r="L1019" s="8"/>
      <c r="M1019" s="8"/>
      <c r="N1019" s="8"/>
      <c r="O1019" s="8"/>
      <c r="P1019" s="8"/>
    </row>
    <row r="1020" spans="7:16" x14ac:dyDescent="0.2">
      <c r="G1020" s="8"/>
      <c r="H1020" s="8"/>
      <c r="J1020" s="8"/>
      <c r="K1020" s="8"/>
      <c r="L1020" s="8"/>
      <c r="M1020" s="8"/>
      <c r="N1020" s="8"/>
      <c r="O1020" s="8"/>
      <c r="P1020" s="8"/>
    </row>
    <row r="1021" spans="7:16" x14ac:dyDescent="0.2">
      <c r="G1021" s="8"/>
      <c r="H1021" s="8"/>
      <c r="J1021" s="8"/>
      <c r="K1021" s="8"/>
      <c r="L1021" s="8"/>
      <c r="M1021" s="8"/>
      <c r="N1021" s="8"/>
      <c r="O1021" s="8"/>
      <c r="P1021" s="8"/>
    </row>
    <row r="1022" spans="7:16" x14ac:dyDescent="0.2">
      <c r="G1022" s="8"/>
      <c r="H1022" s="8"/>
      <c r="J1022" s="8"/>
      <c r="K1022" s="8"/>
      <c r="L1022" s="8"/>
      <c r="M1022" s="8"/>
      <c r="N1022" s="8"/>
      <c r="O1022" s="8"/>
      <c r="P1022" s="8"/>
    </row>
    <row r="1023" spans="7:16" x14ac:dyDescent="0.2">
      <c r="G1023" s="8"/>
      <c r="H1023" s="8"/>
      <c r="J1023" s="8"/>
      <c r="K1023" s="8"/>
      <c r="L1023" s="8"/>
      <c r="M1023" s="8"/>
      <c r="N1023" s="8"/>
      <c r="O1023" s="8"/>
      <c r="P1023" s="8"/>
    </row>
    <row r="1024" spans="7:16" x14ac:dyDescent="0.2">
      <c r="G1024" s="8"/>
      <c r="H1024" s="8"/>
      <c r="J1024" s="8"/>
      <c r="K1024" s="8"/>
      <c r="L1024" s="8"/>
      <c r="M1024" s="8"/>
      <c r="N1024" s="8"/>
      <c r="O1024" s="8"/>
      <c r="P1024" s="8"/>
    </row>
    <row r="1025" spans="7:16" x14ac:dyDescent="0.2">
      <c r="G1025" s="8"/>
      <c r="H1025" s="8"/>
      <c r="J1025" s="8"/>
      <c r="K1025" s="8"/>
      <c r="L1025" s="8"/>
      <c r="M1025" s="8"/>
      <c r="N1025" s="8"/>
      <c r="O1025" s="8"/>
      <c r="P1025" s="8"/>
    </row>
    <row r="1026" spans="7:16" x14ac:dyDescent="0.2">
      <c r="G1026" s="8"/>
      <c r="H1026" s="8"/>
      <c r="J1026" s="8"/>
      <c r="K1026" s="8"/>
      <c r="L1026" s="8"/>
      <c r="M1026" s="8"/>
      <c r="N1026" s="8"/>
      <c r="O1026" s="8"/>
      <c r="P1026" s="8"/>
    </row>
    <row r="1027" spans="7:16" x14ac:dyDescent="0.2">
      <c r="G1027" s="8"/>
      <c r="H1027" s="8"/>
      <c r="J1027" s="8"/>
      <c r="K1027" s="8"/>
      <c r="L1027" s="8"/>
      <c r="M1027" s="8"/>
      <c r="N1027" s="8"/>
      <c r="O1027" s="8"/>
      <c r="P1027" s="8"/>
    </row>
    <row r="1028" spans="7:16" x14ac:dyDescent="0.2">
      <c r="G1028" s="8"/>
      <c r="H1028" s="8"/>
      <c r="J1028" s="8"/>
      <c r="K1028" s="8"/>
      <c r="L1028" s="8"/>
      <c r="M1028" s="8"/>
      <c r="N1028" s="8"/>
      <c r="O1028" s="8"/>
      <c r="P1028" s="8"/>
    </row>
    <row r="1029" spans="7:16" x14ac:dyDescent="0.2">
      <c r="G1029" s="8"/>
      <c r="H1029" s="8"/>
      <c r="J1029" s="8"/>
      <c r="K1029" s="8"/>
      <c r="L1029" s="8"/>
      <c r="M1029" s="8"/>
      <c r="N1029" s="8"/>
      <c r="O1029" s="8"/>
      <c r="P1029" s="8"/>
    </row>
    <row r="1030" spans="7:16" x14ac:dyDescent="0.2">
      <c r="G1030" s="8"/>
      <c r="H1030" s="8"/>
      <c r="J1030" s="8"/>
      <c r="K1030" s="8"/>
      <c r="L1030" s="8"/>
      <c r="M1030" s="8"/>
      <c r="N1030" s="8"/>
      <c r="O1030" s="8"/>
      <c r="P1030" s="8"/>
    </row>
    <row r="1031" spans="7:16" x14ac:dyDescent="0.2">
      <c r="G1031" s="8"/>
      <c r="H1031" s="8"/>
      <c r="J1031" s="8"/>
      <c r="K1031" s="8"/>
      <c r="L1031" s="8"/>
      <c r="M1031" s="8"/>
      <c r="N1031" s="8"/>
      <c r="O1031" s="8"/>
      <c r="P1031" s="8"/>
    </row>
    <row r="1032" spans="7:16" x14ac:dyDescent="0.2">
      <c r="G1032" s="8"/>
      <c r="H1032" s="8"/>
      <c r="J1032" s="8"/>
      <c r="K1032" s="8"/>
      <c r="L1032" s="8"/>
      <c r="M1032" s="8"/>
      <c r="N1032" s="8"/>
      <c r="O1032" s="8"/>
      <c r="P1032" s="8"/>
    </row>
    <row r="1033" spans="7:16" x14ac:dyDescent="0.2">
      <c r="G1033" s="8"/>
      <c r="H1033" s="8"/>
      <c r="J1033" s="8"/>
      <c r="K1033" s="8"/>
      <c r="L1033" s="8"/>
      <c r="M1033" s="8"/>
      <c r="N1033" s="8"/>
      <c r="O1033" s="8"/>
      <c r="P1033" s="8"/>
    </row>
    <row r="1034" spans="7:16" x14ac:dyDescent="0.2">
      <c r="G1034" s="8"/>
      <c r="H1034" s="8"/>
      <c r="J1034" s="8"/>
      <c r="K1034" s="8"/>
      <c r="L1034" s="8"/>
      <c r="M1034" s="8"/>
      <c r="N1034" s="8"/>
      <c r="O1034" s="8"/>
      <c r="P1034" s="8"/>
    </row>
    <row r="1035" spans="7:16" x14ac:dyDescent="0.2">
      <c r="G1035" s="8"/>
      <c r="H1035" s="8"/>
      <c r="J1035" s="8"/>
      <c r="K1035" s="8"/>
      <c r="L1035" s="8"/>
      <c r="M1035" s="8"/>
      <c r="N1035" s="8"/>
      <c r="O1035" s="8"/>
      <c r="P1035" s="8"/>
    </row>
    <row r="1036" spans="7:16" x14ac:dyDescent="0.2">
      <c r="G1036" s="8"/>
      <c r="H1036" s="8"/>
      <c r="J1036" s="8"/>
      <c r="K1036" s="8"/>
      <c r="L1036" s="8"/>
      <c r="M1036" s="8"/>
      <c r="N1036" s="8"/>
      <c r="O1036" s="8"/>
      <c r="P1036" s="8"/>
    </row>
    <row r="1037" spans="7:16" x14ac:dyDescent="0.2">
      <c r="G1037" s="8"/>
      <c r="H1037" s="8"/>
      <c r="J1037" s="8"/>
      <c r="K1037" s="8"/>
      <c r="L1037" s="8"/>
      <c r="M1037" s="8"/>
      <c r="N1037" s="8"/>
      <c r="O1037" s="8"/>
      <c r="P1037" s="8"/>
    </row>
    <row r="1038" spans="7:16" x14ac:dyDescent="0.2">
      <c r="G1038" s="8"/>
      <c r="H1038" s="8"/>
      <c r="J1038" s="8"/>
      <c r="K1038" s="8"/>
      <c r="L1038" s="8"/>
      <c r="M1038" s="8"/>
      <c r="N1038" s="8"/>
      <c r="O1038" s="8"/>
      <c r="P1038" s="8"/>
    </row>
    <row r="1039" spans="7:16" x14ac:dyDescent="0.2">
      <c r="G1039" s="8"/>
      <c r="H1039" s="8"/>
      <c r="J1039" s="8"/>
      <c r="K1039" s="8"/>
      <c r="L1039" s="8"/>
      <c r="M1039" s="8"/>
      <c r="N1039" s="8"/>
      <c r="O1039" s="8"/>
      <c r="P1039" s="8"/>
    </row>
    <row r="1040" spans="7:16" x14ac:dyDescent="0.2">
      <c r="G1040" s="8"/>
      <c r="H1040" s="8"/>
      <c r="J1040" s="8"/>
      <c r="K1040" s="8"/>
      <c r="L1040" s="8"/>
      <c r="M1040" s="8"/>
      <c r="N1040" s="8"/>
      <c r="O1040" s="8"/>
      <c r="P1040" s="8"/>
    </row>
    <row r="1041" spans="7:16" x14ac:dyDescent="0.2">
      <c r="G1041" s="8"/>
      <c r="H1041" s="8"/>
      <c r="J1041" s="8"/>
      <c r="K1041" s="8"/>
      <c r="L1041" s="8"/>
      <c r="M1041" s="8"/>
      <c r="N1041" s="8"/>
      <c r="O1041" s="8"/>
      <c r="P1041" s="8"/>
    </row>
    <row r="1042" spans="7:16" x14ac:dyDescent="0.2">
      <c r="G1042" s="8"/>
      <c r="H1042" s="8"/>
      <c r="J1042" s="8"/>
      <c r="K1042" s="8"/>
      <c r="L1042" s="8"/>
      <c r="M1042" s="8"/>
      <c r="N1042" s="8"/>
      <c r="O1042" s="8"/>
      <c r="P1042" s="8"/>
    </row>
    <row r="1043" spans="7:16" x14ac:dyDescent="0.2">
      <c r="G1043" s="8"/>
      <c r="H1043" s="8"/>
      <c r="J1043" s="8"/>
      <c r="K1043" s="8"/>
      <c r="L1043" s="8"/>
      <c r="M1043" s="8"/>
      <c r="N1043" s="8"/>
      <c r="O1043" s="8"/>
      <c r="P1043" s="8"/>
    </row>
    <row r="1044" spans="7:16" x14ac:dyDescent="0.2">
      <c r="G1044" s="8"/>
      <c r="H1044" s="8"/>
      <c r="J1044" s="8"/>
      <c r="K1044" s="8"/>
      <c r="L1044" s="8"/>
      <c r="M1044" s="8"/>
      <c r="N1044" s="8"/>
      <c r="O1044" s="8"/>
      <c r="P1044" s="8"/>
    </row>
    <row r="1045" spans="7:16" x14ac:dyDescent="0.2">
      <c r="G1045" s="8"/>
      <c r="H1045" s="8"/>
      <c r="J1045" s="8"/>
      <c r="K1045" s="8"/>
      <c r="L1045" s="8"/>
      <c r="M1045" s="8"/>
      <c r="N1045" s="8"/>
      <c r="O1045" s="8"/>
      <c r="P1045" s="8"/>
    </row>
    <row r="1046" spans="7:16" x14ac:dyDescent="0.2">
      <c r="G1046" s="8"/>
      <c r="H1046" s="8"/>
      <c r="J1046" s="8"/>
      <c r="K1046" s="8"/>
      <c r="L1046" s="8"/>
      <c r="M1046" s="8"/>
      <c r="N1046" s="8"/>
      <c r="O1046" s="8"/>
      <c r="P1046" s="8"/>
    </row>
    <row r="1047" spans="7:16" x14ac:dyDescent="0.2">
      <c r="G1047" s="8"/>
      <c r="H1047" s="8"/>
      <c r="J1047" s="8"/>
      <c r="K1047" s="8"/>
      <c r="L1047" s="8"/>
      <c r="M1047" s="8"/>
      <c r="N1047" s="8"/>
      <c r="O1047" s="8"/>
      <c r="P1047" s="8"/>
    </row>
    <row r="1048" spans="7:16" x14ac:dyDescent="0.2">
      <c r="G1048" s="8"/>
      <c r="H1048" s="8"/>
      <c r="J1048" s="8"/>
      <c r="K1048" s="8"/>
      <c r="L1048" s="8"/>
      <c r="M1048" s="8"/>
      <c r="N1048" s="8"/>
      <c r="O1048" s="8"/>
      <c r="P1048" s="8"/>
    </row>
    <row r="1049" spans="7:16" x14ac:dyDescent="0.2">
      <c r="G1049" s="8"/>
      <c r="H1049" s="8"/>
      <c r="J1049" s="8"/>
      <c r="K1049" s="8"/>
      <c r="L1049" s="8"/>
      <c r="M1049" s="8"/>
      <c r="N1049" s="8"/>
      <c r="O1049" s="8"/>
      <c r="P1049" s="8"/>
    </row>
    <row r="1050" spans="7:16" x14ac:dyDescent="0.2">
      <c r="G1050" s="8"/>
      <c r="H1050" s="8"/>
      <c r="J1050" s="8"/>
      <c r="K1050" s="8"/>
      <c r="L1050" s="8"/>
      <c r="M1050" s="8"/>
      <c r="N1050" s="8"/>
      <c r="O1050" s="8"/>
      <c r="P1050" s="8"/>
    </row>
    <row r="1051" spans="7:16" x14ac:dyDescent="0.2">
      <c r="G1051" s="8"/>
      <c r="H1051" s="8"/>
      <c r="J1051" s="8"/>
      <c r="K1051" s="8"/>
      <c r="L1051" s="8"/>
      <c r="M1051" s="8"/>
      <c r="N1051" s="8"/>
      <c r="O1051" s="8"/>
      <c r="P1051" s="8"/>
    </row>
    <row r="1052" spans="7:16" x14ac:dyDescent="0.2">
      <c r="G1052" s="8"/>
      <c r="H1052" s="8"/>
      <c r="J1052" s="8"/>
      <c r="K1052" s="8"/>
      <c r="L1052" s="8"/>
      <c r="M1052" s="8"/>
      <c r="N1052" s="8"/>
      <c r="O1052" s="8"/>
      <c r="P1052" s="8"/>
    </row>
    <row r="1053" spans="7:16" x14ac:dyDescent="0.2">
      <c r="G1053" s="8"/>
      <c r="H1053" s="8"/>
      <c r="J1053" s="8"/>
      <c r="K1053" s="8"/>
      <c r="L1053" s="8"/>
      <c r="M1053" s="8"/>
      <c r="N1053" s="8"/>
      <c r="O1053" s="8"/>
      <c r="P1053" s="8"/>
    </row>
    <row r="1054" spans="7:16" x14ac:dyDescent="0.2">
      <c r="G1054" s="8"/>
      <c r="H1054" s="8"/>
      <c r="J1054" s="8"/>
      <c r="K1054" s="8"/>
      <c r="L1054" s="8"/>
      <c r="M1054" s="8"/>
      <c r="N1054" s="8"/>
      <c r="O1054" s="8"/>
      <c r="P1054" s="8"/>
    </row>
    <row r="1055" spans="7:16" x14ac:dyDescent="0.2">
      <c r="G1055" s="8"/>
      <c r="H1055" s="8"/>
      <c r="J1055" s="8"/>
      <c r="K1055" s="8"/>
      <c r="L1055" s="8"/>
      <c r="M1055" s="8"/>
      <c r="N1055" s="8"/>
      <c r="O1055" s="8"/>
      <c r="P1055" s="8"/>
    </row>
    <row r="1056" spans="7:16" x14ac:dyDescent="0.2">
      <c r="G1056" s="8"/>
      <c r="H1056" s="8"/>
      <c r="J1056" s="8"/>
      <c r="K1056" s="8"/>
      <c r="L1056" s="8"/>
      <c r="M1056" s="8"/>
      <c r="N1056" s="8"/>
      <c r="O1056" s="8"/>
      <c r="P1056" s="8"/>
    </row>
    <row r="1057" spans="7:16" x14ac:dyDescent="0.2">
      <c r="G1057" s="8"/>
      <c r="H1057" s="8"/>
      <c r="J1057" s="8"/>
      <c r="K1057" s="8"/>
      <c r="L1057" s="8"/>
      <c r="M1057" s="8"/>
      <c r="N1057" s="8"/>
      <c r="O1057" s="8"/>
      <c r="P1057" s="8"/>
    </row>
    <row r="1058" spans="7:16" x14ac:dyDescent="0.2">
      <c r="G1058" s="8"/>
      <c r="H1058" s="8"/>
      <c r="J1058" s="8"/>
      <c r="K1058" s="8"/>
      <c r="L1058" s="8"/>
      <c r="M1058" s="8"/>
      <c r="N1058" s="8"/>
      <c r="O1058" s="8"/>
      <c r="P1058" s="8"/>
    </row>
    <row r="1059" spans="7:16" x14ac:dyDescent="0.2">
      <c r="G1059" s="8"/>
      <c r="H1059" s="8"/>
      <c r="J1059" s="8"/>
      <c r="K1059" s="8"/>
      <c r="L1059" s="8"/>
      <c r="M1059" s="8"/>
      <c r="N1059" s="8"/>
      <c r="O1059" s="8"/>
      <c r="P1059" s="8"/>
    </row>
    <row r="1060" spans="7:16" x14ac:dyDescent="0.2">
      <c r="G1060" s="8"/>
      <c r="H1060" s="8"/>
      <c r="J1060" s="8"/>
      <c r="K1060" s="8"/>
      <c r="L1060" s="8"/>
      <c r="M1060" s="8"/>
      <c r="N1060" s="8"/>
      <c r="O1060" s="8"/>
      <c r="P1060" s="8"/>
    </row>
    <row r="1061" spans="7:16" x14ac:dyDescent="0.2">
      <c r="G1061" s="8"/>
      <c r="H1061" s="8"/>
      <c r="J1061" s="8"/>
      <c r="K1061" s="8"/>
      <c r="L1061" s="8"/>
      <c r="M1061" s="8"/>
      <c r="N1061" s="8"/>
      <c r="O1061" s="8"/>
      <c r="P1061" s="8"/>
    </row>
    <row r="1062" spans="7:16" x14ac:dyDescent="0.2">
      <c r="G1062" s="8"/>
      <c r="H1062" s="8"/>
      <c r="J1062" s="8"/>
      <c r="K1062" s="8"/>
      <c r="L1062" s="8"/>
      <c r="M1062" s="8"/>
      <c r="N1062" s="8"/>
      <c r="O1062" s="8"/>
      <c r="P1062" s="8"/>
    </row>
    <row r="1063" spans="7:16" x14ac:dyDescent="0.2">
      <c r="G1063" s="8"/>
      <c r="H1063" s="8"/>
      <c r="J1063" s="8"/>
      <c r="K1063" s="8"/>
      <c r="L1063" s="8"/>
      <c r="M1063" s="8"/>
      <c r="N1063" s="8"/>
      <c r="O1063" s="8"/>
      <c r="P1063" s="8"/>
    </row>
    <row r="1064" spans="7:16" x14ac:dyDescent="0.2">
      <c r="G1064" s="8"/>
      <c r="H1064" s="8"/>
      <c r="J1064" s="8"/>
      <c r="K1064" s="8"/>
      <c r="L1064" s="8"/>
      <c r="M1064" s="8"/>
      <c r="N1064" s="8"/>
      <c r="O1064" s="8"/>
      <c r="P1064" s="8"/>
    </row>
    <row r="1065" spans="7:16" x14ac:dyDescent="0.2">
      <c r="G1065" s="8"/>
      <c r="H1065" s="8"/>
      <c r="J1065" s="8"/>
      <c r="K1065" s="8"/>
      <c r="L1065" s="8"/>
      <c r="M1065" s="8"/>
      <c r="N1065" s="8"/>
      <c r="O1065" s="8"/>
      <c r="P1065" s="8"/>
    </row>
    <row r="1066" spans="7:16" x14ac:dyDescent="0.2">
      <c r="G1066" s="8"/>
      <c r="H1066" s="8"/>
      <c r="J1066" s="8"/>
      <c r="K1066" s="8"/>
      <c r="L1066" s="8"/>
      <c r="M1066" s="8"/>
      <c r="N1066" s="8"/>
      <c r="O1066" s="8"/>
      <c r="P1066" s="8"/>
    </row>
    <row r="1067" spans="7:16" x14ac:dyDescent="0.2">
      <c r="G1067" s="8"/>
      <c r="H1067" s="8"/>
      <c r="J1067" s="8"/>
      <c r="K1067" s="8"/>
      <c r="L1067" s="8"/>
      <c r="M1067" s="8"/>
      <c r="N1067" s="8"/>
      <c r="O1067" s="8"/>
      <c r="P1067" s="8"/>
    </row>
    <row r="1068" spans="7:16" x14ac:dyDescent="0.2">
      <c r="G1068" s="8"/>
      <c r="H1068" s="8"/>
      <c r="J1068" s="8"/>
      <c r="K1068" s="8"/>
      <c r="L1068" s="8"/>
      <c r="M1068" s="8"/>
      <c r="N1068" s="8"/>
      <c r="O1068" s="8"/>
      <c r="P1068" s="8"/>
    </row>
    <row r="1069" spans="7:16" x14ac:dyDescent="0.2">
      <c r="G1069" s="8"/>
      <c r="H1069" s="8"/>
      <c r="J1069" s="8"/>
      <c r="K1069" s="8"/>
      <c r="L1069" s="8"/>
      <c r="M1069" s="8"/>
      <c r="N1069" s="8"/>
      <c r="O1069" s="8"/>
      <c r="P1069" s="8"/>
    </row>
    <row r="1070" spans="7:16" x14ac:dyDescent="0.2">
      <c r="G1070" s="8"/>
      <c r="H1070" s="8"/>
      <c r="J1070" s="8"/>
      <c r="K1070" s="8"/>
      <c r="L1070" s="8"/>
      <c r="M1070" s="8"/>
      <c r="N1070" s="8"/>
      <c r="O1070" s="8"/>
      <c r="P1070" s="8"/>
    </row>
    <row r="1071" spans="7:16" x14ac:dyDescent="0.2">
      <c r="G1071" s="8"/>
      <c r="H1071" s="8"/>
      <c r="J1071" s="8"/>
      <c r="K1071" s="8"/>
      <c r="L1071" s="8"/>
      <c r="M1071" s="8"/>
      <c r="N1071" s="8"/>
      <c r="O1071" s="8"/>
      <c r="P1071" s="8"/>
    </row>
    <row r="1072" spans="7:16" x14ac:dyDescent="0.2">
      <c r="G1072" s="8"/>
      <c r="H1072" s="8"/>
      <c r="J1072" s="8"/>
      <c r="K1072" s="8"/>
      <c r="L1072" s="8"/>
      <c r="M1072" s="8"/>
      <c r="N1072" s="8"/>
      <c r="O1072" s="8"/>
      <c r="P1072" s="8"/>
    </row>
    <row r="1073" spans="7:16" x14ac:dyDescent="0.2">
      <c r="G1073" s="8"/>
      <c r="H1073" s="8"/>
      <c r="J1073" s="8"/>
      <c r="K1073" s="8"/>
      <c r="L1073" s="8"/>
      <c r="M1073" s="8"/>
      <c r="N1073" s="8"/>
      <c r="O1073" s="8"/>
      <c r="P1073" s="8"/>
    </row>
    <row r="1074" spans="7:16" x14ac:dyDescent="0.2">
      <c r="G1074" s="8"/>
      <c r="H1074" s="8"/>
      <c r="J1074" s="8"/>
      <c r="K1074" s="8"/>
      <c r="L1074" s="8"/>
      <c r="M1074" s="8"/>
      <c r="N1074" s="8"/>
      <c r="O1074" s="8"/>
      <c r="P1074" s="8"/>
    </row>
    <row r="1075" spans="7:16" x14ac:dyDescent="0.2">
      <c r="G1075" s="8"/>
      <c r="H1075" s="8"/>
      <c r="J1075" s="8"/>
      <c r="K1075" s="8"/>
      <c r="L1075" s="8"/>
      <c r="M1075" s="8"/>
      <c r="N1075" s="8"/>
      <c r="O1075" s="8"/>
      <c r="P1075" s="8"/>
    </row>
    <row r="1076" spans="7:16" x14ac:dyDescent="0.2">
      <c r="G1076" s="8"/>
      <c r="H1076" s="8"/>
      <c r="J1076" s="8"/>
      <c r="K1076" s="8"/>
      <c r="L1076" s="8"/>
      <c r="M1076" s="8"/>
      <c r="N1076" s="8"/>
      <c r="O1076" s="8"/>
      <c r="P1076" s="8"/>
    </row>
    <row r="1077" spans="7:16" x14ac:dyDescent="0.2">
      <c r="G1077" s="8"/>
      <c r="H1077" s="8"/>
      <c r="J1077" s="8"/>
      <c r="K1077" s="8"/>
      <c r="L1077" s="8"/>
      <c r="M1077" s="8"/>
      <c r="N1077" s="8"/>
      <c r="O1077" s="8"/>
      <c r="P1077" s="8"/>
    </row>
    <row r="1078" spans="7:16" x14ac:dyDescent="0.2">
      <c r="G1078" s="8"/>
      <c r="H1078" s="8"/>
      <c r="J1078" s="8"/>
      <c r="K1078" s="8"/>
      <c r="L1078" s="8"/>
      <c r="M1078" s="8"/>
      <c r="N1078" s="8"/>
      <c r="O1078" s="8"/>
      <c r="P1078" s="8"/>
    </row>
    <row r="1079" spans="7:16" x14ac:dyDescent="0.2">
      <c r="G1079" s="8"/>
      <c r="H1079" s="8"/>
      <c r="J1079" s="8"/>
      <c r="K1079" s="8"/>
      <c r="L1079" s="8"/>
      <c r="M1079" s="8"/>
      <c r="N1079" s="8"/>
      <c r="O1079" s="8"/>
      <c r="P1079" s="8"/>
    </row>
    <row r="1080" spans="7:16" x14ac:dyDescent="0.2">
      <c r="G1080" s="8"/>
      <c r="H1080" s="8"/>
      <c r="J1080" s="8"/>
      <c r="K1080" s="8"/>
      <c r="L1080" s="8"/>
      <c r="M1080" s="8"/>
      <c r="N1080" s="8"/>
      <c r="O1080" s="8"/>
      <c r="P1080" s="8"/>
    </row>
    <row r="1081" spans="7:16" x14ac:dyDescent="0.2">
      <c r="G1081" s="8"/>
      <c r="H1081" s="8"/>
      <c r="J1081" s="8"/>
      <c r="K1081" s="8"/>
      <c r="L1081" s="8"/>
      <c r="M1081" s="8"/>
      <c r="N1081" s="8"/>
      <c r="O1081" s="8"/>
      <c r="P1081" s="8"/>
    </row>
    <row r="1082" spans="7:16" x14ac:dyDescent="0.2">
      <c r="G1082" s="8"/>
      <c r="H1082" s="8"/>
      <c r="J1082" s="8"/>
      <c r="K1082" s="8"/>
      <c r="L1082" s="8"/>
      <c r="M1082" s="8"/>
      <c r="N1082" s="8"/>
      <c r="O1082" s="8"/>
      <c r="P1082" s="8"/>
    </row>
    <row r="1083" spans="7:16" x14ac:dyDescent="0.2">
      <c r="G1083" s="8"/>
      <c r="H1083" s="8"/>
      <c r="J1083" s="8"/>
      <c r="K1083" s="8"/>
      <c r="L1083" s="8"/>
      <c r="M1083" s="8"/>
      <c r="N1083" s="8"/>
      <c r="O1083" s="8"/>
      <c r="P1083" s="8"/>
    </row>
    <row r="1084" spans="7:16" x14ac:dyDescent="0.2">
      <c r="G1084" s="8"/>
      <c r="H1084" s="8"/>
      <c r="J1084" s="8"/>
      <c r="K1084" s="8"/>
      <c r="L1084" s="8"/>
      <c r="M1084" s="8"/>
      <c r="N1084" s="8"/>
      <c r="O1084" s="8"/>
      <c r="P1084" s="8"/>
    </row>
    <row r="1085" spans="7:16" x14ac:dyDescent="0.2">
      <c r="G1085" s="8"/>
      <c r="H1085" s="8"/>
      <c r="J1085" s="8"/>
      <c r="K1085" s="8"/>
      <c r="L1085" s="8"/>
      <c r="M1085" s="8"/>
      <c r="N1085" s="8"/>
      <c r="O1085" s="8"/>
      <c r="P1085" s="8"/>
    </row>
    <row r="1086" spans="7:16" x14ac:dyDescent="0.2">
      <c r="G1086" s="8"/>
      <c r="H1086" s="8"/>
      <c r="J1086" s="8"/>
      <c r="K1086" s="8"/>
      <c r="L1086" s="8"/>
      <c r="M1086" s="8"/>
      <c r="N1086" s="8"/>
      <c r="O1086" s="8"/>
      <c r="P1086" s="8"/>
    </row>
    <row r="1087" spans="7:16" x14ac:dyDescent="0.2">
      <c r="G1087" s="8"/>
      <c r="H1087" s="8"/>
      <c r="J1087" s="8"/>
      <c r="K1087" s="8"/>
      <c r="L1087" s="8"/>
      <c r="M1087" s="8"/>
      <c r="N1087" s="8"/>
      <c r="O1087" s="8"/>
      <c r="P1087" s="8"/>
    </row>
    <row r="1088" spans="7:16" x14ac:dyDescent="0.2">
      <c r="G1088" s="8"/>
      <c r="H1088" s="8"/>
      <c r="J1088" s="8"/>
      <c r="K1088" s="8"/>
      <c r="L1088" s="8"/>
      <c r="M1088" s="8"/>
      <c r="N1088" s="8"/>
      <c r="O1088" s="8"/>
      <c r="P1088" s="8"/>
    </row>
    <row r="1089" spans="7:16" x14ac:dyDescent="0.2">
      <c r="G1089" s="8"/>
      <c r="H1089" s="8"/>
      <c r="J1089" s="8"/>
      <c r="K1089" s="8"/>
      <c r="L1089" s="8"/>
      <c r="M1089" s="8"/>
      <c r="N1089" s="8"/>
      <c r="O1089" s="8"/>
      <c r="P1089" s="8"/>
    </row>
    <row r="1090" spans="7:16" x14ac:dyDescent="0.2">
      <c r="G1090" s="8"/>
      <c r="H1090" s="8"/>
      <c r="J1090" s="8"/>
      <c r="K1090" s="8"/>
      <c r="L1090" s="8"/>
      <c r="M1090" s="8"/>
      <c r="N1090" s="8"/>
      <c r="O1090" s="8"/>
      <c r="P1090" s="8"/>
    </row>
    <row r="1091" spans="7:16" x14ac:dyDescent="0.2">
      <c r="G1091" s="8"/>
      <c r="H1091" s="8"/>
      <c r="J1091" s="8"/>
      <c r="K1091" s="8"/>
      <c r="L1091" s="8"/>
      <c r="M1091" s="8"/>
      <c r="N1091" s="8"/>
      <c r="O1091" s="8"/>
      <c r="P1091" s="8"/>
    </row>
    <row r="1092" spans="7:16" x14ac:dyDescent="0.2">
      <c r="G1092" s="8"/>
      <c r="H1092" s="8"/>
      <c r="J1092" s="8"/>
      <c r="K1092" s="8"/>
      <c r="L1092" s="8"/>
      <c r="M1092" s="8"/>
      <c r="N1092" s="8"/>
      <c r="O1092" s="8"/>
      <c r="P1092" s="8"/>
    </row>
    <row r="1093" spans="7:16" x14ac:dyDescent="0.2">
      <c r="G1093" s="8"/>
      <c r="H1093" s="8"/>
      <c r="J1093" s="8"/>
      <c r="K1093" s="8"/>
      <c r="L1093" s="8"/>
      <c r="M1093" s="8"/>
      <c r="N1093" s="8"/>
      <c r="O1093" s="8"/>
      <c r="P1093" s="8"/>
    </row>
    <row r="1094" spans="7:16" x14ac:dyDescent="0.2">
      <c r="G1094" s="8"/>
      <c r="H1094" s="8"/>
      <c r="J1094" s="8"/>
      <c r="K1094" s="8"/>
      <c r="L1094" s="8"/>
      <c r="M1094" s="8"/>
      <c r="N1094" s="8"/>
      <c r="O1094" s="8"/>
      <c r="P1094" s="8"/>
    </row>
    <row r="1095" spans="7:16" x14ac:dyDescent="0.2">
      <c r="G1095" s="8"/>
      <c r="H1095" s="8"/>
      <c r="J1095" s="8"/>
      <c r="K1095" s="8"/>
      <c r="L1095" s="8"/>
      <c r="M1095" s="8"/>
      <c r="N1095" s="8"/>
      <c r="O1095" s="8"/>
      <c r="P1095" s="8"/>
    </row>
    <row r="1096" spans="7:16" x14ac:dyDescent="0.2">
      <c r="G1096" s="8"/>
      <c r="H1096" s="8"/>
      <c r="J1096" s="8"/>
      <c r="K1096" s="8"/>
      <c r="L1096" s="8"/>
      <c r="M1096" s="8"/>
      <c r="N1096" s="8"/>
      <c r="O1096" s="8"/>
      <c r="P1096" s="8"/>
    </row>
    <row r="1097" spans="7:16" x14ac:dyDescent="0.2">
      <c r="G1097" s="8"/>
      <c r="H1097" s="8"/>
      <c r="J1097" s="8"/>
      <c r="K1097" s="8"/>
      <c r="L1097" s="8"/>
      <c r="M1097" s="8"/>
      <c r="N1097" s="8"/>
      <c r="O1097" s="8"/>
      <c r="P1097" s="8"/>
    </row>
    <row r="1098" spans="7:16" x14ac:dyDescent="0.2">
      <c r="G1098" s="8"/>
      <c r="H1098" s="8"/>
      <c r="J1098" s="8"/>
      <c r="K1098" s="8"/>
      <c r="L1098" s="8"/>
      <c r="M1098" s="8"/>
      <c r="N1098" s="8"/>
      <c r="O1098" s="8"/>
      <c r="P1098" s="8"/>
    </row>
    <row r="1099" spans="7:16" x14ac:dyDescent="0.2">
      <c r="G1099" s="8"/>
      <c r="H1099" s="8"/>
      <c r="J1099" s="8"/>
      <c r="K1099" s="8"/>
      <c r="L1099" s="8"/>
      <c r="M1099" s="8"/>
      <c r="N1099" s="8"/>
      <c r="O1099" s="8"/>
      <c r="P1099" s="8"/>
    </row>
    <row r="1100" spans="7:16" x14ac:dyDescent="0.2">
      <c r="G1100" s="8"/>
      <c r="H1100" s="8"/>
      <c r="J1100" s="8"/>
      <c r="K1100" s="8"/>
      <c r="L1100" s="8"/>
      <c r="M1100" s="8"/>
      <c r="N1100" s="8"/>
      <c r="O1100" s="8"/>
      <c r="P1100" s="8"/>
    </row>
    <row r="1101" spans="7:16" x14ac:dyDescent="0.2">
      <c r="G1101" s="8"/>
      <c r="H1101" s="8"/>
      <c r="J1101" s="8"/>
      <c r="K1101" s="8"/>
      <c r="L1101" s="8"/>
      <c r="M1101" s="8"/>
      <c r="N1101" s="8"/>
      <c r="O1101" s="8"/>
      <c r="P1101" s="8"/>
    </row>
    <row r="1102" spans="7:16" x14ac:dyDescent="0.2">
      <c r="G1102" s="8"/>
      <c r="H1102" s="8"/>
      <c r="J1102" s="8"/>
      <c r="K1102" s="8"/>
      <c r="L1102" s="8"/>
      <c r="M1102" s="8"/>
      <c r="N1102" s="8"/>
      <c r="O1102" s="8"/>
      <c r="P1102" s="8"/>
    </row>
    <row r="1103" spans="7:16" x14ac:dyDescent="0.2">
      <c r="G1103" s="8"/>
      <c r="H1103" s="8"/>
      <c r="J1103" s="8"/>
      <c r="K1103" s="8"/>
      <c r="L1103" s="8"/>
      <c r="M1103" s="8"/>
      <c r="N1103" s="8"/>
      <c r="O1103" s="8"/>
      <c r="P1103" s="8"/>
    </row>
    <row r="1104" spans="7:16" x14ac:dyDescent="0.2">
      <c r="G1104" s="8"/>
      <c r="H1104" s="8"/>
      <c r="J1104" s="8"/>
      <c r="K1104" s="8"/>
      <c r="L1104" s="8"/>
      <c r="M1104" s="8"/>
      <c r="N1104" s="8"/>
      <c r="O1104" s="8"/>
      <c r="P1104" s="8"/>
    </row>
    <row r="1105" spans="7:16" x14ac:dyDescent="0.2">
      <c r="G1105" s="8"/>
      <c r="H1105" s="8"/>
      <c r="J1105" s="8"/>
      <c r="K1105" s="8"/>
      <c r="L1105" s="8"/>
      <c r="M1105" s="8"/>
      <c r="N1105" s="8"/>
      <c r="O1105" s="8"/>
      <c r="P1105" s="8"/>
    </row>
    <row r="1106" spans="7:16" x14ac:dyDescent="0.2">
      <c r="G1106" s="8"/>
      <c r="H1106" s="8"/>
      <c r="J1106" s="8"/>
      <c r="K1106" s="8"/>
      <c r="L1106" s="8"/>
      <c r="M1106" s="8"/>
      <c r="N1106" s="8"/>
      <c r="O1106" s="8"/>
      <c r="P1106" s="8"/>
    </row>
    <row r="1107" spans="7:16" x14ac:dyDescent="0.2">
      <c r="G1107" s="8"/>
      <c r="H1107" s="8"/>
      <c r="J1107" s="8"/>
      <c r="K1107" s="8"/>
      <c r="L1107" s="8"/>
      <c r="M1107" s="8"/>
      <c r="N1107" s="8"/>
      <c r="O1107" s="8"/>
      <c r="P1107" s="8"/>
    </row>
    <row r="1108" spans="7:16" x14ac:dyDescent="0.2">
      <c r="G1108" s="8"/>
      <c r="H1108" s="8"/>
      <c r="J1108" s="8"/>
      <c r="K1108" s="8"/>
      <c r="L1108" s="8"/>
      <c r="M1108" s="8"/>
      <c r="N1108" s="8"/>
      <c r="O1108" s="8"/>
      <c r="P1108" s="8"/>
    </row>
    <row r="1109" spans="7:16" x14ac:dyDescent="0.2">
      <c r="G1109" s="8"/>
      <c r="H1109" s="8"/>
      <c r="J1109" s="8"/>
      <c r="K1109" s="8"/>
      <c r="L1109" s="8"/>
      <c r="M1109" s="8"/>
      <c r="N1109" s="8"/>
      <c r="O1109" s="8"/>
      <c r="P1109" s="8"/>
    </row>
    <row r="1110" spans="7:16" x14ac:dyDescent="0.2">
      <c r="G1110" s="8"/>
      <c r="H1110" s="8"/>
      <c r="J1110" s="8"/>
      <c r="K1110" s="8"/>
      <c r="L1110" s="8"/>
      <c r="M1110" s="8"/>
      <c r="N1110" s="8"/>
      <c r="O1110" s="8"/>
      <c r="P1110" s="8"/>
    </row>
    <row r="1111" spans="7:16" x14ac:dyDescent="0.2">
      <c r="G1111" s="8"/>
      <c r="H1111" s="8"/>
      <c r="J1111" s="8"/>
      <c r="K1111" s="8"/>
      <c r="L1111" s="8"/>
      <c r="M1111" s="8"/>
      <c r="N1111" s="8"/>
      <c r="O1111" s="8"/>
      <c r="P1111" s="8"/>
    </row>
    <row r="1112" spans="7:16" x14ac:dyDescent="0.2">
      <c r="G1112" s="8"/>
      <c r="H1112" s="8"/>
      <c r="J1112" s="8"/>
      <c r="K1112" s="8"/>
      <c r="L1112" s="8"/>
      <c r="M1112" s="8"/>
      <c r="N1112" s="8"/>
      <c r="O1112" s="8"/>
      <c r="P1112" s="8"/>
    </row>
    <row r="1113" spans="7:16" x14ac:dyDescent="0.2">
      <c r="G1113" s="8"/>
      <c r="H1113" s="8"/>
      <c r="J1113" s="8"/>
      <c r="K1113" s="8"/>
      <c r="L1113" s="8"/>
      <c r="M1113" s="8"/>
      <c r="N1113" s="8"/>
      <c r="O1113" s="8"/>
      <c r="P1113" s="8"/>
    </row>
    <row r="1114" spans="7:16" x14ac:dyDescent="0.2">
      <c r="G1114" s="8"/>
      <c r="H1114" s="8"/>
      <c r="J1114" s="8"/>
      <c r="K1114" s="8"/>
      <c r="L1114" s="8"/>
      <c r="M1114" s="8"/>
      <c r="N1114" s="8"/>
      <c r="O1114" s="8"/>
      <c r="P1114" s="8"/>
    </row>
    <row r="1115" spans="7:16" x14ac:dyDescent="0.2">
      <c r="G1115" s="8"/>
      <c r="H1115" s="8"/>
      <c r="J1115" s="8"/>
      <c r="K1115" s="8"/>
      <c r="L1115" s="8"/>
      <c r="M1115" s="8"/>
      <c r="N1115" s="8"/>
      <c r="O1115" s="8"/>
      <c r="P1115" s="8"/>
    </row>
    <row r="1116" spans="7:16" x14ac:dyDescent="0.2">
      <c r="G1116" s="8"/>
      <c r="H1116" s="8"/>
      <c r="J1116" s="8"/>
      <c r="K1116" s="8"/>
      <c r="L1116" s="8"/>
      <c r="M1116" s="8"/>
      <c r="N1116" s="8"/>
      <c r="O1116" s="8"/>
      <c r="P1116" s="8"/>
    </row>
    <row r="1117" spans="7:16" x14ac:dyDescent="0.2">
      <c r="G1117" s="8"/>
      <c r="H1117" s="8"/>
      <c r="J1117" s="8"/>
      <c r="K1117" s="8"/>
      <c r="L1117" s="8"/>
      <c r="M1117" s="8"/>
      <c r="N1117" s="8"/>
      <c r="O1117" s="8"/>
      <c r="P1117" s="8"/>
    </row>
    <row r="1118" spans="7:16" x14ac:dyDescent="0.2">
      <c r="G1118" s="8"/>
      <c r="H1118" s="8"/>
      <c r="J1118" s="8"/>
      <c r="K1118" s="8"/>
      <c r="L1118" s="8"/>
      <c r="M1118" s="8"/>
      <c r="N1118" s="8"/>
      <c r="O1118" s="8"/>
      <c r="P1118" s="8"/>
    </row>
    <row r="1119" spans="7:16" x14ac:dyDescent="0.2">
      <c r="G1119" s="8"/>
      <c r="H1119" s="8"/>
      <c r="J1119" s="8"/>
      <c r="K1119" s="8"/>
      <c r="L1119" s="8"/>
      <c r="M1119" s="8"/>
      <c r="N1119" s="8"/>
      <c r="O1119" s="8"/>
      <c r="P1119" s="8"/>
    </row>
    <row r="1120" spans="7:16" x14ac:dyDescent="0.2">
      <c r="G1120" s="8"/>
      <c r="H1120" s="8"/>
      <c r="J1120" s="8"/>
      <c r="K1120" s="8"/>
      <c r="L1120" s="8"/>
      <c r="M1120" s="8"/>
      <c r="N1120" s="8"/>
      <c r="O1120" s="8"/>
      <c r="P1120" s="8"/>
    </row>
    <row r="1121" spans="7:16" x14ac:dyDescent="0.2">
      <c r="G1121" s="8"/>
      <c r="H1121" s="8"/>
      <c r="J1121" s="8"/>
      <c r="K1121" s="8"/>
      <c r="L1121" s="8"/>
      <c r="M1121" s="8"/>
      <c r="N1121" s="8"/>
      <c r="O1121" s="8"/>
      <c r="P1121" s="8"/>
    </row>
    <row r="1122" spans="7:16" x14ac:dyDescent="0.2">
      <c r="G1122" s="8"/>
      <c r="H1122" s="8"/>
      <c r="J1122" s="8"/>
      <c r="K1122" s="8"/>
      <c r="L1122" s="8"/>
      <c r="M1122" s="8"/>
      <c r="N1122" s="8"/>
      <c r="O1122" s="8"/>
      <c r="P1122" s="8"/>
    </row>
    <row r="1123" spans="7:16" x14ac:dyDescent="0.2">
      <c r="G1123" s="8"/>
      <c r="H1123" s="8"/>
      <c r="J1123" s="8"/>
      <c r="K1123" s="8"/>
      <c r="L1123" s="8"/>
      <c r="M1123" s="8"/>
      <c r="N1123" s="8"/>
      <c r="O1123" s="8"/>
      <c r="P1123" s="8"/>
    </row>
    <row r="1124" spans="7:16" x14ac:dyDescent="0.2">
      <c r="G1124" s="8"/>
      <c r="H1124" s="8"/>
      <c r="J1124" s="8"/>
      <c r="K1124" s="8"/>
      <c r="L1124" s="8"/>
      <c r="M1124" s="8"/>
      <c r="N1124" s="8"/>
      <c r="O1124" s="8"/>
      <c r="P1124" s="8"/>
    </row>
    <row r="1125" spans="7:16" x14ac:dyDescent="0.2">
      <c r="G1125" s="8"/>
      <c r="H1125" s="8"/>
      <c r="J1125" s="8"/>
      <c r="K1125" s="8"/>
      <c r="L1125" s="8"/>
      <c r="M1125" s="8"/>
      <c r="N1125" s="8"/>
      <c r="O1125" s="8"/>
      <c r="P1125" s="8"/>
    </row>
    <row r="1126" spans="7:16" x14ac:dyDescent="0.2">
      <c r="G1126" s="8"/>
      <c r="H1126" s="8"/>
      <c r="J1126" s="8"/>
      <c r="K1126" s="8"/>
      <c r="L1126" s="8"/>
      <c r="M1126" s="8"/>
      <c r="N1126" s="8"/>
      <c r="O1126" s="8"/>
      <c r="P1126" s="8"/>
    </row>
    <row r="1127" spans="7:16" x14ac:dyDescent="0.2">
      <c r="G1127" s="8"/>
      <c r="H1127" s="8"/>
      <c r="J1127" s="8"/>
      <c r="K1127" s="8"/>
      <c r="L1127" s="8"/>
      <c r="M1127" s="8"/>
      <c r="N1127" s="8"/>
      <c r="O1127" s="8"/>
      <c r="P1127" s="8"/>
    </row>
    <row r="1128" spans="7:16" x14ac:dyDescent="0.2">
      <c r="G1128" s="8"/>
      <c r="H1128" s="8"/>
      <c r="J1128" s="8"/>
      <c r="K1128" s="8"/>
      <c r="L1128" s="8"/>
      <c r="M1128" s="8"/>
      <c r="N1128" s="8"/>
      <c r="O1128" s="8"/>
      <c r="P1128" s="8"/>
    </row>
    <row r="1129" spans="7:16" x14ac:dyDescent="0.2">
      <c r="G1129" s="8"/>
      <c r="H1129" s="8"/>
      <c r="J1129" s="8"/>
      <c r="K1129" s="8"/>
      <c r="L1129" s="8"/>
      <c r="M1129" s="8"/>
      <c r="N1129" s="8"/>
      <c r="O1129" s="8"/>
      <c r="P1129" s="8"/>
    </row>
    <row r="1130" spans="7:16" x14ac:dyDescent="0.2">
      <c r="G1130" s="8"/>
      <c r="H1130" s="8"/>
      <c r="J1130" s="8"/>
      <c r="K1130" s="8"/>
      <c r="L1130" s="8"/>
      <c r="M1130" s="8"/>
      <c r="N1130" s="8"/>
      <c r="O1130" s="8"/>
      <c r="P1130" s="8"/>
    </row>
    <row r="1131" spans="7:16" x14ac:dyDescent="0.2">
      <c r="G1131" s="8"/>
      <c r="H1131" s="8"/>
      <c r="J1131" s="8"/>
      <c r="K1131" s="8"/>
      <c r="L1131" s="8"/>
      <c r="M1131" s="8"/>
      <c r="N1131" s="8"/>
      <c r="O1131" s="8"/>
      <c r="P1131" s="8"/>
    </row>
    <row r="1132" spans="7:16" x14ac:dyDescent="0.2">
      <c r="G1132" s="8"/>
      <c r="H1132" s="8"/>
      <c r="J1132" s="8"/>
      <c r="K1132" s="8"/>
      <c r="L1132" s="8"/>
      <c r="M1132" s="8"/>
      <c r="N1132" s="8"/>
      <c r="O1132" s="8"/>
      <c r="P1132" s="8"/>
    </row>
    <row r="1133" spans="7:16" x14ac:dyDescent="0.2">
      <c r="G1133" s="8"/>
      <c r="H1133" s="8"/>
      <c r="J1133" s="8"/>
      <c r="K1133" s="8"/>
      <c r="L1133" s="8"/>
      <c r="M1133" s="8"/>
      <c r="N1133" s="8"/>
      <c r="O1133" s="8"/>
      <c r="P1133" s="8"/>
    </row>
    <row r="1134" spans="7:16" x14ac:dyDescent="0.2">
      <c r="G1134" s="8"/>
      <c r="H1134" s="8"/>
      <c r="J1134" s="8"/>
      <c r="K1134" s="8"/>
      <c r="L1134" s="8"/>
      <c r="M1134" s="8"/>
      <c r="N1134" s="8"/>
      <c r="O1134" s="8"/>
      <c r="P1134" s="8"/>
    </row>
    <row r="1135" spans="7:16" x14ac:dyDescent="0.2">
      <c r="G1135" s="8"/>
      <c r="H1135" s="8"/>
      <c r="J1135" s="8"/>
      <c r="K1135" s="8"/>
      <c r="L1135" s="8"/>
      <c r="M1135" s="8"/>
      <c r="N1135" s="8"/>
      <c r="O1135" s="8"/>
      <c r="P1135" s="8"/>
    </row>
    <row r="1136" spans="7:16" x14ac:dyDescent="0.2">
      <c r="G1136" s="8"/>
      <c r="H1136" s="8"/>
      <c r="J1136" s="8"/>
      <c r="K1136" s="8"/>
      <c r="L1136" s="8"/>
      <c r="M1136" s="8"/>
      <c r="N1136" s="8"/>
      <c r="O1136" s="8"/>
      <c r="P1136" s="8"/>
    </row>
    <row r="1137" spans="7:16" x14ac:dyDescent="0.2">
      <c r="G1137" s="8"/>
      <c r="H1137" s="8"/>
      <c r="J1137" s="8"/>
      <c r="K1137" s="8"/>
      <c r="L1137" s="8"/>
      <c r="M1137" s="8"/>
      <c r="N1137" s="8"/>
      <c r="O1137" s="8"/>
      <c r="P1137" s="8"/>
    </row>
    <row r="1138" spans="7:16" x14ac:dyDescent="0.2">
      <c r="G1138" s="8"/>
      <c r="H1138" s="8"/>
      <c r="J1138" s="8"/>
      <c r="K1138" s="8"/>
      <c r="L1138" s="8"/>
      <c r="M1138" s="8"/>
      <c r="N1138" s="8"/>
      <c r="O1138" s="8"/>
      <c r="P1138" s="8"/>
    </row>
    <row r="1139" spans="7:16" x14ac:dyDescent="0.2">
      <c r="G1139" s="8"/>
      <c r="H1139" s="8"/>
      <c r="J1139" s="8"/>
      <c r="K1139" s="8"/>
      <c r="L1139" s="8"/>
      <c r="M1139" s="8"/>
      <c r="N1139" s="8"/>
      <c r="O1139" s="8"/>
      <c r="P1139" s="8"/>
    </row>
    <row r="1140" spans="7:16" x14ac:dyDescent="0.2">
      <c r="G1140" s="8"/>
      <c r="H1140" s="8"/>
      <c r="J1140" s="8"/>
      <c r="K1140" s="8"/>
      <c r="L1140" s="8"/>
      <c r="M1140" s="8"/>
      <c r="N1140" s="8"/>
      <c r="O1140" s="8"/>
      <c r="P1140" s="8"/>
    </row>
    <row r="1141" spans="7:16" x14ac:dyDescent="0.2">
      <c r="G1141" s="8"/>
      <c r="H1141" s="8"/>
      <c r="J1141" s="8"/>
      <c r="K1141" s="8"/>
      <c r="L1141" s="8"/>
      <c r="M1141" s="8"/>
      <c r="N1141" s="8"/>
      <c r="O1141" s="8"/>
      <c r="P1141" s="8"/>
    </row>
    <row r="1142" spans="7:16" x14ac:dyDescent="0.2">
      <c r="G1142" s="8"/>
      <c r="H1142" s="8"/>
      <c r="J1142" s="8"/>
      <c r="K1142" s="8"/>
      <c r="L1142" s="8"/>
      <c r="M1142" s="8"/>
      <c r="N1142" s="8"/>
      <c r="O1142" s="8"/>
      <c r="P1142" s="8"/>
    </row>
    <row r="1143" spans="7:16" x14ac:dyDescent="0.2">
      <c r="G1143" s="8"/>
      <c r="H1143" s="8"/>
      <c r="J1143" s="8"/>
      <c r="K1143" s="8"/>
      <c r="L1143" s="8"/>
      <c r="M1143" s="8"/>
      <c r="N1143" s="8"/>
      <c r="O1143" s="8"/>
      <c r="P1143" s="8"/>
    </row>
    <row r="1144" spans="7:16" x14ac:dyDescent="0.2">
      <c r="G1144" s="8"/>
      <c r="H1144" s="8"/>
      <c r="J1144" s="8"/>
      <c r="K1144" s="8"/>
      <c r="L1144" s="8"/>
      <c r="M1144" s="8"/>
      <c r="N1144" s="8"/>
      <c r="O1144" s="8"/>
      <c r="P1144" s="8"/>
    </row>
    <row r="1145" spans="7:16" x14ac:dyDescent="0.2">
      <c r="G1145" s="8"/>
      <c r="H1145" s="8"/>
      <c r="J1145" s="8"/>
      <c r="K1145" s="8"/>
      <c r="L1145" s="8"/>
      <c r="M1145" s="8"/>
      <c r="N1145" s="8"/>
      <c r="O1145" s="8"/>
      <c r="P1145" s="8"/>
    </row>
    <row r="1146" spans="7:16" x14ac:dyDescent="0.2">
      <c r="G1146" s="8"/>
      <c r="H1146" s="8"/>
      <c r="J1146" s="8"/>
      <c r="K1146" s="8"/>
      <c r="L1146" s="8"/>
      <c r="M1146" s="8"/>
      <c r="N1146" s="8"/>
      <c r="O1146" s="8"/>
      <c r="P1146" s="8"/>
    </row>
    <row r="1147" spans="7:16" x14ac:dyDescent="0.2">
      <c r="G1147" s="8"/>
      <c r="H1147" s="8"/>
      <c r="J1147" s="8"/>
      <c r="K1147" s="8"/>
      <c r="L1147" s="8"/>
      <c r="M1147" s="8"/>
      <c r="N1147" s="8"/>
      <c r="O1147" s="8"/>
      <c r="P1147" s="8"/>
    </row>
    <row r="1148" spans="7:16" x14ac:dyDescent="0.2">
      <c r="G1148" s="8"/>
      <c r="H1148" s="8"/>
      <c r="J1148" s="8"/>
      <c r="K1148" s="8"/>
      <c r="L1148" s="8"/>
      <c r="M1148" s="8"/>
      <c r="N1148" s="8"/>
      <c r="O1148" s="8"/>
      <c r="P1148" s="8"/>
    </row>
    <row r="1149" spans="7:16" x14ac:dyDescent="0.2">
      <c r="G1149" s="8"/>
      <c r="H1149" s="8"/>
      <c r="J1149" s="8"/>
      <c r="K1149" s="8"/>
      <c r="L1149" s="8"/>
      <c r="M1149" s="8"/>
      <c r="N1149" s="8"/>
      <c r="O1149" s="8"/>
      <c r="P1149" s="8"/>
    </row>
    <row r="1150" spans="7:16" x14ac:dyDescent="0.2">
      <c r="G1150" s="8"/>
      <c r="H1150" s="8"/>
      <c r="J1150" s="8"/>
      <c r="K1150" s="8"/>
      <c r="L1150" s="8"/>
      <c r="M1150" s="8"/>
      <c r="N1150" s="8"/>
      <c r="O1150" s="8"/>
      <c r="P1150" s="8"/>
    </row>
    <row r="1151" spans="7:16" x14ac:dyDescent="0.2">
      <c r="G1151" s="8"/>
      <c r="H1151" s="8"/>
      <c r="J1151" s="8"/>
      <c r="K1151" s="8"/>
      <c r="L1151" s="8"/>
      <c r="M1151" s="8"/>
      <c r="N1151" s="8"/>
      <c r="O1151" s="8"/>
      <c r="P1151" s="8"/>
    </row>
    <row r="1152" spans="7:16" x14ac:dyDescent="0.2">
      <c r="G1152" s="8"/>
      <c r="H1152" s="8"/>
      <c r="J1152" s="8"/>
      <c r="K1152" s="8"/>
      <c r="L1152" s="8"/>
      <c r="M1152" s="8"/>
      <c r="N1152" s="8"/>
      <c r="O1152" s="8"/>
      <c r="P1152" s="8"/>
    </row>
    <row r="1153" spans="7:16" x14ac:dyDescent="0.2">
      <c r="G1153" s="8"/>
      <c r="H1153" s="8"/>
      <c r="J1153" s="8"/>
      <c r="K1153" s="8"/>
      <c r="L1153" s="8"/>
      <c r="M1153" s="8"/>
      <c r="N1153" s="8"/>
      <c r="O1153" s="8"/>
      <c r="P1153" s="8"/>
    </row>
    <row r="1154" spans="7:16" x14ac:dyDescent="0.2">
      <c r="G1154" s="8"/>
      <c r="H1154" s="8"/>
      <c r="J1154" s="8"/>
      <c r="K1154" s="8"/>
      <c r="L1154" s="8"/>
      <c r="M1154" s="8"/>
      <c r="N1154" s="8"/>
      <c r="O1154" s="8"/>
      <c r="P1154" s="8"/>
    </row>
    <row r="1155" spans="7:16" x14ac:dyDescent="0.2">
      <c r="G1155" s="8"/>
      <c r="H1155" s="8"/>
      <c r="J1155" s="8"/>
      <c r="K1155" s="8"/>
      <c r="L1155" s="8"/>
      <c r="M1155" s="8"/>
      <c r="N1155" s="8"/>
      <c r="O1155" s="8"/>
      <c r="P1155" s="8"/>
    </row>
    <row r="1156" spans="7:16" x14ac:dyDescent="0.2">
      <c r="G1156" s="8"/>
      <c r="H1156" s="8"/>
      <c r="J1156" s="8"/>
      <c r="K1156" s="8"/>
      <c r="L1156" s="8"/>
      <c r="M1156" s="8"/>
      <c r="N1156" s="8"/>
      <c r="O1156" s="8"/>
      <c r="P1156" s="8"/>
    </row>
    <row r="1157" spans="7:16" x14ac:dyDescent="0.2">
      <c r="G1157" s="8"/>
      <c r="H1157" s="8"/>
      <c r="J1157" s="8"/>
      <c r="K1157" s="8"/>
      <c r="L1157" s="8"/>
      <c r="M1157" s="8"/>
      <c r="N1157" s="8"/>
      <c r="O1157" s="8"/>
      <c r="P1157" s="8"/>
    </row>
    <row r="1158" spans="7:16" x14ac:dyDescent="0.2">
      <c r="G1158" s="8"/>
      <c r="H1158" s="8"/>
      <c r="J1158" s="8"/>
      <c r="K1158" s="8"/>
      <c r="L1158" s="8"/>
      <c r="M1158" s="8"/>
      <c r="N1158" s="8"/>
      <c r="O1158" s="8"/>
      <c r="P1158" s="8"/>
    </row>
    <row r="1159" spans="7:16" x14ac:dyDescent="0.2">
      <c r="G1159" s="8"/>
      <c r="H1159" s="8"/>
      <c r="J1159" s="8"/>
      <c r="K1159" s="8"/>
      <c r="L1159" s="8"/>
      <c r="M1159" s="8"/>
      <c r="N1159" s="8"/>
      <c r="O1159" s="8"/>
      <c r="P1159" s="8"/>
    </row>
    <row r="1160" spans="7:16" x14ac:dyDescent="0.2">
      <c r="G1160" s="8"/>
      <c r="H1160" s="8"/>
      <c r="J1160" s="8"/>
      <c r="K1160" s="8"/>
      <c r="L1160" s="8"/>
      <c r="M1160" s="8"/>
      <c r="N1160" s="8"/>
      <c r="O1160" s="8"/>
      <c r="P1160" s="8"/>
    </row>
    <row r="1161" spans="7:16" x14ac:dyDescent="0.2">
      <c r="G1161" s="8"/>
      <c r="H1161" s="8"/>
      <c r="J1161" s="8"/>
      <c r="K1161" s="8"/>
      <c r="L1161" s="8"/>
      <c r="M1161" s="8"/>
      <c r="N1161" s="8"/>
      <c r="O1161" s="8"/>
      <c r="P1161" s="8"/>
    </row>
    <row r="1162" spans="7:16" x14ac:dyDescent="0.2">
      <c r="G1162" s="8"/>
      <c r="H1162" s="8"/>
      <c r="J1162" s="8"/>
      <c r="K1162" s="8"/>
      <c r="L1162" s="8"/>
      <c r="M1162" s="8"/>
      <c r="N1162" s="8"/>
      <c r="O1162" s="8"/>
      <c r="P1162" s="8"/>
    </row>
    <row r="1163" spans="7:16" x14ac:dyDescent="0.2">
      <c r="G1163" s="8"/>
      <c r="H1163" s="8"/>
      <c r="J1163" s="8"/>
      <c r="K1163" s="8"/>
      <c r="L1163" s="8"/>
      <c r="M1163" s="8"/>
      <c r="N1163" s="8"/>
      <c r="O1163" s="8"/>
      <c r="P1163" s="8"/>
    </row>
    <row r="1164" spans="7:16" x14ac:dyDescent="0.2">
      <c r="G1164" s="8"/>
      <c r="H1164" s="8"/>
      <c r="J1164" s="8"/>
      <c r="K1164" s="8"/>
      <c r="L1164" s="8"/>
      <c r="M1164" s="8"/>
      <c r="N1164" s="8"/>
      <c r="O1164" s="8"/>
      <c r="P1164" s="8"/>
    </row>
    <row r="1165" spans="7:16" x14ac:dyDescent="0.2">
      <c r="G1165" s="8"/>
      <c r="H1165" s="8"/>
      <c r="J1165" s="8"/>
      <c r="K1165" s="8"/>
      <c r="L1165" s="8"/>
      <c r="M1165" s="8"/>
      <c r="N1165" s="8"/>
      <c r="O1165" s="8"/>
      <c r="P1165" s="8"/>
    </row>
    <row r="1166" spans="7:16" x14ac:dyDescent="0.2">
      <c r="G1166" s="8"/>
      <c r="H1166" s="8"/>
      <c r="J1166" s="8"/>
      <c r="K1166" s="8"/>
      <c r="L1166" s="8"/>
      <c r="M1166" s="8"/>
      <c r="N1166" s="8"/>
      <c r="O1166" s="8"/>
      <c r="P1166" s="8"/>
    </row>
    <row r="1167" spans="7:16" x14ac:dyDescent="0.2">
      <c r="G1167" s="8"/>
      <c r="H1167" s="8"/>
      <c r="J1167" s="8"/>
      <c r="K1167" s="8"/>
      <c r="L1167" s="8"/>
      <c r="M1167" s="8"/>
      <c r="N1167" s="8"/>
      <c r="O1167" s="8"/>
      <c r="P1167" s="8"/>
    </row>
    <row r="1168" spans="7:16" x14ac:dyDescent="0.2">
      <c r="G1168" s="8"/>
      <c r="H1168" s="8"/>
      <c r="J1168" s="8"/>
      <c r="K1168" s="8"/>
      <c r="L1168" s="8"/>
      <c r="M1168" s="8"/>
      <c r="N1168" s="8"/>
      <c r="O1168" s="8"/>
      <c r="P1168" s="8"/>
    </row>
    <row r="1169" spans="7:16" x14ac:dyDescent="0.2">
      <c r="G1169" s="8"/>
      <c r="H1169" s="8"/>
      <c r="J1169" s="8"/>
      <c r="K1169" s="8"/>
      <c r="L1169" s="8"/>
      <c r="M1169" s="8"/>
      <c r="N1169" s="8"/>
      <c r="O1169" s="8"/>
      <c r="P1169" s="8"/>
    </row>
    <row r="1170" spans="7:16" x14ac:dyDescent="0.2">
      <c r="G1170" s="8"/>
      <c r="H1170" s="8"/>
      <c r="J1170" s="8"/>
      <c r="K1170" s="8"/>
      <c r="L1170" s="8"/>
      <c r="M1170" s="8"/>
      <c r="N1170" s="8"/>
      <c r="O1170" s="8"/>
      <c r="P1170" s="8"/>
    </row>
    <row r="1171" spans="7:16" x14ac:dyDescent="0.2">
      <c r="G1171" s="8"/>
      <c r="H1171" s="8"/>
      <c r="J1171" s="8"/>
      <c r="K1171" s="8"/>
      <c r="L1171" s="8"/>
      <c r="M1171" s="8"/>
      <c r="N1171" s="8"/>
      <c r="O1171" s="8"/>
      <c r="P1171" s="8"/>
    </row>
    <row r="1172" spans="7:16" x14ac:dyDescent="0.2">
      <c r="G1172" s="8"/>
      <c r="H1172" s="8"/>
      <c r="J1172" s="8"/>
      <c r="K1172" s="8"/>
      <c r="L1172" s="8"/>
      <c r="M1172" s="8"/>
      <c r="N1172" s="8"/>
      <c r="O1172" s="8"/>
      <c r="P1172" s="8"/>
    </row>
    <row r="1173" spans="7:16" x14ac:dyDescent="0.2">
      <c r="G1173" s="8"/>
      <c r="H1173" s="8"/>
      <c r="J1173" s="8"/>
      <c r="K1173" s="8"/>
      <c r="L1173" s="8"/>
      <c r="M1173" s="8"/>
      <c r="N1173" s="8"/>
      <c r="O1173" s="8"/>
      <c r="P1173" s="8"/>
    </row>
    <row r="1174" spans="7:16" x14ac:dyDescent="0.2">
      <c r="G1174" s="8"/>
      <c r="H1174" s="8"/>
      <c r="J1174" s="8"/>
      <c r="K1174" s="8"/>
      <c r="L1174" s="8"/>
      <c r="M1174" s="8"/>
      <c r="N1174" s="8"/>
      <c r="O1174" s="8"/>
      <c r="P1174" s="8"/>
    </row>
    <row r="1175" spans="7:16" x14ac:dyDescent="0.2">
      <c r="G1175" s="8"/>
      <c r="H1175" s="8"/>
      <c r="J1175" s="8"/>
      <c r="K1175" s="8"/>
      <c r="L1175" s="8"/>
      <c r="M1175" s="8"/>
      <c r="N1175" s="8"/>
      <c r="O1175" s="8"/>
      <c r="P1175" s="8"/>
    </row>
    <row r="1176" spans="7:16" x14ac:dyDescent="0.2">
      <c r="G1176" s="8"/>
      <c r="H1176" s="8"/>
      <c r="J1176" s="8"/>
      <c r="K1176" s="8"/>
      <c r="L1176" s="8"/>
      <c r="M1176" s="8"/>
      <c r="N1176" s="8"/>
      <c r="O1176" s="8"/>
      <c r="P1176" s="8"/>
    </row>
    <row r="1177" spans="7:16" x14ac:dyDescent="0.2">
      <c r="G1177" s="8"/>
      <c r="H1177" s="8"/>
      <c r="J1177" s="8"/>
      <c r="K1177" s="8"/>
      <c r="L1177" s="8"/>
      <c r="M1177" s="8"/>
      <c r="N1177" s="8"/>
      <c r="O1177" s="8"/>
      <c r="P1177" s="8"/>
    </row>
    <row r="1178" spans="7:16" x14ac:dyDescent="0.2">
      <c r="G1178" s="8"/>
      <c r="H1178" s="8"/>
      <c r="J1178" s="8"/>
      <c r="K1178" s="8"/>
      <c r="L1178" s="8"/>
      <c r="M1178" s="8"/>
      <c r="N1178" s="8"/>
      <c r="O1178" s="8"/>
      <c r="P1178" s="8"/>
    </row>
    <row r="1179" spans="7:16" x14ac:dyDescent="0.2">
      <c r="G1179" s="8"/>
      <c r="H1179" s="8"/>
      <c r="J1179" s="8"/>
      <c r="K1179" s="8"/>
      <c r="L1179" s="8"/>
      <c r="M1179" s="8"/>
      <c r="N1179" s="8"/>
      <c r="O1179" s="8"/>
      <c r="P1179" s="8"/>
    </row>
    <row r="1180" spans="7:16" x14ac:dyDescent="0.2">
      <c r="G1180" s="8"/>
      <c r="H1180" s="8"/>
      <c r="J1180" s="8"/>
      <c r="K1180" s="8"/>
      <c r="L1180" s="8"/>
      <c r="M1180" s="8"/>
      <c r="N1180" s="8"/>
      <c r="O1180" s="8"/>
      <c r="P1180" s="8"/>
    </row>
    <row r="1181" spans="7:16" x14ac:dyDescent="0.2">
      <c r="G1181" s="8"/>
      <c r="H1181" s="8"/>
      <c r="J1181" s="8"/>
      <c r="K1181" s="8"/>
      <c r="L1181" s="8"/>
      <c r="M1181" s="8"/>
      <c r="N1181" s="8"/>
      <c r="O1181" s="8"/>
      <c r="P1181" s="8"/>
    </row>
    <row r="1182" spans="7:16" x14ac:dyDescent="0.2">
      <c r="G1182" s="8"/>
      <c r="H1182" s="8"/>
      <c r="J1182" s="8"/>
      <c r="K1182" s="8"/>
      <c r="L1182" s="8"/>
      <c r="M1182" s="8"/>
      <c r="N1182" s="8"/>
      <c r="O1182" s="8"/>
      <c r="P1182" s="8"/>
    </row>
    <row r="1183" spans="7:16" x14ac:dyDescent="0.2">
      <c r="G1183" s="8"/>
      <c r="H1183" s="8"/>
      <c r="J1183" s="8"/>
      <c r="K1183" s="8"/>
      <c r="L1183" s="8"/>
      <c r="M1183" s="8"/>
      <c r="N1183" s="8"/>
      <c r="O1183" s="8"/>
      <c r="P1183" s="8"/>
    </row>
    <row r="1184" spans="7:16" x14ac:dyDescent="0.2">
      <c r="G1184" s="8"/>
      <c r="H1184" s="8"/>
      <c r="J1184" s="8"/>
      <c r="K1184" s="8"/>
      <c r="L1184" s="8"/>
      <c r="M1184" s="8"/>
      <c r="N1184" s="8"/>
      <c r="O1184" s="8"/>
      <c r="P1184" s="8"/>
    </row>
    <row r="1185" spans="7:16" x14ac:dyDescent="0.2">
      <c r="G1185" s="8"/>
      <c r="H1185" s="8"/>
      <c r="J1185" s="8"/>
      <c r="K1185" s="8"/>
      <c r="L1185" s="8"/>
      <c r="M1185" s="8"/>
      <c r="N1185" s="8"/>
      <c r="O1185" s="8"/>
      <c r="P1185" s="8"/>
    </row>
    <row r="1186" spans="7:16" x14ac:dyDescent="0.2">
      <c r="G1186" s="8"/>
      <c r="H1186" s="8"/>
      <c r="J1186" s="8"/>
      <c r="K1186" s="8"/>
      <c r="L1186" s="8"/>
      <c r="M1186" s="8"/>
      <c r="N1186" s="8"/>
      <c r="O1186" s="8"/>
      <c r="P1186" s="8"/>
    </row>
    <row r="1187" spans="7:16" x14ac:dyDescent="0.2">
      <c r="G1187" s="8"/>
      <c r="H1187" s="8"/>
      <c r="J1187" s="8"/>
      <c r="K1187" s="8"/>
      <c r="L1187" s="8"/>
      <c r="M1187" s="8"/>
      <c r="N1187" s="8"/>
      <c r="O1187" s="8"/>
      <c r="P1187" s="8"/>
    </row>
    <row r="1188" spans="7:16" x14ac:dyDescent="0.2">
      <c r="G1188" s="8"/>
      <c r="H1188" s="8"/>
      <c r="J1188" s="8"/>
      <c r="K1188" s="8"/>
      <c r="L1188" s="8"/>
      <c r="M1188" s="8"/>
      <c r="N1188" s="8"/>
      <c r="O1188" s="8"/>
      <c r="P1188" s="8"/>
    </row>
    <row r="1189" spans="7:16" x14ac:dyDescent="0.2">
      <c r="G1189" s="8"/>
      <c r="H1189" s="8"/>
      <c r="J1189" s="8"/>
      <c r="K1189" s="8"/>
      <c r="L1189" s="8"/>
      <c r="M1189" s="8"/>
      <c r="N1189" s="8"/>
      <c r="O1189" s="8"/>
      <c r="P1189" s="8"/>
    </row>
    <row r="1190" spans="7:16" x14ac:dyDescent="0.2">
      <c r="G1190" s="8"/>
      <c r="H1190" s="8"/>
      <c r="J1190" s="8"/>
      <c r="K1190" s="8"/>
      <c r="L1190" s="8"/>
      <c r="M1190" s="8"/>
      <c r="N1190" s="8"/>
      <c r="O1190" s="8"/>
      <c r="P1190" s="8"/>
    </row>
    <row r="1191" spans="7:16" x14ac:dyDescent="0.2">
      <c r="G1191" s="8"/>
      <c r="H1191" s="8"/>
      <c r="J1191" s="8"/>
      <c r="K1191" s="8"/>
      <c r="L1191" s="8"/>
      <c r="M1191" s="8"/>
      <c r="N1191" s="8"/>
      <c r="O1191" s="8"/>
      <c r="P1191" s="8"/>
    </row>
    <row r="1192" spans="7:16" x14ac:dyDescent="0.2">
      <c r="G1192" s="8"/>
      <c r="H1192" s="8"/>
      <c r="J1192" s="8"/>
      <c r="K1192" s="8"/>
      <c r="L1192" s="8"/>
      <c r="M1192" s="8"/>
      <c r="N1192" s="8"/>
      <c r="O1192" s="8"/>
      <c r="P1192" s="8"/>
    </row>
    <row r="1193" spans="7:16" x14ac:dyDescent="0.2">
      <c r="G1193" s="8"/>
      <c r="H1193" s="8"/>
      <c r="J1193" s="8"/>
      <c r="K1193" s="8"/>
      <c r="L1193" s="8"/>
      <c r="M1193" s="8"/>
      <c r="N1193" s="8"/>
      <c r="O1193" s="8"/>
      <c r="P1193" s="8"/>
    </row>
    <row r="1194" spans="7:16" x14ac:dyDescent="0.2">
      <c r="G1194" s="8"/>
      <c r="H1194" s="8"/>
      <c r="J1194" s="8"/>
      <c r="K1194" s="8"/>
      <c r="L1194" s="8"/>
      <c r="M1194" s="8"/>
      <c r="N1194" s="8"/>
      <c r="O1194" s="8"/>
      <c r="P1194" s="8"/>
    </row>
    <row r="1195" spans="7:16" x14ac:dyDescent="0.2">
      <c r="G1195" s="8"/>
      <c r="H1195" s="8"/>
      <c r="J1195" s="8"/>
      <c r="K1195" s="8"/>
      <c r="L1195" s="8"/>
      <c r="M1195" s="8"/>
      <c r="N1195" s="8"/>
      <c r="O1195" s="8"/>
      <c r="P1195" s="8"/>
    </row>
    <row r="1196" spans="7:16" x14ac:dyDescent="0.2">
      <c r="G1196" s="8"/>
      <c r="H1196" s="8"/>
      <c r="J1196" s="8"/>
      <c r="K1196" s="8"/>
      <c r="L1196" s="8"/>
      <c r="M1196" s="8"/>
      <c r="N1196" s="8"/>
      <c r="O1196" s="8"/>
      <c r="P1196" s="8"/>
    </row>
    <row r="1197" spans="7:16" x14ac:dyDescent="0.2">
      <c r="G1197" s="8"/>
      <c r="H1197" s="8"/>
      <c r="J1197" s="8"/>
      <c r="K1197" s="8"/>
      <c r="L1197" s="8"/>
      <c r="M1197" s="8"/>
      <c r="N1197" s="8"/>
      <c r="O1197" s="8"/>
      <c r="P1197" s="8"/>
    </row>
    <row r="1198" spans="7:16" x14ac:dyDescent="0.2">
      <c r="G1198" s="8"/>
      <c r="H1198" s="8"/>
      <c r="J1198" s="8"/>
      <c r="K1198" s="8"/>
      <c r="L1198" s="8"/>
      <c r="M1198" s="8"/>
      <c r="N1198" s="8"/>
      <c r="O1198" s="8"/>
      <c r="P1198" s="8"/>
    </row>
    <row r="1199" spans="7:16" x14ac:dyDescent="0.2">
      <c r="G1199" s="8"/>
      <c r="H1199" s="8"/>
      <c r="J1199" s="8"/>
      <c r="K1199" s="8"/>
      <c r="L1199" s="8"/>
      <c r="M1199" s="8"/>
      <c r="N1199" s="8"/>
      <c r="O1199" s="8"/>
      <c r="P1199" s="8"/>
    </row>
    <row r="1200" spans="7:16" x14ac:dyDescent="0.2">
      <c r="G1200" s="8"/>
      <c r="H1200" s="8"/>
      <c r="J1200" s="8"/>
      <c r="K1200" s="8"/>
      <c r="L1200" s="8"/>
      <c r="M1200" s="8"/>
      <c r="N1200" s="8"/>
      <c r="O1200" s="8"/>
      <c r="P1200" s="8"/>
    </row>
    <row r="1201" spans="7:16" x14ac:dyDescent="0.2">
      <c r="G1201" s="8"/>
      <c r="H1201" s="8"/>
      <c r="J1201" s="8"/>
      <c r="K1201" s="8"/>
      <c r="L1201" s="8"/>
      <c r="M1201" s="8"/>
      <c r="N1201" s="8"/>
      <c r="O1201" s="8"/>
      <c r="P1201" s="8"/>
    </row>
    <row r="1202" spans="7:16" x14ac:dyDescent="0.2">
      <c r="G1202" s="8"/>
      <c r="H1202" s="8"/>
      <c r="J1202" s="8"/>
      <c r="K1202" s="8"/>
      <c r="L1202" s="8"/>
      <c r="M1202" s="8"/>
      <c r="N1202" s="8"/>
      <c r="O1202" s="8"/>
      <c r="P1202" s="8"/>
    </row>
    <row r="1203" spans="7:16" x14ac:dyDescent="0.2">
      <c r="G1203" s="8"/>
      <c r="H1203" s="8"/>
      <c r="J1203" s="8"/>
      <c r="K1203" s="8"/>
      <c r="L1203" s="8"/>
      <c r="M1203" s="8"/>
      <c r="N1203" s="8"/>
      <c r="O1203" s="8"/>
      <c r="P1203" s="8"/>
    </row>
    <row r="1204" spans="7:16" x14ac:dyDescent="0.2">
      <c r="G1204" s="8"/>
      <c r="H1204" s="8"/>
      <c r="J1204" s="8"/>
      <c r="K1204" s="8"/>
      <c r="L1204" s="8"/>
      <c r="M1204" s="8"/>
      <c r="N1204" s="8"/>
      <c r="O1204" s="8"/>
      <c r="P1204" s="8"/>
    </row>
    <row r="1205" spans="7:16" x14ac:dyDescent="0.2">
      <c r="G1205" s="8"/>
      <c r="H1205" s="8"/>
      <c r="J1205" s="8"/>
      <c r="K1205" s="8"/>
      <c r="L1205" s="8"/>
      <c r="M1205" s="8"/>
      <c r="N1205" s="8"/>
      <c r="O1205" s="8"/>
      <c r="P1205" s="8"/>
    </row>
    <row r="1206" spans="7:16" x14ac:dyDescent="0.2">
      <c r="G1206" s="8"/>
      <c r="H1206" s="8"/>
      <c r="J1206" s="8"/>
      <c r="K1206" s="8"/>
      <c r="L1206" s="8"/>
      <c r="M1206" s="8"/>
      <c r="N1206" s="8"/>
      <c r="O1206" s="8"/>
      <c r="P1206" s="8"/>
    </row>
    <row r="1207" spans="7:16" x14ac:dyDescent="0.2">
      <c r="G1207" s="8"/>
      <c r="H1207" s="8"/>
      <c r="J1207" s="8"/>
      <c r="K1207" s="8"/>
      <c r="L1207" s="8"/>
      <c r="M1207" s="8"/>
      <c r="N1207" s="8"/>
      <c r="O1207" s="8"/>
      <c r="P1207" s="8"/>
    </row>
    <row r="1208" spans="7:16" x14ac:dyDescent="0.2">
      <c r="G1208" s="8"/>
      <c r="H1208" s="8"/>
      <c r="J1208" s="8"/>
      <c r="K1208" s="8"/>
      <c r="L1208" s="8"/>
      <c r="M1208" s="8"/>
      <c r="N1208" s="8"/>
      <c r="O1208" s="8"/>
      <c r="P1208" s="8"/>
    </row>
    <row r="1209" spans="7:16" x14ac:dyDescent="0.2">
      <c r="G1209" s="8"/>
      <c r="H1209" s="8"/>
      <c r="J1209" s="8"/>
      <c r="K1209" s="8"/>
      <c r="L1209" s="8"/>
      <c r="M1209" s="8"/>
      <c r="N1209" s="8"/>
      <c r="O1209" s="8"/>
      <c r="P1209" s="8"/>
    </row>
    <row r="1210" spans="7:16" x14ac:dyDescent="0.2">
      <c r="G1210" s="8"/>
      <c r="H1210" s="8"/>
      <c r="J1210" s="8"/>
      <c r="K1210" s="8"/>
      <c r="L1210" s="8"/>
      <c r="M1210" s="8"/>
      <c r="N1210" s="8"/>
      <c r="O1210" s="8"/>
      <c r="P1210" s="8"/>
    </row>
    <row r="1211" spans="7:16" x14ac:dyDescent="0.2">
      <c r="G1211" s="8"/>
      <c r="H1211" s="8"/>
      <c r="J1211" s="8"/>
      <c r="K1211" s="8"/>
      <c r="L1211" s="8"/>
      <c r="M1211" s="8"/>
      <c r="N1211" s="8"/>
      <c r="O1211" s="8"/>
      <c r="P1211" s="8"/>
    </row>
    <row r="1212" spans="7:16" x14ac:dyDescent="0.2">
      <c r="G1212" s="8"/>
      <c r="H1212" s="8"/>
      <c r="J1212" s="8"/>
      <c r="K1212" s="8"/>
      <c r="L1212" s="8"/>
      <c r="M1212" s="8"/>
      <c r="N1212" s="8"/>
      <c r="O1212" s="8"/>
      <c r="P1212" s="8"/>
    </row>
    <row r="1213" spans="7:16" x14ac:dyDescent="0.2">
      <c r="G1213" s="8"/>
      <c r="H1213" s="8"/>
      <c r="J1213" s="8"/>
      <c r="K1213" s="8"/>
      <c r="L1213" s="8"/>
      <c r="M1213" s="8"/>
      <c r="N1213" s="8"/>
      <c r="O1213" s="8"/>
      <c r="P1213" s="8"/>
    </row>
    <row r="1214" spans="7:16" x14ac:dyDescent="0.2">
      <c r="G1214" s="8"/>
      <c r="H1214" s="8"/>
      <c r="J1214" s="8"/>
      <c r="K1214" s="8"/>
      <c r="L1214" s="8"/>
      <c r="M1214" s="8"/>
      <c r="N1214" s="8"/>
      <c r="O1214" s="8"/>
      <c r="P1214" s="8"/>
    </row>
    <row r="1215" spans="7:16" x14ac:dyDescent="0.2">
      <c r="G1215" s="8"/>
      <c r="H1215" s="8"/>
      <c r="J1215" s="8"/>
      <c r="K1215" s="8"/>
      <c r="L1215" s="8"/>
      <c r="M1215" s="8"/>
      <c r="N1215" s="8"/>
      <c r="O1215" s="8"/>
      <c r="P1215" s="8"/>
    </row>
    <row r="1216" spans="7:16" x14ac:dyDescent="0.2">
      <c r="G1216" s="8"/>
      <c r="H1216" s="8"/>
      <c r="J1216" s="8"/>
      <c r="K1216" s="8"/>
      <c r="L1216" s="8"/>
      <c r="M1216" s="8"/>
      <c r="N1216" s="8"/>
      <c r="O1216" s="8"/>
      <c r="P1216" s="8"/>
    </row>
    <row r="1217" spans="7:16" x14ac:dyDescent="0.2">
      <c r="G1217" s="8"/>
      <c r="H1217" s="8"/>
      <c r="J1217" s="8"/>
      <c r="K1217" s="8"/>
      <c r="L1217" s="8"/>
      <c r="M1217" s="8"/>
      <c r="N1217" s="8"/>
      <c r="O1217" s="8"/>
      <c r="P1217" s="8"/>
    </row>
    <row r="1218" spans="7:16" x14ac:dyDescent="0.2">
      <c r="G1218" s="8"/>
      <c r="H1218" s="8"/>
      <c r="J1218" s="8"/>
      <c r="K1218" s="8"/>
      <c r="L1218" s="8"/>
      <c r="M1218" s="8"/>
      <c r="N1218" s="8"/>
      <c r="O1218" s="8"/>
      <c r="P1218" s="8"/>
    </row>
    <row r="1219" spans="7:16" x14ac:dyDescent="0.2">
      <c r="G1219" s="8"/>
      <c r="H1219" s="8"/>
      <c r="J1219" s="8"/>
      <c r="K1219" s="8"/>
      <c r="L1219" s="8"/>
      <c r="M1219" s="8"/>
      <c r="N1219" s="8"/>
      <c r="O1219" s="8"/>
      <c r="P1219" s="8"/>
    </row>
    <row r="1220" spans="7:16" x14ac:dyDescent="0.2">
      <c r="G1220" s="8"/>
      <c r="H1220" s="8"/>
      <c r="J1220" s="8"/>
      <c r="K1220" s="8"/>
      <c r="L1220" s="8"/>
      <c r="M1220" s="8"/>
      <c r="N1220" s="8"/>
      <c r="O1220" s="8"/>
      <c r="P1220" s="8"/>
    </row>
    <row r="1221" spans="7:16" x14ac:dyDescent="0.2">
      <c r="G1221" s="8"/>
      <c r="H1221" s="8"/>
      <c r="J1221" s="8"/>
      <c r="K1221" s="8"/>
      <c r="L1221" s="8"/>
      <c r="M1221" s="8"/>
      <c r="N1221" s="8"/>
      <c r="O1221" s="8"/>
      <c r="P1221" s="8"/>
    </row>
    <row r="1222" spans="7:16" x14ac:dyDescent="0.2">
      <c r="G1222" s="8"/>
      <c r="H1222" s="8"/>
      <c r="J1222" s="8"/>
      <c r="K1222" s="8"/>
      <c r="L1222" s="8"/>
      <c r="M1222" s="8"/>
      <c r="N1222" s="8"/>
      <c r="O1222" s="8"/>
      <c r="P1222" s="8"/>
    </row>
    <row r="1223" spans="7:16" x14ac:dyDescent="0.2">
      <c r="G1223" s="8"/>
      <c r="H1223" s="8"/>
      <c r="J1223" s="8"/>
      <c r="K1223" s="8"/>
      <c r="L1223" s="8"/>
      <c r="M1223" s="8"/>
      <c r="N1223" s="8"/>
      <c r="O1223" s="8"/>
      <c r="P1223" s="8"/>
    </row>
    <row r="1224" spans="7:16" x14ac:dyDescent="0.2">
      <c r="G1224" s="8"/>
      <c r="H1224" s="8"/>
      <c r="J1224" s="8"/>
      <c r="K1224" s="8"/>
      <c r="L1224" s="8"/>
      <c r="M1224" s="8"/>
      <c r="N1224" s="8"/>
      <c r="O1224" s="8"/>
      <c r="P1224" s="8"/>
    </row>
    <row r="1225" spans="7:16" x14ac:dyDescent="0.2">
      <c r="G1225" s="8"/>
      <c r="H1225" s="8"/>
      <c r="J1225" s="8"/>
      <c r="K1225" s="8"/>
      <c r="L1225" s="8"/>
      <c r="M1225" s="8"/>
      <c r="N1225" s="8"/>
      <c r="O1225" s="8"/>
      <c r="P1225" s="8"/>
    </row>
    <row r="1226" spans="7:16" x14ac:dyDescent="0.2">
      <c r="G1226" s="8"/>
      <c r="H1226" s="8"/>
      <c r="J1226" s="8"/>
      <c r="K1226" s="8"/>
      <c r="L1226" s="8"/>
      <c r="M1226" s="8"/>
      <c r="N1226" s="8"/>
      <c r="O1226" s="8"/>
      <c r="P1226" s="8"/>
    </row>
    <row r="1227" spans="7:16" x14ac:dyDescent="0.2">
      <c r="G1227" s="8"/>
      <c r="H1227" s="8"/>
      <c r="J1227" s="8"/>
      <c r="K1227" s="8"/>
      <c r="L1227" s="8"/>
      <c r="M1227" s="8"/>
      <c r="N1227" s="8"/>
      <c r="O1227" s="8"/>
      <c r="P1227" s="8"/>
    </row>
    <row r="1228" spans="7:16" x14ac:dyDescent="0.2">
      <c r="G1228" s="8"/>
      <c r="H1228" s="8"/>
      <c r="J1228" s="8"/>
      <c r="K1228" s="8"/>
      <c r="L1228" s="8"/>
      <c r="M1228" s="8"/>
      <c r="N1228" s="8"/>
      <c r="O1228" s="8"/>
      <c r="P1228" s="8"/>
    </row>
    <row r="1229" spans="7:16" x14ac:dyDescent="0.2">
      <c r="G1229" s="8"/>
      <c r="H1229" s="8"/>
      <c r="J1229" s="8"/>
      <c r="K1229" s="8"/>
      <c r="L1229" s="8"/>
      <c r="M1229" s="8"/>
      <c r="N1229" s="8"/>
      <c r="O1229" s="8"/>
      <c r="P1229" s="8"/>
    </row>
  </sheetData>
  <mergeCells count="4">
    <mergeCell ref="D1:E1"/>
    <mergeCell ref="G1:K1"/>
    <mergeCell ref="T3:T4"/>
    <mergeCell ref="U3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Asset-Share</vt:lpstr>
      <vt:lpstr>Hipotesis</vt:lpstr>
      <vt:lpstr>Primas Netas Y Reservas</vt:lpstr>
      <vt:lpstr>Tabla de Mortalidad Conmutados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2022-01-29T15:12:24Z</dcterms:created>
  <dcterms:modified xsi:type="dcterms:W3CDTF">2022-05-07T16:45:54Z</dcterms:modified>
</cp:coreProperties>
</file>