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Alison/Documents/GitHub/amlturbo.github.io/assets/images/"/>
    </mc:Choice>
  </mc:AlternateContent>
  <bookViews>
    <workbookView xWindow="0" yWindow="460" windowWidth="38400" windowHeight="23460" tabRatio="500" activeTab="2"/>
  </bookViews>
  <sheets>
    <sheet name="51g protein" sheetId="4" r:id="rId1"/>
    <sheet name="93g protein" sheetId="1" r:id="rId2"/>
    <sheet name="Sheet2" sheetId="2" r:id="rId3"/>
    <sheet name="Sheet3" sheetId="3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54" i="1" l="1"/>
  <c r="B162" i="1"/>
  <c r="C162" i="1"/>
  <c r="B35" i="4"/>
  <c r="B34" i="4"/>
  <c r="B33" i="4"/>
  <c r="B32" i="4"/>
  <c r="B31" i="4"/>
  <c r="B28" i="4"/>
  <c r="B29" i="4"/>
  <c r="B36" i="4"/>
  <c r="C8" i="4"/>
  <c r="B18" i="4"/>
  <c r="C97" i="4"/>
  <c r="C9" i="4"/>
  <c r="B19" i="4"/>
  <c r="C94" i="4"/>
  <c r="C11" i="4"/>
  <c r="C12" i="4"/>
  <c r="B20" i="4"/>
  <c r="C92" i="4"/>
  <c r="C87" i="4"/>
  <c r="D94" i="4"/>
  <c r="D92" i="4"/>
  <c r="B30" i="4"/>
  <c r="D87" i="4"/>
  <c r="B42" i="4"/>
  <c r="C42" i="4"/>
  <c r="D42" i="4"/>
  <c r="B66" i="4"/>
  <c r="B54" i="4"/>
  <c r="B56" i="4"/>
  <c r="C66" i="4"/>
  <c r="C166" i="4"/>
  <c r="B166" i="4"/>
  <c r="B88" i="4"/>
  <c r="C88" i="4"/>
  <c r="D88" i="4"/>
  <c r="B43" i="4"/>
  <c r="C43" i="4"/>
  <c r="D43" i="4"/>
  <c r="B99" i="4"/>
  <c r="C99" i="4"/>
  <c r="D99" i="4"/>
  <c r="B44" i="4"/>
  <c r="C44" i="4"/>
  <c r="D44" i="4"/>
  <c r="C93" i="4"/>
  <c r="D93" i="4"/>
  <c r="B45" i="4"/>
  <c r="C45" i="4"/>
  <c r="D45" i="4"/>
  <c r="C91" i="4"/>
  <c r="D91" i="4"/>
  <c r="B46" i="4"/>
  <c r="C46" i="4"/>
  <c r="D46" i="4"/>
  <c r="C95" i="4"/>
  <c r="D95" i="4"/>
  <c r="B47" i="4"/>
  <c r="C47" i="4"/>
  <c r="D47" i="4"/>
  <c r="C89" i="4"/>
  <c r="D89" i="4"/>
  <c r="B48" i="4"/>
  <c r="C48" i="4"/>
  <c r="D48" i="4"/>
  <c r="B65" i="4"/>
  <c r="C65" i="4"/>
  <c r="C165" i="4"/>
  <c r="B165" i="4"/>
  <c r="B61" i="4"/>
  <c r="C61" i="4"/>
  <c r="C164" i="4"/>
  <c r="B164" i="4"/>
  <c r="E97" i="4"/>
  <c r="E92" i="4"/>
  <c r="B23" i="4"/>
  <c r="I51" i="4"/>
  <c r="B64" i="4"/>
  <c r="C64" i="4"/>
  <c r="C163" i="4"/>
  <c r="B163" i="4"/>
  <c r="B63" i="4"/>
  <c r="C63" i="4"/>
  <c r="C162" i="4"/>
  <c r="B162" i="4"/>
  <c r="F157" i="4"/>
  <c r="C157" i="4"/>
  <c r="D157" i="4"/>
  <c r="F156" i="4"/>
  <c r="C156" i="4"/>
  <c r="D156" i="4"/>
  <c r="F155" i="4"/>
  <c r="C155" i="4"/>
  <c r="D155" i="4"/>
  <c r="F154" i="4"/>
  <c r="C154" i="4"/>
  <c r="D154" i="4"/>
  <c r="F153" i="4"/>
  <c r="C153" i="4"/>
  <c r="D153" i="4"/>
  <c r="F152" i="4"/>
  <c r="C152" i="4"/>
  <c r="D152" i="4"/>
  <c r="F151" i="4"/>
  <c r="C151" i="4"/>
  <c r="D151" i="4"/>
  <c r="F150" i="4"/>
  <c r="C150" i="4"/>
  <c r="D150" i="4"/>
  <c r="B142" i="4"/>
  <c r="E99" i="4"/>
  <c r="B141" i="4"/>
  <c r="C90" i="4"/>
  <c r="D90" i="4"/>
  <c r="E90" i="4"/>
  <c r="B140" i="4"/>
  <c r="C98" i="4"/>
  <c r="D98" i="4"/>
  <c r="E98" i="4"/>
  <c r="B139" i="4"/>
  <c r="E95" i="4"/>
  <c r="B138" i="4"/>
  <c r="E94" i="4"/>
  <c r="B137" i="4"/>
  <c r="E93" i="4"/>
  <c r="B136" i="4"/>
  <c r="B135" i="4"/>
  <c r="E91" i="4"/>
  <c r="B134" i="4"/>
  <c r="B96" i="4"/>
  <c r="C96" i="4"/>
  <c r="E96" i="4"/>
  <c r="B133" i="4"/>
  <c r="E89" i="4"/>
  <c r="B132" i="4"/>
  <c r="E88" i="4"/>
  <c r="B131" i="4"/>
  <c r="E87" i="4"/>
  <c r="B130" i="4"/>
  <c r="B127" i="4"/>
  <c r="B126" i="4"/>
  <c r="B125" i="4"/>
  <c r="B124" i="4"/>
  <c r="B123" i="4"/>
  <c r="B122" i="4"/>
  <c r="B121" i="4"/>
  <c r="B120" i="4"/>
  <c r="B93" i="4"/>
  <c r="B119" i="4"/>
  <c r="B118" i="4"/>
  <c r="B117" i="4"/>
  <c r="B116" i="4"/>
  <c r="B115" i="4"/>
  <c r="B73" i="4"/>
  <c r="B74" i="4"/>
  <c r="B75" i="4"/>
  <c r="B76" i="4"/>
  <c r="B77" i="4"/>
  <c r="B78" i="4"/>
  <c r="B79" i="4"/>
  <c r="B80" i="4"/>
  <c r="B81" i="4"/>
  <c r="B82" i="4"/>
  <c r="C82" i="4"/>
  <c r="D82" i="4"/>
  <c r="C81" i="4"/>
  <c r="D81" i="4"/>
  <c r="C80" i="4"/>
  <c r="D80" i="4"/>
  <c r="C79" i="4"/>
  <c r="D79" i="4"/>
  <c r="C78" i="4"/>
  <c r="D78" i="4"/>
  <c r="C77" i="4"/>
  <c r="D77" i="4"/>
  <c r="C76" i="4"/>
  <c r="D76" i="4"/>
  <c r="C75" i="4"/>
  <c r="D75" i="4"/>
  <c r="C74" i="4"/>
  <c r="D74" i="4"/>
  <c r="C73" i="4"/>
  <c r="D73" i="4"/>
  <c r="C72" i="4"/>
  <c r="D72" i="4"/>
  <c r="B62" i="4"/>
  <c r="C62" i="4"/>
  <c r="B60" i="4"/>
  <c r="C60" i="4"/>
  <c r="B59" i="4"/>
  <c r="C59" i="4"/>
  <c r="K51" i="4"/>
  <c r="L51" i="4"/>
  <c r="J51" i="4"/>
  <c r="K50" i="4"/>
  <c r="L50" i="4"/>
  <c r="I50" i="4"/>
  <c r="J50" i="4"/>
  <c r="K48" i="4"/>
  <c r="L48" i="4"/>
  <c r="I48" i="4"/>
  <c r="J48" i="4"/>
  <c r="B24" i="4"/>
  <c r="B25" i="4"/>
  <c r="H48" i="4"/>
  <c r="B37" i="4"/>
  <c r="G48" i="4"/>
  <c r="F48" i="4"/>
  <c r="E48" i="4"/>
  <c r="K47" i="4"/>
  <c r="L47" i="4"/>
  <c r="I47" i="4"/>
  <c r="J47" i="4"/>
  <c r="H47" i="4"/>
  <c r="G47" i="4"/>
  <c r="F47" i="4"/>
  <c r="E47" i="4"/>
  <c r="K46" i="4"/>
  <c r="L46" i="4"/>
  <c r="I46" i="4"/>
  <c r="J46" i="4"/>
  <c r="H46" i="4"/>
  <c r="G46" i="4"/>
  <c r="F46" i="4"/>
  <c r="E46" i="4"/>
  <c r="K45" i="4"/>
  <c r="L45" i="4"/>
  <c r="I45" i="4"/>
  <c r="J45" i="4"/>
  <c r="H45" i="4"/>
  <c r="G45" i="4"/>
  <c r="F45" i="4"/>
  <c r="E45" i="4"/>
  <c r="K44" i="4"/>
  <c r="L44" i="4"/>
  <c r="I44" i="4"/>
  <c r="J44" i="4"/>
  <c r="H44" i="4"/>
  <c r="G44" i="4"/>
  <c r="F44" i="4"/>
  <c r="E44" i="4"/>
  <c r="K43" i="4"/>
  <c r="L43" i="4"/>
  <c r="I43" i="4"/>
  <c r="J43" i="4"/>
  <c r="H43" i="4"/>
  <c r="G43" i="4"/>
  <c r="F43" i="4"/>
  <c r="E43" i="4"/>
  <c r="K42" i="4"/>
  <c r="L42" i="4"/>
  <c r="I42" i="4"/>
  <c r="J42" i="4"/>
  <c r="H42" i="4"/>
  <c r="G42" i="4"/>
  <c r="F42" i="4"/>
  <c r="E42" i="4"/>
  <c r="B4" i="4"/>
  <c r="B5" i="4"/>
  <c r="B3" i="4"/>
  <c r="B42" i="1"/>
  <c r="C42" i="1"/>
  <c r="D42" i="1"/>
  <c r="B66" i="1"/>
  <c r="C66" i="1"/>
  <c r="I51" i="1"/>
  <c r="B63" i="1"/>
  <c r="C63" i="1"/>
  <c r="C163" i="1"/>
  <c r="B64" i="1"/>
  <c r="C64" i="1"/>
  <c r="C164" i="1"/>
  <c r="B88" i="1"/>
  <c r="C88" i="1"/>
  <c r="B43" i="1"/>
  <c r="C43" i="1"/>
  <c r="B44" i="1"/>
  <c r="C44" i="1"/>
  <c r="B45" i="1"/>
  <c r="C45" i="1"/>
  <c r="B46" i="1"/>
  <c r="C46" i="1"/>
  <c r="B47" i="1"/>
  <c r="C47" i="1"/>
  <c r="B48" i="1"/>
  <c r="C48" i="1"/>
  <c r="B61" i="1"/>
  <c r="C61" i="1"/>
  <c r="C165" i="1"/>
  <c r="D43" i="1"/>
  <c r="D44" i="1"/>
  <c r="D45" i="1"/>
  <c r="D46" i="1"/>
  <c r="D47" i="1"/>
  <c r="D48" i="1"/>
  <c r="B65" i="1"/>
  <c r="C65" i="1"/>
  <c r="C166" i="1"/>
  <c r="C167" i="1"/>
  <c r="B167" i="1"/>
  <c r="B166" i="1"/>
  <c r="B165" i="1"/>
  <c r="B164" i="1"/>
  <c r="B163" i="1"/>
  <c r="F151" i="1"/>
  <c r="F152" i="1"/>
  <c r="F153" i="1"/>
  <c r="F154" i="1"/>
  <c r="F155" i="1"/>
  <c r="F156" i="1"/>
  <c r="F157" i="1"/>
  <c r="F150" i="1"/>
  <c r="D151" i="1"/>
  <c r="D152" i="1"/>
  <c r="D153" i="1"/>
  <c r="D154" i="1"/>
  <c r="D155" i="1"/>
  <c r="D156" i="1"/>
  <c r="D157" i="1"/>
  <c r="D150" i="1"/>
  <c r="C151" i="1"/>
  <c r="C152" i="1"/>
  <c r="C153" i="1"/>
  <c r="C154" i="1"/>
  <c r="C155" i="1"/>
  <c r="C156" i="1"/>
  <c r="C157" i="1"/>
  <c r="C150" i="1"/>
  <c r="B37" i="1"/>
  <c r="C11" i="1"/>
  <c r="C12" i="1"/>
  <c r="B20" i="1"/>
  <c r="B29" i="1"/>
  <c r="B23" i="1"/>
  <c r="B34" i="1"/>
  <c r="B35" i="1"/>
  <c r="B30" i="1"/>
  <c r="B60" i="1"/>
  <c r="B62" i="1"/>
  <c r="I42" i="1"/>
  <c r="B31" i="1"/>
  <c r="B59" i="1"/>
  <c r="K50" i="1"/>
  <c r="L50" i="1"/>
  <c r="K51" i="1"/>
  <c r="L51" i="1"/>
  <c r="E88" i="1"/>
  <c r="K43" i="1"/>
  <c r="L43" i="1"/>
  <c r="K44" i="1"/>
  <c r="L44" i="1"/>
  <c r="K45" i="1"/>
  <c r="L45" i="1"/>
  <c r="K46" i="1"/>
  <c r="L46" i="1"/>
  <c r="K47" i="1"/>
  <c r="L47" i="1"/>
  <c r="K48" i="1"/>
  <c r="L48" i="1"/>
  <c r="K42" i="1"/>
  <c r="L42" i="1"/>
  <c r="I50" i="1"/>
  <c r="J50" i="1"/>
  <c r="J51" i="1"/>
  <c r="I43" i="1"/>
  <c r="J43" i="1"/>
  <c r="I44" i="1"/>
  <c r="J44" i="1"/>
  <c r="I45" i="1"/>
  <c r="J45" i="1"/>
  <c r="I46" i="1"/>
  <c r="J46" i="1"/>
  <c r="I47" i="1"/>
  <c r="J47" i="1"/>
  <c r="I48" i="1"/>
  <c r="J48" i="1"/>
  <c r="J42" i="1"/>
  <c r="C97" i="1"/>
  <c r="E97" i="1"/>
  <c r="C87" i="1"/>
  <c r="D87" i="1"/>
  <c r="E87" i="1"/>
  <c r="C8" i="1"/>
  <c r="B18" i="1"/>
  <c r="C9" i="1"/>
  <c r="B19" i="1"/>
  <c r="D94" i="1"/>
  <c r="D92" i="1"/>
  <c r="C94" i="1"/>
  <c r="E94" i="1"/>
  <c r="B24" i="1"/>
  <c r="C92" i="1"/>
  <c r="E92" i="1"/>
  <c r="B25" i="1"/>
  <c r="H42" i="1"/>
  <c r="D88" i="1"/>
  <c r="H43" i="1"/>
  <c r="B99" i="1"/>
  <c r="C99" i="1"/>
  <c r="D99" i="1"/>
  <c r="E99" i="1"/>
  <c r="H44" i="1"/>
  <c r="C93" i="1"/>
  <c r="D93" i="1"/>
  <c r="E93" i="1"/>
  <c r="H45" i="1"/>
  <c r="C91" i="1"/>
  <c r="D91" i="1"/>
  <c r="E91" i="1"/>
  <c r="H46" i="1"/>
  <c r="C95" i="1"/>
  <c r="D95" i="1"/>
  <c r="E95" i="1"/>
  <c r="H47" i="1"/>
  <c r="C89" i="1"/>
  <c r="D89" i="1"/>
  <c r="E89" i="1"/>
  <c r="H48" i="1"/>
  <c r="B32" i="1"/>
  <c r="B33" i="1"/>
  <c r="G42" i="1"/>
  <c r="B36" i="1"/>
  <c r="F42" i="1"/>
  <c r="E42" i="1"/>
  <c r="G43" i="1"/>
  <c r="G44" i="1"/>
  <c r="G45" i="1"/>
  <c r="G46" i="1"/>
  <c r="G47" i="1"/>
  <c r="G48" i="1"/>
  <c r="F43" i="1"/>
  <c r="F44" i="1"/>
  <c r="F45" i="1"/>
  <c r="F46" i="1"/>
  <c r="F47" i="1"/>
  <c r="F48" i="1"/>
  <c r="E43" i="1"/>
  <c r="E44" i="1"/>
  <c r="E45" i="1"/>
  <c r="E46" i="1"/>
  <c r="E47" i="1"/>
  <c r="E48" i="1"/>
  <c r="B54" i="1"/>
  <c r="B56" i="1"/>
  <c r="C60" i="1"/>
  <c r="C62" i="1"/>
  <c r="C59" i="1"/>
  <c r="B4" i="1"/>
  <c r="B5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C72" i="1"/>
  <c r="D72" i="1"/>
  <c r="C98" i="1"/>
  <c r="D98" i="1"/>
  <c r="E98" i="1"/>
  <c r="B96" i="1"/>
  <c r="C96" i="1"/>
  <c r="E96" i="1"/>
  <c r="C90" i="1"/>
  <c r="D90" i="1"/>
  <c r="E90" i="1"/>
  <c r="B130" i="1"/>
  <c r="B140" i="1"/>
  <c r="B132" i="1"/>
  <c r="B131" i="1"/>
  <c r="B136" i="1"/>
  <c r="B138" i="1"/>
  <c r="B133" i="1"/>
  <c r="B137" i="1"/>
  <c r="B135" i="1"/>
  <c r="B142" i="1"/>
  <c r="B139" i="1"/>
  <c r="B141" i="1"/>
  <c r="B134" i="1"/>
  <c r="B118" i="1"/>
  <c r="B117" i="1"/>
  <c r="B116" i="1"/>
  <c r="B115" i="1"/>
  <c r="B93" i="1"/>
  <c r="B119" i="1"/>
  <c r="B125" i="1"/>
  <c r="B121" i="1"/>
  <c r="B122" i="1"/>
  <c r="B123" i="1"/>
  <c r="B124" i="1"/>
  <c r="B120" i="1"/>
  <c r="B127" i="1"/>
  <c r="B126" i="1"/>
  <c r="B3" i="1"/>
</calcChain>
</file>

<file path=xl/sharedStrings.xml><?xml version="1.0" encoding="utf-8"?>
<sst xmlns="http://schemas.openxmlformats.org/spreadsheetml/2006/main" count="877" uniqueCount="445">
  <si>
    <t>Beef</t>
  </si>
  <si>
    <t>Chicken</t>
  </si>
  <si>
    <t>http://css.umich.edu/factsheets/carbon-footprint-factsheet</t>
  </si>
  <si>
    <t>gCO2/gal gasoline</t>
  </si>
  <si>
    <t>lb CO2/gal gasoline</t>
  </si>
  <si>
    <t>mpg</t>
  </si>
  <si>
    <t>average</t>
  </si>
  <si>
    <t>miles driven/lb CO2</t>
  </si>
  <si>
    <t>Pork</t>
  </si>
  <si>
    <t>Single day</t>
  </si>
  <si>
    <t>https://www.npr.org/sections/thesalt/2012/06/27/155527365/visualizing-a-nation-of-meat-eaters</t>
  </si>
  <si>
    <t>lbs meat consumed per year</t>
  </si>
  <si>
    <t>Average meat consumption</t>
  </si>
  <si>
    <t>Year</t>
  </si>
  <si>
    <t>Food category</t>
  </si>
  <si>
    <t>UK GHG emissions (kgCO2e/kg)</t>
  </si>
  <si>
    <t>Alcoholic Beverages</t>
  </si>
  <si>
    <t>Animal Fats</t>
  </si>
  <si>
    <t>Apples</t>
  </si>
  <si>
    <t>Aquatic Animals, Others</t>
  </si>
  <si>
    <t>Aquatic Plants</t>
  </si>
  <si>
    <t>Aquatic Products, Other</t>
  </si>
  <si>
    <t>Bananas</t>
  </si>
  <si>
    <t>Barley</t>
  </si>
  <si>
    <t>Beans</t>
  </si>
  <si>
    <t>Beer</t>
  </si>
  <si>
    <t>Beverages, Alcoholic</t>
  </si>
  <si>
    <t>Beverages, Fermented</t>
  </si>
  <si>
    <t>Bovine Meat</t>
  </si>
  <si>
    <t>Butter, Ghee</t>
  </si>
  <si>
    <t>Cephalopods</t>
  </si>
  <si>
    <t>Cereals - Excluding Beer</t>
  </si>
  <si>
    <t>Cereals, Other</t>
  </si>
  <si>
    <t>Citrus, Other</t>
  </si>
  <si>
    <t>Cocoa Beans</t>
  </si>
  <si>
    <t>Coconut Oil</t>
  </si>
  <si>
    <t>Coconuts - Incl Copra</t>
  </si>
  <si>
    <t>Coffee</t>
  </si>
  <si>
    <t>Cream</t>
  </si>
  <si>
    <t>Crustaceans</t>
  </si>
  <si>
    <t>Dates</t>
  </si>
  <si>
    <t>Demersal Fish</t>
  </si>
  <si>
    <t>Eggs</t>
  </si>
  <si>
    <t>Fats, Animals, Raw</t>
  </si>
  <si>
    <t>Fish, Body Oil</t>
  </si>
  <si>
    <t>Fish, Liver Oil</t>
  </si>
  <si>
    <t>Fish, Seafood</t>
  </si>
  <si>
    <t>Freshwater Fish</t>
  </si>
  <si>
    <t>Fruits - Excluding Wine</t>
  </si>
  <si>
    <t>Fruits, Other</t>
  </si>
  <si>
    <t>Grapefruit</t>
  </si>
  <si>
    <t>Grapes</t>
  </si>
  <si>
    <t>Groundnut Oil</t>
  </si>
  <si>
    <t>Groundnuts (Shelled Eq)</t>
  </si>
  <si>
    <t>Honey</t>
  </si>
  <si>
    <t>Lemons, Limes</t>
  </si>
  <si>
    <t>Maize</t>
  </si>
  <si>
    <t>Maize Germ Oil</t>
  </si>
  <si>
    <t>Marine Fish, Other</t>
  </si>
  <si>
    <t>Meat</t>
  </si>
  <si>
    <t>Meat, Other</t>
  </si>
  <si>
    <t>Milk - Excluding Butter</t>
  </si>
  <si>
    <t>Molluscs, Other</t>
  </si>
  <si>
    <t>Mutton &amp; Goat Meat</t>
  </si>
  <si>
    <t>Oats</t>
  </si>
  <si>
    <t>Offals</t>
  </si>
  <si>
    <t>Oilcrops</t>
  </si>
  <si>
    <t>Oilcrops Oil, Other</t>
  </si>
  <si>
    <t>Oilcrops, Other</t>
  </si>
  <si>
    <t>Olive Oil</t>
  </si>
  <si>
    <t>Olives</t>
  </si>
  <si>
    <t>Onions</t>
  </si>
  <si>
    <t>Oranges, Mandarines</t>
  </si>
  <si>
    <t>Palm Oil</t>
  </si>
  <si>
    <t>Palmkernel Oil</t>
  </si>
  <si>
    <t>Peas</t>
  </si>
  <si>
    <t>Pelagic Fish</t>
  </si>
  <si>
    <t>Pepper</t>
  </si>
  <si>
    <t>Pigmeat</t>
  </si>
  <si>
    <t>Pimento</t>
  </si>
  <si>
    <t>Pineapples</t>
  </si>
  <si>
    <t>Plantains</t>
  </si>
  <si>
    <t>Potatoes</t>
  </si>
  <si>
    <t>Poultry Meat</t>
  </si>
  <si>
    <t>Pulses</t>
  </si>
  <si>
    <t>Pulses, Other</t>
  </si>
  <si>
    <t>Rape and Mustard Oil</t>
  </si>
  <si>
    <t>Rape and Mustardseed</t>
  </si>
  <si>
    <t>Rice (Milled Equivalent)</t>
  </si>
  <si>
    <t>Rye</t>
  </si>
  <si>
    <t>Sesameseed</t>
  </si>
  <si>
    <t>Sesameseed Oil</t>
  </si>
  <si>
    <t>Soyabean Oil</t>
  </si>
  <si>
    <t>Soyabeans</t>
  </si>
  <si>
    <t>Spices</t>
  </si>
  <si>
    <t>Spices, Other</t>
  </si>
  <si>
    <t>Starchy Roots</t>
  </si>
  <si>
    <t>Stimulants</t>
  </si>
  <si>
    <t>Sugar &amp; Sweeteners</t>
  </si>
  <si>
    <t>Sugar (Raw Equivalent)</t>
  </si>
  <si>
    <t>Sunflowerseed Oil</t>
  </si>
  <si>
    <t>Sweeteners, Other</t>
  </si>
  <si>
    <t>Tea</t>
  </si>
  <si>
    <t>Tomatoes</t>
  </si>
  <si>
    <t>Treenuts</t>
  </si>
  <si>
    <t>Vegetable Oils</t>
  </si>
  <si>
    <t>Vegetables</t>
  </si>
  <si>
    <t>Vegetables, Other</t>
  </si>
  <si>
    <t>Wheat</t>
  </si>
  <si>
    <t>Wine</t>
  </si>
  <si>
    <t>https://link.springer.com/article/10.1007%2Fs10584-014-1169-1</t>
  </si>
  <si>
    <t>Calories</t>
  </si>
  <si>
    <t>Fat</t>
  </si>
  <si>
    <t>Carb</t>
  </si>
  <si>
    <t>Protein</t>
  </si>
  <si>
    <t>Potassium</t>
  </si>
  <si>
    <t>Dietary fiber</t>
  </si>
  <si>
    <t>https://www.ars.usda.gov/northeast-area/beltsville-md-bhnrc/beltsville-human-nutrition-research-center/nutrient-data-laboratory/docs/sr28-download-files/</t>
  </si>
  <si>
    <t>NDB_No</t>
  </si>
  <si>
    <t>Shrt_Desc</t>
  </si>
  <si>
    <t>Water_(g)</t>
  </si>
  <si>
    <t>Energ_Kcal</t>
  </si>
  <si>
    <t>Protein_(g)</t>
  </si>
  <si>
    <t>Lipid_Tot_(g)</t>
  </si>
  <si>
    <t>Ash_(g)</t>
  </si>
  <si>
    <t>Carbohydrt_(g)</t>
  </si>
  <si>
    <t>Fiber_TD_(g)</t>
  </si>
  <si>
    <t>Sugar_Tot_(g)</t>
  </si>
  <si>
    <t>Calcium_(mg)</t>
  </si>
  <si>
    <t>Iron_(mg)</t>
  </si>
  <si>
    <t>Magnesium_(mg)</t>
  </si>
  <si>
    <t>Phosphorus_(mg)</t>
  </si>
  <si>
    <t>Potassium_(mg)</t>
  </si>
  <si>
    <t>Sodium_(mg)</t>
  </si>
  <si>
    <t>Zinc_(mg)</t>
  </si>
  <si>
    <t>Copper_mg)</t>
  </si>
  <si>
    <t>Manganese_(mg)</t>
  </si>
  <si>
    <t>Selenium_(µg)</t>
  </si>
  <si>
    <t>Vit_C_(mg)</t>
  </si>
  <si>
    <t>Thiamin_(mg)</t>
  </si>
  <si>
    <t>Riboflavin_(mg)</t>
  </si>
  <si>
    <t>Niacin_(mg)</t>
  </si>
  <si>
    <t>Panto_Acid_mg)</t>
  </si>
  <si>
    <t>Vit_B6_(mg)</t>
  </si>
  <si>
    <t>Folate_Tot_(µg)</t>
  </si>
  <si>
    <t>Folic_Acid_(µg)</t>
  </si>
  <si>
    <t>Food_Folate_(µg)</t>
  </si>
  <si>
    <t>Folate_DFE_(µg)</t>
  </si>
  <si>
    <t>Choline_Tot_ (mg)</t>
  </si>
  <si>
    <t>Vit_B12_(µg)</t>
  </si>
  <si>
    <t>Vit_A_IU</t>
  </si>
  <si>
    <t>Vit_A_RAE</t>
  </si>
  <si>
    <t>Retinol_(µg)</t>
  </si>
  <si>
    <t>Alpha_Carot_(µg)</t>
  </si>
  <si>
    <t>Beta_Carot_(µg)</t>
  </si>
  <si>
    <t>Beta_Crypt_(µg)</t>
  </si>
  <si>
    <t>Lycopene_(µg)</t>
  </si>
  <si>
    <t>Lut+Zea_ (µg)</t>
  </si>
  <si>
    <t>Vit_E_(mg)</t>
  </si>
  <si>
    <t>Vit_D_µg</t>
  </si>
  <si>
    <t>Vit_D_IU</t>
  </si>
  <si>
    <t>Vit_K_(µg)</t>
  </si>
  <si>
    <t>FA_Sat_(g)</t>
  </si>
  <si>
    <t>FA_Mono_(g)</t>
  </si>
  <si>
    <t>FA_Poly_(g)</t>
  </si>
  <si>
    <t>Cholestrl_(mg)</t>
  </si>
  <si>
    <t>GmWt_1</t>
  </si>
  <si>
    <t>GmWt_Desc1</t>
  </si>
  <si>
    <t>GmWt_2</t>
  </si>
  <si>
    <t>GmWt_Desc2</t>
  </si>
  <si>
    <t>Refuse_Pct</t>
  </si>
  <si>
    <t>14084</t>
  </si>
  <si>
    <t>ALCOHOLIC BEV,WINE,TABLE,ALL</t>
  </si>
  <si>
    <t>1 serving,  (5 fl oz)</t>
  </si>
  <si>
    <t>1 fl oz</t>
  </si>
  <si>
    <t>04002</t>
  </si>
  <si>
    <t>LARD</t>
  </si>
  <si>
    <t>1 tbsp</t>
  </si>
  <si>
    <t>1 cup</t>
  </si>
  <si>
    <t>09003</t>
  </si>
  <si>
    <t>APPLES,RAW,WITH SKIN</t>
  </si>
  <si>
    <t>1 cup, quartered or chopped</t>
  </si>
  <si>
    <t>1 cup, slices</t>
  </si>
  <si>
    <t>09040</t>
  </si>
  <si>
    <t>BANANAS,RAW</t>
  </si>
  <si>
    <t>1 cup, mashed</t>
  </si>
  <si>
    <t>1 cup, sliced</t>
  </si>
  <si>
    <t>20006</t>
  </si>
  <si>
    <t>BARLEY,PEARLED,COOKED</t>
  </si>
  <si>
    <t>11030</t>
  </si>
  <si>
    <t>BEANS,KIDNEY,MATURE SEEDS,SPROUTED,CKD,BLD,DRND,WO/SALT</t>
  </si>
  <si>
    <t>13047</t>
  </si>
  <si>
    <t>BEEF,GRASS-FED,GROUND,RAW</t>
  </si>
  <si>
    <t>01145</t>
  </si>
  <si>
    <t>BUTTER,WITHOUT SALT</t>
  </si>
  <si>
    <t>1 pat,  (1" sq, 1/3" high)</t>
  </si>
  <si>
    <t>15175</t>
  </si>
  <si>
    <t>SQUID,MIXED SPECIES,RAW</t>
  </si>
  <si>
    <t>1 oz, boneless</t>
  </si>
  <si>
    <t>3 oz</t>
  </si>
  <si>
    <t>09200</t>
  </si>
  <si>
    <t>ORANGES,RAW,ALL COMM VAR</t>
  </si>
  <si>
    <t>1 cup, sections</t>
  </si>
  <si>
    <t>1 large,  (3-1/16" dia)</t>
  </si>
  <si>
    <t>19165</t>
  </si>
  <si>
    <t>COCOA,DRY PDR,UNSWTND</t>
  </si>
  <si>
    <t>12104</t>
  </si>
  <si>
    <t>COCONUT MEAT,RAW</t>
  </si>
  <si>
    <t>1 cup, shredded</t>
  </si>
  <si>
    <t>1 medium</t>
  </si>
  <si>
    <t>14180</t>
  </si>
  <si>
    <t>BEVERAGES,COFFEE,BREWED,BRKFST BLEND</t>
  </si>
  <si>
    <t>01053</t>
  </si>
  <si>
    <t>CREAM,FLUID,HVY WHIPPING</t>
  </si>
  <si>
    <t>1 cup,  whipped</t>
  </si>
  <si>
    <t>1 cup, fluid (yields 2 cups whipped)</t>
  </si>
  <si>
    <t>15149</t>
  </si>
  <si>
    <t>CRUSTACEANS,SHRIMP,MXD SP,RAW (MAYBE PREVIOUSLY FROZEN)</t>
  </si>
  <si>
    <t>1 small</t>
  </si>
  <si>
    <t>09087</t>
  </si>
  <si>
    <t>DATES,DEGLET NOOR</t>
  </si>
  <si>
    <t>1 cup, chopped</t>
  </si>
  <si>
    <t>1 date, pitted</t>
  </si>
  <si>
    <t>15010</t>
  </si>
  <si>
    <t>CATFISH,CHANNEL,WILD,RAW</t>
  </si>
  <si>
    <t>1 fillet</t>
  </si>
  <si>
    <t>01123</t>
  </si>
  <si>
    <t>EGG,WHL,RAW,FRSH</t>
  </si>
  <si>
    <t>1 large</t>
  </si>
  <si>
    <t>1 extra large</t>
  </si>
  <si>
    <t>04001</t>
  </si>
  <si>
    <t>FAT,BEEF TALLOW</t>
  </si>
  <si>
    <t>04589</t>
  </si>
  <si>
    <t>FISH OIL,COD LIVER</t>
  </si>
  <si>
    <t>1 tsp</t>
  </si>
  <si>
    <t>15003</t>
  </si>
  <si>
    <t>BASS,FRSH H2O,MXD SP,RAW</t>
  </si>
  <si>
    <t>09111</t>
  </si>
  <si>
    <t>GRAPEFRUIT,RAW,PINK&amp;RED&amp;WHITE,ALL AREAS</t>
  </si>
  <si>
    <t>1 cup, sections with juice</t>
  </si>
  <si>
    <t>.5 large,  (approx 4-1/2" dia)</t>
  </si>
  <si>
    <t>09132</t>
  </si>
  <si>
    <t>GRAPES,RED OR GRN (EURO TYPE,SUCH AS THOMPSON SEEDLESS),RAW</t>
  </si>
  <si>
    <t>10 grapes</t>
  </si>
  <si>
    <t>16087</t>
  </si>
  <si>
    <t>PEANUTS,ALL TYPES,RAW</t>
  </si>
  <si>
    <t>1 oz</t>
  </si>
  <si>
    <t>44005</t>
  </si>
  <si>
    <t>OIL,CORN,PEANUT,AND OLIVE</t>
  </si>
  <si>
    <t>1 tablespoon</t>
  </si>
  <si>
    <t>1 teaspoon</t>
  </si>
  <si>
    <t>19296</t>
  </si>
  <si>
    <t>HONEY</t>
  </si>
  <si>
    <t>09150</t>
  </si>
  <si>
    <t>LEMONS,RAW,WITHOUT PEEL</t>
  </si>
  <si>
    <t>1 fruit,  (2-1/8" dia)</t>
  </si>
  <si>
    <t>04518</t>
  </si>
  <si>
    <t>OIL,CORN,INDUSTRIAL &amp; RTL,ALLPURP SALAD OR COOKING</t>
  </si>
  <si>
    <t>04513</t>
  </si>
  <si>
    <t>VEGETABLE OIL,PALM KERNEL</t>
  </si>
  <si>
    <t>04583</t>
  </si>
  <si>
    <t>OIL,MUSTARD</t>
  </si>
  <si>
    <t>04543</t>
  </si>
  <si>
    <t>OIL,SOYBN,SALAD OR COOKING,(PARTIALLY HYDROGENATED) &amp; CTTNSD</t>
  </si>
  <si>
    <t>04506</t>
  </si>
  <si>
    <t>OIL,SUNFLOWER,LINOLEIC,(APPROX. 65%)</t>
  </si>
  <si>
    <t>04058</t>
  </si>
  <si>
    <t>OIL,SESAME,SALAD OR COOKING</t>
  </si>
  <si>
    <t>04053</t>
  </si>
  <si>
    <t>OIL,OLIVE,SALAD OR COOKING</t>
  </si>
  <si>
    <t>04055</t>
  </si>
  <si>
    <t>OIL,PALM</t>
  </si>
  <si>
    <t>01079</t>
  </si>
  <si>
    <t>MILK,RED FAT,FLUID,2% MILKFAT,W/ ADDED VIT A &amp; VITAMIN D</t>
  </si>
  <si>
    <t>90560</t>
  </si>
  <si>
    <t>SNAIL,RAW</t>
  </si>
  <si>
    <t/>
  </si>
  <si>
    <t>17169</t>
  </si>
  <si>
    <t>GAME MEAT,GOAT,CKD,RSTD</t>
  </si>
  <si>
    <t>1 piece, cooked (yield from 1 lb raw meat, boneless)</t>
  </si>
  <si>
    <t>20038</t>
  </si>
  <si>
    <t>OATS</t>
  </si>
  <si>
    <t>20044</t>
  </si>
  <si>
    <t>RICE,WHITE,LONG-GRAIN,REG,RAW,ENR</t>
  </si>
  <si>
    <t>20062</t>
  </si>
  <si>
    <t>RYE GRAIN</t>
  </si>
  <si>
    <t>20581</t>
  </si>
  <si>
    <t>WHEAT FLR,WHITE,ALL-PURPOSE,ENR,UNBLEACHED</t>
  </si>
  <si>
    <t>19906</t>
  </si>
  <si>
    <t>SWEETENERS,FOR BAKING,BROWN,CONTAINS SUGAR &amp; SUCRALOSE</t>
  </si>
  <si>
    <t>19908</t>
  </si>
  <si>
    <t>SUGAR,TURBINADO</t>
  </si>
  <si>
    <t>11305</t>
  </si>
  <si>
    <t>PEAS,GRN,CKD,BLD,DRND,WO/SALT</t>
  </si>
  <si>
    <t>11333</t>
  </si>
  <si>
    <t>PEPPERS,SWT,GRN,RAW</t>
  </si>
  <si>
    <t>11356</t>
  </si>
  <si>
    <t>POTATOES,RUSSET,FLESH &amp; SKN,BKD</t>
  </si>
  <si>
    <t>1 potato, large (3" to 4-1/4" dia.</t>
  </si>
  <si>
    <t>1 potato, medium (2-1/4" to 3-1/4" dia.)</t>
  </si>
  <si>
    <t>11329</t>
  </si>
  <si>
    <t>PEPPERS,HOT CHILI,GRN,CND,PODS,EXCLUDING SEEDS,SOL&amp;LIQUIDS</t>
  </si>
  <si>
    <t>1 pepper</t>
  </si>
  <si>
    <t>.5 cup, chopped or diced</t>
  </si>
  <si>
    <t>11451</t>
  </si>
  <si>
    <t>SOYBEANS,GRN,CKD,BLD,DRND,WO/SALT</t>
  </si>
  <si>
    <t>11529</t>
  </si>
  <si>
    <t>TOMATOES,RED,RIPE,RAW,YEAR RND AVERAGE</t>
  </si>
  <si>
    <t>1 cup,  cherry tomatoes</t>
  </si>
  <si>
    <t>1 cup, chopped or sliced</t>
  </si>
  <si>
    <t>11168</t>
  </si>
  <si>
    <t>CORN,SWT,YEL,CKD,BLD,DRND,WO/SALT</t>
  </si>
  <si>
    <t>1 ear, small (5-1/2" to 6-1/2" long)</t>
  </si>
  <si>
    <t>1 ear, medium (6-3/4" to 7-1/2" long)</t>
  </si>
  <si>
    <t>11282</t>
  </si>
  <si>
    <t>ONIONS,RAW</t>
  </si>
  <si>
    <t>11581</t>
  </si>
  <si>
    <t>VEGETABLES,MXD,CND,DRND SOL</t>
  </si>
  <si>
    <t>12024</t>
  </si>
  <si>
    <t>SESAME SEEDS,WHL,RSTD&amp;TSTD</t>
  </si>
  <si>
    <t>12061</t>
  </si>
  <si>
    <t>ALMONDS</t>
  </si>
  <si>
    <t>1 cup, whole</t>
  </si>
  <si>
    <t>15118</t>
  </si>
  <si>
    <t>TUNA,FRSH,BLUEFIN,CKD,DRY HEAT</t>
  </si>
  <si>
    <t>16070</t>
  </si>
  <si>
    <t>LENTILS,MATURE SEEDS,CKD,BLD,WO/SALT</t>
  </si>
  <si>
    <t>05004</t>
  </si>
  <si>
    <t>CHICKEN,BROILERS OR FRYERS,MEAT&amp;SKN&amp;GIBLETS&amp;NECK,RSTD</t>
  </si>
  <si>
    <t>1 unit,  (yield from 1 lb ready-to-cook chicken)</t>
  </si>
  <si>
    <t>10009</t>
  </si>
  <si>
    <t>PORK,FRSH,LEG (HAM),WHL,LN&amp;FAT,CKD,RSTD</t>
  </si>
  <si>
    <t>1 cup, diced</t>
  </si>
  <si>
    <t>09266</t>
  </si>
  <si>
    <t>PINEAPPLE,RAW,ALL VAR</t>
  </si>
  <si>
    <t>1 cup, chunks</t>
  </si>
  <si>
    <t>1 fruit</t>
  </si>
  <si>
    <t>09203</t>
  </si>
  <si>
    <t>ORANGES,RAW,FLORIDA</t>
  </si>
  <si>
    <t>1 cup, sections without membranes</t>
  </si>
  <si>
    <t>1 fruit,  (2-5/8" dia)</t>
  </si>
  <si>
    <t>09193</t>
  </si>
  <si>
    <t>OLIVES,RIPE,CND (SMALL-EXTRA LRG)</t>
  </si>
  <si>
    <t>09278</t>
  </si>
  <si>
    <t>PLANTAINS,COOKED</t>
  </si>
  <si>
    <t>Week</t>
  </si>
  <si>
    <t>lbs/day</t>
  </si>
  <si>
    <t>lbs/week</t>
  </si>
  <si>
    <t>lb CO2e/serving (serving = 4oz or 0.25 lb)</t>
  </si>
  <si>
    <t>Cheese</t>
  </si>
  <si>
    <t>g/oz</t>
  </si>
  <si>
    <t>Greek yogurt</t>
  </si>
  <si>
    <t>It takes 4 lbs of milk to make 1 lb of greek yogurt (https://www.nrdc.org/stories/shrink-your-carbon-footprint-ease-dairy)</t>
  </si>
  <si>
    <t>Milk</t>
  </si>
  <si>
    <t>Recommended protein consumption</t>
  </si>
  <si>
    <t>https://www.health.harvard.edu/blog/how-much-protein-do-you-need-every-day-201506188096</t>
  </si>
  <si>
    <t>g/lb body weight</t>
  </si>
  <si>
    <t>RDI - sendentary</t>
  </si>
  <si>
    <t>Cottage Cheese</t>
  </si>
  <si>
    <t>lb CO2e/oz</t>
  </si>
  <si>
    <t>Carbon footprint</t>
  </si>
  <si>
    <t>Legumes (pinto beans)</t>
  </si>
  <si>
    <t>lb CO2e/g protein</t>
  </si>
  <si>
    <t>https://www.ripplefoods.com/healthy-environment/</t>
  </si>
  <si>
    <t>Beyond meat burger</t>
  </si>
  <si>
    <t>Impossible burger</t>
  </si>
  <si>
    <t>https://impossiblefoods.app.box.com/s/edwcfyvojzsvzn5d633dxt4c4ehyzqq3</t>
  </si>
  <si>
    <t>Fish</t>
  </si>
  <si>
    <t>Ripple Pea Milk</t>
  </si>
  <si>
    <t>https://www.fcrn.org.uk/fcrn-blogs/helen-breewood/are-modern-plant-based-diets-and-foods-actually-sustainable</t>
  </si>
  <si>
    <t>http://css.umich.edu/sites/default/files/publication/CSS18-10.pdf</t>
  </si>
  <si>
    <t>Quorn Grounds</t>
  </si>
  <si>
    <t xml:space="preserve"> (lb CO2e/8 oz)</t>
  </si>
  <si>
    <t>g protein</t>
  </si>
  <si>
    <t>Body weight</t>
  </si>
  <si>
    <t>oz/day</t>
  </si>
  <si>
    <t>g protein per day</t>
  </si>
  <si>
    <t>Single meal</t>
  </si>
  <si>
    <t>miles driven</t>
  </si>
  <si>
    <t>Sub chicken for beef one meal per week</t>
  </si>
  <si>
    <t>Sub chicken for beef one day per week</t>
  </si>
  <si>
    <t>One meatless (bean) meal per week</t>
  </si>
  <si>
    <t>One meatless (bean) day per week</t>
  </si>
  <si>
    <t>Per capita disappearance, retail lb 1/</t>
  </si>
  <si>
    <t xml:space="preserve">   Beef</t>
  </si>
  <si>
    <t xml:space="preserve">   Pork</t>
  </si>
  <si>
    <t xml:space="preserve">   Lamb and mutton</t>
  </si>
  <si>
    <t xml:space="preserve">   Broilers</t>
  </si>
  <si>
    <t xml:space="preserve">   Turkeys</t>
  </si>
  <si>
    <t xml:space="preserve">    Total red meat &amp; poultry</t>
  </si>
  <si>
    <t xml:space="preserve">   Eggs, number</t>
  </si>
  <si>
    <t>https://www.ers.usda.gov/publications/pub-details/?pubid=86848</t>
  </si>
  <si>
    <t>Meat consumption distribution</t>
  </si>
  <si>
    <t>Poultry</t>
  </si>
  <si>
    <t>lb CO2e per meal</t>
  </si>
  <si>
    <t>lb CO2e per day</t>
  </si>
  <si>
    <t>lb CO2e per week</t>
  </si>
  <si>
    <t>lb CO2e per year</t>
  </si>
  <si>
    <t>lb CO2</t>
  </si>
  <si>
    <t>Baseline:</t>
  </si>
  <si>
    <t>Say you eat above distribution of meats each day, three servings per day</t>
  </si>
  <si>
    <t>g protein per meal</t>
  </si>
  <si>
    <t xml:space="preserve">Substitution - constant protein: </t>
  </si>
  <si>
    <t>Savings by switching one meal (lb CO2)</t>
  </si>
  <si>
    <t>Daily savings by switching one meal</t>
  </si>
  <si>
    <t>Weekly savings by switching one meal</t>
  </si>
  <si>
    <t>Annual savings by switching one meal</t>
  </si>
  <si>
    <t>One alternative meal per week</t>
  </si>
  <si>
    <t>Removing all beef</t>
  </si>
  <si>
    <t>Removing half all beef</t>
  </si>
  <si>
    <t>Alternative protein, oz serving needed</t>
  </si>
  <si>
    <t>Single meal (chicken &amp; pork only, 73% of meal)</t>
  </si>
  <si>
    <t>Single meal (chicken &amp; pork, 50% of beef)</t>
  </si>
  <si>
    <t>Savings by removing beef</t>
  </si>
  <si>
    <t>Single meal (beef only, 27% of meal)</t>
  </si>
  <si>
    <t>don't use</t>
  </si>
  <si>
    <t>Savings of removing beef</t>
  </si>
  <si>
    <t>Daily meat consumption distribution</t>
  </si>
  <si>
    <t>*Savings in terms of carbon contributed by protein consumption</t>
  </si>
  <si>
    <t>Savings</t>
  </si>
  <si>
    <t>One meatless (avg) day per week</t>
  </si>
  <si>
    <t>Carbon footprint of serving/meal (lb CO2)</t>
  </si>
  <si>
    <t>Sub chicken for all beef</t>
  </si>
  <si>
    <t>Sub beans for everything</t>
  </si>
  <si>
    <t>Sub vegetarian avg for everything</t>
  </si>
  <si>
    <t>Lamb</t>
  </si>
  <si>
    <t>Salmon</t>
  </si>
  <si>
    <t>Whole Milk</t>
  </si>
  <si>
    <t>kg CO2/kg product</t>
  </si>
  <si>
    <t>lb CO2/oz</t>
  </si>
  <si>
    <t>lb CO2/4 oz</t>
  </si>
  <si>
    <t>http://static.ewg.org/reports/2011/meateaters/pdf/methodology_ewg_meat_eaters_guide_to_health_and_climate_2011.pdf</t>
  </si>
  <si>
    <t>Page 19</t>
  </si>
  <si>
    <t>CHECK</t>
  </si>
  <si>
    <t>Lifecycle kg/kg</t>
  </si>
  <si>
    <t>Page 23</t>
  </si>
  <si>
    <t>Miles Driven</t>
  </si>
  <si>
    <t>Substituting chicken for beef one day per week for a year</t>
  </si>
  <si>
    <t>Substituting chicken for all beef for a year</t>
  </si>
  <si>
    <t>Going completely meatless (choosing instead some average of all the remaining meatless options) one day per week for a year</t>
  </si>
  <si>
    <t>Going completely meatless (choosing instead some average of all the remaining meatless options) for a year</t>
  </si>
  <si>
    <t>Going completely meatless and meat-product free, while minimizing processed “meat replacement” products for a year</t>
  </si>
  <si>
    <t>Reducing overall protein consumption by 45%</t>
  </si>
  <si>
    <t>kg/0.25lb</t>
  </si>
  <si>
    <t>lb/0..25lb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</si>
</sst>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8">
    <xf numFmtId="0" fontId="0" fillId="0" borderId="0" xfId="0"/>
    <xf numFmtId="1" fontId="0" fillId="0" borderId="0" xfId="0" applyNumberFormat="1"/>
    <xf numFmtId="3" fontId="0" fillId="0" borderId="0" xfId="0" applyNumberFormat="1"/>
    <xf numFmtId="0" fontId="2" fillId="0" borderId="0" xfId="0" applyFont="1"/>
    <xf numFmtId="0" fontId="0" fillId="0" borderId="0" xfId="0" applyFont="1"/>
    <xf numFmtId="0" fontId="3" fillId="2" borderId="1" xfId="0" applyFont="1" applyFill="1" applyBorder="1" applyAlignment="1" applyProtection="1">
      <alignment horizontal="center" vertical="center"/>
    </xf>
    <xf numFmtId="0" fontId="4" fillId="0" borderId="2" xfId="0" applyFont="1" applyFill="1" applyBorder="1" applyAlignment="1" applyProtection="1">
      <alignment vertical="center" wrapText="1"/>
    </xf>
    <xf numFmtId="0" fontId="4" fillId="0" borderId="2" xfId="0" applyFont="1" applyFill="1" applyBorder="1" applyAlignment="1" applyProtection="1">
      <alignment horizontal="right" vertical="center" wrapText="1"/>
    </xf>
    <xf numFmtId="0" fontId="0" fillId="3" borderId="0" xfId="0" applyFill="1"/>
    <xf numFmtId="0" fontId="0" fillId="0" borderId="0" xfId="0" applyFill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2" fontId="0" fillId="4" borderId="0" xfId="0" applyNumberFormat="1" applyFill="1"/>
    <xf numFmtId="0" fontId="0" fillId="4" borderId="0" xfId="0" applyFill="1"/>
    <xf numFmtId="9" fontId="0" fillId="0" borderId="0" xfId="1" applyFont="1"/>
    <xf numFmtId="166" fontId="0" fillId="0" borderId="0" xfId="1" applyNumberFormat="1" applyFont="1"/>
    <xf numFmtId="0" fontId="0" fillId="0" borderId="0" xfId="0" applyAlignment="1">
      <alignment wrapText="1"/>
    </xf>
    <xf numFmtId="0" fontId="0" fillId="5" borderId="0" xfId="0" applyFill="1" applyAlignment="1">
      <alignment wrapText="1"/>
    </xf>
    <xf numFmtId="0" fontId="0" fillId="5" borderId="0" xfId="0" applyFill="1"/>
    <xf numFmtId="0" fontId="2" fillId="0" borderId="0" xfId="0" quotePrefix="1" applyFont="1"/>
    <xf numFmtId="1" fontId="0" fillId="5" borderId="0" xfId="0" applyNumberFormat="1" applyFill="1"/>
    <xf numFmtId="3" fontId="0" fillId="5" borderId="0" xfId="0" applyNumberFormat="1" applyFill="1"/>
    <xf numFmtId="0" fontId="0" fillId="4" borderId="0" xfId="0" applyFill="1" applyAlignment="1">
      <alignment wrapText="1"/>
    </xf>
    <xf numFmtId="165" fontId="0" fillId="4" borderId="0" xfId="0" applyNumberFormat="1" applyFill="1"/>
    <xf numFmtId="0" fontId="5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Carbon Intensity by Amount of </a:t>
            </a:r>
            <a:r>
              <a:rPr lang="en-US" baseline="0"/>
              <a:t>Protein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'51g protein'!$B$128</c:f>
              <c:strCache>
                <c:ptCount val="1"/>
                <c:pt idx="0">
                  <c:v>Protein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strRef>
              <c:f>'51g protein'!$A$130:$A$142</c:f>
              <c:strCache>
                <c:ptCount val="13"/>
                <c:pt idx="0">
                  <c:v>Legumes (pinto beans)</c:v>
                </c:pt>
                <c:pt idx="1">
                  <c:v>Fish</c:v>
                </c:pt>
                <c:pt idx="2">
                  <c:v>Beyond meat burger</c:v>
                </c:pt>
                <c:pt idx="3">
                  <c:v>Ripple Pea Milk</c:v>
                </c:pt>
                <c:pt idx="4">
                  <c:v>Impossible burger</c:v>
                </c:pt>
                <c:pt idx="5">
                  <c:v>Poultry</c:v>
                </c:pt>
                <c:pt idx="6">
                  <c:v>Quorn Grounds</c:v>
                </c:pt>
                <c:pt idx="7">
                  <c:v>Pork</c:v>
                </c:pt>
                <c:pt idx="8">
                  <c:v>Eggs</c:v>
                </c:pt>
                <c:pt idx="9">
                  <c:v>Milk</c:v>
                </c:pt>
                <c:pt idx="10">
                  <c:v>Cottage Cheese</c:v>
                </c:pt>
                <c:pt idx="11">
                  <c:v>Greek yogurt</c:v>
                </c:pt>
                <c:pt idx="12">
                  <c:v>Beef</c:v>
                </c:pt>
              </c:strCache>
            </c:strRef>
          </c:cat>
          <c:val>
            <c:numRef>
              <c:f>'51g protein'!$B$130:$B$142</c:f>
              <c:numCache>
                <c:formatCode>General</c:formatCode>
                <c:ptCount val="13"/>
                <c:pt idx="0">
                  <c:v>0.00230960714285714</c:v>
                </c:pt>
                <c:pt idx="1">
                  <c:v>0.0107937605769231</c:v>
                </c:pt>
                <c:pt idx="2">
                  <c:v>0.02</c:v>
                </c:pt>
                <c:pt idx="3">
                  <c:v>0.0225</c:v>
                </c:pt>
                <c:pt idx="4">
                  <c:v>0.0296296296296296</c:v>
                </c:pt>
                <c:pt idx="5">
                  <c:v>0.0362903225806451</c:v>
                </c:pt>
                <c:pt idx="6">
                  <c:v>0.0440666666666667</c:v>
                </c:pt>
                <c:pt idx="7">
                  <c:v>0.0586363636363636</c:v>
                </c:pt>
                <c:pt idx="8">
                  <c:v>0.0603728076923077</c:v>
                </c:pt>
                <c:pt idx="9">
                  <c:v>0.0933723529411765</c:v>
                </c:pt>
                <c:pt idx="10">
                  <c:v>0.0942307692307692</c:v>
                </c:pt>
                <c:pt idx="11">
                  <c:v>0.1269864</c:v>
                </c:pt>
                <c:pt idx="12">
                  <c:v>0.236071428571429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45923744"/>
        <c:axId val="2145972128"/>
      </c:barChart>
      <c:catAx>
        <c:axId val="2145923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972128"/>
        <c:crosses val="autoZero"/>
        <c:auto val="1"/>
        <c:lblAlgn val="ctr"/>
        <c:lblOffset val="100"/>
        <c:noMultiLvlLbl val="0"/>
      </c:catAx>
      <c:valAx>
        <c:axId val="214597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Carbon footprint (lb CO</a:t>
                </a:r>
                <a:r>
                  <a:rPr lang="en-US" sz="1000" b="0" i="0" baseline="-25000">
                    <a:effectLst/>
                  </a:rPr>
                  <a:t>2</a:t>
                </a:r>
                <a:r>
                  <a:rPr lang="en-US" sz="1000" b="0" i="0" baseline="0">
                    <a:effectLst/>
                  </a:rPr>
                  <a:t>e/g protein)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66256620617034"/>
              <c:y val="0.914268573571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92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Carbon</a:t>
            </a:r>
            <a:r>
              <a:rPr lang="en-US" baseline="0"/>
              <a:t> Footprint by Individual Serving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'51g protein'!$B$86</c:f>
              <c:strCache>
                <c:ptCount val="1"/>
                <c:pt idx="0">
                  <c:v>lb CO2e/serving (serving = 4oz or 0.25 lb)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strRef>
              <c:f>'51g protein'!$A$115:$A$127</c:f>
              <c:strCache>
                <c:ptCount val="13"/>
                <c:pt idx="0">
                  <c:v>Legumes (pinto beans)</c:v>
                </c:pt>
                <c:pt idx="1">
                  <c:v>Ripple Pea Milk</c:v>
                </c:pt>
                <c:pt idx="2">
                  <c:v>Beyond meat burger</c:v>
                </c:pt>
                <c:pt idx="3">
                  <c:v>Fish</c:v>
                </c:pt>
                <c:pt idx="4">
                  <c:v>Quorn Grounds</c:v>
                </c:pt>
                <c:pt idx="5">
                  <c:v>Milk</c:v>
                </c:pt>
                <c:pt idx="6">
                  <c:v>Impossible burger</c:v>
                </c:pt>
                <c:pt idx="7">
                  <c:v>Eggs</c:v>
                </c:pt>
                <c:pt idx="8">
                  <c:v>Poultry</c:v>
                </c:pt>
                <c:pt idx="9">
                  <c:v>Pork</c:v>
                </c:pt>
                <c:pt idx="10">
                  <c:v>Cottage Cheese</c:v>
                </c:pt>
                <c:pt idx="11">
                  <c:v>Greek yogurt</c:v>
                </c:pt>
                <c:pt idx="12">
                  <c:v>Beef</c:v>
                </c:pt>
              </c:strCache>
            </c:strRef>
          </c:cat>
          <c:val>
            <c:numRef>
              <c:f>'51g protein'!$B$115:$B$127</c:f>
              <c:numCache>
                <c:formatCode>General</c:formatCode>
                <c:ptCount val="13"/>
                <c:pt idx="0">
                  <c:v>0.11</c:v>
                </c:pt>
                <c:pt idx="1">
                  <c:v>0.18</c:v>
                </c:pt>
                <c:pt idx="2">
                  <c:v>0.4</c:v>
                </c:pt>
                <c:pt idx="3">
                  <c:v>0.3741837</c:v>
                </c:pt>
                <c:pt idx="4">
                  <c:v>0.661</c:v>
                </c:pt>
                <c:pt idx="5">
                  <c:v>0.72</c:v>
                </c:pt>
                <c:pt idx="6">
                  <c:v>0.8</c:v>
                </c:pt>
                <c:pt idx="7">
                  <c:v>0.89</c:v>
                </c:pt>
                <c:pt idx="8">
                  <c:v>1.26</c:v>
                </c:pt>
                <c:pt idx="9">
                  <c:v>1.72</c:v>
                </c:pt>
                <c:pt idx="10">
                  <c:v>2.45</c:v>
                </c:pt>
                <c:pt idx="11">
                  <c:v>2.88</c:v>
                </c:pt>
                <c:pt idx="12">
                  <c:v>6.61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46101360"/>
        <c:axId val="2146104928"/>
      </c:barChart>
      <c:catAx>
        <c:axId val="2146101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104928"/>
        <c:crosses val="autoZero"/>
        <c:auto val="1"/>
        <c:lblAlgn val="ctr"/>
        <c:lblOffset val="100"/>
        <c:noMultiLvlLbl val="0"/>
      </c:catAx>
      <c:valAx>
        <c:axId val="214610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Carbon footprint (lb CO</a:t>
                </a:r>
                <a:r>
                  <a:rPr lang="en-US" baseline="-25000"/>
                  <a:t>2</a:t>
                </a:r>
                <a:r>
                  <a:rPr lang="en-US"/>
                  <a:t>e/serving)</a:t>
                </a:r>
              </a:p>
            </c:rich>
          </c:tx>
          <c:layout>
            <c:manualLayout>
              <c:xMode val="edge"/>
              <c:yMode val="edge"/>
              <c:x val="0.324684646455121"/>
              <c:y val="0.914268573571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10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'51g protein'!$B$72:$B$82</c:f>
              <c:numCache>
                <c:formatCode>0</c:formatCode>
                <c:ptCount val="11"/>
                <c:pt idx="0">
                  <c:v>100.0</c:v>
                </c:pt>
                <c:pt idx="1">
                  <c:v>120.0</c:v>
                </c:pt>
                <c:pt idx="2">
                  <c:v>140.0</c:v>
                </c:pt>
                <c:pt idx="3">
                  <c:v>160.0</c:v>
                </c:pt>
                <c:pt idx="4">
                  <c:v>180.0</c:v>
                </c:pt>
                <c:pt idx="5">
                  <c:v>200.0</c:v>
                </c:pt>
                <c:pt idx="6">
                  <c:v>220.0</c:v>
                </c:pt>
                <c:pt idx="7">
                  <c:v>240.0</c:v>
                </c:pt>
                <c:pt idx="8">
                  <c:v>260.0</c:v>
                </c:pt>
                <c:pt idx="9">
                  <c:v>280.0</c:v>
                </c:pt>
                <c:pt idx="10">
                  <c:v>300.0</c:v>
                </c:pt>
              </c:numCache>
            </c:numRef>
          </c:xVal>
          <c:yVal>
            <c:numRef>
              <c:f>'51g protein'!$C$72:$C$82</c:f>
              <c:numCache>
                <c:formatCode>0</c:formatCode>
                <c:ptCount val="11"/>
                <c:pt idx="0">
                  <c:v>36.0</c:v>
                </c:pt>
                <c:pt idx="1">
                  <c:v>43.2</c:v>
                </c:pt>
                <c:pt idx="2">
                  <c:v>50.4</c:v>
                </c:pt>
                <c:pt idx="3">
                  <c:v>57.6</c:v>
                </c:pt>
                <c:pt idx="4">
                  <c:v>64.8</c:v>
                </c:pt>
                <c:pt idx="5">
                  <c:v>72.0</c:v>
                </c:pt>
                <c:pt idx="6">
                  <c:v>79.2</c:v>
                </c:pt>
                <c:pt idx="7">
                  <c:v>86.4</c:v>
                </c:pt>
                <c:pt idx="8">
                  <c:v>93.6</c:v>
                </c:pt>
                <c:pt idx="9">
                  <c:v>100.8</c:v>
                </c:pt>
                <c:pt idx="10">
                  <c:v>108.0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080800"/>
        <c:axId val="2146084640"/>
      </c:scatterChart>
      <c:valAx>
        <c:axId val="2146080800"/>
        <c:scaling>
          <c:orientation val="minMax"/>
          <c:max val="300.0"/>
          <c:min val="1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084640"/>
        <c:crosses val="autoZero"/>
        <c:crossBetween val="midCat"/>
      </c:valAx>
      <c:valAx>
        <c:axId val="214608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08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protein carbon savings by switching one meal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'51g protein'!$G$41</c:f>
              <c:strCache>
                <c:ptCount val="1"/>
                <c:pt idx="0">
                  <c:v>Annual savings by switching one meal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'51g protein'!$A$42:$A$48</c:f>
              <c:strCache>
                <c:ptCount val="7"/>
                <c:pt idx="0">
                  <c:v>Legumes (pinto beans)</c:v>
                </c:pt>
                <c:pt idx="1">
                  <c:v>Fish</c:v>
                </c:pt>
                <c:pt idx="2">
                  <c:v>Greek yogurt</c:v>
                </c:pt>
                <c:pt idx="3">
                  <c:v>Quorn Grounds</c:v>
                </c:pt>
                <c:pt idx="4">
                  <c:v>Impossible burger</c:v>
                </c:pt>
                <c:pt idx="5">
                  <c:v>Eggs</c:v>
                </c:pt>
                <c:pt idx="6">
                  <c:v>Beyond meat burger</c:v>
                </c:pt>
              </c:strCache>
            </c:strRef>
          </c:cat>
          <c:val>
            <c:numRef>
              <c:f>'51g protein'!$G$42:$G$48</c:f>
              <c:numCache>
                <c:formatCode>0%</c:formatCode>
                <c:ptCount val="7"/>
                <c:pt idx="0">
                  <c:v>0.0451914857999139</c:v>
                </c:pt>
                <c:pt idx="1">
                  <c:v>0.0367532812022511</c:v>
                </c:pt>
                <c:pt idx="2">
                  <c:v>-0.0788100772181192</c:v>
                </c:pt>
                <c:pt idx="3">
                  <c:v>0.00366057592222387</c:v>
                </c:pt>
                <c:pt idx="4">
                  <c:v>0.0180194242444861</c:v>
                </c:pt>
                <c:pt idx="5">
                  <c:v>-0.0125572536163398</c:v>
                </c:pt>
                <c:pt idx="6">
                  <c:v>0.027596901319366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7011168"/>
        <c:axId val="2147014832"/>
      </c:barChart>
      <c:catAx>
        <c:axId val="214701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014832"/>
        <c:crosses val="autoZero"/>
        <c:auto val="1"/>
        <c:lblAlgn val="ctr"/>
        <c:lblOffset val="100"/>
        <c:noMultiLvlLbl val="0"/>
      </c:catAx>
      <c:valAx>
        <c:axId val="214701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01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Carbon Intensity by Amount of </a:t>
            </a:r>
            <a:r>
              <a:rPr lang="en-US" baseline="0"/>
              <a:t>Protein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'93g protein'!$B$128</c:f>
              <c:strCache>
                <c:ptCount val="1"/>
                <c:pt idx="0">
                  <c:v>Protein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strRef>
              <c:f>'93g protein'!$A$130:$A$142</c:f>
              <c:strCache>
                <c:ptCount val="13"/>
                <c:pt idx="0">
                  <c:v>Legumes (pinto beans)</c:v>
                </c:pt>
                <c:pt idx="1">
                  <c:v>Fish</c:v>
                </c:pt>
                <c:pt idx="2">
                  <c:v>Beyond meat burger</c:v>
                </c:pt>
                <c:pt idx="3">
                  <c:v>Ripple Pea Milk</c:v>
                </c:pt>
                <c:pt idx="4">
                  <c:v>Impossible burger</c:v>
                </c:pt>
                <c:pt idx="5">
                  <c:v>Poultry</c:v>
                </c:pt>
                <c:pt idx="6">
                  <c:v>Quorn Grounds</c:v>
                </c:pt>
                <c:pt idx="7">
                  <c:v>Pork</c:v>
                </c:pt>
                <c:pt idx="8">
                  <c:v>Eggs</c:v>
                </c:pt>
                <c:pt idx="9">
                  <c:v>Milk</c:v>
                </c:pt>
                <c:pt idx="10">
                  <c:v>Cottage Cheese</c:v>
                </c:pt>
                <c:pt idx="11">
                  <c:v>Greek yogurt</c:v>
                </c:pt>
                <c:pt idx="12">
                  <c:v>Beef</c:v>
                </c:pt>
              </c:strCache>
            </c:strRef>
          </c:cat>
          <c:val>
            <c:numRef>
              <c:f>'93g protein'!$B$130:$B$142</c:f>
              <c:numCache>
                <c:formatCode>General</c:formatCode>
                <c:ptCount val="13"/>
                <c:pt idx="0">
                  <c:v>0.00230960714285714</c:v>
                </c:pt>
                <c:pt idx="1">
                  <c:v>0.0107937605769231</c:v>
                </c:pt>
                <c:pt idx="2">
                  <c:v>0.02</c:v>
                </c:pt>
                <c:pt idx="3">
                  <c:v>0.0225</c:v>
                </c:pt>
                <c:pt idx="4">
                  <c:v>0.0296296296296296</c:v>
                </c:pt>
                <c:pt idx="5">
                  <c:v>0.0362903225806451</c:v>
                </c:pt>
                <c:pt idx="6">
                  <c:v>0.0440666666666667</c:v>
                </c:pt>
                <c:pt idx="7">
                  <c:v>0.0586363636363636</c:v>
                </c:pt>
                <c:pt idx="8">
                  <c:v>0.0603728076923077</c:v>
                </c:pt>
                <c:pt idx="9">
                  <c:v>0.0933723529411765</c:v>
                </c:pt>
                <c:pt idx="10">
                  <c:v>0.0942307692307692</c:v>
                </c:pt>
                <c:pt idx="11">
                  <c:v>0.1269864</c:v>
                </c:pt>
                <c:pt idx="12">
                  <c:v>0.236071428571429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47069808"/>
        <c:axId val="2147073376"/>
      </c:barChart>
      <c:catAx>
        <c:axId val="2147069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073376"/>
        <c:crosses val="autoZero"/>
        <c:auto val="1"/>
        <c:lblAlgn val="ctr"/>
        <c:lblOffset val="100"/>
        <c:noMultiLvlLbl val="0"/>
      </c:catAx>
      <c:valAx>
        <c:axId val="214707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Carbon footprint (lb CO</a:t>
                </a:r>
                <a:r>
                  <a:rPr lang="en-US" sz="1000" b="0" i="0" baseline="-25000">
                    <a:effectLst/>
                  </a:rPr>
                  <a:t>2</a:t>
                </a:r>
                <a:r>
                  <a:rPr lang="en-US" sz="1000" b="0" i="0" baseline="0">
                    <a:effectLst/>
                  </a:rPr>
                  <a:t>e/g protein)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66256620617034"/>
              <c:y val="0.914268573571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06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Carbon</a:t>
            </a:r>
            <a:r>
              <a:rPr lang="en-US" baseline="0"/>
              <a:t> Footprint by Individual Serving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'93g protein'!$B$86</c:f>
              <c:strCache>
                <c:ptCount val="1"/>
                <c:pt idx="0">
                  <c:v>lb CO2e/serving (serving = 4oz or 0.25 lb)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strRef>
              <c:f>'93g protein'!$A$115:$A$127</c:f>
              <c:strCache>
                <c:ptCount val="13"/>
                <c:pt idx="0">
                  <c:v>Legumes (pinto beans)</c:v>
                </c:pt>
                <c:pt idx="1">
                  <c:v>Ripple Pea Milk</c:v>
                </c:pt>
                <c:pt idx="2">
                  <c:v>Beyond meat burger</c:v>
                </c:pt>
                <c:pt idx="3">
                  <c:v>Fish</c:v>
                </c:pt>
                <c:pt idx="4">
                  <c:v>Quorn Grounds</c:v>
                </c:pt>
                <c:pt idx="5">
                  <c:v>Milk</c:v>
                </c:pt>
                <c:pt idx="6">
                  <c:v>Impossible burger</c:v>
                </c:pt>
                <c:pt idx="7">
                  <c:v>Eggs</c:v>
                </c:pt>
                <c:pt idx="8">
                  <c:v>Poultry</c:v>
                </c:pt>
                <c:pt idx="9">
                  <c:v>Pork</c:v>
                </c:pt>
                <c:pt idx="10">
                  <c:v>Cottage Cheese</c:v>
                </c:pt>
                <c:pt idx="11">
                  <c:v>Greek yogurt</c:v>
                </c:pt>
                <c:pt idx="12">
                  <c:v>Beef</c:v>
                </c:pt>
              </c:strCache>
            </c:strRef>
          </c:cat>
          <c:val>
            <c:numRef>
              <c:f>'93g protein'!$B$115:$B$127</c:f>
              <c:numCache>
                <c:formatCode>General</c:formatCode>
                <c:ptCount val="13"/>
                <c:pt idx="0">
                  <c:v>0.11</c:v>
                </c:pt>
                <c:pt idx="1">
                  <c:v>0.18</c:v>
                </c:pt>
                <c:pt idx="2">
                  <c:v>0.4</c:v>
                </c:pt>
                <c:pt idx="3">
                  <c:v>0.3741837</c:v>
                </c:pt>
                <c:pt idx="4">
                  <c:v>0.661</c:v>
                </c:pt>
                <c:pt idx="5">
                  <c:v>0.72</c:v>
                </c:pt>
                <c:pt idx="6">
                  <c:v>0.8</c:v>
                </c:pt>
                <c:pt idx="7">
                  <c:v>0.89</c:v>
                </c:pt>
                <c:pt idx="8">
                  <c:v>1.26</c:v>
                </c:pt>
                <c:pt idx="9">
                  <c:v>1.72</c:v>
                </c:pt>
                <c:pt idx="10">
                  <c:v>2.45</c:v>
                </c:pt>
                <c:pt idx="11">
                  <c:v>2.88</c:v>
                </c:pt>
                <c:pt idx="12">
                  <c:v>6.61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47115632"/>
        <c:axId val="2147119200"/>
      </c:barChart>
      <c:catAx>
        <c:axId val="2147115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119200"/>
        <c:crosses val="autoZero"/>
        <c:auto val="1"/>
        <c:lblAlgn val="ctr"/>
        <c:lblOffset val="100"/>
        <c:noMultiLvlLbl val="0"/>
      </c:catAx>
      <c:valAx>
        <c:axId val="214711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Carbon footprint (lb CO</a:t>
                </a:r>
                <a:r>
                  <a:rPr lang="en-US" baseline="-25000"/>
                  <a:t>2</a:t>
                </a:r>
                <a:r>
                  <a:rPr lang="en-US"/>
                  <a:t>e/serving)</a:t>
                </a:r>
              </a:p>
            </c:rich>
          </c:tx>
          <c:layout>
            <c:manualLayout>
              <c:xMode val="edge"/>
              <c:yMode val="edge"/>
              <c:x val="0.324684646455121"/>
              <c:y val="0.914268573571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11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'93g protein'!$B$72:$B$82</c:f>
              <c:numCache>
                <c:formatCode>0</c:formatCode>
                <c:ptCount val="11"/>
                <c:pt idx="0">
                  <c:v>100.0</c:v>
                </c:pt>
                <c:pt idx="1">
                  <c:v>120.0</c:v>
                </c:pt>
                <c:pt idx="2">
                  <c:v>140.0</c:v>
                </c:pt>
                <c:pt idx="3">
                  <c:v>160.0</c:v>
                </c:pt>
                <c:pt idx="4">
                  <c:v>180.0</c:v>
                </c:pt>
                <c:pt idx="5">
                  <c:v>200.0</c:v>
                </c:pt>
                <c:pt idx="6">
                  <c:v>220.0</c:v>
                </c:pt>
                <c:pt idx="7">
                  <c:v>240.0</c:v>
                </c:pt>
                <c:pt idx="8">
                  <c:v>260.0</c:v>
                </c:pt>
                <c:pt idx="9">
                  <c:v>280.0</c:v>
                </c:pt>
                <c:pt idx="10">
                  <c:v>300.0</c:v>
                </c:pt>
              </c:numCache>
            </c:numRef>
          </c:xVal>
          <c:yVal>
            <c:numRef>
              <c:f>'93g protein'!$C$72:$C$82</c:f>
              <c:numCache>
                <c:formatCode>0</c:formatCode>
                <c:ptCount val="11"/>
                <c:pt idx="0">
                  <c:v>36.0</c:v>
                </c:pt>
                <c:pt idx="1">
                  <c:v>43.2</c:v>
                </c:pt>
                <c:pt idx="2">
                  <c:v>50.4</c:v>
                </c:pt>
                <c:pt idx="3">
                  <c:v>57.6</c:v>
                </c:pt>
                <c:pt idx="4">
                  <c:v>64.8</c:v>
                </c:pt>
                <c:pt idx="5">
                  <c:v>72.0</c:v>
                </c:pt>
                <c:pt idx="6">
                  <c:v>79.2</c:v>
                </c:pt>
                <c:pt idx="7">
                  <c:v>86.4</c:v>
                </c:pt>
                <c:pt idx="8">
                  <c:v>93.6</c:v>
                </c:pt>
                <c:pt idx="9">
                  <c:v>100.8</c:v>
                </c:pt>
                <c:pt idx="10">
                  <c:v>108.0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145232"/>
        <c:axId val="2147148784"/>
      </c:scatterChart>
      <c:valAx>
        <c:axId val="2147145232"/>
        <c:scaling>
          <c:orientation val="minMax"/>
          <c:max val="300.0"/>
          <c:min val="1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148784"/>
        <c:crosses val="autoZero"/>
        <c:crossBetween val="midCat"/>
      </c:valAx>
      <c:valAx>
        <c:axId val="214714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14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protein carbon savings by switching one meal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'93g protein'!$G$41</c:f>
              <c:strCache>
                <c:ptCount val="1"/>
                <c:pt idx="0">
                  <c:v>Annual savings by switching one meal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'93g protein'!$A$42:$A$48</c:f>
              <c:strCache>
                <c:ptCount val="7"/>
                <c:pt idx="0">
                  <c:v>Legumes (pinto beans)</c:v>
                </c:pt>
                <c:pt idx="1">
                  <c:v>Fish</c:v>
                </c:pt>
                <c:pt idx="2">
                  <c:v>Greek yogurt</c:v>
                </c:pt>
                <c:pt idx="3">
                  <c:v>Quorn Grounds</c:v>
                </c:pt>
                <c:pt idx="4">
                  <c:v>Impossible burger</c:v>
                </c:pt>
                <c:pt idx="5">
                  <c:v>Eggs</c:v>
                </c:pt>
                <c:pt idx="6">
                  <c:v>Beyond meat burger</c:v>
                </c:pt>
              </c:strCache>
            </c:strRef>
          </c:cat>
          <c:val>
            <c:numRef>
              <c:f>'93g protein'!$G$42:$G$48</c:f>
              <c:numCache>
                <c:formatCode>0%</c:formatCode>
                <c:ptCount val="7"/>
                <c:pt idx="0">
                  <c:v>0.0462542329105307</c:v>
                </c:pt>
                <c:pt idx="1">
                  <c:v>0.0417199431305758</c:v>
                </c:pt>
                <c:pt idx="2">
                  <c:v>-0.0203783088089294</c:v>
                </c:pt>
                <c:pt idx="3">
                  <c:v>0.0239374973975285</c:v>
                </c:pt>
                <c:pt idx="4">
                  <c:v>0.0316532594943128</c:v>
                </c:pt>
                <c:pt idx="5">
                  <c:v>0.0152228072192258</c:v>
                </c:pt>
                <c:pt idx="6">
                  <c:v>0.036799740112999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6180768"/>
        <c:axId val="2146184432"/>
      </c:barChart>
      <c:catAx>
        <c:axId val="214618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184432"/>
        <c:crosses val="autoZero"/>
        <c:auto val="1"/>
        <c:lblAlgn val="ctr"/>
        <c:lblOffset val="100"/>
        <c:noMultiLvlLbl val="0"/>
      </c:catAx>
      <c:valAx>
        <c:axId val="214618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18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698500</xdr:colOff>
      <xdr:row>128</xdr:row>
      <xdr:rowOff>76200</xdr:rowOff>
    </xdr:from>
    <xdr:to>
      <xdr:col>14</xdr:col>
      <xdr:colOff>457200</xdr:colOff>
      <xdr:row>146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685800</xdr:colOff>
      <xdr:row>108</xdr:row>
      <xdr:rowOff>101600</xdr:rowOff>
    </xdr:from>
    <xdr:to>
      <xdr:col>14</xdr:col>
      <xdr:colOff>444500</xdr:colOff>
      <xdr:row>126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508000</xdr:colOff>
      <xdr:row>71</xdr:row>
      <xdr:rowOff>101600</xdr:rowOff>
    </xdr:from>
    <xdr:to>
      <xdr:col>13</xdr:col>
      <xdr:colOff>107950</xdr:colOff>
      <xdr:row>83</xdr:row>
      <xdr:rowOff>127000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514350</xdr:colOff>
      <xdr:row>19</xdr:row>
      <xdr:rowOff>88900</xdr:rowOff>
    </xdr:from>
    <xdr:to>
      <xdr:col>13</xdr:col>
      <xdr:colOff>0</xdr:colOff>
      <xdr:row>35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698500</xdr:colOff>
      <xdr:row>128</xdr:row>
      <xdr:rowOff>76200</xdr:rowOff>
    </xdr:from>
    <xdr:to>
      <xdr:col>14</xdr:col>
      <xdr:colOff>457200</xdr:colOff>
      <xdr:row>146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685800</xdr:colOff>
      <xdr:row>108</xdr:row>
      <xdr:rowOff>101600</xdr:rowOff>
    </xdr:from>
    <xdr:to>
      <xdr:col>14</xdr:col>
      <xdr:colOff>444500</xdr:colOff>
      <xdr:row>126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508000</xdr:colOff>
      <xdr:row>71</xdr:row>
      <xdr:rowOff>101600</xdr:rowOff>
    </xdr:from>
    <xdr:to>
      <xdr:col>13</xdr:col>
      <xdr:colOff>107950</xdr:colOff>
      <xdr:row>83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514350</xdr:colOff>
      <xdr:row>19</xdr:row>
      <xdr:rowOff>88900</xdr:rowOff>
    </xdr:from>
    <xdr:to>
      <xdr:col>13</xdr:col>
      <xdr:colOff>0</xdr:colOff>
      <xdr:row>35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6"/>
  <sheetViews>
    <sheetView topLeftCell="A61" workbookViewId="0">
      <selection activeCell="B37" sqref="B37"/>
    </sheetView>
  </sheetViews>
  <sheetFormatPr baseColWidth="10" defaultRowHeight="16" x14ac:dyDescent="0.2"/>
  <cols>
    <col min="1" max="1" width="36" customWidth="1"/>
    <col min="2" max="2" width="14" bestFit="1" customWidth="1"/>
  </cols>
  <sheetData>
    <row r="1" spans="1:3" x14ac:dyDescent="0.2">
      <c r="B1" t="s">
        <v>10</v>
      </c>
    </row>
    <row r="2" spans="1:3" x14ac:dyDescent="0.2">
      <c r="A2" t="s">
        <v>12</v>
      </c>
      <c r="B2">
        <v>270</v>
      </c>
      <c r="C2" t="s">
        <v>11</v>
      </c>
    </row>
    <row r="3" spans="1:3" x14ac:dyDescent="0.2">
      <c r="B3" s="11">
        <f>B2/52</f>
        <v>5.1923076923076925</v>
      </c>
      <c r="C3" t="s">
        <v>347</v>
      </c>
    </row>
    <row r="4" spans="1:3" x14ac:dyDescent="0.2">
      <c r="B4" s="11">
        <f>B2/365</f>
        <v>0.73972602739726023</v>
      </c>
      <c r="C4" t="s">
        <v>346</v>
      </c>
    </row>
    <row r="5" spans="1:3" x14ac:dyDescent="0.2">
      <c r="B5" s="12">
        <f>B4*16</f>
        <v>11.835616438356164</v>
      </c>
      <c r="C5" t="s">
        <v>375</v>
      </c>
    </row>
    <row r="6" spans="1:3" x14ac:dyDescent="0.2">
      <c r="A6" t="s">
        <v>391</v>
      </c>
    </row>
    <row r="7" spans="1:3" x14ac:dyDescent="0.2">
      <c r="A7" t="s">
        <v>383</v>
      </c>
    </row>
    <row r="8" spans="1:3" x14ac:dyDescent="0.2">
      <c r="A8" t="s">
        <v>384</v>
      </c>
      <c r="B8">
        <v>59.4</v>
      </c>
      <c r="C8">
        <f>B8/SUM($B$8:$B$9,$B$11:$B$12)</f>
        <v>0.26963231956423056</v>
      </c>
    </row>
    <row r="9" spans="1:3" x14ac:dyDescent="0.2">
      <c r="A9" t="s">
        <v>385</v>
      </c>
      <c r="B9">
        <v>52</v>
      </c>
      <c r="C9">
        <f>B9/SUM($B$8:$B$9,$B$11:$B$12)</f>
        <v>0.23604176123467996</v>
      </c>
    </row>
    <row r="10" spans="1:3" x14ac:dyDescent="0.2">
      <c r="A10" t="s">
        <v>386</v>
      </c>
      <c r="B10">
        <v>1.1000000000000001</v>
      </c>
    </row>
    <row r="11" spans="1:3" x14ac:dyDescent="0.2">
      <c r="A11" t="s">
        <v>387</v>
      </c>
      <c r="B11">
        <v>92.4</v>
      </c>
      <c r="C11">
        <f>B11/SUM($B$8:$B$9,$B$11:$B$12)</f>
        <v>0.41942805265546984</v>
      </c>
    </row>
    <row r="12" spans="1:3" x14ac:dyDescent="0.2">
      <c r="A12" t="s">
        <v>388</v>
      </c>
      <c r="B12">
        <v>16.5</v>
      </c>
      <c r="C12">
        <f>B12/SUM($B$8:$B$9,$B$11:$B$12)</f>
        <v>7.4897866545619612E-2</v>
      </c>
    </row>
    <row r="14" spans="1:3" x14ac:dyDescent="0.2">
      <c r="A14" t="s">
        <v>389</v>
      </c>
      <c r="B14">
        <v>222.8</v>
      </c>
    </row>
    <row r="15" spans="1:3" x14ac:dyDescent="0.2">
      <c r="A15" t="s">
        <v>390</v>
      </c>
      <c r="B15">
        <v>278.89999999999998</v>
      </c>
    </row>
    <row r="17" spans="1:3" x14ac:dyDescent="0.2">
      <c r="A17" t="s">
        <v>392</v>
      </c>
    </row>
    <row r="18" spans="1:3" x14ac:dyDescent="0.2">
      <c r="A18" t="s">
        <v>0</v>
      </c>
      <c r="B18" s="15">
        <f>C8</f>
        <v>0.26963231956423056</v>
      </c>
    </row>
    <row r="19" spans="1:3" x14ac:dyDescent="0.2">
      <c r="A19" t="s">
        <v>8</v>
      </c>
      <c r="B19" s="15">
        <f>C9</f>
        <v>0.23604176123467996</v>
      </c>
    </row>
    <row r="20" spans="1:3" x14ac:dyDescent="0.2">
      <c r="A20" t="s">
        <v>393</v>
      </c>
      <c r="B20" s="15">
        <f>SUM(C11:C12)</f>
        <v>0.49432591920108948</v>
      </c>
    </row>
    <row r="21" spans="1:3" x14ac:dyDescent="0.2">
      <c r="B21" s="15"/>
    </row>
    <row r="22" spans="1:3" x14ac:dyDescent="0.2">
      <c r="A22" t="s">
        <v>417</v>
      </c>
      <c r="B22" s="15" t="s">
        <v>373</v>
      </c>
    </row>
    <row r="23" spans="1:3" x14ac:dyDescent="0.2">
      <c r="A23" t="s">
        <v>0</v>
      </c>
      <c r="B23" s="12">
        <f>$B$29*B18</f>
        <v>25.590743477150891</v>
      </c>
    </row>
    <row r="24" spans="1:3" x14ac:dyDescent="0.2">
      <c r="A24" t="s">
        <v>8</v>
      </c>
      <c r="B24" s="12">
        <f>$B$29*B19</f>
        <v>22.402671057438493</v>
      </c>
    </row>
    <row r="25" spans="1:3" x14ac:dyDescent="0.2">
      <c r="A25" t="s">
        <v>393</v>
      </c>
      <c r="B25" s="12">
        <f>$B$29*B20</f>
        <v>46.916363041443311</v>
      </c>
    </row>
    <row r="27" spans="1:3" x14ac:dyDescent="0.2">
      <c r="A27" s="3" t="s">
        <v>400</v>
      </c>
    </row>
    <row r="28" spans="1:3" x14ac:dyDescent="0.2">
      <c r="A28" s="3" t="s">
        <v>399</v>
      </c>
      <c r="B28" s="15">
        <f>51/B29</f>
        <v>0.53735243409609346</v>
      </c>
    </row>
    <row r="29" spans="1:3" x14ac:dyDescent="0.2">
      <c r="A29" t="s">
        <v>9</v>
      </c>
      <c r="B29" s="12">
        <f>(B18*D97+B19*D94+B20*D92)*4*3</f>
        <v>94.909777576032695</v>
      </c>
      <c r="C29" t="s">
        <v>376</v>
      </c>
    </row>
    <row r="30" spans="1:3" x14ac:dyDescent="0.2">
      <c r="A30" t="s">
        <v>377</v>
      </c>
      <c r="B30" s="12">
        <f>B29/3</f>
        <v>31.636592525344231</v>
      </c>
      <c r="C30" t="s">
        <v>401</v>
      </c>
    </row>
    <row r="31" spans="1:3" x14ac:dyDescent="0.2">
      <c r="A31" t="s">
        <v>414</v>
      </c>
      <c r="B31" s="12">
        <f>B18*B97*B28</f>
        <v>0.95770692514246736</v>
      </c>
      <c r="C31" t="s">
        <v>394</v>
      </c>
    </row>
    <row r="32" spans="1:3" x14ac:dyDescent="0.2">
      <c r="A32" t="s">
        <v>411</v>
      </c>
      <c r="B32" s="12">
        <f>B19*B94*B28+B92*B20*B28</f>
        <v>0.55285101496875155</v>
      </c>
      <c r="C32" t="s">
        <v>394</v>
      </c>
    </row>
    <row r="33" spans="1:12" x14ac:dyDescent="0.2">
      <c r="A33" t="s">
        <v>412</v>
      </c>
      <c r="B33" s="12">
        <f>B19*B94*B28+B92*B2*B280+0.5*B18*B97*B28</f>
        <v>0.69701416028142249</v>
      </c>
      <c r="C33" t="s">
        <v>394</v>
      </c>
    </row>
    <row r="34" spans="1:12" x14ac:dyDescent="0.2">
      <c r="A34" t="s">
        <v>377</v>
      </c>
      <c r="B34" s="12">
        <f>(B18*C97+B19*C94+B20*C92)*4*B28</f>
        <v>1.510557940111219</v>
      </c>
      <c r="C34" t="s">
        <v>394</v>
      </c>
    </row>
    <row r="35" spans="1:12" x14ac:dyDescent="0.2">
      <c r="A35" t="s">
        <v>9</v>
      </c>
      <c r="B35" s="2">
        <f>B34*3</f>
        <v>4.5316738203336566</v>
      </c>
      <c r="C35" t="s">
        <v>395</v>
      </c>
    </row>
    <row r="36" spans="1:12" x14ac:dyDescent="0.2">
      <c r="A36" t="s">
        <v>345</v>
      </c>
      <c r="B36" s="1">
        <f>B35*52</f>
        <v>235.64703865735015</v>
      </c>
      <c r="C36" t="s">
        <v>396</v>
      </c>
    </row>
    <row r="37" spans="1:12" x14ac:dyDescent="0.2">
      <c r="A37" t="s">
        <v>13</v>
      </c>
      <c r="B37" s="2">
        <f>B35*365</f>
        <v>1654.0609444217846</v>
      </c>
      <c r="C37" t="s">
        <v>397</v>
      </c>
      <c r="I37" s="20" t="s">
        <v>418</v>
      </c>
    </row>
    <row r="38" spans="1:12" x14ac:dyDescent="0.2">
      <c r="B38" s="2"/>
    </row>
    <row r="39" spans="1:12" x14ac:dyDescent="0.2">
      <c r="A39" s="3" t="s">
        <v>402</v>
      </c>
      <c r="B39" s="2"/>
    </row>
    <row r="40" spans="1:12" x14ac:dyDescent="0.2">
      <c r="A40" s="3"/>
      <c r="B40" s="2"/>
      <c r="E40" s="26" t="s">
        <v>407</v>
      </c>
      <c r="F40" s="26"/>
      <c r="G40" s="26"/>
      <c r="I40" s="26" t="s">
        <v>408</v>
      </c>
      <c r="J40" s="26"/>
      <c r="K40" s="26" t="s">
        <v>409</v>
      </c>
      <c r="L40" s="26"/>
    </row>
    <row r="41" spans="1:12" s="17" customFormat="1" ht="64" x14ac:dyDescent="0.2">
      <c r="B41" s="17" t="s">
        <v>410</v>
      </c>
      <c r="C41" s="23" t="s">
        <v>421</v>
      </c>
      <c r="D41" s="17" t="s">
        <v>403</v>
      </c>
      <c r="E41" s="17" t="s">
        <v>404</v>
      </c>
      <c r="F41" s="17" t="s">
        <v>405</v>
      </c>
      <c r="G41" s="17" t="s">
        <v>406</v>
      </c>
      <c r="H41" s="18" t="s">
        <v>415</v>
      </c>
      <c r="I41" s="17" t="s">
        <v>416</v>
      </c>
      <c r="J41" s="17" t="s">
        <v>413</v>
      </c>
      <c r="K41" s="17" t="s">
        <v>416</v>
      </c>
      <c r="L41" s="17" t="s">
        <v>413</v>
      </c>
    </row>
    <row r="42" spans="1:12" x14ac:dyDescent="0.2">
      <c r="A42" t="s">
        <v>361</v>
      </c>
      <c r="B42" s="2">
        <f t="shared" ref="B42:B48" si="0">$B$30/VLOOKUP(A42,$A$87:$D$99, 4,FALSE)</f>
        <v>5.3140436416142496</v>
      </c>
      <c r="C42" s="24">
        <f t="shared" ref="C42:C48" si="1">VLOOKUP(A42,$A$87:$C$99,3,FALSE)*B42</f>
        <v>7.3068100072195927E-2</v>
      </c>
      <c r="D42" s="12">
        <f>$B$34-C42</f>
        <v>1.437489840039023</v>
      </c>
      <c r="E42" s="15">
        <f>D42/$B$35</f>
        <v>0.31720946763401076</v>
      </c>
      <c r="F42" s="16">
        <f>D42/$B$36</f>
        <v>6.1001820698848228E-3</v>
      </c>
      <c r="G42" s="15">
        <f>D42*52/$B$37</f>
        <v>4.5191485799913868E-2</v>
      </c>
      <c r="H42" s="19">
        <f>($E$97-VLOOKUP(A42,$A$87:$E$99,5,FALSE))*$B$23*$B$18+($E$94-VLOOKUP(A42,$A$87:$E$99,5,FALSE))*$B$24*$B$19+($E$92-VLOOKUP(A42,$A$87:$E$99,5,FALSE))*$B$25*$B$20</f>
        <v>2.6989118105624419</v>
      </c>
      <c r="I42" s="12">
        <f t="shared" ref="I42:I48" si="2">($E$97-VLOOKUP(A42,$A$87:$E$99,5,FALSE))*$B$23</f>
        <v>5.9821388069301262</v>
      </c>
      <c r="J42" s="15">
        <f>I42/$B$35</f>
        <v>1.3200726804493788</v>
      </c>
      <c r="K42" s="11">
        <f>($E$97-VLOOKUP(A42,$A$87:$E$99,5,FALSE))*$B$23*0.5</f>
        <v>2.9910694034650631</v>
      </c>
      <c r="L42" s="15">
        <f>K42/$B$35</f>
        <v>0.66003634022468938</v>
      </c>
    </row>
    <row r="43" spans="1:12" x14ac:dyDescent="0.2">
      <c r="A43" t="s">
        <v>367</v>
      </c>
      <c r="B43" s="2">
        <f t="shared" si="0"/>
        <v>3.6503760606166424</v>
      </c>
      <c r="C43" s="24">
        <f t="shared" si="1"/>
        <v>0.34147780518823989</v>
      </c>
      <c r="D43" s="12">
        <f t="shared" ref="D43:D48" si="3">$B$34-C43</f>
        <v>1.1690801349229791</v>
      </c>
      <c r="E43" s="15">
        <f t="shared" ref="E43:E48" si="4">D43/$B$35</f>
        <v>0.25797976228503189</v>
      </c>
      <c r="F43" s="16">
        <f t="shared" ref="F43:F48" si="5">D43/$B$36</f>
        <v>4.9611492747121521E-3</v>
      </c>
      <c r="G43" s="15">
        <f t="shared" ref="G43:G48" si="6">D43*52/$B$37</f>
        <v>3.6753281202251124E-2</v>
      </c>
      <c r="H43" s="19">
        <f t="shared" ref="H43:H48" si="7">($E$97-VLOOKUP(A43,$A$87:$E$99,5,FALSE))*$B$23*$B$18+($E$94-VLOOKUP(A43,$A$87:$E$99,5,FALSE))*$B$24*$B$19+($E$92-VLOOKUP(A43,$A$87:$E$99,5,FALSE))*$B$25*$B$20</f>
        <v>2.3987421927619557</v>
      </c>
      <c r="I43" s="12">
        <f t="shared" si="2"/>
        <v>5.7650230127781557</v>
      </c>
      <c r="J43" s="15">
        <f t="shared" ref="J43:J51" si="8">I43/$B$35</f>
        <v>1.2721619519283254</v>
      </c>
      <c r="K43" s="11">
        <f t="shared" ref="K43:K48" si="9">($E$97-VLOOKUP(A43,$A$87:$E$99,5,FALSE))*$B$23*0.5</f>
        <v>2.8825115063890778</v>
      </c>
      <c r="L43" s="15">
        <f t="shared" ref="L43:L51" si="10">K43/$B$35</f>
        <v>0.63608097596416269</v>
      </c>
    </row>
    <row r="44" spans="1:12" x14ac:dyDescent="0.2">
      <c r="A44" t="s">
        <v>351</v>
      </c>
      <c r="B44" s="2">
        <f t="shared" si="0"/>
        <v>11.159491647389924</v>
      </c>
      <c r="C44" s="24">
        <f t="shared" si="1"/>
        <v>4.0174169930603725</v>
      </c>
      <c r="D44" s="12">
        <f t="shared" si="3"/>
        <v>-2.5068590529491535</v>
      </c>
      <c r="E44" s="15">
        <f t="shared" si="4"/>
        <v>-0.55318611893487502</v>
      </c>
      <c r="F44" s="16">
        <f t="shared" si="5"/>
        <v>-1.0638194594901442E-2</v>
      </c>
      <c r="G44" s="15">
        <f t="shared" si="6"/>
        <v>-7.8810077218119182E-2</v>
      </c>
      <c r="H44" s="19">
        <f t="shared" si="7"/>
        <v>-1.7121570782027922</v>
      </c>
      <c r="I44" s="12">
        <f t="shared" si="2"/>
        <v>2.7915669833691044</v>
      </c>
      <c r="J44" s="15">
        <f t="shared" si="8"/>
        <v>0.61601233761426544</v>
      </c>
      <c r="K44" s="11">
        <f t="shared" si="9"/>
        <v>1.3957834916845522</v>
      </c>
      <c r="L44" s="15">
        <f t="shared" si="10"/>
        <v>0.30800616880713272</v>
      </c>
    </row>
    <row r="45" spans="1:12" x14ac:dyDescent="0.2">
      <c r="A45" t="s">
        <v>371</v>
      </c>
      <c r="B45" s="2">
        <f t="shared" si="0"/>
        <v>8.4364246734251278</v>
      </c>
      <c r="C45" s="24">
        <f t="shared" si="1"/>
        <v>1.3941191772835024</v>
      </c>
      <c r="D45" s="12">
        <f t="shared" si="3"/>
        <v>0.11643876282771659</v>
      </c>
      <c r="E45" s="15">
        <f t="shared" si="4"/>
        <v>2.5694427146379099E-2</v>
      </c>
      <c r="F45" s="16">
        <f t="shared" si="5"/>
        <v>4.9412359896882881E-4</v>
      </c>
      <c r="G45" s="15">
        <f t="shared" si="6"/>
        <v>3.660575922223872E-3</v>
      </c>
      <c r="H45" s="19">
        <f t="shared" si="7"/>
        <v>1.2215457191612415</v>
      </c>
      <c r="I45" s="12">
        <f t="shared" si="2"/>
        <v>4.9135446082961955</v>
      </c>
      <c r="J45" s="15">
        <f t="shared" si="8"/>
        <v>1.0842670507857564</v>
      </c>
      <c r="K45" s="11">
        <f t="shared" si="9"/>
        <v>2.4567723041480978</v>
      </c>
      <c r="L45" s="15">
        <f t="shared" si="10"/>
        <v>0.54213352539287818</v>
      </c>
    </row>
    <row r="46" spans="1:12" x14ac:dyDescent="0.2">
      <c r="A46" t="s">
        <v>365</v>
      </c>
      <c r="B46" s="2">
        <f t="shared" si="0"/>
        <v>4.6869025963472932</v>
      </c>
      <c r="C46" s="24">
        <f t="shared" si="1"/>
        <v>0.93738051926945865</v>
      </c>
      <c r="D46" s="12">
        <f t="shared" si="3"/>
        <v>0.57317742084176038</v>
      </c>
      <c r="E46" s="15">
        <f t="shared" si="4"/>
        <v>0.12648249710071999</v>
      </c>
      <c r="F46" s="16">
        <f t="shared" si="5"/>
        <v>2.4323557134753844E-3</v>
      </c>
      <c r="G46" s="15">
        <f t="shared" si="6"/>
        <v>1.8019424244486135E-2</v>
      </c>
      <c r="H46" s="19">
        <f t="shared" si="7"/>
        <v>1.73232854779074</v>
      </c>
      <c r="I46" s="12">
        <f t="shared" si="2"/>
        <v>5.2829991196811363</v>
      </c>
      <c r="J46" s="15">
        <f t="shared" si="8"/>
        <v>1.1657942140443289</v>
      </c>
      <c r="K46" s="11">
        <f t="shared" si="9"/>
        <v>2.6414995598405682</v>
      </c>
      <c r="L46" s="15">
        <f t="shared" si="10"/>
        <v>0.58289710702216446</v>
      </c>
    </row>
    <row r="47" spans="1:12" x14ac:dyDescent="0.2">
      <c r="A47" t="s">
        <v>42</v>
      </c>
      <c r="B47" s="2">
        <f t="shared" si="0"/>
        <v>8.5842243441460955</v>
      </c>
      <c r="C47" s="24">
        <f t="shared" si="1"/>
        <v>1.9099899165725063</v>
      </c>
      <c r="D47" s="12">
        <f t="shared" si="3"/>
        <v>-0.39943197646128725</v>
      </c>
      <c r="E47" s="15">
        <f t="shared" si="4"/>
        <v>-8.8142260960846916E-2</v>
      </c>
      <c r="F47" s="16">
        <f t="shared" si="5"/>
        <v>-1.6950434800162867E-3</v>
      </c>
      <c r="G47" s="15">
        <f t="shared" si="6"/>
        <v>-1.2557253616339834E-2</v>
      </c>
      <c r="H47" s="19">
        <f t="shared" si="7"/>
        <v>0.64463393208600339</v>
      </c>
      <c r="I47" s="12">
        <f t="shared" si="2"/>
        <v>4.4962583362067692</v>
      </c>
      <c r="J47" s="15">
        <f t="shared" si="8"/>
        <v>0.99218489998817261</v>
      </c>
      <c r="K47" s="11">
        <f t="shared" si="9"/>
        <v>2.2481291681033846</v>
      </c>
      <c r="L47" s="15">
        <f t="shared" si="10"/>
        <v>0.4960924499940863</v>
      </c>
    </row>
    <row r="48" spans="1:12" x14ac:dyDescent="0.2">
      <c r="A48" t="s">
        <v>364</v>
      </c>
      <c r="B48" s="2">
        <f t="shared" si="0"/>
        <v>6.3273185050688463</v>
      </c>
      <c r="C48" s="24">
        <f t="shared" si="1"/>
        <v>0.63273185050688463</v>
      </c>
      <c r="D48" s="12">
        <f t="shared" si="3"/>
        <v>0.87782608960433439</v>
      </c>
      <c r="E48" s="15">
        <f t="shared" si="4"/>
        <v>0.19370901887631933</v>
      </c>
      <c r="F48" s="16">
        <f t="shared" si="5"/>
        <v>3.7251734399292176E-3</v>
      </c>
      <c r="G48" s="15">
        <f t="shared" si="6"/>
        <v>2.7596901319366041E-2</v>
      </c>
      <c r="H48" s="19">
        <f t="shared" si="7"/>
        <v>2.073025149749872</v>
      </c>
      <c r="I48" s="12">
        <f t="shared" si="2"/>
        <v>5.5294285013129603</v>
      </c>
      <c r="J48" s="15">
        <f t="shared" si="8"/>
        <v>1.2201735430520992</v>
      </c>
      <c r="K48" s="11">
        <f t="shared" si="9"/>
        <v>2.7647142506564801</v>
      </c>
      <c r="L48" s="15">
        <f t="shared" si="10"/>
        <v>0.61008677152604962</v>
      </c>
    </row>
    <row r="49" spans="1:12" x14ac:dyDescent="0.2">
      <c r="B49" s="2"/>
      <c r="G49" s="15"/>
      <c r="I49" s="12"/>
      <c r="J49" s="15"/>
      <c r="K49" s="11"/>
      <c r="L49" s="15"/>
    </row>
    <row r="50" spans="1:12" x14ac:dyDescent="0.2">
      <c r="A50" t="s">
        <v>8</v>
      </c>
      <c r="B50" s="2"/>
      <c r="I50" s="12">
        <f>($E$97-VLOOKUP(A50,$A$87:$E$99,5,FALSE))*$B$23</f>
        <v>4.5406952306048582</v>
      </c>
      <c r="J50" s="15">
        <f t="shared" si="8"/>
        <v>1.0019907457219719</v>
      </c>
      <c r="K50" s="11">
        <f>($E$97-VLOOKUP(A50,$A$87:$E$99,5,FALSE))*$B$23*0.5</f>
        <v>2.2703476153024291</v>
      </c>
      <c r="L50" s="15">
        <f t="shared" si="10"/>
        <v>0.50099537286098594</v>
      </c>
    </row>
    <row r="51" spans="1:12" x14ac:dyDescent="0.2">
      <c r="A51" t="s">
        <v>393</v>
      </c>
      <c r="B51" s="2"/>
      <c r="I51" s="12">
        <f>($E$97-VLOOKUP(A51,$A$87:$E$99,5,FALSE))*$B$23</f>
        <v>5.1125470349916311</v>
      </c>
      <c r="J51" s="15">
        <f t="shared" si="8"/>
        <v>1.1281807203447856</v>
      </c>
      <c r="K51" s="11">
        <f>($E$97-VLOOKUP(A51,$A$87:$E$99,5,FALSE))*$B$23*0.5</f>
        <v>2.5562735174958156</v>
      </c>
      <c r="L51" s="15">
        <f t="shared" si="10"/>
        <v>0.56409036017239278</v>
      </c>
    </row>
    <row r="52" spans="1:12" x14ac:dyDescent="0.2">
      <c r="B52" s="2"/>
    </row>
    <row r="53" spans="1:12" x14ac:dyDescent="0.2">
      <c r="B53">
        <v>8887</v>
      </c>
      <c r="C53" t="s">
        <v>3</v>
      </c>
    </row>
    <row r="54" spans="1:12" x14ac:dyDescent="0.2">
      <c r="B54">
        <f>B53/1000*2.2</f>
        <v>19.551400000000001</v>
      </c>
      <c r="C54" t="s">
        <v>4</v>
      </c>
    </row>
    <row r="55" spans="1:12" x14ac:dyDescent="0.2">
      <c r="B55">
        <v>23</v>
      </c>
      <c r="C55" t="s">
        <v>5</v>
      </c>
      <c r="D55" t="s">
        <v>6</v>
      </c>
    </row>
    <row r="56" spans="1:12" x14ac:dyDescent="0.2">
      <c r="B56">
        <f>B55/B54</f>
        <v>1.1763863457348323</v>
      </c>
      <c r="C56" t="s">
        <v>7</v>
      </c>
    </row>
    <row r="57" spans="1:12" x14ac:dyDescent="0.2">
      <c r="B57" s="27" t="s">
        <v>419</v>
      </c>
      <c r="C57" s="27"/>
    </row>
    <row r="58" spans="1:12" x14ac:dyDescent="0.2">
      <c r="B58" t="s">
        <v>398</v>
      </c>
      <c r="C58" t="s">
        <v>378</v>
      </c>
    </row>
    <row r="59" spans="1:12" x14ac:dyDescent="0.2">
      <c r="A59" s="19" t="s">
        <v>381</v>
      </c>
      <c r="B59" s="21">
        <f>(B34-C42)*52</f>
        <v>74.749471682029196</v>
      </c>
      <c r="C59" s="21">
        <f>B59*$B$56</f>
        <v>87.934257837631648</v>
      </c>
    </row>
    <row r="60" spans="1:12" x14ac:dyDescent="0.2">
      <c r="A60" t="s">
        <v>382</v>
      </c>
      <c r="B60" s="2">
        <f>(B35-C42*3)*52</f>
        <v>224.24841504608756</v>
      </c>
      <c r="C60" s="1">
        <f t="shared" ref="C60:C65" si="11">B60*$B$56</f>
        <v>263.80277351289493</v>
      </c>
    </row>
    <row r="61" spans="1:12" x14ac:dyDescent="0.2">
      <c r="A61" t="s">
        <v>420</v>
      </c>
      <c r="B61" s="2">
        <f>(B35-AVERAGE(C42:C48)*3)*52</f>
        <v>28.252072876679737</v>
      </c>
      <c r="C61" s="1">
        <f t="shared" si="11"/>
        <v>33.235352770831447</v>
      </c>
    </row>
    <row r="62" spans="1:12" x14ac:dyDescent="0.2">
      <c r="A62" s="19" t="s">
        <v>379</v>
      </c>
      <c r="B62" s="22">
        <f>B63/3</f>
        <v>88.61748193985494</v>
      </c>
      <c r="C62" s="21">
        <f t="shared" si="11"/>
        <v>104.24839574744844</v>
      </c>
    </row>
    <row r="63" spans="1:12" x14ac:dyDescent="0.2">
      <c r="A63" t="s">
        <v>380</v>
      </c>
      <c r="B63" s="1">
        <f>I51*52</f>
        <v>265.85244581956482</v>
      </c>
      <c r="C63" s="1">
        <f t="shared" si="11"/>
        <v>312.74518724234537</v>
      </c>
    </row>
    <row r="64" spans="1:12" x14ac:dyDescent="0.2">
      <c r="A64" t="s">
        <v>422</v>
      </c>
      <c r="B64" s="1">
        <f>I51*365</f>
        <v>1866.0796677719454</v>
      </c>
      <c r="C64" s="1">
        <f t="shared" si="11"/>
        <v>2195.2306412203088</v>
      </c>
    </row>
    <row r="65" spans="1:4" x14ac:dyDescent="0.2">
      <c r="A65" t="s">
        <v>424</v>
      </c>
      <c r="B65" s="1">
        <f>AVERAGE(D42:D48)*3*365</f>
        <v>198.30781923054047</v>
      </c>
      <c r="C65" s="1">
        <f t="shared" si="11"/>
        <v>233.28661079525921</v>
      </c>
    </row>
    <row r="66" spans="1:4" x14ac:dyDescent="0.2">
      <c r="A66" t="s">
        <v>423</v>
      </c>
      <c r="B66" s="1">
        <f>D42*3*365</f>
        <v>1574.0513748427304</v>
      </c>
      <c r="C66" s="1">
        <f>B66*$B$56</f>
        <v>1851.6925448501283</v>
      </c>
    </row>
    <row r="68" spans="1:4" x14ac:dyDescent="0.2">
      <c r="A68" t="s">
        <v>354</v>
      </c>
    </row>
    <row r="69" spans="1:4" x14ac:dyDescent="0.2">
      <c r="A69" t="s">
        <v>355</v>
      </c>
    </row>
    <row r="70" spans="1:4" x14ac:dyDescent="0.2">
      <c r="A70" t="s">
        <v>357</v>
      </c>
      <c r="B70" s="11">
        <v>0.36</v>
      </c>
      <c r="C70" t="s">
        <v>356</v>
      </c>
    </row>
    <row r="71" spans="1:4" x14ac:dyDescent="0.2">
      <c r="B71" s="11" t="s">
        <v>374</v>
      </c>
      <c r="C71" t="s">
        <v>373</v>
      </c>
      <c r="D71" t="s">
        <v>111</v>
      </c>
    </row>
    <row r="72" spans="1:4" x14ac:dyDescent="0.2">
      <c r="B72" s="1">
        <v>100</v>
      </c>
      <c r="C72" s="1">
        <f>B72*$B$70</f>
        <v>36</v>
      </c>
      <c r="D72">
        <f>C72*4</f>
        <v>144</v>
      </c>
    </row>
    <row r="73" spans="1:4" x14ac:dyDescent="0.2">
      <c r="B73" s="1">
        <f>B72+20</f>
        <v>120</v>
      </c>
      <c r="C73" s="1">
        <f t="shared" ref="C73:C82" si="12">B73*$B$70</f>
        <v>43.199999999999996</v>
      </c>
      <c r="D73">
        <f t="shared" ref="D73:D82" si="13">C73*4</f>
        <v>172.79999999999998</v>
      </c>
    </row>
    <row r="74" spans="1:4" x14ac:dyDescent="0.2">
      <c r="B74" s="1">
        <f t="shared" ref="B74:B82" si="14">B73+20</f>
        <v>140</v>
      </c>
      <c r="C74" s="1">
        <f t="shared" si="12"/>
        <v>50.4</v>
      </c>
      <c r="D74">
        <f t="shared" si="13"/>
        <v>201.6</v>
      </c>
    </row>
    <row r="75" spans="1:4" x14ac:dyDescent="0.2">
      <c r="B75" s="1">
        <f t="shared" si="14"/>
        <v>160</v>
      </c>
      <c r="C75" s="1">
        <f t="shared" si="12"/>
        <v>57.599999999999994</v>
      </c>
      <c r="D75">
        <f t="shared" si="13"/>
        <v>230.39999999999998</v>
      </c>
    </row>
    <row r="76" spans="1:4" x14ac:dyDescent="0.2">
      <c r="B76" s="1">
        <f t="shared" si="14"/>
        <v>180</v>
      </c>
      <c r="C76" s="1">
        <f t="shared" si="12"/>
        <v>64.8</v>
      </c>
      <c r="D76">
        <f t="shared" si="13"/>
        <v>259.2</v>
      </c>
    </row>
    <row r="77" spans="1:4" x14ac:dyDescent="0.2">
      <c r="B77" s="1">
        <f t="shared" si="14"/>
        <v>200</v>
      </c>
      <c r="C77" s="1">
        <f t="shared" si="12"/>
        <v>72</v>
      </c>
      <c r="D77">
        <f t="shared" si="13"/>
        <v>288</v>
      </c>
    </row>
    <row r="78" spans="1:4" x14ac:dyDescent="0.2">
      <c r="B78" s="1">
        <f t="shared" si="14"/>
        <v>220</v>
      </c>
      <c r="C78" s="1">
        <f t="shared" si="12"/>
        <v>79.2</v>
      </c>
      <c r="D78">
        <f t="shared" si="13"/>
        <v>316.8</v>
      </c>
    </row>
    <row r="79" spans="1:4" x14ac:dyDescent="0.2">
      <c r="B79" s="1">
        <f t="shared" si="14"/>
        <v>240</v>
      </c>
      <c r="C79" s="1">
        <f t="shared" si="12"/>
        <v>86.399999999999991</v>
      </c>
      <c r="D79">
        <f t="shared" si="13"/>
        <v>345.59999999999997</v>
      </c>
    </row>
    <row r="80" spans="1:4" x14ac:dyDescent="0.2">
      <c r="B80" s="1">
        <f t="shared" si="14"/>
        <v>260</v>
      </c>
      <c r="C80" s="1">
        <f t="shared" si="12"/>
        <v>93.6</v>
      </c>
      <c r="D80">
        <f t="shared" si="13"/>
        <v>374.4</v>
      </c>
    </row>
    <row r="81" spans="1:6" x14ac:dyDescent="0.2">
      <c r="B81" s="1">
        <f t="shared" si="14"/>
        <v>280</v>
      </c>
      <c r="C81" s="1">
        <f t="shared" si="12"/>
        <v>100.8</v>
      </c>
      <c r="D81">
        <f t="shared" si="13"/>
        <v>403.2</v>
      </c>
    </row>
    <row r="82" spans="1:6" x14ac:dyDescent="0.2">
      <c r="B82" s="1">
        <f t="shared" si="14"/>
        <v>300</v>
      </c>
      <c r="C82" s="1">
        <f t="shared" si="12"/>
        <v>108</v>
      </c>
      <c r="D82">
        <f t="shared" si="13"/>
        <v>432</v>
      </c>
    </row>
    <row r="83" spans="1:6" x14ac:dyDescent="0.2">
      <c r="B83" s="11"/>
    </row>
    <row r="84" spans="1:6" x14ac:dyDescent="0.2">
      <c r="B84" t="s">
        <v>2</v>
      </c>
    </row>
    <row r="85" spans="1:6" x14ac:dyDescent="0.2">
      <c r="B85" s="11" t="s">
        <v>360</v>
      </c>
      <c r="C85" s="11" t="s">
        <v>360</v>
      </c>
      <c r="D85" t="s">
        <v>114</v>
      </c>
      <c r="E85" t="s">
        <v>114</v>
      </c>
    </row>
    <row r="86" spans="1:6" x14ac:dyDescent="0.2">
      <c r="B86" s="4" t="s">
        <v>348</v>
      </c>
      <c r="C86" s="4" t="s">
        <v>359</v>
      </c>
      <c r="D86" t="s">
        <v>350</v>
      </c>
      <c r="E86" s="4" t="s">
        <v>362</v>
      </c>
    </row>
    <row r="87" spans="1:6" x14ac:dyDescent="0.2">
      <c r="A87" t="s">
        <v>361</v>
      </c>
      <c r="B87">
        <v>0.11</v>
      </c>
      <c r="C87" s="10">
        <f>B87/8</f>
        <v>1.375E-2</v>
      </c>
      <c r="D87" s="11">
        <f>21/3.5274</f>
        <v>5.953393434257527</v>
      </c>
      <c r="E87" s="10">
        <f t="shared" ref="E87:E99" si="15">C87/D87</f>
        <v>2.3096071428571428E-3</v>
      </c>
    </row>
    <row r="88" spans="1:6" x14ac:dyDescent="0.2">
      <c r="A88" t="s">
        <v>367</v>
      </c>
      <c r="B88" s="13">
        <f>Sheet2!B34*0.113389</f>
        <v>0.37418370000000001</v>
      </c>
      <c r="C88" s="10">
        <f>B88/4</f>
        <v>9.3545925000000002E-2</v>
      </c>
      <c r="D88" s="12">
        <f>26/3</f>
        <v>8.6666666666666661</v>
      </c>
      <c r="E88" s="10">
        <f t="shared" si="15"/>
        <v>1.0793760576923078E-2</v>
      </c>
    </row>
    <row r="89" spans="1:6" x14ac:dyDescent="0.2">
      <c r="A89" t="s">
        <v>364</v>
      </c>
      <c r="B89">
        <v>0.4</v>
      </c>
      <c r="C89" s="10">
        <f>B89/4</f>
        <v>0.1</v>
      </c>
      <c r="D89">
        <f>20/4</f>
        <v>5</v>
      </c>
      <c r="E89" s="10">
        <f t="shared" si="15"/>
        <v>0.02</v>
      </c>
      <c r="F89" t="s">
        <v>370</v>
      </c>
    </row>
    <row r="90" spans="1:6" x14ac:dyDescent="0.2">
      <c r="A90" t="s">
        <v>358</v>
      </c>
      <c r="B90">
        <v>2.4500000000000002</v>
      </c>
      <c r="C90" s="10">
        <f>B90/8</f>
        <v>0.30625000000000002</v>
      </c>
      <c r="D90" s="11">
        <f>13/4</f>
        <v>3.25</v>
      </c>
      <c r="E90" s="10">
        <f t="shared" si="15"/>
        <v>9.4230769230769243E-2</v>
      </c>
      <c r="F90" t="s">
        <v>372</v>
      </c>
    </row>
    <row r="91" spans="1:6" x14ac:dyDescent="0.2">
      <c r="A91" t="s">
        <v>365</v>
      </c>
      <c r="B91">
        <v>0.8</v>
      </c>
      <c r="C91" s="10">
        <f>B91/4</f>
        <v>0.2</v>
      </c>
      <c r="D91">
        <f>27/4</f>
        <v>6.75</v>
      </c>
      <c r="E91" s="10">
        <f t="shared" si="15"/>
        <v>2.9629629629629631E-2</v>
      </c>
      <c r="F91" t="s">
        <v>366</v>
      </c>
    </row>
    <row r="92" spans="1:6" x14ac:dyDescent="0.2">
      <c r="A92" t="s">
        <v>393</v>
      </c>
      <c r="B92">
        <v>1.26</v>
      </c>
      <c r="C92" s="10">
        <f>B92/4</f>
        <v>0.315</v>
      </c>
      <c r="D92">
        <f>28/100*31</f>
        <v>8.6800000000000015</v>
      </c>
      <c r="E92" s="10">
        <f t="shared" si="15"/>
        <v>3.6290322580645157E-2</v>
      </c>
    </row>
    <row r="93" spans="1:6" x14ac:dyDescent="0.2">
      <c r="A93" t="s">
        <v>371</v>
      </c>
      <c r="B93" s="14">
        <f>B97*0.1</f>
        <v>0.66100000000000003</v>
      </c>
      <c r="C93">
        <f>C97*0.1</f>
        <v>0.16525000000000001</v>
      </c>
      <c r="D93">
        <f>15/4</f>
        <v>3.75</v>
      </c>
      <c r="E93" s="10">
        <f t="shared" si="15"/>
        <v>4.4066666666666671E-2</v>
      </c>
      <c r="F93" t="s">
        <v>369</v>
      </c>
    </row>
    <row r="94" spans="1:6" x14ac:dyDescent="0.2">
      <c r="A94" t="s">
        <v>8</v>
      </c>
      <c r="B94">
        <v>1.72</v>
      </c>
      <c r="C94" s="10">
        <f>B94/4</f>
        <v>0.43</v>
      </c>
      <c r="D94" s="12">
        <f>22/3</f>
        <v>7.333333333333333</v>
      </c>
      <c r="E94" s="10">
        <f t="shared" si="15"/>
        <v>5.8636363636363639E-2</v>
      </c>
    </row>
    <row r="95" spans="1:6" x14ac:dyDescent="0.2">
      <c r="A95" t="s">
        <v>42</v>
      </c>
      <c r="B95">
        <v>0.89</v>
      </c>
      <c r="C95" s="10">
        <f>B95/4</f>
        <v>0.2225</v>
      </c>
      <c r="D95" s="11">
        <f>13/3.5274</f>
        <v>3.6854340307308497</v>
      </c>
      <c r="E95" s="10">
        <f t="shared" si="15"/>
        <v>6.0372807692307698E-2</v>
      </c>
    </row>
    <row r="96" spans="1:6" x14ac:dyDescent="0.2">
      <c r="A96" t="s">
        <v>368</v>
      </c>
      <c r="B96" s="13">
        <f>B98/4</f>
        <v>0.18</v>
      </c>
      <c r="C96" s="10">
        <f>B96/8</f>
        <v>2.2499999999999999E-2</v>
      </c>
      <c r="D96" s="11">
        <v>1</v>
      </c>
      <c r="E96" s="10">
        <f t="shared" si="15"/>
        <v>2.2499999999999999E-2</v>
      </c>
      <c r="F96" t="s">
        <v>363</v>
      </c>
    </row>
    <row r="97" spans="1:6" x14ac:dyDescent="0.2">
      <c r="A97" t="s">
        <v>0</v>
      </c>
      <c r="B97">
        <v>6.61</v>
      </c>
      <c r="C97" s="10">
        <f>B97/4</f>
        <v>1.6525000000000001</v>
      </c>
      <c r="D97">
        <v>7</v>
      </c>
      <c r="E97" s="10">
        <f t="shared" si="15"/>
        <v>0.23607142857142857</v>
      </c>
    </row>
    <row r="98" spans="1:6" x14ac:dyDescent="0.2">
      <c r="A98" t="s">
        <v>353</v>
      </c>
      <c r="B98">
        <v>0.72</v>
      </c>
      <c r="C98" s="10">
        <f>B98/8</f>
        <v>0.09</v>
      </c>
      <c r="D98" s="11">
        <f>3.4/3.5274</f>
        <v>0.96388274649883765</v>
      </c>
      <c r="E98" s="10">
        <f t="shared" si="15"/>
        <v>9.3372352941176476E-2</v>
      </c>
      <c r="F98" t="s">
        <v>372</v>
      </c>
    </row>
    <row r="99" spans="1:6" x14ac:dyDescent="0.2">
      <c r="A99" t="s">
        <v>351</v>
      </c>
      <c r="B99">
        <f>B98*4</f>
        <v>2.88</v>
      </c>
      <c r="C99" s="10">
        <f>B99/8</f>
        <v>0.36</v>
      </c>
      <c r="D99" s="11">
        <f>10/3.5274</f>
        <v>2.8349492544083459</v>
      </c>
      <c r="E99" s="10">
        <f t="shared" si="15"/>
        <v>0.1269864</v>
      </c>
    </row>
    <row r="100" spans="1:6" x14ac:dyDescent="0.2">
      <c r="C100" s="10"/>
      <c r="E100" s="10"/>
    </row>
    <row r="101" spans="1:6" x14ac:dyDescent="0.2">
      <c r="C101" s="10"/>
      <c r="E101" s="10"/>
    </row>
    <row r="102" spans="1:6" x14ac:dyDescent="0.2">
      <c r="C102" s="10"/>
      <c r="E102" s="10"/>
    </row>
    <row r="103" spans="1:6" x14ac:dyDescent="0.2">
      <c r="C103" s="10"/>
      <c r="E103" s="10"/>
    </row>
    <row r="104" spans="1:6" x14ac:dyDescent="0.2">
      <c r="A104" t="s">
        <v>352</v>
      </c>
    </row>
    <row r="113" spans="1:2" x14ac:dyDescent="0.2">
      <c r="B113" s="11" t="s">
        <v>360</v>
      </c>
    </row>
    <row r="114" spans="1:2" x14ac:dyDescent="0.2">
      <c r="B114" t="s">
        <v>348</v>
      </c>
    </row>
    <row r="115" spans="1:2" x14ac:dyDescent="0.2">
      <c r="A115" t="s">
        <v>361</v>
      </c>
      <c r="B115">
        <f t="shared" ref="B115:B127" si="16">VLOOKUP(A115,$A$87:$B$99,2,FALSE)</f>
        <v>0.11</v>
      </c>
    </row>
    <row r="116" spans="1:2" x14ac:dyDescent="0.2">
      <c r="A116" t="s">
        <v>368</v>
      </c>
      <c r="B116">
        <f t="shared" si="16"/>
        <v>0.18</v>
      </c>
    </row>
    <row r="117" spans="1:2" x14ac:dyDescent="0.2">
      <c r="A117" t="s">
        <v>364</v>
      </c>
      <c r="B117">
        <f t="shared" si="16"/>
        <v>0.4</v>
      </c>
    </row>
    <row r="118" spans="1:2" x14ac:dyDescent="0.2">
      <c r="A118" t="s">
        <v>367</v>
      </c>
      <c r="B118">
        <f t="shared" si="16"/>
        <v>0.37418370000000001</v>
      </c>
    </row>
    <row r="119" spans="1:2" x14ac:dyDescent="0.2">
      <c r="A119" t="s">
        <v>371</v>
      </c>
      <c r="B119">
        <f t="shared" si="16"/>
        <v>0.66100000000000003</v>
      </c>
    </row>
    <row r="120" spans="1:2" x14ac:dyDescent="0.2">
      <c r="A120" t="s">
        <v>353</v>
      </c>
      <c r="B120">
        <f t="shared" si="16"/>
        <v>0.72</v>
      </c>
    </row>
    <row r="121" spans="1:2" x14ac:dyDescent="0.2">
      <c r="A121" t="s">
        <v>365</v>
      </c>
      <c r="B121">
        <f t="shared" si="16"/>
        <v>0.8</v>
      </c>
    </row>
    <row r="122" spans="1:2" x14ac:dyDescent="0.2">
      <c r="A122" t="s">
        <v>42</v>
      </c>
      <c r="B122">
        <f t="shared" si="16"/>
        <v>0.89</v>
      </c>
    </row>
    <row r="123" spans="1:2" x14ac:dyDescent="0.2">
      <c r="A123" t="s">
        <v>393</v>
      </c>
      <c r="B123">
        <f t="shared" si="16"/>
        <v>1.26</v>
      </c>
    </row>
    <row r="124" spans="1:2" x14ac:dyDescent="0.2">
      <c r="A124" t="s">
        <v>8</v>
      </c>
      <c r="B124">
        <f t="shared" si="16"/>
        <v>1.72</v>
      </c>
    </row>
    <row r="125" spans="1:2" x14ac:dyDescent="0.2">
      <c r="A125" t="s">
        <v>358</v>
      </c>
      <c r="B125">
        <f t="shared" si="16"/>
        <v>2.4500000000000002</v>
      </c>
    </row>
    <row r="126" spans="1:2" x14ac:dyDescent="0.2">
      <c r="A126" t="s">
        <v>351</v>
      </c>
      <c r="B126">
        <f t="shared" si="16"/>
        <v>2.88</v>
      </c>
    </row>
    <row r="127" spans="1:2" x14ac:dyDescent="0.2">
      <c r="A127" t="s">
        <v>0</v>
      </c>
      <c r="B127">
        <f t="shared" si="16"/>
        <v>6.61</v>
      </c>
    </row>
    <row r="128" spans="1:2" x14ac:dyDescent="0.2">
      <c r="B128" t="s">
        <v>114</v>
      </c>
    </row>
    <row r="129" spans="1:2" x14ac:dyDescent="0.2">
      <c r="B129" s="4" t="s">
        <v>362</v>
      </c>
    </row>
    <row r="130" spans="1:2" x14ac:dyDescent="0.2">
      <c r="A130" t="s">
        <v>361</v>
      </c>
      <c r="B130">
        <f t="shared" ref="B130:B142" si="17">VLOOKUP(A130,$A$87:$E$99,5,FALSE)</f>
        <v>2.3096071428571428E-3</v>
      </c>
    </row>
    <row r="131" spans="1:2" x14ac:dyDescent="0.2">
      <c r="A131" t="s">
        <v>367</v>
      </c>
      <c r="B131">
        <f t="shared" si="17"/>
        <v>1.0793760576923078E-2</v>
      </c>
    </row>
    <row r="132" spans="1:2" x14ac:dyDescent="0.2">
      <c r="A132" t="s">
        <v>364</v>
      </c>
      <c r="B132">
        <f t="shared" si="17"/>
        <v>0.02</v>
      </c>
    </row>
    <row r="133" spans="1:2" x14ac:dyDescent="0.2">
      <c r="A133" t="s">
        <v>368</v>
      </c>
      <c r="B133">
        <f t="shared" si="17"/>
        <v>2.2499999999999999E-2</v>
      </c>
    </row>
    <row r="134" spans="1:2" x14ac:dyDescent="0.2">
      <c r="A134" t="s">
        <v>365</v>
      </c>
      <c r="B134">
        <f t="shared" si="17"/>
        <v>2.9629629629629631E-2</v>
      </c>
    </row>
    <row r="135" spans="1:2" x14ac:dyDescent="0.2">
      <c r="A135" t="s">
        <v>393</v>
      </c>
      <c r="B135">
        <f t="shared" si="17"/>
        <v>3.6290322580645157E-2</v>
      </c>
    </row>
    <row r="136" spans="1:2" x14ac:dyDescent="0.2">
      <c r="A136" t="s">
        <v>371</v>
      </c>
      <c r="B136">
        <f t="shared" si="17"/>
        <v>4.4066666666666671E-2</v>
      </c>
    </row>
    <row r="137" spans="1:2" x14ac:dyDescent="0.2">
      <c r="A137" t="s">
        <v>8</v>
      </c>
      <c r="B137">
        <f t="shared" si="17"/>
        <v>5.8636363636363639E-2</v>
      </c>
    </row>
    <row r="138" spans="1:2" x14ac:dyDescent="0.2">
      <c r="A138" t="s">
        <v>42</v>
      </c>
      <c r="B138">
        <f t="shared" si="17"/>
        <v>6.0372807692307698E-2</v>
      </c>
    </row>
    <row r="139" spans="1:2" x14ac:dyDescent="0.2">
      <c r="A139" t="s">
        <v>353</v>
      </c>
      <c r="B139">
        <f t="shared" si="17"/>
        <v>9.3372352941176476E-2</v>
      </c>
    </row>
    <row r="140" spans="1:2" x14ac:dyDescent="0.2">
      <c r="A140" t="s">
        <v>358</v>
      </c>
      <c r="B140">
        <f t="shared" si="17"/>
        <v>9.4230769230769243E-2</v>
      </c>
    </row>
    <row r="141" spans="1:2" x14ac:dyDescent="0.2">
      <c r="A141" t="s">
        <v>351</v>
      </c>
      <c r="B141">
        <f t="shared" si="17"/>
        <v>0.1269864</v>
      </c>
    </row>
    <row r="142" spans="1:2" x14ac:dyDescent="0.2">
      <c r="A142" t="s">
        <v>0</v>
      </c>
      <c r="B142">
        <f t="shared" si="17"/>
        <v>0.23607142857142857</v>
      </c>
    </row>
    <row r="146" spans="1:6" x14ac:dyDescent="0.2">
      <c r="A146" t="s">
        <v>433</v>
      </c>
    </row>
    <row r="148" spans="1:6" x14ac:dyDescent="0.2">
      <c r="A148" t="s">
        <v>431</v>
      </c>
      <c r="B148" t="s">
        <v>432</v>
      </c>
      <c r="E148" t="s">
        <v>435</v>
      </c>
    </row>
    <row r="149" spans="1:6" x14ac:dyDescent="0.2">
      <c r="B149" t="s">
        <v>428</v>
      </c>
      <c r="C149" t="s">
        <v>429</v>
      </c>
      <c r="D149" t="s">
        <v>430</v>
      </c>
      <c r="E149" t="s">
        <v>434</v>
      </c>
      <c r="F149" t="s">
        <v>430</v>
      </c>
    </row>
    <row r="150" spans="1:6" x14ac:dyDescent="0.2">
      <c r="A150" t="s">
        <v>0</v>
      </c>
      <c r="B150">
        <v>15.23</v>
      </c>
      <c r="C150">
        <f>B150/16</f>
        <v>0.95187500000000003</v>
      </c>
      <c r="D150">
        <f>C150*4</f>
        <v>3.8075000000000001</v>
      </c>
      <c r="E150">
        <v>27</v>
      </c>
      <c r="F150">
        <f>E150/4</f>
        <v>6.75</v>
      </c>
    </row>
    <row r="151" spans="1:6" x14ac:dyDescent="0.2">
      <c r="A151" t="s">
        <v>425</v>
      </c>
      <c r="B151">
        <v>20.440000000000001</v>
      </c>
      <c r="C151">
        <f t="shared" ref="C151:C157" si="18">B151/16</f>
        <v>1.2775000000000001</v>
      </c>
      <c r="D151">
        <f t="shared" ref="D151:D157" si="19">C151*4</f>
        <v>5.1100000000000003</v>
      </c>
      <c r="E151">
        <v>39.200000000000003</v>
      </c>
      <c r="F151">
        <f t="shared" ref="F151:F157" si="20">E151/4</f>
        <v>9.8000000000000007</v>
      </c>
    </row>
    <row r="152" spans="1:6" x14ac:dyDescent="0.2">
      <c r="A152" t="s">
        <v>8</v>
      </c>
      <c r="B152">
        <v>4.62</v>
      </c>
      <c r="C152">
        <f t="shared" si="18"/>
        <v>0.28875000000000001</v>
      </c>
      <c r="D152">
        <f t="shared" si="19"/>
        <v>1.155</v>
      </c>
      <c r="E152">
        <v>12.1</v>
      </c>
      <c r="F152">
        <f t="shared" si="20"/>
        <v>3.0249999999999999</v>
      </c>
    </row>
    <row r="153" spans="1:6" x14ac:dyDescent="0.2">
      <c r="A153" t="s">
        <v>1</v>
      </c>
      <c r="B153">
        <v>2.33</v>
      </c>
      <c r="C153">
        <f t="shared" si="18"/>
        <v>0.145625</v>
      </c>
      <c r="D153">
        <f t="shared" si="19"/>
        <v>0.58250000000000002</v>
      </c>
      <c r="E153">
        <v>6.9</v>
      </c>
      <c r="F153">
        <f t="shared" si="20"/>
        <v>1.7250000000000001</v>
      </c>
    </row>
    <row r="154" spans="1:6" x14ac:dyDescent="0.2">
      <c r="A154" t="s">
        <v>426</v>
      </c>
      <c r="B154">
        <v>4.1399999999999997</v>
      </c>
      <c r="C154">
        <f t="shared" si="18"/>
        <v>0.25874999999999998</v>
      </c>
      <c r="D154">
        <f t="shared" si="19"/>
        <v>1.0349999999999999</v>
      </c>
      <c r="E154">
        <v>11.9</v>
      </c>
      <c r="F154">
        <f t="shared" si="20"/>
        <v>2.9750000000000001</v>
      </c>
    </row>
    <row r="155" spans="1:6" x14ac:dyDescent="0.2">
      <c r="A155" t="s">
        <v>42</v>
      </c>
      <c r="B155">
        <v>2.12</v>
      </c>
      <c r="C155">
        <f t="shared" si="18"/>
        <v>0.13250000000000001</v>
      </c>
      <c r="D155">
        <f t="shared" si="19"/>
        <v>0.53</v>
      </c>
      <c r="E155">
        <v>4.8</v>
      </c>
      <c r="F155">
        <f t="shared" si="20"/>
        <v>1.2</v>
      </c>
    </row>
    <row r="156" spans="1:6" x14ac:dyDescent="0.2">
      <c r="A156" t="s">
        <v>427</v>
      </c>
      <c r="B156">
        <v>1.0620000000000001</v>
      </c>
      <c r="C156">
        <f t="shared" si="18"/>
        <v>6.6375000000000003E-2</v>
      </c>
      <c r="D156">
        <f t="shared" si="19"/>
        <v>0.26550000000000001</v>
      </c>
      <c r="E156">
        <v>1.9</v>
      </c>
      <c r="F156">
        <f t="shared" si="20"/>
        <v>0.47499999999999998</v>
      </c>
    </row>
    <row r="157" spans="1:6" x14ac:dyDescent="0.2">
      <c r="A157" t="s">
        <v>349</v>
      </c>
      <c r="B157">
        <v>9.82</v>
      </c>
      <c r="C157">
        <f t="shared" si="18"/>
        <v>0.61375000000000002</v>
      </c>
      <c r="D157">
        <f t="shared" si="19"/>
        <v>2.4550000000000001</v>
      </c>
      <c r="E157">
        <v>13.5</v>
      </c>
      <c r="F157">
        <f t="shared" si="20"/>
        <v>3.375</v>
      </c>
    </row>
    <row r="160" spans="1:6" x14ac:dyDescent="0.2">
      <c r="B160" s="27" t="s">
        <v>419</v>
      </c>
      <c r="C160" s="27"/>
    </row>
    <row r="161" spans="1:3" x14ac:dyDescent="0.2">
      <c r="B161" t="s">
        <v>398</v>
      </c>
      <c r="C161" t="s">
        <v>436</v>
      </c>
    </row>
    <row r="162" spans="1:3" x14ac:dyDescent="0.2">
      <c r="A162" s="25" t="s">
        <v>437</v>
      </c>
      <c r="B162" s="2">
        <f>B63</f>
        <v>265.85244581956482</v>
      </c>
      <c r="C162" s="2">
        <f>C63</f>
        <v>312.74518724234537</v>
      </c>
    </row>
    <row r="163" spans="1:3" x14ac:dyDescent="0.2">
      <c r="A163" s="25" t="s">
        <v>438</v>
      </c>
      <c r="B163" s="2">
        <f>B64</f>
        <v>1866.0796677719454</v>
      </c>
      <c r="C163" s="2">
        <f>C64</f>
        <v>2195.2306412203088</v>
      </c>
    </row>
    <row r="164" spans="1:3" x14ac:dyDescent="0.2">
      <c r="A164" s="25" t="s">
        <v>439</v>
      </c>
      <c r="B164" s="2">
        <f>B61</f>
        <v>28.252072876679737</v>
      </c>
      <c r="C164" s="2">
        <f>C61</f>
        <v>33.235352770831447</v>
      </c>
    </row>
    <row r="165" spans="1:3" x14ac:dyDescent="0.2">
      <c r="A165" s="25" t="s">
        <v>440</v>
      </c>
      <c r="B165" s="2">
        <f>B65</f>
        <v>198.30781923054047</v>
      </c>
      <c r="C165" s="2">
        <f>C65</f>
        <v>233.28661079525921</v>
      </c>
    </row>
    <row r="166" spans="1:3" x14ac:dyDescent="0.2">
      <c r="A166" s="25" t="s">
        <v>441</v>
      </c>
      <c r="B166" s="2">
        <f>B66</f>
        <v>1574.0513748427304</v>
      </c>
      <c r="C166" s="2">
        <f>C66</f>
        <v>1851.6925448501283</v>
      </c>
    </row>
  </sheetData>
  <mergeCells count="5">
    <mergeCell ref="E40:G40"/>
    <mergeCell ref="I40:J40"/>
    <mergeCell ref="K40:L40"/>
    <mergeCell ref="B57:C57"/>
    <mergeCell ref="B160:C16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7"/>
  <sheetViews>
    <sheetView topLeftCell="A120" workbookViewId="0">
      <selection activeCell="P155" sqref="P155"/>
    </sheetView>
  </sheetViews>
  <sheetFormatPr baseColWidth="10" defaultRowHeight="16" x14ac:dyDescent="0.2"/>
  <cols>
    <col min="1" max="1" width="36" customWidth="1"/>
    <col min="2" max="2" width="14" bestFit="1" customWidth="1"/>
  </cols>
  <sheetData>
    <row r="1" spans="1:3" x14ac:dyDescent="0.2">
      <c r="B1" t="s">
        <v>10</v>
      </c>
    </row>
    <row r="2" spans="1:3" x14ac:dyDescent="0.2">
      <c r="A2" t="s">
        <v>12</v>
      </c>
      <c r="B2">
        <v>270</v>
      </c>
      <c r="C2" t="s">
        <v>11</v>
      </c>
    </row>
    <row r="3" spans="1:3" x14ac:dyDescent="0.2">
      <c r="B3" s="11">
        <f>B2/52</f>
        <v>5.1923076923076925</v>
      </c>
      <c r="C3" t="s">
        <v>347</v>
      </c>
    </row>
    <row r="4" spans="1:3" x14ac:dyDescent="0.2">
      <c r="B4" s="11">
        <f>B2/365</f>
        <v>0.73972602739726023</v>
      </c>
      <c r="C4" t="s">
        <v>346</v>
      </c>
    </row>
    <row r="5" spans="1:3" x14ac:dyDescent="0.2">
      <c r="B5" s="12">
        <f>B4*16</f>
        <v>11.835616438356164</v>
      </c>
      <c r="C5" t="s">
        <v>375</v>
      </c>
    </row>
    <row r="6" spans="1:3" x14ac:dyDescent="0.2">
      <c r="A6" t="s">
        <v>391</v>
      </c>
    </row>
    <row r="7" spans="1:3" x14ac:dyDescent="0.2">
      <c r="A7" t="s">
        <v>383</v>
      </c>
    </row>
    <row r="8" spans="1:3" x14ac:dyDescent="0.2">
      <c r="A8" t="s">
        <v>384</v>
      </c>
      <c r="B8">
        <v>59.4</v>
      </c>
      <c r="C8">
        <f>B8/SUM($B$8:$B$9,$B$11:$B$12)</f>
        <v>0.26963231956423056</v>
      </c>
    </row>
    <row r="9" spans="1:3" x14ac:dyDescent="0.2">
      <c r="A9" t="s">
        <v>385</v>
      </c>
      <c r="B9">
        <v>52</v>
      </c>
      <c r="C9">
        <f>B9/SUM($B$8:$B$9,$B$11:$B$12)</f>
        <v>0.23604176123467996</v>
      </c>
    </row>
    <row r="10" spans="1:3" x14ac:dyDescent="0.2">
      <c r="A10" t="s">
        <v>386</v>
      </c>
      <c r="B10">
        <v>1.1000000000000001</v>
      </c>
    </row>
    <row r="11" spans="1:3" x14ac:dyDescent="0.2">
      <c r="A11" t="s">
        <v>387</v>
      </c>
      <c r="B11">
        <v>92.4</v>
      </c>
      <c r="C11">
        <f>B11/SUM($B$8:$B$9,$B$11:$B$12)</f>
        <v>0.41942805265546984</v>
      </c>
    </row>
    <row r="12" spans="1:3" x14ac:dyDescent="0.2">
      <c r="A12" t="s">
        <v>388</v>
      </c>
      <c r="B12">
        <v>16.5</v>
      </c>
      <c r="C12">
        <f>B12/SUM($B$8:$B$9,$B$11:$B$12)</f>
        <v>7.4897866545619612E-2</v>
      </c>
    </row>
    <row r="14" spans="1:3" x14ac:dyDescent="0.2">
      <c r="A14" t="s">
        <v>389</v>
      </c>
      <c r="B14">
        <v>222.8</v>
      </c>
    </row>
    <row r="15" spans="1:3" x14ac:dyDescent="0.2">
      <c r="A15" t="s">
        <v>390</v>
      </c>
      <c r="B15">
        <v>278.89999999999998</v>
      </c>
    </row>
    <row r="17" spans="1:3" x14ac:dyDescent="0.2">
      <c r="A17" t="s">
        <v>392</v>
      </c>
    </row>
    <row r="18" spans="1:3" x14ac:dyDescent="0.2">
      <c r="A18" t="s">
        <v>0</v>
      </c>
      <c r="B18" s="15">
        <f>C8</f>
        <v>0.26963231956423056</v>
      </c>
    </row>
    <row r="19" spans="1:3" x14ac:dyDescent="0.2">
      <c r="A19" t="s">
        <v>8</v>
      </c>
      <c r="B19" s="15">
        <f>C9</f>
        <v>0.23604176123467996</v>
      </c>
    </row>
    <row r="20" spans="1:3" x14ac:dyDescent="0.2">
      <c r="A20" t="s">
        <v>393</v>
      </c>
      <c r="B20" s="15">
        <f>SUM(C11:C12)</f>
        <v>0.49432591920108948</v>
      </c>
    </row>
    <row r="21" spans="1:3" x14ac:dyDescent="0.2">
      <c r="B21" s="15"/>
    </row>
    <row r="22" spans="1:3" x14ac:dyDescent="0.2">
      <c r="A22" t="s">
        <v>417</v>
      </c>
      <c r="B22" s="15" t="s">
        <v>373</v>
      </c>
    </row>
    <row r="23" spans="1:3" x14ac:dyDescent="0.2">
      <c r="A23" t="s">
        <v>0</v>
      </c>
      <c r="B23" s="12">
        <f>$B$29*B18</f>
        <v>25.590743477150891</v>
      </c>
    </row>
    <row r="24" spans="1:3" x14ac:dyDescent="0.2">
      <c r="A24" t="s">
        <v>8</v>
      </c>
      <c r="B24" s="12">
        <f>$B$29*B19</f>
        <v>22.402671057438493</v>
      </c>
    </row>
    <row r="25" spans="1:3" x14ac:dyDescent="0.2">
      <c r="A25" t="s">
        <v>393</v>
      </c>
      <c r="B25" s="12">
        <f>$B$29*B20</f>
        <v>46.916363041443311</v>
      </c>
    </row>
    <row r="27" spans="1:3" x14ac:dyDescent="0.2">
      <c r="A27" s="3" t="s">
        <v>400</v>
      </c>
    </row>
    <row r="28" spans="1:3" x14ac:dyDescent="0.2">
      <c r="A28" s="3" t="s">
        <v>399</v>
      </c>
    </row>
    <row r="29" spans="1:3" x14ac:dyDescent="0.2">
      <c r="A29" t="s">
        <v>9</v>
      </c>
      <c r="B29" s="12">
        <f>(B18*D97+B19*D94+B20*D92)*4*3</f>
        <v>94.909777576032695</v>
      </c>
      <c r="C29" t="s">
        <v>376</v>
      </c>
    </row>
    <row r="30" spans="1:3" x14ac:dyDescent="0.2">
      <c r="A30" t="s">
        <v>377</v>
      </c>
      <c r="B30" s="12">
        <f>B29/3</f>
        <v>31.636592525344231</v>
      </c>
      <c r="C30" t="s">
        <v>401</v>
      </c>
    </row>
    <row r="31" spans="1:3" x14ac:dyDescent="0.2">
      <c r="A31" t="s">
        <v>414</v>
      </c>
      <c r="B31" s="12">
        <f>B18*B97</f>
        <v>1.7822696323195641</v>
      </c>
      <c r="C31" t="s">
        <v>394</v>
      </c>
    </row>
    <row r="32" spans="1:3" x14ac:dyDescent="0.2">
      <c r="A32" t="s">
        <v>411</v>
      </c>
      <c r="B32" s="12">
        <f>B19*B94+B92*B20</f>
        <v>1.0288424875170223</v>
      </c>
      <c r="C32" t="s">
        <v>394</v>
      </c>
    </row>
    <row r="33" spans="1:12" x14ac:dyDescent="0.2">
      <c r="A33" t="s">
        <v>412</v>
      </c>
      <c r="B33" s="12">
        <f>B19*B94+B92*B20+0.5*B18*B97</f>
        <v>1.9199773036768044</v>
      </c>
      <c r="C33" t="s">
        <v>394</v>
      </c>
    </row>
    <row r="34" spans="1:12" x14ac:dyDescent="0.2">
      <c r="A34" t="s">
        <v>377</v>
      </c>
      <c r="B34" s="12">
        <f>(B18*C97+B19*C94+B20*C92)*4</f>
        <v>2.8111121198365865</v>
      </c>
      <c r="C34" t="s">
        <v>394</v>
      </c>
    </row>
    <row r="35" spans="1:12" x14ac:dyDescent="0.2">
      <c r="A35" t="s">
        <v>9</v>
      </c>
      <c r="B35" s="2">
        <f>B34*3</f>
        <v>8.4333363595097595</v>
      </c>
      <c r="C35" t="s">
        <v>395</v>
      </c>
    </row>
    <row r="36" spans="1:12" x14ac:dyDescent="0.2">
      <c r="A36" t="s">
        <v>345</v>
      </c>
      <c r="B36" s="1">
        <f>B35*52</f>
        <v>438.53349069450746</v>
      </c>
      <c r="C36" t="s">
        <v>396</v>
      </c>
    </row>
    <row r="37" spans="1:12" x14ac:dyDescent="0.2">
      <c r="A37" t="s">
        <v>13</v>
      </c>
      <c r="B37" s="2">
        <f>B35*365</f>
        <v>3078.1677712210621</v>
      </c>
      <c r="C37" t="s">
        <v>397</v>
      </c>
      <c r="I37" s="20" t="s">
        <v>418</v>
      </c>
    </row>
    <row r="38" spans="1:12" x14ac:dyDescent="0.2">
      <c r="B38" s="2"/>
    </row>
    <row r="39" spans="1:12" x14ac:dyDescent="0.2">
      <c r="A39" s="3" t="s">
        <v>402</v>
      </c>
      <c r="B39" s="2"/>
    </row>
    <row r="40" spans="1:12" x14ac:dyDescent="0.2">
      <c r="A40" s="3"/>
      <c r="B40" s="2"/>
      <c r="E40" s="26" t="s">
        <v>407</v>
      </c>
      <c r="F40" s="26"/>
      <c r="G40" s="26"/>
      <c r="I40" s="26" t="s">
        <v>408</v>
      </c>
      <c r="J40" s="26"/>
      <c r="K40" s="26" t="s">
        <v>409</v>
      </c>
      <c r="L40" s="26"/>
    </row>
    <row r="41" spans="1:12" s="17" customFormat="1" ht="64" x14ac:dyDescent="0.2">
      <c r="B41" s="17" t="s">
        <v>410</v>
      </c>
      <c r="C41" s="23" t="s">
        <v>421</v>
      </c>
      <c r="D41" s="17" t="s">
        <v>403</v>
      </c>
      <c r="E41" s="17" t="s">
        <v>404</v>
      </c>
      <c r="F41" s="17" t="s">
        <v>405</v>
      </c>
      <c r="G41" s="17" t="s">
        <v>406</v>
      </c>
      <c r="H41" s="18" t="s">
        <v>415</v>
      </c>
      <c r="I41" s="17" t="s">
        <v>416</v>
      </c>
      <c r="J41" s="17" t="s">
        <v>413</v>
      </c>
      <c r="K41" s="17" t="s">
        <v>416</v>
      </c>
      <c r="L41" s="17" t="s">
        <v>413</v>
      </c>
    </row>
    <row r="42" spans="1:12" x14ac:dyDescent="0.2">
      <c r="A42" t="s">
        <v>361</v>
      </c>
      <c r="B42" s="2">
        <f t="shared" ref="B42:B48" si="0">$B$30/VLOOKUP(A42,$A$87:$D$99, 4,FALSE)</f>
        <v>5.3140436416142496</v>
      </c>
      <c r="C42" s="24">
        <f t="shared" ref="C42:C48" si="1">VLOOKUP(A42,$A$87:$C$99,3,FALSE)*B42</f>
        <v>7.3068100072195927E-2</v>
      </c>
      <c r="D42" s="12">
        <f>$B$34-C42</f>
        <v>2.7380440197643905</v>
      </c>
      <c r="E42" s="15">
        <f>D42/$B$35</f>
        <v>0.32466913485276383</v>
      </c>
      <c r="F42" s="16">
        <f>D42/$B$36</f>
        <v>6.2436372087069968E-3</v>
      </c>
      <c r="G42" s="15">
        <f>D42*52/$B$37</f>
        <v>4.625423291053074E-2</v>
      </c>
      <c r="H42" s="19">
        <f>($E$97-VLOOKUP(A42,$A$87:$E$99,5,FALSE))*$B$23*$B$18+($E$94-VLOOKUP(A42,$A$87:$E$99,5,FALSE))*$B$24*$B$19+($E$92-VLOOKUP(A42,$A$87:$E$99,5,FALSE))*$B$25*$B$20</f>
        <v>2.6989118105624419</v>
      </c>
      <c r="I42" s="12">
        <f t="shared" ref="I42:I48" si="2">($E$97-VLOOKUP(A42,$A$87:$E$99,5,FALSE))*$B$23</f>
        <v>5.9821388069301262</v>
      </c>
      <c r="J42" s="15">
        <f>I42/$B$35</f>
        <v>0.70934426802322814</v>
      </c>
      <c r="K42" s="11">
        <f>($E$97-VLOOKUP(A42,$A$87:$E$99,5,FALSE))*$B$23*0.5</f>
        <v>2.9910694034650631</v>
      </c>
      <c r="L42" s="15">
        <f>K42/$B$35</f>
        <v>0.35467213401161407</v>
      </c>
    </row>
    <row r="43" spans="1:12" x14ac:dyDescent="0.2">
      <c r="A43" t="s">
        <v>367</v>
      </c>
      <c r="B43" s="2">
        <f t="shared" si="0"/>
        <v>3.6503760606166424</v>
      </c>
      <c r="C43" s="24">
        <f t="shared" si="1"/>
        <v>0.34147780518823989</v>
      </c>
      <c r="D43" s="12">
        <f t="shared" ref="D43:D48" si="3">$B$34-C43</f>
        <v>2.4696343146483466</v>
      </c>
      <c r="E43" s="15">
        <f t="shared" ref="E43:E48" si="4">D43/$B$35</f>
        <v>0.29284190851269565</v>
      </c>
      <c r="F43" s="16">
        <f t="shared" ref="F43:F48" si="5">D43/$B$36</f>
        <v>5.6315751637056859E-3</v>
      </c>
      <c r="G43" s="15">
        <f t="shared" ref="G43:G48" si="6">D43*52/$B$37</f>
        <v>4.1719943130575823E-2</v>
      </c>
      <c r="H43" s="19">
        <f t="shared" ref="H43:H48" si="7">($E$97-VLOOKUP(A43,$A$87:$E$99,5,FALSE))*$B$23*$B$18+($E$94-VLOOKUP(A43,$A$87:$E$99,5,FALSE))*$B$24*$B$19+($E$92-VLOOKUP(A43,$A$87:$E$99,5,FALSE))*$B$25*$B$20</f>
        <v>2.3987421927619557</v>
      </c>
      <c r="I43" s="12">
        <f t="shared" si="2"/>
        <v>5.7650230127781557</v>
      </c>
      <c r="J43" s="15">
        <f t="shared" ref="J43:J51" si="8">I43/$B$35</f>
        <v>0.68359932143312307</v>
      </c>
      <c r="K43" s="11">
        <f t="shared" ref="K43:K48" si="9">($E$97-VLOOKUP(A43,$A$87:$E$99,5,FALSE))*$B$23*0.5</f>
        <v>2.8825115063890778</v>
      </c>
      <c r="L43" s="15">
        <f t="shared" ref="L43:L51" si="10">K43/$B$35</f>
        <v>0.34179966071656154</v>
      </c>
    </row>
    <row r="44" spans="1:12" x14ac:dyDescent="0.2">
      <c r="A44" t="s">
        <v>351</v>
      </c>
      <c r="B44" s="2">
        <f t="shared" si="0"/>
        <v>11.159491647389924</v>
      </c>
      <c r="C44" s="24">
        <f t="shared" si="1"/>
        <v>4.0174169930603725</v>
      </c>
      <c r="D44" s="12">
        <f t="shared" si="3"/>
        <v>-1.206304873223786</v>
      </c>
      <c r="E44" s="15">
        <f t="shared" si="4"/>
        <v>-0.14304005221652394</v>
      </c>
      <c r="F44" s="16">
        <f t="shared" si="5"/>
        <v>-2.7507702349331533E-3</v>
      </c>
      <c r="G44" s="15">
        <f t="shared" si="6"/>
        <v>-2.0378308808929439E-2</v>
      </c>
      <c r="H44" s="19">
        <f t="shared" si="7"/>
        <v>-1.7121570782027922</v>
      </c>
      <c r="I44" s="12">
        <f t="shared" si="2"/>
        <v>2.7915669833691044</v>
      </c>
      <c r="J44" s="15">
        <f t="shared" si="8"/>
        <v>0.33101572905025001</v>
      </c>
      <c r="K44" s="11">
        <f t="shared" si="9"/>
        <v>1.3957834916845522</v>
      </c>
      <c r="L44" s="15">
        <f t="shared" si="10"/>
        <v>0.165507864525125</v>
      </c>
    </row>
    <row r="45" spans="1:12" x14ac:dyDescent="0.2">
      <c r="A45" t="s">
        <v>371</v>
      </c>
      <c r="B45" s="2">
        <f t="shared" si="0"/>
        <v>8.4364246734251278</v>
      </c>
      <c r="C45" s="24">
        <f t="shared" si="1"/>
        <v>1.3941191772835024</v>
      </c>
      <c r="D45" s="12">
        <f t="shared" si="3"/>
        <v>1.4169929425530841</v>
      </c>
      <c r="E45" s="15">
        <f t="shared" si="4"/>
        <v>0.16802281827111371</v>
      </c>
      <c r="F45" s="16">
        <f t="shared" si="5"/>
        <v>3.2312080436752641E-3</v>
      </c>
      <c r="G45" s="15">
        <f t="shared" si="6"/>
        <v>2.3937497397528529E-2</v>
      </c>
      <c r="H45" s="19">
        <f t="shared" si="7"/>
        <v>1.2215457191612415</v>
      </c>
      <c r="I45" s="12">
        <f t="shared" si="2"/>
        <v>4.9135446082961955</v>
      </c>
      <c r="J45" s="15">
        <f t="shared" si="8"/>
        <v>0.58263353894991876</v>
      </c>
      <c r="K45" s="11">
        <f t="shared" si="9"/>
        <v>2.4567723041480978</v>
      </c>
      <c r="L45" s="15">
        <f t="shared" si="10"/>
        <v>0.29131676947495938</v>
      </c>
    </row>
    <row r="46" spans="1:12" x14ac:dyDescent="0.2">
      <c r="A46" t="s">
        <v>365</v>
      </c>
      <c r="B46" s="2">
        <f t="shared" si="0"/>
        <v>4.6869025963472932</v>
      </c>
      <c r="C46" s="24">
        <f t="shared" si="1"/>
        <v>0.93738051926945865</v>
      </c>
      <c r="D46" s="12">
        <f t="shared" si="3"/>
        <v>1.8737316005671278</v>
      </c>
      <c r="E46" s="15">
        <f t="shared" si="4"/>
        <v>0.22218153298892612</v>
      </c>
      <c r="F46" s="16">
        <f t="shared" si="5"/>
        <v>4.2727217882485794E-3</v>
      </c>
      <c r="G46" s="15">
        <f t="shared" si="6"/>
        <v>3.165325949431276E-2</v>
      </c>
      <c r="H46" s="19">
        <f t="shared" si="7"/>
        <v>1.73232854779074</v>
      </c>
      <c r="I46" s="12">
        <f t="shared" si="2"/>
        <v>5.2829991196811363</v>
      </c>
      <c r="J46" s="15">
        <f t="shared" si="8"/>
        <v>0.62644235857186226</v>
      </c>
      <c r="K46" s="11">
        <f t="shared" si="9"/>
        <v>2.6414995598405682</v>
      </c>
      <c r="L46" s="15">
        <f t="shared" si="10"/>
        <v>0.31322117928593113</v>
      </c>
    </row>
    <row r="47" spans="1:12" x14ac:dyDescent="0.2">
      <c r="A47" t="s">
        <v>42</v>
      </c>
      <c r="B47" s="2">
        <f t="shared" si="0"/>
        <v>8.5842243441460955</v>
      </c>
      <c r="C47" s="24">
        <f t="shared" si="1"/>
        <v>1.9099899165725063</v>
      </c>
      <c r="D47" s="12">
        <f t="shared" si="3"/>
        <v>0.90112220326408021</v>
      </c>
      <c r="E47" s="15">
        <f t="shared" si="4"/>
        <v>0.106852396827258</v>
      </c>
      <c r="F47" s="16">
        <f t="shared" si="5"/>
        <v>2.0548537851395772E-3</v>
      </c>
      <c r="G47" s="15">
        <f t="shared" si="6"/>
        <v>1.5222807219225799E-2</v>
      </c>
      <c r="H47" s="19">
        <f t="shared" si="7"/>
        <v>0.64463393208600339</v>
      </c>
      <c r="I47" s="12">
        <f t="shared" si="2"/>
        <v>4.4962583362067692</v>
      </c>
      <c r="J47" s="15">
        <f t="shared" si="8"/>
        <v>0.53315297108203363</v>
      </c>
      <c r="K47" s="11">
        <f t="shared" si="9"/>
        <v>2.2481291681033846</v>
      </c>
      <c r="L47" s="15">
        <f t="shared" si="10"/>
        <v>0.26657648554101682</v>
      </c>
    </row>
    <row r="48" spans="1:12" x14ac:dyDescent="0.2">
      <c r="A48" t="s">
        <v>364</v>
      </c>
      <c r="B48" s="2">
        <f t="shared" si="0"/>
        <v>6.3273185050688463</v>
      </c>
      <c r="C48" s="24">
        <f t="shared" si="1"/>
        <v>0.63273185050688463</v>
      </c>
      <c r="D48" s="12">
        <f t="shared" si="3"/>
        <v>2.1783802693297019</v>
      </c>
      <c r="E48" s="15">
        <f t="shared" si="4"/>
        <v>0.25830586810085848</v>
      </c>
      <c r="F48" s="16">
        <f t="shared" si="5"/>
        <v>4.9674205404011251E-3</v>
      </c>
      <c r="G48" s="15">
        <f t="shared" si="6"/>
        <v>3.6799740112999017E-2</v>
      </c>
      <c r="H48" s="19">
        <f t="shared" si="7"/>
        <v>2.073025149749872</v>
      </c>
      <c r="I48" s="12">
        <f t="shared" si="2"/>
        <v>5.5294285013129603</v>
      </c>
      <c r="J48" s="15">
        <f t="shared" si="8"/>
        <v>0.65566322337869998</v>
      </c>
      <c r="K48" s="11">
        <f t="shared" si="9"/>
        <v>2.7647142506564801</v>
      </c>
      <c r="L48" s="15">
        <f t="shared" si="10"/>
        <v>0.32783161168934999</v>
      </c>
    </row>
    <row r="49" spans="1:12" x14ac:dyDescent="0.2">
      <c r="B49" s="2"/>
      <c r="G49" s="15"/>
      <c r="I49" s="12"/>
      <c r="J49" s="15"/>
      <c r="K49" s="11"/>
      <c r="L49" s="15"/>
    </row>
    <row r="50" spans="1:12" x14ac:dyDescent="0.2">
      <c r="A50" t="s">
        <v>8</v>
      </c>
      <c r="B50" s="2"/>
      <c r="I50" s="12">
        <f>($E$97-VLOOKUP(A50,$A$87:$E$99,5,FALSE))*$B$23</f>
        <v>4.5406952306048582</v>
      </c>
      <c r="J50" s="15">
        <f t="shared" si="8"/>
        <v>0.53842216615546146</v>
      </c>
      <c r="K50" s="11">
        <f>($E$97-VLOOKUP(A50,$A$87:$E$99,5,FALSE))*$B$23*0.5</f>
        <v>2.2703476153024291</v>
      </c>
      <c r="L50" s="15">
        <f t="shared" si="10"/>
        <v>0.26921108307773073</v>
      </c>
    </row>
    <row r="51" spans="1:12" x14ac:dyDescent="0.2">
      <c r="A51" t="s">
        <v>393</v>
      </c>
      <c r="B51" s="2"/>
      <c r="I51" s="12">
        <f>($E$97-VLOOKUP(A51,$A$87:$E$99,5,FALSE))*$B$23</f>
        <v>5.1125470349916311</v>
      </c>
      <c r="J51" s="15">
        <f t="shared" si="8"/>
        <v>0.60623065617755456</v>
      </c>
      <c r="K51" s="11">
        <f>($E$97-VLOOKUP(A51,$A$87:$E$99,5,FALSE))*$B$23*0.5</f>
        <v>2.5562735174958156</v>
      </c>
      <c r="L51" s="15">
        <f t="shared" si="10"/>
        <v>0.30311532808877728</v>
      </c>
    </row>
    <row r="52" spans="1:12" x14ac:dyDescent="0.2">
      <c r="B52" s="2"/>
    </row>
    <row r="53" spans="1:12" x14ac:dyDescent="0.2">
      <c r="B53">
        <v>8887</v>
      </c>
      <c r="C53" t="s">
        <v>3</v>
      </c>
    </row>
    <row r="54" spans="1:12" x14ac:dyDescent="0.2">
      <c r="B54">
        <f>B53/1000*2.2</f>
        <v>19.551400000000001</v>
      </c>
      <c r="C54" t="s">
        <v>4</v>
      </c>
    </row>
    <row r="55" spans="1:12" x14ac:dyDescent="0.2">
      <c r="B55">
        <v>23</v>
      </c>
      <c r="C55" t="s">
        <v>5</v>
      </c>
      <c r="D55" t="s">
        <v>6</v>
      </c>
    </row>
    <row r="56" spans="1:12" x14ac:dyDescent="0.2">
      <c r="B56">
        <f>B55/B54</f>
        <v>1.1763863457348323</v>
      </c>
      <c r="C56" t="s">
        <v>7</v>
      </c>
    </row>
    <row r="57" spans="1:12" x14ac:dyDescent="0.2">
      <c r="B57" s="27" t="s">
        <v>419</v>
      </c>
      <c r="C57" s="27"/>
    </row>
    <row r="58" spans="1:12" x14ac:dyDescent="0.2">
      <c r="B58" t="s">
        <v>398</v>
      </c>
      <c r="C58" t="s">
        <v>378</v>
      </c>
    </row>
    <row r="59" spans="1:12" x14ac:dyDescent="0.2">
      <c r="A59" s="19" t="s">
        <v>381</v>
      </c>
      <c r="B59" s="21">
        <f>(B34-C42)*52</f>
        <v>142.37828902774831</v>
      </c>
      <c r="C59" s="21">
        <f>B59*$B$56</f>
        <v>167.49187514133058</v>
      </c>
    </row>
    <row r="60" spans="1:12" x14ac:dyDescent="0.2">
      <c r="A60" t="s">
        <v>382</v>
      </c>
      <c r="B60" s="2">
        <f>(B35-C42*3)*52</f>
        <v>427.13486708324496</v>
      </c>
      <c r="C60" s="1">
        <f t="shared" ref="C60:C65" si="11">B60*$B$56</f>
        <v>502.4756254239918</v>
      </c>
    </row>
    <row r="61" spans="1:12" x14ac:dyDescent="0.2">
      <c r="A61" t="s">
        <v>420</v>
      </c>
      <c r="B61" s="2">
        <f>(B35-AVERAGE(C42:C48)*3)*52</f>
        <v>231.13852491383707</v>
      </c>
      <c r="C61" s="1">
        <f t="shared" si="11"/>
        <v>271.90820468192828</v>
      </c>
    </row>
    <row r="62" spans="1:12" x14ac:dyDescent="0.2">
      <c r="A62" s="19" t="s">
        <v>379</v>
      </c>
      <c r="B62" s="22">
        <f>B63/3</f>
        <v>88.61748193985494</v>
      </c>
      <c r="C62" s="21">
        <f t="shared" si="11"/>
        <v>104.24839574744844</v>
      </c>
    </row>
    <row r="63" spans="1:12" x14ac:dyDescent="0.2">
      <c r="A63" t="s">
        <v>380</v>
      </c>
      <c r="B63" s="1">
        <f>I51*52</f>
        <v>265.85244581956482</v>
      </c>
      <c r="C63" s="1">
        <f t="shared" si="11"/>
        <v>312.74518724234537</v>
      </c>
    </row>
    <row r="64" spans="1:12" x14ac:dyDescent="0.2">
      <c r="A64" t="s">
        <v>422</v>
      </c>
      <c r="B64" s="1">
        <f>I51*365</f>
        <v>1866.0796677719454</v>
      </c>
      <c r="C64" s="1">
        <f t="shared" si="11"/>
        <v>2195.2306412203088</v>
      </c>
    </row>
    <row r="65" spans="1:4" x14ac:dyDescent="0.2">
      <c r="A65" t="s">
        <v>424</v>
      </c>
      <c r="B65" s="1">
        <f>AVERAGE(D42:D48)*3*365</f>
        <v>1622.414646029818</v>
      </c>
      <c r="C65" s="1">
        <f t="shared" si="11"/>
        <v>1908.586436709689</v>
      </c>
    </row>
    <row r="66" spans="1:4" x14ac:dyDescent="0.2">
      <c r="A66" t="s">
        <v>423</v>
      </c>
      <c r="B66" s="1">
        <f>D42*3*365</f>
        <v>2998.158201642007</v>
      </c>
      <c r="C66" s="1">
        <f>B66*$B$56</f>
        <v>3526.9923707645571</v>
      </c>
    </row>
    <row r="68" spans="1:4" x14ac:dyDescent="0.2">
      <c r="A68" t="s">
        <v>354</v>
      </c>
    </row>
    <row r="69" spans="1:4" x14ac:dyDescent="0.2">
      <c r="A69" t="s">
        <v>355</v>
      </c>
    </row>
    <row r="70" spans="1:4" x14ac:dyDescent="0.2">
      <c r="A70" t="s">
        <v>357</v>
      </c>
      <c r="B70" s="11">
        <v>0.36</v>
      </c>
      <c r="C70" t="s">
        <v>356</v>
      </c>
    </row>
    <row r="71" spans="1:4" x14ac:dyDescent="0.2">
      <c r="B71" s="11" t="s">
        <v>374</v>
      </c>
      <c r="C71" t="s">
        <v>373</v>
      </c>
      <c r="D71" t="s">
        <v>111</v>
      </c>
    </row>
    <row r="72" spans="1:4" x14ac:dyDescent="0.2">
      <c r="B72" s="1">
        <v>100</v>
      </c>
      <c r="C72" s="1">
        <f>B72*$B$70</f>
        <v>36</v>
      </c>
      <c r="D72">
        <f>C72*4</f>
        <v>144</v>
      </c>
    </row>
    <row r="73" spans="1:4" x14ac:dyDescent="0.2">
      <c r="B73" s="1">
        <f>B72+20</f>
        <v>120</v>
      </c>
      <c r="C73" s="1">
        <f t="shared" ref="C73:C82" si="12">B73*$B$70</f>
        <v>43.199999999999996</v>
      </c>
      <c r="D73">
        <f t="shared" ref="D73:D82" si="13">C73*4</f>
        <v>172.79999999999998</v>
      </c>
    </row>
    <row r="74" spans="1:4" x14ac:dyDescent="0.2">
      <c r="B74" s="1">
        <f t="shared" ref="B74:B82" si="14">B73+20</f>
        <v>140</v>
      </c>
      <c r="C74" s="1">
        <f t="shared" si="12"/>
        <v>50.4</v>
      </c>
      <c r="D74">
        <f t="shared" si="13"/>
        <v>201.6</v>
      </c>
    </row>
    <row r="75" spans="1:4" x14ac:dyDescent="0.2">
      <c r="B75" s="1">
        <f t="shared" si="14"/>
        <v>160</v>
      </c>
      <c r="C75" s="1">
        <f t="shared" si="12"/>
        <v>57.599999999999994</v>
      </c>
      <c r="D75">
        <f t="shared" si="13"/>
        <v>230.39999999999998</v>
      </c>
    </row>
    <row r="76" spans="1:4" x14ac:dyDescent="0.2">
      <c r="B76" s="1">
        <f t="shared" si="14"/>
        <v>180</v>
      </c>
      <c r="C76" s="1">
        <f t="shared" si="12"/>
        <v>64.8</v>
      </c>
      <c r="D76">
        <f t="shared" si="13"/>
        <v>259.2</v>
      </c>
    </row>
    <row r="77" spans="1:4" x14ac:dyDescent="0.2">
      <c r="B77" s="1">
        <f t="shared" si="14"/>
        <v>200</v>
      </c>
      <c r="C77" s="1">
        <f t="shared" si="12"/>
        <v>72</v>
      </c>
      <c r="D77">
        <f t="shared" si="13"/>
        <v>288</v>
      </c>
    </row>
    <row r="78" spans="1:4" x14ac:dyDescent="0.2">
      <c r="B78" s="1">
        <f t="shared" si="14"/>
        <v>220</v>
      </c>
      <c r="C78" s="1">
        <f t="shared" si="12"/>
        <v>79.2</v>
      </c>
      <c r="D78">
        <f t="shared" si="13"/>
        <v>316.8</v>
      </c>
    </row>
    <row r="79" spans="1:4" x14ac:dyDescent="0.2">
      <c r="B79" s="1">
        <f t="shared" si="14"/>
        <v>240</v>
      </c>
      <c r="C79" s="1">
        <f t="shared" si="12"/>
        <v>86.399999999999991</v>
      </c>
      <c r="D79">
        <f t="shared" si="13"/>
        <v>345.59999999999997</v>
      </c>
    </row>
    <row r="80" spans="1:4" x14ac:dyDescent="0.2">
      <c r="B80" s="1">
        <f t="shared" si="14"/>
        <v>260</v>
      </c>
      <c r="C80" s="1">
        <f t="shared" si="12"/>
        <v>93.6</v>
      </c>
      <c r="D80">
        <f t="shared" si="13"/>
        <v>374.4</v>
      </c>
    </row>
    <row r="81" spans="1:6" x14ac:dyDescent="0.2">
      <c r="B81" s="1">
        <f t="shared" si="14"/>
        <v>280</v>
      </c>
      <c r="C81" s="1">
        <f t="shared" si="12"/>
        <v>100.8</v>
      </c>
      <c r="D81">
        <f t="shared" si="13"/>
        <v>403.2</v>
      </c>
    </row>
    <row r="82" spans="1:6" x14ac:dyDescent="0.2">
      <c r="B82" s="1">
        <f t="shared" si="14"/>
        <v>300</v>
      </c>
      <c r="C82" s="1">
        <f t="shared" si="12"/>
        <v>108</v>
      </c>
      <c r="D82">
        <f t="shared" si="13"/>
        <v>432</v>
      </c>
    </row>
    <row r="83" spans="1:6" x14ac:dyDescent="0.2">
      <c r="B83" s="11"/>
    </row>
    <row r="84" spans="1:6" x14ac:dyDescent="0.2">
      <c r="B84" t="s">
        <v>2</v>
      </c>
    </row>
    <row r="85" spans="1:6" x14ac:dyDescent="0.2">
      <c r="B85" s="11" t="s">
        <v>360</v>
      </c>
      <c r="C85" s="11" t="s">
        <v>360</v>
      </c>
      <c r="D85" t="s">
        <v>114</v>
      </c>
      <c r="E85" t="s">
        <v>114</v>
      </c>
    </row>
    <row r="86" spans="1:6" x14ac:dyDescent="0.2">
      <c r="B86" s="4" t="s">
        <v>348</v>
      </c>
      <c r="C86" s="4" t="s">
        <v>359</v>
      </c>
      <c r="D86" t="s">
        <v>350</v>
      </c>
      <c r="E86" s="4" t="s">
        <v>362</v>
      </c>
    </row>
    <row r="87" spans="1:6" x14ac:dyDescent="0.2">
      <c r="A87" t="s">
        <v>361</v>
      </c>
      <c r="B87">
        <v>0.11</v>
      </c>
      <c r="C87" s="10">
        <f>B87/8</f>
        <v>1.375E-2</v>
      </c>
      <c r="D87" s="11">
        <f>21/3.5274</f>
        <v>5.953393434257527</v>
      </c>
      <c r="E87" s="10">
        <f t="shared" ref="E87:E99" si="15">C87/D87</f>
        <v>2.3096071428571428E-3</v>
      </c>
    </row>
    <row r="88" spans="1:6" x14ac:dyDescent="0.2">
      <c r="A88" t="s">
        <v>367</v>
      </c>
      <c r="B88" s="13">
        <f>Sheet2!B34*0.113389</f>
        <v>0.37418370000000001</v>
      </c>
      <c r="C88" s="10">
        <f>B88/4</f>
        <v>9.3545925000000002E-2</v>
      </c>
      <c r="D88" s="12">
        <f>26/3</f>
        <v>8.6666666666666661</v>
      </c>
      <c r="E88" s="10">
        <f t="shared" si="15"/>
        <v>1.0793760576923078E-2</v>
      </c>
    </row>
    <row r="89" spans="1:6" x14ac:dyDescent="0.2">
      <c r="A89" t="s">
        <v>364</v>
      </c>
      <c r="B89">
        <v>0.4</v>
      </c>
      <c r="C89" s="10">
        <f>B89/4</f>
        <v>0.1</v>
      </c>
      <c r="D89">
        <f>20/4</f>
        <v>5</v>
      </c>
      <c r="E89" s="10">
        <f t="shared" si="15"/>
        <v>0.02</v>
      </c>
      <c r="F89" t="s">
        <v>370</v>
      </c>
    </row>
    <row r="90" spans="1:6" x14ac:dyDescent="0.2">
      <c r="A90" t="s">
        <v>358</v>
      </c>
      <c r="B90">
        <v>2.4500000000000002</v>
      </c>
      <c r="C90" s="10">
        <f>B90/8</f>
        <v>0.30625000000000002</v>
      </c>
      <c r="D90" s="11">
        <f>13/4</f>
        <v>3.25</v>
      </c>
      <c r="E90" s="10">
        <f t="shared" si="15"/>
        <v>9.4230769230769243E-2</v>
      </c>
      <c r="F90" t="s">
        <v>372</v>
      </c>
    </row>
    <row r="91" spans="1:6" x14ac:dyDescent="0.2">
      <c r="A91" t="s">
        <v>365</v>
      </c>
      <c r="B91">
        <v>0.8</v>
      </c>
      <c r="C91" s="10">
        <f>B91/4</f>
        <v>0.2</v>
      </c>
      <c r="D91">
        <f>27/4</f>
        <v>6.75</v>
      </c>
      <c r="E91" s="10">
        <f t="shared" si="15"/>
        <v>2.9629629629629631E-2</v>
      </c>
      <c r="F91" t="s">
        <v>366</v>
      </c>
    </row>
    <row r="92" spans="1:6" x14ac:dyDescent="0.2">
      <c r="A92" t="s">
        <v>393</v>
      </c>
      <c r="B92">
        <v>1.26</v>
      </c>
      <c r="C92" s="10">
        <f>B92/4</f>
        <v>0.315</v>
      </c>
      <c r="D92">
        <f>28/100*31</f>
        <v>8.6800000000000015</v>
      </c>
      <c r="E92" s="10">
        <f t="shared" si="15"/>
        <v>3.6290322580645157E-2</v>
      </c>
    </row>
    <row r="93" spans="1:6" x14ac:dyDescent="0.2">
      <c r="A93" t="s">
        <v>371</v>
      </c>
      <c r="B93" s="14">
        <f>B97*0.1</f>
        <v>0.66100000000000003</v>
      </c>
      <c r="C93">
        <f>C97*0.1</f>
        <v>0.16525000000000001</v>
      </c>
      <c r="D93">
        <f>15/4</f>
        <v>3.75</v>
      </c>
      <c r="E93" s="10">
        <f t="shared" si="15"/>
        <v>4.4066666666666671E-2</v>
      </c>
      <c r="F93" t="s">
        <v>369</v>
      </c>
    </row>
    <row r="94" spans="1:6" x14ac:dyDescent="0.2">
      <c r="A94" t="s">
        <v>8</v>
      </c>
      <c r="B94">
        <v>1.72</v>
      </c>
      <c r="C94" s="10">
        <f>B94/4</f>
        <v>0.43</v>
      </c>
      <c r="D94" s="12">
        <f>22/3</f>
        <v>7.333333333333333</v>
      </c>
      <c r="E94" s="10">
        <f t="shared" si="15"/>
        <v>5.8636363636363639E-2</v>
      </c>
    </row>
    <row r="95" spans="1:6" x14ac:dyDescent="0.2">
      <c r="A95" t="s">
        <v>42</v>
      </c>
      <c r="B95">
        <v>0.89</v>
      </c>
      <c r="C95" s="10">
        <f>B95/4</f>
        <v>0.2225</v>
      </c>
      <c r="D95" s="11">
        <f>13/3.5274</f>
        <v>3.6854340307308497</v>
      </c>
      <c r="E95" s="10">
        <f t="shared" si="15"/>
        <v>6.0372807692307698E-2</v>
      </c>
    </row>
    <row r="96" spans="1:6" x14ac:dyDescent="0.2">
      <c r="A96" t="s">
        <v>368</v>
      </c>
      <c r="B96" s="13">
        <f>B98/4</f>
        <v>0.18</v>
      </c>
      <c r="C96" s="10">
        <f>B96/8</f>
        <v>2.2499999999999999E-2</v>
      </c>
      <c r="D96" s="11">
        <v>1</v>
      </c>
      <c r="E96" s="10">
        <f t="shared" si="15"/>
        <v>2.2499999999999999E-2</v>
      </c>
      <c r="F96" t="s">
        <v>363</v>
      </c>
    </row>
    <row r="97" spans="1:6" x14ac:dyDescent="0.2">
      <c r="A97" t="s">
        <v>0</v>
      </c>
      <c r="B97">
        <v>6.61</v>
      </c>
      <c r="C97" s="10">
        <f>B97/4</f>
        <v>1.6525000000000001</v>
      </c>
      <c r="D97">
        <v>7</v>
      </c>
      <c r="E97" s="10">
        <f t="shared" si="15"/>
        <v>0.23607142857142857</v>
      </c>
    </row>
    <row r="98" spans="1:6" x14ac:dyDescent="0.2">
      <c r="A98" t="s">
        <v>353</v>
      </c>
      <c r="B98">
        <v>0.72</v>
      </c>
      <c r="C98" s="10">
        <f>B98/8</f>
        <v>0.09</v>
      </c>
      <c r="D98" s="11">
        <f>3.4/3.5274</f>
        <v>0.96388274649883765</v>
      </c>
      <c r="E98" s="10">
        <f t="shared" si="15"/>
        <v>9.3372352941176476E-2</v>
      </c>
      <c r="F98" t="s">
        <v>372</v>
      </c>
    </row>
    <row r="99" spans="1:6" x14ac:dyDescent="0.2">
      <c r="A99" t="s">
        <v>351</v>
      </c>
      <c r="B99">
        <f>B98*4</f>
        <v>2.88</v>
      </c>
      <c r="C99" s="10">
        <f>B99/8</f>
        <v>0.36</v>
      </c>
      <c r="D99" s="11">
        <f>10/3.5274</f>
        <v>2.8349492544083459</v>
      </c>
      <c r="E99" s="10">
        <f t="shared" si="15"/>
        <v>0.1269864</v>
      </c>
    </row>
    <row r="100" spans="1:6" x14ac:dyDescent="0.2">
      <c r="C100" s="10"/>
      <c r="E100" s="10"/>
    </row>
    <row r="101" spans="1:6" x14ac:dyDescent="0.2">
      <c r="C101" s="10"/>
      <c r="E101" s="10"/>
    </row>
    <row r="102" spans="1:6" x14ac:dyDescent="0.2">
      <c r="C102" s="10"/>
      <c r="E102" s="10"/>
    </row>
    <row r="103" spans="1:6" x14ac:dyDescent="0.2">
      <c r="C103" s="10"/>
      <c r="E103" s="10"/>
    </row>
    <row r="104" spans="1:6" x14ac:dyDescent="0.2">
      <c r="A104" t="s">
        <v>352</v>
      </c>
    </row>
    <row r="113" spans="1:2" x14ac:dyDescent="0.2">
      <c r="B113" s="11" t="s">
        <v>360</v>
      </c>
    </row>
    <row r="114" spans="1:2" x14ac:dyDescent="0.2">
      <c r="B114" t="s">
        <v>348</v>
      </c>
    </row>
    <row r="115" spans="1:2" x14ac:dyDescent="0.2">
      <c r="A115" t="s">
        <v>361</v>
      </c>
      <c r="B115">
        <f t="shared" ref="B115:B127" si="16">VLOOKUP(A115,$A$87:$B$99,2,FALSE)</f>
        <v>0.11</v>
      </c>
    </row>
    <row r="116" spans="1:2" x14ac:dyDescent="0.2">
      <c r="A116" t="s">
        <v>368</v>
      </c>
      <c r="B116">
        <f t="shared" si="16"/>
        <v>0.18</v>
      </c>
    </row>
    <row r="117" spans="1:2" x14ac:dyDescent="0.2">
      <c r="A117" t="s">
        <v>364</v>
      </c>
      <c r="B117">
        <f t="shared" si="16"/>
        <v>0.4</v>
      </c>
    </row>
    <row r="118" spans="1:2" x14ac:dyDescent="0.2">
      <c r="A118" t="s">
        <v>367</v>
      </c>
      <c r="B118">
        <f t="shared" si="16"/>
        <v>0.37418370000000001</v>
      </c>
    </row>
    <row r="119" spans="1:2" x14ac:dyDescent="0.2">
      <c r="A119" t="s">
        <v>371</v>
      </c>
      <c r="B119">
        <f t="shared" si="16"/>
        <v>0.66100000000000003</v>
      </c>
    </row>
    <row r="120" spans="1:2" x14ac:dyDescent="0.2">
      <c r="A120" t="s">
        <v>353</v>
      </c>
      <c r="B120">
        <f t="shared" si="16"/>
        <v>0.72</v>
      </c>
    </row>
    <row r="121" spans="1:2" x14ac:dyDescent="0.2">
      <c r="A121" t="s">
        <v>365</v>
      </c>
      <c r="B121">
        <f t="shared" si="16"/>
        <v>0.8</v>
      </c>
    </row>
    <row r="122" spans="1:2" x14ac:dyDescent="0.2">
      <c r="A122" t="s">
        <v>42</v>
      </c>
      <c r="B122">
        <f t="shared" si="16"/>
        <v>0.89</v>
      </c>
    </row>
    <row r="123" spans="1:2" x14ac:dyDescent="0.2">
      <c r="A123" t="s">
        <v>393</v>
      </c>
      <c r="B123">
        <f t="shared" si="16"/>
        <v>1.26</v>
      </c>
    </row>
    <row r="124" spans="1:2" x14ac:dyDescent="0.2">
      <c r="A124" t="s">
        <v>8</v>
      </c>
      <c r="B124">
        <f t="shared" si="16"/>
        <v>1.72</v>
      </c>
    </row>
    <row r="125" spans="1:2" x14ac:dyDescent="0.2">
      <c r="A125" t="s">
        <v>358</v>
      </c>
      <c r="B125">
        <f t="shared" si="16"/>
        <v>2.4500000000000002</v>
      </c>
    </row>
    <row r="126" spans="1:2" x14ac:dyDescent="0.2">
      <c r="A126" t="s">
        <v>351</v>
      </c>
      <c r="B126">
        <f t="shared" si="16"/>
        <v>2.88</v>
      </c>
    </row>
    <row r="127" spans="1:2" x14ac:dyDescent="0.2">
      <c r="A127" t="s">
        <v>0</v>
      </c>
      <c r="B127">
        <f t="shared" si="16"/>
        <v>6.61</v>
      </c>
    </row>
    <row r="128" spans="1:2" x14ac:dyDescent="0.2">
      <c r="B128" t="s">
        <v>114</v>
      </c>
    </row>
    <row r="129" spans="1:2" x14ac:dyDescent="0.2">
      <c r="B129" s="4" t="s">
        <v>362</v>
      </c>
    </row>
    <row r="130" spans="1:2" x14ac:dyDescent="0.2">
      <c r="A130" t="s">
        <v>361</v>
      </c>
      <c r="B130">
        <f t="shared" ref="B130:B142" si="17">VLOOKUP(A130,$A$87:$E$99,5,FALSE)</f>
        <v>2.3096071428571428E-3</v>
      </c>
    </row>
    <row r="131" spans="1:2" x14ac:dyDescent="0.2">
      <c r="A131" t="s">
        <v>367</v>
      </c>
      <c r="B131">
        <f t="shared" si="17"/>
        <v>1.0793760576923078E-2</v>
      </c>
    </row>
    <row r="132" spans="1:2" x14ac:dyDescent="0.2">
      <c r="A132" t="s">
        <v>364</v>
      </c>
      <c r="B132">
        <f t="shared" si="17"/>
        <v>0.02</v>
      </c>
    </row>
    <row r="133" spans="1:2" x14ac:dyDescent="0.2">
      <c r="A133" t="s">
        <v>368</v>
      </c>
      <c r="B133">
        <f t="shared" si="17"/>
        <v>2.2499999999999999E-2</v>
      </c>
    </row>
    <row r="134" spans="1:2" x14ac:dyDescent="0.2">
      <c r="A134" t="s">
        <v>365</v>
      </c>
      <c r="B134">
        <f t="shared" si="17"/>
        <v>2.9629629629629631E-2</v>
      </c>
    </row>
    <row r="135" spans="1:2" x14ac:dyDescent="0.2">
      <c r="A135" t="s">
        <v>393</v>
      </c>
      <c r="B135">
        <f t="shared" si="17"/>
        <v>3.6290322580645157E-2</v>
      </c>
    </row>
    <row r="136" spans="1:2" x14ac:dyDescent="0.2">
      <c r="A136" t="s">
        <v>371</v>
      </c>
      <c r="B136">
        <f t="shared" si="17"/>
        <v>4.4066666666666671E-2</v>
      </c>
    </row>
    <row r="137" spans="1:2" x14ac:dyDescent="0.2">
      <c r="A137" t="s">
        <v>8</v>
      </c>
      <c r="B137">
        <f t="shared" si="17"/>
        <v>5.8636363636363639E-2</v>
      </c>
    </row>
    <row r="138" spans="1:2" x14ac:dyDescent="0.2">
      <c r="A138" t="s">
        <v>42</v>
      </c>
      <c r="B138">
        <f t="shared" si="17"/>
        <v>6.0372807692307698E-2</v>
      </c>
    </row>
    <row r="139" spans="1:2" x14ac:dyDescent="0.2">
      <c r="A139" t="s">
        <v>353</v>
      </c>
      <c r="B139">
        <f t="shared" si="17"/>
        <v>9.3372352941176476E-2</v>
      </c>
    </row>
    <row r="140" spans="1:2" x14ac:dyDescent="0.2">
      <c r="A140" t="s">
        <v>358</v>
      </c>
      <c r="B140">
        <f t="shared" si="17"/>
        <v>9.4230769230769243E-2</v>
      </c>
    </row>
    <row r="141" spans="1:2" x14ac:dyDescent="0.2">
      <c r="A141" t="s">
        <v>351</v>
      </c>
      <c r="B141">
        <f t="shared" si="17"/>
        <v>0.1269864</v>
      </c>
    </row>
    <row r="142" spans="1:2" x14ac:dyDescent="0.2">
      <c r="A142" t="s">
        <v>0</v>
      </c>
      <c r="B142">
        <f t="shared" si="17"/>
        <v>0.23607142857142857</v>
      </c>
    </row>
    <row r="146" spans="1:17" x14ac:dyDescent="0.2">
      <c r="A146" t="s">
        <v>433</v>
      </c>
    </row>
    <row r="148" spans="1:17" x14ac:dyDescent="0.2">
      <c r="A148" t="s">
        <v>431</v>
      </c>
      <c r="B148" t="s">
        <v>432</v>
      </c>
      <c r="E148" t="s">
        <v>435</v>
      </c>
    </row>
    <row r="149" spans="1:17" x14ac:dyDescent="0.2">
      <c r="B149" t="s">
        <v>428</v>
      </c>
      <c r="C149" t="s">
        <v>429</v>
      </c>
      <c r="D149" t="s">
        <v>430</v>
      </c>
      <c r="E149" t="s">
        <v>434</v>
      </c>
      <c r="F149" t="s">
        <v>430</v>
      </c>
    </row>
    <row r="150" spans="1:17" x14ac:dyDescent="0.2">
      <c r="A150" t="s">
        <v>0</v>
      </c>
      <c r="B150">
        <v>15.23</v>
      </c>
      <c r="C150">
        <f>B150/16</f>
        <v>0.95187500000000003</v>
      </c>
      <c r="D150">
        <f>C150*4</f>
        <v>3.8075000000000001</v>
      </c>
      <c r="E150">
        <v>27</v>
      </c>
      <c r="F150">
        <f>E150/4</f>
        <v>6.75</v>
      </c>
    </row>
    <row r="151" spans="1:17" x14ac:dyDescent="0.2">
      <c r="A151" t="s">
        <v>425</v>
      </c>
      <c r="B151">
        <v>20.440000000000001</v>
      </c>
      <c r="C151">
        <f t="shared" ref="C151:C157" si="18">B151/16</f>
        <v>1.2775000000000001</v>
      </c>
      <c r="D151">
        <f t="shared" ref="D151:D157" si="19">C151*4</f>
        <v>5.1100000000000003</v>
      </c>
      <c r="E151">
        <v>39.200000000000003</v>
      </c>
      <c r="F151">
        <f t="shared" ref="F151:F157" si="20">E151/4</f>
        <v>9.8000000000000007</v>
      </c>
    </row>
    <row r="152" spans="1:17" x14ac:dyDescent="0.2">
      <c r="A152" t="s">
        <v>8</v>
      </c>
      <c r="B152">
        <v>4.62</v>
      </c>
      <c r="C152">
        <f t="shared" si="18"/>
        <v>0.28875000000000001</v>
      </c>
      <c r="D152">
        <f t="shared" si="19"/>
        <v>1.155</v>
      </c>
      <c r="E152">
        <v>12.1</v>
      </c>
      <c r="F152">
        <f t="shared" si="20"/>
        <v>3.0249999999999999</v>
      </c>
    </row>
    <row r="153" spans="1:17" x14ac:dyDescent="0.2">
      <c r="A153" t="s">
        <v>1</v>
      </c>
      <c r="B153">
        <v>2.33</v>
      </c>
      <c r="C153">
        <f t="shared" si="18"/>
        <v>0.145625</v>
      </c>
      <c r="D153">
        <f t="shared" si="19"/>
        <v>0.58250000000000002</v>
      </c>
      <c r="E153">
        <v>6.9</v>
      </c>
      <c r="F153">
        <f t="shared" si="20"/>
        <v>1.7250000000000001</v>
      </c>
      <c r="P153">
        <v>3.7</v>
      </c>
      <c r="Q153" t="s">
        <v>443</v>
      </c>
    </row>
    <row r="154" spans="1:17" x14ac:dyDescent="0.2">
      <c r="A154" t="s">
        <v>426</v>
      </c>
      <c r="B154">
        <v>4.1399999999999997</v>
      </c>
      <c r="C154">
        <f t="shared" si="18"/>
        <v>0.25874999999999998</v>
      </c>
      <c r="D154">
        <f t="shared" si="19"/>
        <v>1.0349999999999999</v>
      </c>
      <c r="E154">
        <v>11.9</v>
      </c>
      <c r="F154">
        <f t="shared" si="20"/>
        <v>2.9750000000000001</v>
      </c>
      <c r="P154">
        <f>P153*2.2</f>
        <v>8.14</v>
      </c>
      <c r="Q154" t="s">
        <v>444</v>
      </c>
    </row>
    <row r="155" spans="1:17" x14ac:dyDescent="0.2">
      <c r="A155" t="s">
        <v>42</v>
      </c>
      <c r="B155">
        <v>2.12</v>
      </c>
      <c r="C155">
        <f t="shared" si="18"/>
        <v>0.13250000000000001</v>
      </c>
      <c r="D155">
        <f t="shared" si="19"/>
        <v>0.53</v>
      </c>
      <c r="E155">
        <v>4.8</v>
      </c>
      <c r="F155">
        <f t="shared" si="20"/>
        <v>1.2</v>
      </c>
    </row>
    <row r="156" spans="1:17" x14ac:dyDescent="0.2">
      <c r="A156" t="s">
        <v>427</v>
      </c>
      <c r="B156">
        <v>1.0620000000000001</v>
      </c>
      <c r="C156">
        <f t="shared" si="18"/>
        <v>6.6375000000000003E-2</v>
      </c>
      <c r="D156">
        <f t="shared" si="19"/>
        <v>0.26550000000000001</v>
      </c>
      <c r="E156">
        <v>1.9</v>
      </c>
      <c r="F156">
        <f t="shared" si="20"/>
        <v>0.47499999999999998</v>
      </c>
    </row>
    <row r="157" spans="1:17" x14ac:dyDescent="0.2">
      <c r="A157" t="s">
        <v>349</v>
      </c>
      <c r="B157">
        <v>9.82</v>
      </c>
      <c r="C157">
        <f t="shared" si="18"/>
        <v>0.61375000000000002</v>
      </c>
      <c r="D157">
        <f t="shared" si="19"/>
        <v>2.4550000000000001</v>
      </c>
      <c r="E157">
        <v>13.5</v>
      </c>
      <c r="F157">
        <f t="shared" si="20"/>
        <v>3.375</v>
      </c>
    </row>
    <row r="160" spans="1:17" x14ac:dyDescent="0.2">
      <c r="B160" s="27" t="s">
        <v>419</v>
      </c>
      <c r="C160" s="27"/>
    </row>
    <row r="161" spans="1:3" x14ac:dyDescent="0.2">
      <c r="B161" t="s">
        <v>398</v>
      </c>
      <c r="C161" t="s">
        <v>436</v>
      </c>
    </row>
    <row r="162" spans="1:3" x14ac:dyDescent="0.2">
      <c r="A162" t="s">
        <v>442</v>
      </c>
      <c r="B162" s="2">
        <f>0.55*B37</f>
        <v>1692.9922741715843</v>
      </c>
      <c r="C162" s="2">
        <f>B162*B56</f>
        <v>1991.6129947700133</v>
      </c>
    </row>
    <row r="163" spans="1:3" x14ac:dyDescent="0.2">
      <c r="A163" s="25" t="s">
        <v>437</v>
      </c>
      <c r="B163" s="2">
        <f>B63</f>
        <v>265.85244581956482</v>
      </c>
      <c r="C163" s="2">
        <f>C63</f>
        <v>312.74518724234537</v>
      </c>
    </row>
    <row r="164" spans="1:3" x14ac:dyDescent="0.2">
      <c r="A164" s="25" t="s">
        <v>438</v>
      </c>
      <c r="B164" s="2">
        <f>B64</f>
        <v>1866.0796677719454</v>
      </c>
      <c r="C164" s="2">
        <f>C64</f>
        <v>2195.2306412203088</v>
      </c>
    </row>
    <row r="165" spans="1:3" x14ac:dyDescent="0.2">
      <c r="A165" s="25" t="s">
        <v>439</v>
      </c>
      <c r="B165" s="2">
        <f>B61</f>
        <v>231.13852491383707</v>
      </c>
      <c r="C165" s="2">
        <f>C61</f>
        <v>271.90820468192828</v>
      </c>
    </row>
    <row r="166" spans="1:3" x14ac:dyDescent="0.2">
      <c r="A166" s="25" t="s">
        <v>440</v>
      </c>
      <c r="B166" s="2">
        <f>B65</f>
        <v>1622.414646029818</v>
      </c>
      <c r="C166" s="2">
        <f>C65</f>
        <v>1908.586436709689</v>
      </c>
    </row>
    <row r="167" spans="1:3" x14ac:dyDescent="0.2">
      <c r="A167" s="25" t="s">
        <v>441</v>
      </c>
      <c r="B167" s="2">
        <f>B66</f>
        <v>2998.158201642007</v>
      </c>
      <c r="C167" s="2">
        <f>C66</f>
        <v>3526.9923707645571</v>
      </c>
    </row>
  </sheetData>
  <sortState ref="A89:B101">
    <sortCondition ref="B89:B101"/>
  </sortState>
  <mergeCells count="5">
    <mergeCell ref="E40:G40"/>
    <mergeCell ref="I40:J40"/>
    <mergeCell ref="K40:L40"/>
    <mergeCell ref="B57:C57"/>
    <mergeCell ref="B160:C16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"/>
  <sheetViews>
    <sheetView tabSelected="1" workbookViewId="0">
      <selection activeCell="B20" sqref="B20:B22"/>
    </sheetView>
  </sheetViews>
  <sheetFormatPr baseColWidth="10" defaultRowHeight="16" x14ac:dyDescent="0.2"/>
  <cols>
    <col min="1" max="1" width="20.5" customWidth="1"/>
    <col min="2" max="2" width="26.5" bestFit="1" customWidth="1"/>
    <col min="4" max="4" width="5.1640625" bestFit="1" customWidth="1"/>
    <col min="5" max="5" width="9.5" bestFit="1" customWidth="1"/>
    <col min="6" max="6" width="4.83203125" bestFit="1" customWidth="1"/>
  </cols>
  <sheetData>
    <row r="1" spans="1:8" x14ac:dyDescent="0.2">
      <c r="A1" t="s">
        <v>110</v>
      </c>
    </row>
    <row r="2" spans="1:8" x14ac:dyDescent="0.2">
      <c r="A2" t="s">
        <v>14</v>
      </c>
      <c r="B2" t="s">
        <v>15</v>
      </c>
      <c r="C2" t="s">
        <v>111</v>
      </c>
      <c r="D2" t="s">
        <v>112</v>
      </c>
      <c r="E2" t="s">
        <v>115</v>
      </c>
      <c r="F2" t="s">
        <v>113</v>
      </c>
      <c r="G2" t="s">
        <v>116</v>
      </c>
      <c r="H2" t="s">
        <v>114</v>
      </c>
    </row>
    <row r="3" spans="1:8" x14ac:dyDescent="0.2">
      <c r="A3" t="s">
        <v>28</v>
      </c>
      <c r="B3">
        <v>68.8</v>
      </c>
    </row>
    <row r="4" spans="1:8" x14ac:dyDescent="0.2">
      <c r="A4" t="s">
        <v>63</v>
      </c>
      <c r="B4">
        <v>64.2</v>
      </c>
    </row>
    <row r="5" spans="1:8" x14ac:dyDescent="0.2">
      <c r="A5" t="s">
        <v>17</v>
      </c>
      <c r="B5">
        <v>40.1</v>
      </c>
      <c r="C5">
        <v>8970</v>
      </c>
      <c r="D5">
        <v>1000</v>
      </c>
      <c r="F5">
        <v>0</v>
      </c>
      <c r="H5">
        <v>0</v>
      </c>
    </row>
    <row r="6" spans="1:8" x14ac:dyDescent="0.2">
      <c r="A6" t="s">
        <v>59</v>
      </c>
      <c r="B6">
        <v>35.9</v>
      </c>
    </row>
    <row r="7" spans="1:8" x14ac:dyDescent="0.2">
      <c r="A7" t="s">
        <v>65</v>
      </c>
      <c r="B7">
        <v>35.9</v>
      </c>
    </row>
    <row r="8" spans="1:8" x14ac:dyDescent="0.2">
      <c r="A8" t="s">
        <v>60</v>
      </c>
      <c r="B8">
        <v>35.700000000000003</v>
      </c>
    </row>
    <row r="9" spans="1:8" x14ac:dyDescent="0.2">
      <c r="A9" t="s">
        <v>43</v>
      </c>
      <c r="B9">
        <v>35.6</v>
      </c>
    </row>
    <row r="10" spans="1:8" x14ac:dyDescent="0.2">
      <c r="A10" t="s">
        <v>37</v>
      </c>
      <c r="B10">
        <v>10.1</v>
      </c>
    </row>
    <row r="11" spans="1:8" x14ac:dyDescent="0.2">
      <c r="A11" t="s">
        <v>78</v>
      </c>
      <c r="B11">
        <v>7.9</v>
      </c>
    </row>
    <row r="12" spans="1:8" x14ac:dyDescent="0.2">
      <c r="A12" t="s">
        <v>30</v>
      </c>
      <c r="B12">
        <v>5.4</v>
      </c>
    </row>
    <row r="13" spans="1:8" x14ac:dyDescent="0.2">
      <c r="A13" t="s">
        <v>39</v>
      </c>
      <c r="B13">
        <v>5.4</v>
      </c>
    </row>
    <row r="14" spans="1:8" x14ac:dyDescent="0.2">
      <c r="A14" t="s">
        <v>41</v>
      </c>
      <c r="B14">
        <v>5.4</v>
      </c>
    </row>
    <row r="15" spans="1:8" x14ac:dyDescent="0.2">
      <c r="A15" t="s">
        <v>46</v>
      </c>
      <c r="B15">
        <v>5.4</v>
      </c>
    </row>
    <row r="16" spans="1:8" x14ac:dyDescent="0.2">
      <c r="A16" t="s">
        <v>47</v>
      </c>
      <c r="B16">
        <v>5.4</v>
      </c>
    </row>
    <row r="17" spans="1:8" x14ac:dyDescent="0.2">
      <c r="A17" t="s">
        <v>58</v>
      </c>
      <c r="B17">
        <v>5.4</v>
      </c>
    </row>
    <row r="18" spans="1:8" x14ac:dyDescent="0.2">
      <c r="A18" t="s">
        <v>76</v>
      </c>
      <c r="B18">
        <v>5.4</v>
      </c>
    </row>
    <row r="19" spans="1:8" x14ac:dyDescent="0.2">
      <c r="A19" t="s">
        <v>83</v>
      </c>
      <c r="B19">
        <v>5.4</v>
      </c>
    </row>
    <row r="20" spans="1:8" x14ac:dyDescent="0.2">
      <c r="A20" t="s">
        <v>42</v>
      </c>
      <c r="B20">
        <v>4.9000000000000004</v>
      </c>
    </row>
    <row r="21" spans="1:8" x14ac:dyDescent="0.2">
      <c r="A21" t="s">
        <v>69</v>
      </c>
      <c r="B21">
        <v>4.5</v>
      </c>
    </row>
    <row r="22" spans="1:8" x14ac:dyDescent="0.2">
      <c r="A22" t="s">
        <v>70</v>
      </c>
      <c r="B22">
        <v>4.5</v>
      </c>
    </row>
    <row r="23" spans="1:8" x14ac:dyDescent="0.2">
      <c r="A23" t="s">
        <v>90</v>
      </c>
      <c r="B23">
        <v>4.2</v>
      </c>
    </row>
    <row r="24" spans="1:8" x14ac:dyDescent="0.2">
      <c r="A24" t="s">
        <v>91</v>
      </c>
      <c r="B24">
        <v>4.2</v>
      </c>
    </row>
    <row r="25" spans="1:8" x14ac:dyDescent="0.2">
      <c r="A25" t="s">
        <v>88</v>
      </c>
      <c r="B25">
        <v>3.9</v>
      </c>
    </row>
    <row r="26" spans="1:8" x14ac:dyDescent="0.2">
      <c r="A26" t="s">
        <v>23</v>
      </c>
      <c r="B26">
        <v>3.8</v>
      </c>
    </row>
    <row r="27" spans="1:8" x14ac:dyDescent="0.2">
      <c r="A27" t="s">
        <v>25</v>
      </c>
      <c r="B27">
        <v>3.8</v>
      </c>
    </row>
    <row r="28" spans="1:8" x14ac:dyDescent="0.2">
      <c r="A28" t="s">
        <v>26</v>
      </c>
      <c r="B28">
        <v>3.5</v>
      </c>
    </row>
    <row r="29" spans="1:8" x14ac:dyDescent="0.2">
      <c r="A29" t="s">
        <v>85</v>
      </c>
      <c r="B29">
        <v>3.5</v>
      </c>
    </row>
    <row r="30" spans="1:8" x14ac:dyDescent="0.2">
      <c r="A30" t="s">
        <v>34</v>
      </c>
      <c r="B30">
        <v>3.4</v>
      </c>
    </row>
    <row r="31" spans="1:8" x14ac:dyDescent="0.2">
      <c r="A31" t="s">
        <v>16</v>
      </c>
      <c r="B31">
        <v>3.3</v>
      </c>
      <c r="C31">
        <v>830</v>
      </c>
      <c r="D31">
        <v>0</v>
      </c>
      <c r="F31">
        <v>27</v>
      </c>
      <c r="H31">
        <v>1</v>
      </c>
    </row>
    <row r="32" spans="1:8" x14ac:dyDescent="0.2">
      <c r="A32" t="s">
        <v>73</v>
      </c>
      <c r="B32">
        <v>3.3</v>
      </c>
    </row>
    <row r="33" spans="1:2" x14ac:dyDescent="0.2">
      <c r="A33" t="s">
        <v>84</v>
      </c>
      <c r="B33">
        <v>3.3</v>
      </c>
    </row>
    <row r="34" spans="1:2" x14ac:dyDescent="0.2">
      <c r="A34" t="s">
        <v>100</v>
      </c>
      <c r="B34">
        <v>3.3</v>
      </c>
    </row>
    <row r="35" spans="1:2" x14ac:dyDescent="0.2">
      <c r="A35" t="s">
        <v>79</v>
      </c>
      <c r="B35">
        <v>3.2</v>
      </c>
    </row>
    <row r="36" spans="1:2" x14ac:dyDescent="0.2">
      <c r="A36" t="s">
        <v>105</v>
      </c>
      <c r="B36">
        <v>3.2</v>
      </c>
    </row>
    <row r="37" spans="1:2" x14ac:dyDescent="0.2">
      <c r="A37" t="s">
        <v>86</v>
      </c>
      <c r="B37">
        <v>2.9</v>
      </c>
    </row>
    <row r="38" spans="1:2" x14ac:dyDescent="0.2">
      <c r="A38" t="s">
        <v>87</v>
      </c>
      <c r="B38">
        <v>2.9</v>
      </c>
    </row>
    <row r="39" spans="1:2" x14ac:dyDescent="0.2">
      <c r="A39" t="s">
        <v>77</v>
      </c>
      <c r="B39">
        <v>2.5</v>
      </c>
    </row>
    <row r="40" spans="1:2" x14ac:dyDescent="0.2">
      <c r="A40" t="s">
        <v>27</v>
      </c>
      <c r="B40">
        <v>2.4</v>
      </c>
    </row>
    <row r="41" spans="1:2" x14ac:dyDescent="0.2">
      <c r="A41" t="s">
        <v>38</v>
      </c>
      <c r="B41">
        <v>2.4</v>
      </c>
    </row>
    <row r="42" spans="1:2" x14ac:dyDescent="0.2">
      <c r="A42" t="s">
        <v>67</v>
      </c>
      <c r="B42">
        <v>2.4</v>
      </c>
    </row>
    <row r="43" spans="1:2" x14ac:dyDescent="0.2">
      <c r="A43" t="s">
        <v>68</v>
      </c>
      <c r="B43">
        <v>2.2999999999999998</v>
      </c>
    </row>
    <row r="44" spans="1:2" x14ac:dyDescent="0.2">
      <c r="A44" t="s">
        <v>107</v>
      </c>
      <c r="B44">
        <v>2.2000000000000002</v>
      </c>
    </row>
    <row r="45" spans="1:2" x14ac:dyDescent="0.2">
      <c r="A45" t="s">
        <v>35</v>
      </c>
      <c r="B45">
        <v>2.1</v>
      </c>
    </row>
    <row r="46" spans="1:2" x14ac:dyDescent="0.2">
      <c r="A46" t="s">
        <v>36</v>
      </c>
      <c r="B46">
        <v>2.1</v>
      </c>
    </row>
    <row r="47" spans="1:2" x14ac:dyDescent="0.2">
      <c r="A47" t="s">
        <v>93</v>
      </c>
      <c r="B47">
        <v>2</v>
      </c>
    </row>
    <row r="48" spans="1:2" x14ac:dyDescent="0.2">
      <c r="A48" t="s">
        <v>104</v>
      </c>
      <c r="B48">
        <v>2</v>
      </c>
    </row>
    <row r="49" spans="1:8" x14ac:dyDescent="0.2">
      <c r="A49" t="s">
        <v>80</v>
      </c>
      <c r="B49">
        <v>1.9</v>
      </c>
    </row>
    <row r="50" spans="1:8" x14ac:dyDescent="0.2">
      <c r="A50" t="s">
        <v>102</v>
      </c>
      <c r="B50">
        <v>1.9</v>
      </c>
    </row>
    <row r="51" spans="1:8" x14ac:dyDescent="0.2">
      <c r="A51" t="s">
        <v>29</v>
      </c>
      <c r="B51">
        <v>1.8</v>
      </c>
    </row>
    <row r="52" spans="1:8" x14ac:dyDescent="0.2">
      <c r="A52" t="s">
        <v>31</v>
      </c>
      <c r="B52">
        <v>1.8</v>
      </c>
    </row>
    <row r="53" spans="1:8" x14ac:dyDescent="0.2">
      <c r="A53" t="s">
        <v>32</v>
      </c>
      <c r="B53">
        <v>1.8</v>
      </c>
    </row>
    <row r="54" spans="1:8" x14ac:dyDescent="0.2">
      <c r="A54" t="s">
        <v>61</v>
      </c>
      <c r="B54">
        <v>1.8</v>
      </c>
    </row>
    <row r="55" spans="1:8" x14ac:dyDescent="0.2">
      <c r="A55" t="s">
        <v>66</v>
      </c>
      <c r="B55">
        <v>1.8</v>
      </c>
    </row>
    <row r="56" spans="1:8" x14ac:dyDescent="0.2">
      <c r="A56" t="s">
        <v>92</v>
      </c>
      <c r="B56">
        <v>1.8</v>
      </c>
    </row>
    <row r="57" spans="1:8" x14ac:dyDescent="0.2">
      <c r="A57" t="s">
        <v>81</v>
      </c>
      <c r="B57">
        <v>1.6</v>
      </c>
    </row>
    <row r="58" spans="1:8" x14ac:dyDescent="0.2">
      <c r="A58" t="s">
        <v>94</v>
      </c>
      <c r="B58">
        <v>1.6</v>
      </c>
    </row>
    <row r="59" spans="1:8" x14ac:dyDescent="0.2">
      <c r="A59" t="s">
        <v>95</v>
      </c>
      <c r="B59">
        <v>1.6</v>
      </c>
    </row>
    <row r="60" spans="1:8" x14ac:dyDescent="0.2">
      <c r="A60" t="s">
        <v>106</v>
      </c>
      <c r="B60">
        <v>1.6</v>
      </c>
    </row>
    <row r="61" spans="1:8" x14ac:dyDescent="0.2">
      <c r="A61" t="s">
        <v>103</v>
      </c>
      <c r="B61">
        <v>1.5</v>
      </c>
    </row>
    <row r="62" spans="1:8" x14ac:dyDescent="0.2">
      <c r="A62" t="s">
        <v>22</v>
      </c>
      <c r="B62">
        <v>1.4</v>
      </c>
      <c r="C62">
        <v>890</v>
      </c>
      <c r="D62">
        <v>30</v>
      </c>
      <c r="E62">
        <v>3580</v>
      </c>
      <c r="F62">
        <v>230</v>
      </c>
      <c r="G62">
        <v>26</v>
      </c>
      <c r="H62">
        <v>11</v>
      </c>
    </row>
    <row r="63" spans="1:8" x14ac:dyDescent="0.2">
      <c r="A63" t="s">
        <v>53</v>
      </c>
      <c r="B63">
        <v>1.4</v>
      </c>
    </row>
    <row r="64" spans="1:8" x14ac:dyDescent="0.2">
      <c r="A64" t="s">
        <v>75</v>
      </c>
      <c r="B64">
        <v>1.2</v>
      </c>
    </row>
    <row r="65" spans="1:8" x14ac:dyDescent="0.2">
      <c r="A65" t="s">
        <v>40</v>
      </c>
      <c r="B65">
        <v>1.1000000000000001</v>
      </c>
    </row>
    <row r="66" spans="1:8" x14ac:dyDescent="0.2">
      <c r="A66" t="s">
        <v>54</v>
      </c>
      <c r="B66">
        <v>1</v>
      </c>
    </row>
    <row r="67" spans="1:8" x14ac:dyDescent="0.2">
      <c r="A67" t="s">
        <v>64</v>
      </c>
      <c r="B67">
        <v>1</v>
      </c>
    </row>
    <row r="68" spans="1:8" x14ac:dyDescent="0.2">
      <c r="A68" t="s">
        <v>89</v>
      </c>
      <c r="B68">
        <v>1</v>
      </c>
    </row>
    <row r="69" spans="1:8" x14ac:dyDescent="0.2">
      <c r="A69" t="s">
        <v>108</v>
      </c>
      <c r="B69">
        <v>1</v>
      </c>
    </row>
    <row r="70" spans="1:8" x14ac:dyDescent="0.2">
      <c r="A70" t="s">
        <v>109</v>
      </c>
      <c r="B70">
        <v>1</v>
      </c>
    </row>
    <row r="71" spans="1:8" x14ac:dyDescent="0.2">
      <c r="A71" t="s">
        <v>48</v>
      </c>
      <c r="B71">
        <v>0.9</v>
      </c>
    </row>
    <row r="72" spans="1:8" x14ac:dyDescent="0.2">
      <c r="A72" t="s">
        <v>49</v>
      </c>
      <c r="B72">
        <v>0.9</v>
      </c>
    </row>
    <row r="73" spans="1:8" x14ac:dyDescent="0.2">
      <c r="A73" t="s">
        <v>52</v>
      </c>
      <c r="B73">
        <v>0.9</v>
      </c>
    </row>
    <row r="74" spans="1:8" x14ac:dyDescent="0.2">
      <c r="A74" t="s">
        <v>24</v>
      </c>
      <c r="B74">
        <v>0.8</v>
      </c>
    </row>
    <row r="75" spans="1:8" x14ac:dyDescent="0.2">
      <c r="A75" t="s">
        <v>50</v>
      </c>
      <c r="B75">
        <v>0.8</v>
      </c>
    </row>
    <row r="76" spans="1:8" x14ac:dyDescent="0.2">
      <c r="A76" t="s">
        <v>51</v>
      </c>
      <c r="B76">
        <v>0.8</v>
      </c>
    </row>
    <row r="77" spans="1:8" x14ac:dyDescent="0.2">
      <c r="A77" t="s">
        <v>18</v>
      </c>
      <c r="B77">
        <v>0.7</v>
      </c>
      <c r="C77">
        <v>520</v>
      </c>
      <c r="D77">
        <v>20</v>
      </c>
      <c r="F77">
        <v>140</v>
      </c>
      <c r="H77">
        <v>3</v>
      </c>
    </row>
    <row r="78" spans="1:8" x14ac:dyDescent="0.2">
      <c r="A78" t="s">
        <v>33</v>
      </c>
      <c r="B78">
        <v>0.7</v>
      </c>
    </row>
    <row r="79" spans="1:8" x14ac:dyDescent="0.2">
      <c r="A79" t="s">
        <v>56</v>
      </c>
      <c r="B79">
        <v>0.7</v>
      </c>
    </row>
    <row r="80" spans="1:8" x14ac:dyDescent="0.2">
      <c r="A80" t="s">
        <v>55</v>
      </c>
      <c r="B80">
        <v>0.6</v>
      </c>
    </row>
    <row r="81" spans="1:2" x14ac:dyDescent="0.2">
      <c r="A81" t="s">
        <v>72</v>
      </c>
      <c r="B81">
        <v>0.6</v>
      </c>
    </row>
    <row r="82" spans="1:2" x14ac:dyDescent="0.2">
      <c r="A82" t="s">
        <v>71</v>
      </c>
      <c r="B82">
        <v>0.5</v>
      </c>
    </row>
    <row r="83" spans="1:2" x14ac:dyDescent="0.2">
      <c r="A83" t="s">
        <v>57</v>
      </c>
      <c r="B83">
        <v>0.4</v>
      </c>
    </row>
    <row r="84" spans="1:2" x14ac:dyDescent="0.2">
      <c r="A84" t="s">
        <v>82</v>
      </c>
      <c r="B84">
        <v>0.4</v>
      </c>
    </row>
    <row r="85" spans="1:2" x14ac:dyDescent="0.2">
      <c r="A85" t="s">
        <v>96</v>
      </c>
      <c r="B85">
        <v>0.4</v>
      </c>
    </row>
    <row r="86" spans="1:2" x14ac:dyDescent="0.2">
      <c r="A86" t="s">
        <v>98</v>
      </c>
      <c r="B86">
        <v>0.1</v>
      </c>
    </row>
    <row r="87" spans="1:2" x14ac:dyDescent="0.2">
      <c r="A87" t="s">
        <v>99</v>
      </c>
      <c r="B87">
        <v>0.1</v>
      </c>
    </row>
    <row r="88" spans="1:2" x14ac:dyDescent="0.2">
      <c r="A88" t="s">
        <v>19</v>
      </c>
      <c r="B88">
        <v>0</v>
      </c>
    </row>
    <row r="89" spans="1:2" x14ac:dyDescent="0.2">
      <c r="A89" t="s">
        <v>20</v>
      </c>
      <c r="B89">
        <v>0</v>
      </c>
    </row>
    <row r="90" spans="1:2" x14ac:dyDescent="0.2">
      <c r="A90" t="s">
        <v>21</v>
      </c>
      <c r="B90">
        <v>0</v>
      </c>
    </row>
    <row r="91" spans="1:2" x14ac:dyDescent="0.2">
      <c r="A91" t="s">
        <v>44</v>
      </c>
      <c r="B91">
        <v>0</v>
      </c>
    </row>
    <row r="92" spans="1:2" x14ac:dyDescent="0.2">
      <c r="A92" t="s">
        <v>45</v>
      </c>
      <c r="B92">
        <v>0</v>
      </c>
    </row>
    <row r="93" spans="1:2" x14ac:dyDescent="0.2">
      <c r="A93" t="s">
        <v>62</v>
      </c>
      <c r="B93">
        <v>0</v>
      </c>
    </row>
    <row r="94" spans="1:2" x14ac:dyDescent="0.2">
      <c r="A94" t="s">
        <v>74</v>
      </c>
      <c r="B94">
        <v>0</v>
      </c>
    </row>
    <row r="95" spans="1:2" x14ac:dyDescent="0.2">
      <c r="A95" t="s">
        <v>97</v>
      </c>
      <c r="B95">
        <v>0</v>
      </c>
    </row>
    <row r="96" spans="1:2" x14ac:dyDescent="0.2">
      <c r="A96" t="s">
        <v>101</v>
      </c>
      <c r="B96">
        <v>0</v>
      </c>
    </row>
  </sheetData>
  <sortState ref="A3:H96">
    <sortCondition descending="1" ref="B3:B9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6"/>
  <sheetViews>
    <sheetView workbookViewId="0">
      <selection activeCell="A68" sqref="A68"/>
    </sheetView>
  </sheetViews>
  <sheetFormatPr baseColWidth="10" defaultRowHeight="16" x14ac:dyDescent="0.2"/>
  <cols>
    <col min="1" max="1" width="20.5" customWidth="1"/>
  </cols>
  <sheetData>
    <row r="1" spans="1:54" x14ac:dyDescent="0.2">
      <c r="A1" s="4" t="s">
        <v>117</v>
      </c>
    </row>
    <row r="2" spans="1:54" x14ac:dyDescent="0.2">
      <c r="A2" t="s">
        <v>14</v>
      </c>
      <c r="B2" s="5" t="s">
        <v>118</v>
      </c>
      <c r="C2" s="5" t="s">
        <v>119</v>
      </c>
      <c r="D2" s="5" t="s">
        <v>120</v>
      </c>
      <c r="E2" s="5" t="s">
        <v>121</v>
      </c>
      <c r="F2" s="5" t="s">
        <v>122</v>
      </c>
      <c r="G2" s="5" t="s">
        <v>123</v>
      </c>
      <c r="H2" s="5" t="s">
        <v>124</v>
      </c>
      <c r="I2" s="5" t="s">
        <v>125</v>
      </c>
      <c r="J2" s="5" t="s">
        <v>126</v>
      </c>
      <c r="K2" s="5" t="s">
        <v>127</v>
      </c>
      <c r="L2" s="5" t="s">
        <v>128</v>
      </c>
      <c r="M2" s="5" t="s">
        <v>129</v>
      </c>
      <c r="N2" s="5" t="s">
        <v>130</v>
      </c>
      <c r="O2" s="5" t="s">
        <v>131</v>
      </c>
      <c r="P2" s="5" t="s">
        <v>132</v>
      </c>
      <c r="Q2" s="5" t="s">
        <v>133</v>
      </c>
      <c r="R2" s="5" t="s">
        <v>134</v>
      </c>
      <c r="S2" s="5" t="s">
        <v>135</v>
      </c>
      <c r="T2" s="5" t="s">
        <v>136</v>
      </c>
      <c r="U2" s="5" t="s">
        <v>137</v>
      </c>
      <c r="V2" s="5" t="s">
        <v>138</v>
      </c>
      <c r="W2" s="5" t="s">
        <v>139</v>
      </c>
      <c r="X2" s="5" t="s">
        <v>140</v>
      </c>
      <c r="Y2" s="5" t="s">
        <v>141</v>
      </c>
      <c r="Z2" s="5" t="s">
        <v>142</v>
      </c>
      <c r="AA2" s="5" t="s">
        <v>143</v>
      </c>
      <c r="AB2" s="5" t="s">
        <v>144</v>
      </c>
      <c r="AC2" s="5" t="s">
        <v>145</v>
      </c>
      <c r="AD2" s="5" t="s">
        <v>146</v>
      </c>
      <c r="AE2" s="5" t="s">
        <v>147</v>
      </c>
      <c r="AF2" s="5" t="s">
        <v>148</v>
      </c>
      <c r="AG2" s="5" t="s">
        <v>149</v>
      </c>
      <c r="AH2" s="5" t="s">
        <v>150</v>
      </c>
      <c r="AI2" s="5" t="s">
        <v>151</v>
      </c>
      <c r="AJ2" s="5" t="s">
        <v>152</v>
      </c>
      <c r="AK2" s="5" t="s">
        <v>153</v>
      </c>
      <c r="AL2" s="5" t="s">
        <v>154</v>
      </c>
      <c r="AM2" s="5" t="s">
        <v>155</v>
      </c>
      <c r="AN2" s="5" t="s">
        <v>156</v>
      </c>
      <c r="AO2" s="5" t="s">
        <v>157</v>
      </c>
      <c r="AP2" s="5" t="s">
        <v>158</v>
      </c>
      <c r="AQ2" s="5" t="s">
        <v>159</v>
      </c>
      <c r="AR2" s="5" t="s">
        <v>160</v>
      </c>
      <c r="AS2" s="5" t="s">
        <v>161</v>
      </c>
      <c r="AT2" s="5" t="s">
        <v>162</v>
      </c>
      <c r="AU2" s="5" t="s">
        <v>163</v>
      </c>
      <c r="AV2" s="5" t="s">
        <v>164</v>
      </c>
      <c r="AW2" s="5" t="s">
        <v>165</v>
      </c>
      <c r="AX2" s="5" t="s">
        <v>166</v>
      </c>
      <c r="AY2" s="5" t="s">
        <v>167</v>
      </c>
      <c r="AZ2" s="5" t="s">
        <v>168</v>
      </c>
      <c r="BA2" s="5" t="s">
        <v>169</v>
      </c>
      <c r="BB2" s="5" t="s">
        <v>170</v>
      </c>
    </row>
    <row r="3" spans="1:54" ht="45" x14ac:dyDescent="0.2">
      <c r="A3" t="s">
        <v>16</v>
      </c>
      <c r="B3" s="6" t="s">
        <v>171</v>
      </c>
      <c r="C3" s="6" t="s">
        <v>172</v>
      </c>
      <c r="D3" s="7">
        <v>86.58</v>
      </c>
      <c r="E3" s="7">
        <v>83</v>
      </c>
      <c r="F3" s="7">
        <v>7.0000000000000007E-2</v>
      </c>
      <c r="G3" s="7">
        <v>0</v>
      </c>
      <c r="H3" s="7">
        <v>0.24</v>
      </c>
      <c r="I3" s="7">
        <v>2.72</v>
      </c>
      <c r="J3" s="7">
        <v>0</v>
      </c>
      <c r="K3" s="7">
        <v>0.79</v>
      </c>
      <c r="L3" s="7">
        <v>8</v>
      </c>
      <c r="M3" s="7">
        <v>0.37</v>
      </c>
      <c r="N3" s="7">
        <v>11</v>
      </c>
      <c r="O3" s="7">
        <v>20</v>
      </c>
      <c r="P3" s="7">
        <v>99</v>
      </c>
      <c r="Q3" s="7">
        <v>5</v>
      </c>
      <c r="R3" s="7">
        <v>0.13</v>
      </c>
      <c r="S3" s="7">
        <v>7.0000000000000001E-3</v>
      </c>
      <c r="T3" s="7">
        <v>0.124</v>
      </c>
      <c r="U3" s="7">
        <v>0.2</v>
      </c>
      <c r="V3" s="7">
        <v>0</v>
      </c>
      <c r="W3" s="7">
        <v>5.0000000000000001E-3</v>
      </c>
      <c r="X3" s="7">
        <v>2.3E-2</v>
      </c>
      <c r="Y3" s="7">
        <v>0.16600000000000001</v>
      </c>
      <c r="Z3" s="7">
        <v>3.6999999999999998E-2</v>
      </c>
      <c r="AA3" s="7">
        <v>5.3999999999999999E-2</v>
      </c>
      <c r="AB3" s="7">
        <v>1</v>
      </c>
      <c r="AC3" s="7">
        <v>0</v>
      </c>
      <c r="AD3" s="7">
        <v>1</v>
      </c>
      <c r="AE3" s="7">
        <v>1</v>
      </c>
      <c r="AF3" s="7">
        <v>5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148</v>
      </c>
      <c r="AY3" s="6" t="s">
        <v>173</v>
      </c>
      <c r="AZ3" s="7">
        <v>29.5</v>
      </c>
      <c r="BA3" s="6" t="s">
        <v>174</v>
      </c>
      <c r="BB3" s="7">
        <v>0</v>
      </c>
    </row>
    <row r="4" spans="1:54" x14ac:dyDescent="0.2">
      <c r="A4" t="s">
        <v>17</v>
      </c>
      <c r="B4" s="6" t="s">
        <v>175</v>
      </c>
      <c r="C4" s="6" t="s">
        <v>176</v>
      </c>
      <c r="D4" s="7">
        <v>0</v>
      </c>
      <c r="E4" s="7">
        <v>902</v>
      </c>
      <c r="F4" s="7">
        <v>0</v>
      </c>
      <c r="G4" s="7">
        <v>100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0.11</v>
      </c>
      <c r="S4" s="7">
        <v>0</v>
      </c>
      <c r="T4" s="7">
        <v>0</v>
      </c>
      <c r="U4" s="7">
        <v>0.2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49.7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  <c r="AL4" s="7">
        <v>0</v>
      </c>
      <c r="AM4" s="7">
        <v>0</v>
      </c>
      <c r="AN4" s="7">
        <v>0</v>
      </c>
      <c r="AO4" s="7">
        <v>0</v>
      </c>
      <c r="AP4" s="7">
        <v>0.6</v>
      </c>
      <c r="AQ4" s="7">
        <v>2.5</v>
      </c>
      <c r="AR4" s="7">
        <v>102</v>
      </c>
      <c r="AS4" s="7">
        <v>0</v>
      </c>
      <c r="AT4" s="7">
        <v>39.200000000000003</v>
      </c>
      <c r="AU4" s="7">
        <v>45.1</v>
      </c>
      <c r="AV4" s="7">
        <v>11.2</v>
      </c>
      <c r="AW4" s="7">
        <v>95</v>
      </c>
      <c r="AX4" s="7">
        <v>12.8</v>
      </c>
      <c r="AY4" s="6" t="s">
        <v>177</v>
      </c>
      <c r="AZ4" s="7">
        <v>205</v>
      </c>
      <c r="BA4" s="6" t="s">
        <v>178</v>
      </c>
      <c r="BB4" s="7">
        <v>0</v>
      </c>
    </row>
    <row r="5" spans="1:54" ht="45" x14ac:dyDescent="0.2">
      <c r="A5" t="s">
        <v>18</v>
      </c>
      <c r="B5" s="6" t="s">
        <v>179</v>
      </c>
      <c r="C5" s="6" t="s">
        <v>180</v>
      </c>
      <c r="D5" s="7">
        <v>85.56</v>
      </c>
      <c r="E5" s="7">
        <v>52</v>
      </c>
      <c r="F5" s="7">
        <v>0.26</v>
      </c>
      <c r="G5" s="7">
        <v>0.17</v>
      </c>
      <c r="H5" s="7">
        <v>0.19</v>
      </c>
      <c r="I5" s="7">
        <v>13.81</v>
      </c>
      <c r="J5" s="7">
        <v>2.4</v>
      </c>
      <c r="K5" s="7">
        <v>10.39</v>
      </c>
      <c r="L5" s="7">
        <v>6</v>
      </c>
      <c r="M5" s="7">
        <v>0.12</v>
      </c>
      <c r="N5" s="7">
        <v>5</v>
      </c>
      <c r="O5" s="7">
        <v>11</v>
      </c>
      <c r="P5" s="7">
        <v>107</v>
      </c>
      <c r="Q5" s="7">
        <v>1</v>
      </c>
      <c r="R5" s="7">
        <v>0.04</v>
      </c>
      <c r="S5" s="7">
        <v>2.7E-2</v>
      </c>
      <c r="T5" s="7">
        <v>3.5000000000000003E-2</v>
      </c>
      <c r="U5" s="7">
        <v>0</v>
      </c>
      <c r="V5" s="7">
        <v>4.5999999999999996</v>
      </c>
      <c r="W5" s="7">
        <v>1.7000000000000001E-2</v>
      </c>
      <c r="X5" s="7">
        <v>2.5999999999999999E-2</v>
      </c>
      <c r="Y5" s="7">
        <v>9.0999999999999998E-2</v>
      </c>
      <c r="Z5" s="7">
        <v>6.0999999999999999E-2</v>
      </c>
      <c r="AA5" s="7">
        <v>4.1000000000000002E-2</v>
      </c>
      <c r="AB5" s="7">
        <v>3</v>
      </c>
      <c r="AC5" s="7">
        <v>0</v>
      </c>
      <c r="AD5" s="7">
        <v>3</v>
      </c>
      <c r="AE5" s="7">
        <v>3</v>
      </c>
      <c r="AF5" s="7">
        <v>3.4</v>
      </c>
      <c r="AG5" s="7">
        <v>0</v>
      </c>
      <c r="AH5" s="7">
        <v>54</v>
      </c>
      <c r="AI5" s="7">
        <v>3</v>
      </c>
      <c r="AJ5" s="7">
        <v>0</v>
      </c>
      <c r="AK5" s="7">
        <v>0</v>
      </c>
      <c r="AL5" s="7">
        <v>27</v>
      </c>
      <c r="AM5" s="7">
        <v>11</v>
      </c>
      <c r="AN5" s="7">
        <v>0</v>
      </c>
      <c r="AO5" s="7">
        <v>29</v>
      </c>
      <c r="AP5" s="7">
        <v>0.18</v>
      </c>
      <c r="AQ5" s="7">
        <v>0</v>
      </c>
      <c r="AR5" s="7">
        <v>0</v>
      </c>
      <c r="AS5" s="7">
        <v>2.2000000000000002</v>
      </c>
      <c r="AT5" s="7">
        <v>2.8000000000000001E-2</v>
      </c>
      <c r="AU5" s="7">
        <v>7.0000000000000001E-3</v>
      </c>
      <c r="AV5" s="7">
        <v>5.0999999999999997E-2</v>
      </c>
      <c r="AW5" s="7">
        <v>0</v>
      </c>
      <c r="AX5" s="7">
        <v>125</v>
      </c>
      <c r="AY5" s="6" t="s">
        <v>181</v>
      </c>
      <c r="AZ5" s="7">
        <v>109</v>
      </c>
      <c r="BA5" s="6" t="s">
        <v>182</v>
      </c>
      <c r="BB5" s="7">
        <v>10</v>
      </c>
    </row>
    <row r="6" spans="1:54" x14ac:dyDescent="0.2">
      <c r="A6" t="s">
        <v>19</v>
      </c>
    </row>
    <row r="7" spans="1:54" x14ac:dyDescent="0.2">
      <c r="A7" t="s">
        <v>20</v>
      </c>
    </row>
    <row r="8" spans="1:54" x14ac:dyDescent="0.2">
      <c r="A8" t="s">
        <v>21</v>
      </c>
    </row>
    <row r="9" spans="1:54" ht="30" x14ac:dyDescent="0.2">
      <c r="A9" t="s">
        <v>22</v>
      </c>
      <c r="B9" s="6" t="s">
        <v>183</v>
      </c>
      <c r="C9" s="6" t="s">
        <v>184</v>
      </c>
      <c r="D9" s="7">
        <v>74.91</v>
      </c>
      <c r="E9" s="7">
        <v>89</v>
      </c>
      <c r="F9" s="7">
        <v>1.0900000000000001</v>
      </c>
      <c r="G9" s="7">
        <v>0.33</v>
      </c>
      <c r="H9" s="7">
        <v>0.82</v>
      </c>
      <c r="I9" s="7">
        <v>22.84</v>
      </c>
      <c r="J9" s="7">
        <v>2.6</v>
      </c>
      <c r="K9" s="7">
        <v>12.23</v>
      </c>
      <c r="L9" s="7">
        <v>5</v>
      </c>
      <c r="M9" s="7">
        <v>0.26</v>
      </c>
      <c r="N9" s="7">
        <v>27</v>
      </c>
      <c r="O9" s="7">
        <v>22</v>
      </c>
      <c r="P9" s="7">
        <v>358</v>
      </c>
      <c r="Q9" s="7">
        <v>1</v>
      </c>
      <c r="R9" s="7">
        <v>0.15</v>
      </c>
      <c r="S9" s="7">
        <v>7.8E-2</v>
      </c>
      <c r="T9" s="7">
        <v>0.27</v>
      </c>
      <c r="U9" s="7">
        <v>1</v>
      </c>
      <c r="V9" s="7">
        <v>8.6999999999999993</v>
      </c>
      <c r="W9" s="7">
        <v>3.1E-2</v>
      </c>
      <c r="X9" s="7">
        <v>7.2999999999999995E-2</v>
      </c>
      <c r="Y9" s="7">
        <v>0.66500000000000004</v>
      </c>
      <c r="Z9" s="7">
        <v>0.33400000000000002</v>
      </c>
      <c r="AA9" s="7">
        <v>0.36699999999999999</v>
      </c>
      <c r="AB9" s="7">
        <v>20</v>
      </c>
      <c r="AC9" s="7">
        <v>0</v>
      </c>
      <c r="AD9" s="7">
        <v>20</v>
      </c>
      <c r="AE9" s="7">
        <v>20</v>
      </c>
      <c r="AF9" s="7">
        <v>9.8000000000000007</v>
      </c>
      <c r="AG9" s="7">
        <v>0</v>
      </c>
      <c r="AH9" s="7">
        <v>64</v>
      </c>
      <c r="AI9" s="7">
        <v>3</v>
      </c>
      <c r="AJ9" s="7">
        <v>0</v>
      </c>
      <c r="AK9" s="7">
        <v>25</v>
      </c>
      <c r="AL9" s="7">
        <v>26</v>
      </c>
      <c r="AM9" s="7">
        <v>0</v>
      </c>
      <c r="AN9" s="7">
        <v>0</v>
      </c>
      <c r="AO9" s="7">
        <v>22</v>
      </c>
      <c r="AP9" s="7">
        <v>0.1</v>
      </c>
      <c r="AQ9" s="7">
        <v>0</v>
      </c>
      <c r="AR9" s="7">
        <v>0</v>
      </c>
      <c r="AS9" s="7">
        <v>0.5</v>
      </c>
      <c r="AT9" s="7">
        <v>0.112</v>
      </c>
      <c r="AU9" s="7">
        <v>3.2000000000000001E-2</v>
      </c>
      <c r="AV9" s="7">
        <v>7.2999999999999995E-2</v>
      </c>
      <c r="AW9" s="7">
        <v>0</v>
      </c>
      <c r="AX9" s="7">
        <v>225</v>
      </c>
      <c r="AY9" s="6" t="s">
        <v>185</v>
      </c>
      <c r="AZ9" s="7">
        <v>150</v>
      </c>
      <c r="BA9" s="6" t="s">
        <v>186</v>
      </c>
      <c r="BB9" s="7">
        <v>36</v>
      </c>
    </row>
    <row r="10" spans="1:54" ht="45" x14ac:dyDescent="0.2">
      <c r="A10" t="s">
        <v>23</v>
      </c>
      <c r="B10" s="6" t="s">
        <v>187</v>
      </c>
      <c r="C10" s="6" t="s">
        <v>188</v>
      </c>
      <c r="D10" s="7">
        <v>68.8</v>
      </c>
      <c r="E10" s="7">
        <v>123</v>
      </c>
      <c r="F10" s="7">
        <v>2.2599999999999998</v>
      </c>
      <c r="G10" s="7">
        <v>0.44</v>
      </c>
      <c r="H10" s="7">
        <v>0.27</v>
      </c>
      <c r="I10" s="7">
        <v>28.22</v>
      </c>
      <c r="J10" s="7">
        <v>3.8</v>
      </c>
      <c r="K10" s="7">
        <v>0.28000000000000003</v>
      </c>
      <c r="L10" s="7">
        <v>11</v>
      </c>
      <c r="M10" s="7">
        <v>1.33</v>
      </c>
      <c r="N10" s="7">
        <v>22</v>
      </c>
      <c r="O10" s="7">
        <v>54</v>
      </c>
      <c r="P10" s="7">
        <v>93</v>
      </c>
      <c r="Q10" s="7">
        <v>3</v>
      </c>
      <c r="R10" s="7">
        <v>0.82</v>
      </c>
      <c r="S10" s="7">
        <v>0.105</v>
      </c>
      <c r="T10" s="7">
        <v>0.25900000000000001</v>
      </c>
      <c r="U10" s="7">
        <v>8.6</v>
      </c>
      <c r="V10" s="7">
        <v>0</v>
      </c>
      <c r="W10" s="7">
        <v>8.3000000000000004E-2</v>
      </c>
      <c r="X10" s="7">
        <v>6.2E-2</v>
      </c>
      <c r="Y10" s="7">
        <v>2.0630000000000002</v>
      </c>
      <c r="Z10" s="7">
        <v>0.13500000000000001</v>
      </c>
      <c r="AA10" s="7">
        <v>0.115</v>
      </c>
      <c r="AB10" s="7">
        <v>16</v>
      </c>
      <c r="AC10" s="7">
        <v>0</v>
      </c>
      <c r="AD10" s="7">
        <v>16</v>
      </c>
      <c r="AE10" s="7">
        <v>16</v>
      </c>
      <c r="AF10" s="7">
        <v>13.4</v>
      </c>
      <c r="AG10" s="7">
        <v>0</v>
      </c>
      <c r="AH10" s="7">
        <v>7</v>
      </c>
      <c r="AI10" s="7">
        <v>0</v>
      </c>
      <c r="AJ10" s="7">
        <v>0</v>
      </c>
      <c r="AK10" s="7">
        <v>0</v>
      </c>
      <c r="AL10" s="7">
        <v>5</v>
      </c>
      <c r="AM10" s="7">
        <v>0</v>
      </c>
      <c r="AN10" s="7">
        <v>0</v>
      </c>
      <c r="AO10" s="7">
        <v>56</v>
      </c>
      <c r="AP10" s="7">
        <v>0.01</v>
      </c>
      <c r="AQ10" s="7">
        <v>0</v>
      </c>
      <c r="AR10" s="7">
        <v>0</v>
      </c>
      <c r="AS10" s="7">
        <v>0.8</v>
      </c>
      <c r="AT10" s="7">
        <v>9.2999999999999999E-2</v>
      </c>
      <c r="AU10" s="7">
        <v>5.7000000000000002E-2</v>
      </c>
      <c r="AV10" s="7">
        <v>0.214</v>
      </c>
      <c r="AW10" s="7">
        <v>0</v>
      </c>
      <c r="AX10" s="7">
        <v>157</v>
      </c>
      <c r="AY10" s="6" t="s">
        <v>178</v>
      </c>
    </row>
    <row r="11" spans="1:54" ht="90" x14ac:dyDescent="0.2">
      <c r="A11" t="s">
        <v>24</v>
      </c>
      <c r="B11" s="6" t="s">
        <v>189</v>
      </c>
      <c r="C11" s="6" t="s">
        <v>190</v>
      </c>
      <c r="D11" s="7">
        <v>89.3</v>
      </c>
      <c r="E11" s="7">
        <v>33</v>
      </c>
      <c r="F11" s="7">
        <v>4.83</v>
      </c>
      <c r="G11" s="7">
        <v>0.57999999999999996</v>
      </c>
      <c r="H11" s="7">
        <v>0.57999999999999996</v>
      </c>
      <c r="I11" s="7">
        <v>4.72</v>
      </c>
      <c r="L11" s="7">
        <v>19</v>
      </c>
      <c r="M11" s="7">
        <v>0.89</v>
      </c>
      <c r="N11" s="7">
        <v>23</v>
      </c>
      <c r="O11" s="7">
        <v>38</v>
      </c>
      <c r="P11" s="7">
        <v>194</v>
      </c>
      <c r="Q11" s="7">
        <v>7</v>
      </c>
      <c r="R11" s="7">
        <v>0.44</v>
      </c>
      <c r="S11" s="7">
        <v>0.17399999999999999</v>
      </c>
      <c r="T11" s="7">
        <v>0.19900000000000001</v>
      </c>
      <c r="U11" s="7">
        <v>0.6</v>
      </c>
      <c r="V11" s="7">
        <v>35.6</v>
      </c>
      <c r="W11" s="7">
        <v>0.36199999999999999</v>
      </c>
      <c r="X11" s="7">
        <v>0.27300000000000002</v>
      </c>
      <c r="Y11" s="7">
        <v>3.024</v>
      </c>
      <c r="Z11" s="7">
        <v>0.38100000000000001</v>
      </c>
      <c r="AA11" s="7">
        <v>9.2999999999999999E-2</v>
      </c>
      <c r="AB11" s="7">
        <v>47</v>
      </c>
      <c r="AC11" s="7">
        <v>0</v>
      </c>
      <c r="AD11" s="7">
        <v>47</v>
      </c>
      <c r="AE11" s="7">
        <v>47</v>
      </c>
      <c r="AG11" s="7">
        <v>0</v>
      </c>
      <c r="AH11" s="7">
        <v>2</v>
      </c>
      <c r="AI11" s="7">
        <v>0</v>
      </c>
      <c r="AJ11" s="7">
        <v>0</v>
      </c>
    </row>
    <row r="12" spans="1:54" ht="90" x14ac:dyDescent="0.2">
      <c r="A12" t="s">
        <v>25</v>
      </c>
      <c r="B12" s="6" t="s">
        <v>189</v>
      </c>
      <c r="C12" s="6" t="s">
        <v>190</v>
      </c>
      <c r="D12" s="7">
        <v>89.3</v>
      </c>
      <c r="E12" s="7">
        <v>33</v>
      </c>
      <c r="F12" s="7">
        <v>4.83</v>
      </c>
      <c r="G12" s="7">
        <v>0.57999999999999996</v>
      </c>
      <c r="H12" s="7">
        <v>0.57999999999999996</v>
      </c>
      <c r="I12" s="7">
        <v>4.72</v>
      </c>
      <c r="L12" s="7">
        <v>19</v>
      </c>
      <c r="M12" s="7">
        <v>0.89</v>
      </c>
      <c r="N12" s="7">
        <v>23</v>
      </c>
      <c r="O12" s="7">
        <v>38</v>
      </c>
      <c r="P12" s="7">
        <v>194</v>
      </c>
      <c r="Q12" s="7">
        <v>7</v>
      </c>
      <c r="R12" s="7">
        <v>0.44</v>
      </c>
      <c r="S12" s="7">
        <v>0.17399999999999999</v>
      </c>
      <c r="T12" s="7">
        <v>0.19900000000000001</v>
      </c>
      <c r="U12" s="7">
        <v>0.6</v>
      </c>
      <c r="V12" s="7">
        <v>35.6</v>
      </c>
      <c r="W12" s="7">
        <v>0.36199999999999999</v>
      </c>
      <c r="X12" s="7">
        <v>0.27300000000000002</v>
      </c>
      <c r="Y12" s="7">
        <v>3.024</v>
      </c>
      <c r="Z12" s="7">
        <v>0.38100000000000001</v>
      </c>
      <c r="AA12" s="7">
        <v>9.2999999999999999E-2</v>
      </c>
      <c r="AB12" s="7">
        <v>47</v>
      </c>
      <c r="AC12" s="7">
        <v>0</v>
      </c>
      <c r="AD12" s="7">
        <v>47</v>
      </c>
      <c r="AE12" s="7">
        <v>47</v>
      </c>
      <c r="AG12" s="7">
        <v>0</v>
      </c>
      <c r="AH12" s="7">
        <v>2</v>
      </c>
      <c r="AI12" s="7">
        <v>0</v>
      </c>
      <c r="AJ12" s="7">
        <v>0</v>
      </c>
    </row>
    <row r="13" spans="1:54" x14ac:dyDescent="0.2">
      <c r="A13" t="s">
        <v>26</v>
      </c>
    </row>
    <row r="14" spans="1:54" x14ac:dyDescent="0.2">
      <c r="A14" t="s">
        <v>27</v>
      </c>
    </row>
    <row r="15" spans="1:54" ht="45" x14ac:dyDescent="0.2">
      <c r="A15" t="s">
        <v>28</v>
      </c>
      <c r="B15" s="6" t="s">
        <v>191</v>
      </c>
      <c r="C15" s="6" t="s">
        <v>192</v>
      </c>
      <c r="D15" s="7">
        <v>67.13</v>
      </c>
      <c r="E15" s="7">
        <v>198</v>
      </c>
      <c r="F15" s="7">
        <v>19.420000000000002</v>
      </c>
      <c r="G15" s="7">
        <v>12.73</v>
      </c>
      <c r="H15" s="7">
        <v>1.71</v>
      </c>
      <c r="I15" s="7">
        <v>0</v>
      </c>
      <c r="J15" s="7">
        <v>0</v>
      </c>
      <c r="K15" s="7">
        <v>0</v>
      </c>
      <c r="L15" s="7">
        <v>12</v>
      </c>
      <c r="M15" s="7">
        <v>1.99</v>
      </c>
      <c r="N15" s="7">
        <v>19</v>
      </c>
      <c r="O15" s="7">
        <v>175</v>
      </c>
      <c r="P15" s="7">
        <v>289</v>
      </c>
      <c r="Q15" s="7">
        <v>68</v>
      </c>
      <c r="R15" s="7">
        <v>4.55</v>
      </c>
      <c r="S15" s="7">
        <v>6.3E-2</v>
      </c>
      <c r="T15" s="7">
        <v>0.01</v>
      </c>
      <c r="U15" s="7">
        <v>14.2</v>
      </c>
      <c r="V15" s="7">
        <v>0</v>
      </c>
      <c r="W15" s="7">
        <v>4.9000000000000002E-2</v>
      </c>
      <c r="X15" s="7">
        <v>0.154</v>
      </c>
      <c r="Y15" s="7">
        <v>4.8179999999999996</v>
      </c>
      <c r="Z15" s="7">
        <v>0.57599999999999996</v>
      </c>
      <c r="AA15" s="7">
        <v>0.35499999999999998</v>
      </c>
      <c r="AB15" s="7">
        <v>6</v>
      </c>
      <c r="AC15" s="7">
        <v>0</v>
      </c>
      <c r="AD15" s="7">
        <v>6</v>
      </c>
      <c r="AE15" s="7">
        <v>6</v>
      </c>
      <c r="AF15" s="7">
        <v>67.400000000000006</v>
      </c>
      <c r="AG15" s="7">
        <v>1.97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0.35</v>
      </c>
    </row>
    <row r="16" spans="1:54" ht="45" x14ac:dyDescent="0.2">
      <c r="A16" t="s">
        <v>29</v>
      </c>
      <c r="B16" s="6" t="s">
        <v>193</v>
      </c>
      <c r="C16" s="6" t="s">
        <v>194</v>
      </c>
      <c r="D16" s="7">
        <v>17.940000000000001</v>
      </c>
      <c r="E16" s="7">
        <v>717</v>
      </c>
      <c r="F16" s="7">
        <v>0.85</v>
      </c>
      <c r="G16" s="7">
        <v>81.11</v>
      </c>
      <c r="H16" s="7">
        <v>0.09</v>
      </c>
      <c r="I16" s="7">
        <v>0.06</v>
      </c>
      <c r="J16" s="7">
        <v>0</v>
      </c>
      <c r="K16" s="7">
        <v>0.06</v>
      </c>
      <c r="L16" s="7">
        <v>24</v>
      </c>
      <c r="M16" s="7">
        <v>0.02</v>
      </c>
      <c r="N16" s="7">
        <v>2</v>
      </c>
      <c r="O16" s="7">
        <v>24</v>
      </c>
      <c r="P16" s="7">
        <v>24</v>
      </c>
      <c r="Q16" s="7">
        <v>11</v>
      </c>
      <c r="R16" s="7">
        <v>0.09</v>
      </c>
      <c r="S16" s="7">
        <v>1.6E-2</v>
      </c>
      <c r="T16" s="7">
        <v>4.0000000000000001E-3</v>
      </c>
      <c r="U16" s="7">
        <v>1</v>
      </c>
      <c r="V16" s="7">
        <v>0</v>
      </c>
      <c r="W16" s="7">
        <v>5.0000000000000001E-3</v>
      </c>
      <c r="X16" s="7">
        <v>3.4000000000000002E-2</v>
      </c>
      <c r="Y16" s="7">
        <v>4.2000000000000003E-2</v>
      </c>
      <c r="Z16" s="7">
        <v>0.11</v>
      </c>
      <c r="AA16" s="7">
        <v>3.0000000000000001E-3</v>
      </c>
      <c r="AB16" s="7">
        <v>3</v>
      </c>
      <c r="AC16" s="7">
        <v>0</v>
      </c>
      <c r="AD16" s="7">
        <v>3</v>
      </c>
      <c r="AE16" s="7">
        <v>3</v>
      </c>
      <c r="AF16" s="7">
        <v>18.8</v>
      </c>
      <c r="AG16" s="7">
        <v>0.17</v>
      </c>
      <c r="AH16" s="7">
        <v>2499</v>
      </c>
      <c r="AI16" s="7">
        <v>684</v>
      </c>
      <c r="AJ16" s="7">
        <v>671</v>
      </c>
      <c r="AK16" s="7">
        <v>0</v>
      </c>
      <c r="AL16" s="7">
        <v>158</v>
      </c>
      <c r="AM16" s="7">
        <v>0</v>
      </c>
      <c r="AN16" s="7">
        <v>0</v>
      </c>
      <c r="AO16" s="7">
        <v>0</v>
      </c>
      <c r="AP16" s="7">
        <v>2.3199999999999998</v>
      </c>
      <c r="AQ16" s="7">
        <v>0</v>
      </c>
      <c r="AR16" s="7">
        <v>0</v>
      </c>
      <c r="AS16" s="7">
        <v>7</v>
      </c>
      <c r="AT16" s="7">
        <v>50.488999999999997</v>
      </c>
      <c r="AU16" s="7">
        <v>23.43</v>
      </c>
      <c r="AV16" s="7">
        <v>3.01</v>
      </c>
      <c r="AW16" s="7">
        <v>215</v>
      </c>
      <c r="AX16" s="7">
        <v>5</v>
      </c>
      <c r="AY16" s="6" t="s">
        <v>195</v>
      </c>
      <c r="AZ16" s="7">
        <v>14.2</v>
      </c>
      <c r="BA16" s="6" t="s">
        <v>177</v>
      </c>
      <c r="BB16" s="7">
        <v>0</v>
      </c>
    </row>
    <row r="17" spans="1:54" ht="60" x14ac:dyDescent="0.2">
      <c r="A17" t="s">
        <v>30</v>
      </c>
      <c r="B17" s="6" t="s">
        <v>196</v>
      </c>
      <c r="C17" s="6" t="s">
        <v>197</v>
      </c>
      <c r="D17" s="7">
        <v>78.55</v>
      </c>
      <c r="E17" s="7">
        <v>92</v>
      </c>
      <c r="F17" s="7">
        <v>15.58</v>
      </c>
      <c r="G17" s="7">
        <v>1.38</v>
      </c>
      <c r="H17" s="7">
        <v>1.41</v>
      </c>
      <c r="I17" s="7">
        <v>3.08</v>
      </c>
      <c r="J17" s="7">
        <v>0</v>
      </c>
      <c r="K17" s="7">
        <v>0</v>
      </c>
      <c r="L17" s="7">
        <v>32</v>
      </c>
      <c r="M17" s="7">
        <v>0.68</v>
      </c>
      <c r="N17" s="7">
        <v>33</v>
      </c>
      <c r="O17" s="7">
        <v>221</v>
      </c>
      <c r="P17" s="7">
        <v>246</v>
      </c>
      <c r="Q17" s="7">
        <v>44</v>
      </c>
      <c r="R17" s="7">
        <v>1.53</v>
      </c>
      <c r="S17" s="7">
        <v>1.891</v>
      </c>
      <c r="T17" s="7">
        <v>3.5000000000000003E-2</v>
      </c>
      <c r="U17" s="7">
        <v>44.8</v>
      </c>
      <c r="V17" s="7">
        <v>4.7</v>
      </c>
      <c r="W17" s="7">
        <v>0.02</v>
      </c>
      <c r="X17" s="7">
        <v>0.41199999999999998</v>
      </c>
      <c r="Y17" s="7">
        <v>2.1749999999999998</v>
      </c>
      <c r="Z17" s="7">
        <v>0.5</v>
      </c>
      <c r="AA17" s="7">
        <v>5.6000000000000001E-2</v>
      </c>
      <c r="AB17" s="7">
        <v>5</v>
      </c>
      <c r="AC17" s="7">
        <v>0</v>
      </c>
      <c r="AD17" s="7">
        <v>5</v>
      </c>
      <c r="AE17" s="7">
        <v>5</v>
      </c>
      <c r="AF17" s="7">
        <v>65</v>
      </c>
      <c r="AG17" s="7">
        <v>1.3</v>
      </c>
      <c r="AH17" s="7">
        <v>33</v>
      </c>
      <c r="AI17" s="7">
        <v>10</v>
      </c>
      <c r="AJ17" s="7">
        <v>10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1.2</v>
      </c>
      <c r="AQ17" s="7">
        <v>0</v>
      </c>
      <c r="AR17" s="7">
        <v>0</v>
      </c>
      <c r="AS17" s="7">
        <v>0</v>
      </c>
      <c r="AT17" s="7">
        <v>0.35799999999999998</v>
      </c>
      <c r="AU17" s="7">
        <v>0.107</v>
      </c>
      <c r="AV17" s="7">
        <v>0.52400000000000002</v>
      </c>
      <c r="AW17" s="7">
        <v>233</v>
      </c>
      <c r="AX17" s="7">
        <v>28.35</v>
      </c>
      <c r="AY17" s="6" t="s">
        <v>198</v>
      </c>
      <c r="AZ17" s="7">
        <v>85</v>
      </c>
      <c r="BA17" s="6" t="s">
        <v>199</v>
      </c>
      <c r="BB17" s="7">
        <v>0</v>
      </c>
    </row>
    <row r="18" spans="1:54" x14ac:dyDescent="0.2">
      <c r="A18" t="s">
        <v>31</v>
      </c>
    </row>
    <row r="19" spans="1:54" x14ac:dyDescent="0.2">
      <c r="A19" t="s">
        <v>32</v>
      </c>
    </row>
    <row r="20" spans="1:54" ht="45" x14ac:dyDescent="0.2">
      <c r="A20" t="s">
        <v>33</v>
      </c>
      <c r="B20" s="6" t="s">
        <v>200</v>
      </c>
      <c r="C20" s="6" t="s">
        <v>201</v>
      </c>
      <c r="D20" s="7">
        <v>86.75</v>
      </c>
      <c r="E20" s="7">
        <v>47</v>
      </c>
      <c r="F20" s="7">
        <v>0.94</v>
      </c>
      <c r="G20" s="7">
        <v>0.12</v>
      </c>
      <c r="H20" s="7">
        <v>0.44</v>
      </c>
      <c r="I20" s="7">
        <v>11.75</v>
      </c>
      <c r="J20" s="7">
        <v>2.4</v>
      </c>
      <c r="K20" s="7">
        <v>9.35</v>
      </c>
      <c r="L20" s="7">
        <v>40</v>
      </c>
      <c r="M20" s="7">
        <v>0.1</v>
      </c>
      <c r="N20" s="7">
        <v>10</v>
      </c>
      <c r="O20" s="7">
        <v>14</v>
      </c>
      <c r="P20" s="7">
        <v>181</v>
      </c>
      <c r="Q20" s="7">
        <v>0</v>
      </c>
      <c r="R20" s="7">
        <v>7.0000000000000007E-2</v>
      </c>
      <c r="S20" s="7">
        <v>4.4999999999999998E-2</v>
      </c>
      <c r="T20" s="7">
        <v>2.5000000000000001E-2</v>
      </c>
      <c r="U20" s="7">
        <v>0.5</v>
      </c>
      <c r="V20" s="7">
        <v>53.2</v>
      </c>
      <c r="W20" s="7">
        <v>8.6999999999999994E-2</v>
      </c>
      <c r="X20" s="7">
        <v>0.04</v>
      </c>
      <c r="Y20" s="7">
        <v>0.28199999999999997</v>
      </c>
      <c r="Z20" s="7">
        <v>0.25</v>
      </c>
      <c r="AA20" s="7">
        <v>0.06</v>
      </c>
      <c r="AB20" s="7">
        <v>30</v>
      </c>
      <c r="AC20" s="7">
        <v>0</v>
      </c>
      <c r="AD20" s="7">
        <v>30</v>
      </c>
      <c r="AE20" s="7">
        <v>30</v>
      </c>
      <c r="AF20" s="7">
        <v>8.4</v>
      </c>
      <c r="AG20" s="7">
        <v>0</v>
      </c>
      <c r="AH20" s="7">
        <v>225</v>
      </c>
      <c r="AI20" s="7">
        <v>11</v>
      </c>
      <c r="AJ20" s="7">
        <v>0</v>
      </c>
      <c r="AK20" s="7">
        <v>11</v>
      </c>
      <c r="AL20" s="7">
        <v>71</v>
      </c>
      <c r="AM20" s="7">
        <v>116</v>
      </c>
      <c r="AN20" s="7">
        <v>0</v>
      </c>
      <c r="AO20" s="7">
        <v>129</v>
      </c>
      <c r="AP20" s="7">
        <v>0.18</v>
      </c>
      <c r="AQ20" s="7">
        <v>0</v>
      </c>
      <c r="AR20" s="7">
        <v>0</v>
      </c>
      <c r="AS20" s="7">
        <v>0</v>
      </c>
      <c r="AT20" s="7">
        <v>1.4999999999999999E-2</v>
      </c>
      <c r="AU20" s="7">
        <v>2.3E-2</v>
      </c>
      <c r="AV20" s="7">
        <v>2.5000000000000001E-2</v>
      </c>
      <c r="AW20" s="7">
        <v>0</v>
      </c>
      <c r="AX20" s="7">
        <v>180</v>
      </c>
      <c r="AY20" s="6" t="s">
        <v>202</v>
      </c>
      <c r="AZ20" s="7">
        <v>184</v>
      </c>
      <c r="BA20" s="6" t="s">
        <v>203</v>
      </c>
      <c r="BB20" s="7">
        <v>27</v>
      </c>
    </row>
    <row r="21" spans="1:54" ht="45" x14ac:dyDescent="0.2">
      <c r="A21" t="s">
        <v>34</v>
      </c>
      <c r="B21" s="6" t="s">
        <v>204</v>
      </c>
      <c r="C21" s="6" t="s">
        <v>205</v>
      </c>
      <c r="D21" s="7">
        <v>3</v>
      </c>
      <c r="E21" s="7">
        <v>228</v>
      </c>
      <c r="F21" s="7">
        <v>19.600000000000001</v>
      </c>
      <c r="G21" s="7">
        <v>13.7</v>
      </c>
      <c r="H21" s="7">
        <v>5.8</v>
      </c>
      <c r="I21" s="7">
        <v>57.9</v>
      </c>
      <c r="J21" s="7">
        <v>37</v>
      </c>
      <c r="K21" s="7">
        <v>1.75</v>
      </c>
      <c r="L21" s="7">
        <v>128</v>
      </c>
      <c r="M21" s="7">
        <v>13.86</v>
      </c>
      <c r="N21" s="7">
        <v>499</v>
      </c>
      <c r="O21" s="7">
        <v>734</v>
      </c>
      <c r="P21" s="7">
        <v>1524</v>
      </c>
      <c r="Q21" s="7">
        <v>21</v>
      </c>
      <c r="R21" s="7">
        <v>6.81</v>
      </c>
      <c r="S21" s="7">
        <v>3.7879999999999998</v>
      </c>
      <c r="T21" s="7">
        <v>3.8370000000000002</v>
      </c>
      <c r="U21" s="7">
        <v>14.3</v>
      </c>
      <c r="V21" s="7">
        <v>0</v>
      </c>
      <c r="W21" s="7">
        <v>7.8E-2</v>
      </c>
      <c r="X21" s="7">
        <v>0.24099999999999999</v>
      </c>
      <c r="Y21" s="7">
        <v>2.1850000000000001</v>
      </c>
      <c r="Z21" s="7">
        <v>0.254</v>
      </c>
      <c r="AA21" s="7">
        <v>0.11799999999999999</v>
      </c>
      <c r="AB21" s="7">
        <v>32</v>
      </c>
      <c r="AC21" s="7">
        <v>0</v>
      </c>
      <c r="AD21" s="7">
        <v>32</v>
      </c>
      <c r="AE21" s="7">
        <v>32</v>
      </c>
      <c r="AF21" s="7">
        <v>12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38</v>
      </c>
      <c r="AP21" s="7">
        <v>0.1</v>
      </c>
      <c r="AQ21" s="7">
        <v>0</v>
      </c>
      <c r="AR21" s="7">
        <v>0</v>
      </c>
      <c r="AS21" s="7">
        <v>2.5</v>
      </c>
      <c r="AT21" s="7">
        <v>8.07</v>
      </c>
      <c r="AU21" s="7">
        <v>4.57</v>
      </c>
      <c r="AV21" s="7">
        <v>0.44</v>
      </c>
      <c r="AW21" s="7">
        <v>0</v>
      </c>
      <c r="AX21" s="7">
        <v>86</v>
      </c>
      <c r="AY21" s="6" t="s">
        <v>178</v>
      </c>
      <c r="AZ21" s="7">
        <v>5.4</v>
      </c>
      <c r="BA21" s="6" t="s">
        <v>177</v>
      </c>
      <c r="BB21" s="7">
        <v>0</v>
      </c>
    </row>
    <row r="22" spans="1:54" x14ac:dyDescent="0.2">
      <c r="A22" t="s">
        <v>35</v>
      </c>
    </row>
    <row r="23" spans="1:54" ht="30" x14ac:dyDescent="0.2">
      <c r="A23" t="s">
        <v>36</v>
      </c>
      <c r="B23" s="6" t="s">
        <v>206</v>
      </c>
      <c r="C23" s="6" t="s">
        <v>207</v>
      </c>
      <c r="D23" s="7">
        <v>46.99</v>
      </c>
      <c r="E23" s="7">
        <v>354</v>
      </c>
      <c r="F23" s="7">
        <v>3.33</v>
      </c>
      <c r="G23" s="7">
        <v>33.49</v>
      </c>
      <c r="H23" s="7">
        <v>0.97</v>
      </c>
      <c r="I23" s="7">
        <v>15.23</v>
      </c>
      <c r="J23" s="7">
        <v>9</v>
      </c>
      <c r="K23" s="7">
        <v>6.23</v>
      </c>
      <c r="L23" s="7">
        <v>14</v>
      </c>
      <c r="M23" s="7">
        <v>2.4300000000000002</v>
      </c>
      <c r="N23" s="7">
        <v>32</v>
      </c>
      <c r="O23" s="7">
        <v>113</v>
      </c>
      <c r="P23" s="7">
        <v>356</v>
      </c>
      <c r="Q23" s="7">
        <v>20</v>
      </c>
      <c r="R23" s="7">
        <v>1.1000000000000001</v>
      </c>
      <c r="S23" s="7">
        <v>0.435</v>
      </c>
      <c r="T23" s="7">
        <v>1.5</v>
      </c>
      <c r="U23" s="7">
        <v>10.1</v>
      </c>
      <c r="V23" s="7">
        <v>3.3</v>
      </c>
      <c r="W23" s="7">
        <v>6.6000000000000003E-2</v>
      </c>
      <c r="X23" s="7">
        <v>0.02</v>
      </c>
      <c r="Y23" s="7">
        <v>0.54</v>
      </c>
      <c r="Z23" s="7">
        <v>0.3</v>
      </c>
      <c r="AA23" s="7">
        <v>5.3999999999999999E-2</v>
      </c>
      <c r="AB23" s="7">
        <v>26</v>
      </c>
      <c r="AC23" s="7">
        <v>0</v>
      </c>
      <c r="AD23" s="7">
        <v>26</v>
      </c>
      <c r="AE23" s="7">
        <v>26</v>
      </c>
      <c r="AF23" s="7">
        <v>12.1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0.24</v>
      </c>
      <c r="AQ23" s="7">
        <v>0</v>
      </c>
      <c r="AR23" s="7">
        <v>0</v>
      </c>
      <c r="AS23" s="7">
        <v>0.2</v>
      </c>
      <c r="AT23" s="7">
        <v>29.698</v>
      </c>
      <c r="AU23" s="7">
        <v>1.425</v>
      </c>
      <c r="AV23" s="7">
        <v>0.36599999999999999</v>
      </c>
      <c r="AW23" s="7">
        <v>0</v>
      </c>
      <c r="AX23" s="7">
        <v>80</v>
      </c>
      <c r="AY23" s="6" t="s">
        <v>208</v>
      </c>
      <c r="AZ23" s="7">
        <v>397</v>
      </c>
      <c r="BA23" s="6" t="s">
        <v>209</v>
      </c>
      <c r="BB23" s="7">
        <v>48</v>
      </c>
    </row>
    <row r="24" spans="1:54" ht="60" x14ac:dyDescent="0.2">
      <c r="A24" t="s">
        <v>37</v>
      </c>
      <c r="B24" s="6" t="s">
        <v>210</v>
      </c>
      <c r="C24" s="6" t="s">
        <v>211</v>
      </c>
      <c r="D24" s="7">
        <v>99.47</v>
      </c>
      <c r="E24" s="7">
        <v>2</v>
      </c>
      <c r="F24" s="7">
        <v>0.3</v>
      </c>
      <c r="G24" s="7">
        <v>0</v>
      </c>
      <c r="H24" s="7">
        <v>0</v>
      </c>
      <c r="I24" s="7">
        <v>0.23</v>
      </c>
      <c r="J24" s="7">
        <v>0</v>
      </c>
      <c r="K24" s="7">
        <v>0</v>
      </c>
      <c r="L24" s="7">
        <v>2</v>
      </c>
      <c r="M24" s="7">
        <v>0.02</v>
      </c>
      <c r="N24" s="7">
        <v>4</v>
      </c>
      <c r="O24" s="7">
        <v>3</v>
      </c>
      <c r="P24" s="7">
        <v>50</v>
      </c>
      <c r="Q24" s="7">
        <v>1</v>
      </c>
      <c r="R24" s="7">
        <v>0.02</v>
      </c>
      <c r="S24" s="7">
        <v>5.0000000000000001E-3</v>
      </c>
      <c r="T24" s="7">
        <v>3.2000000000000001E-2</v>
      </c>
      <c r="U24" s="7">
        <v>0</v>
      </c>
      <c r="V24" s="7">
        <v>0</v>
      </c>
      <c r="W24" s="7">
        <v>0.02</v>
      </c>
      <c r="X24" s="7">
        <v>0</v>
      </c>
      <c r="Y24" s="7">
        <v>0.8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7">
        <v>0</v>
      </c>
      <c r="AW24" s="7">
        <v>0</v>
      </c>
      <c r="AX24" s="7">
        <v>248</v>
      </c>
      <c r="AY24" s="6" t="s">
        <v>178</v>
      </c>
    </row>
    <row r="25" spans="1:54" ht="60" x14ac:dyDescent="0.2">
      <c r="A25" t="s">
        <v>38</v>
      </c>
      <c r="B25" s="6" t="s">
        <v>212</v>
      </c>
      <c r="C25" s="6" t="s">
        <v>213</v>
      </c>
      <c r="D25" s="7">
        <v>57.81</v>
      </c>
      <c r="E25" s="7">
        <v>340</v>
      </c>
      <c r="F25" s="7">
        <v>2.84</v>
      </c>
      <c r="G25" s="7">
        <v>36.08</v>
      </c>
      <c r="H25" s="7">
        <v>0.53</v>
      </c>
      <c r="I25" s="7">
        <v>2.74</v>
      </c>
      <c r="J25" s="7">
        <v>0</v>
      </c>
      <c r="K25" s="7">
        <v>2.92</v>
      </c>
      <c r="L25" s="7">
        <v>66</v>
      </c>
      <c r="M25" s="7">
        <v>0.1</v>
      </c>
      <c r="N25" s="7">
        <v>7</v>
      </c>
      <c r="O25" s="7">
        <v>58</v>
      </c>
      <c r="P25" s="7">
        <v>95</v>
      </c>
      <c r="Q25" s="7">
        <v>27</v>
      </c>
      <c r="R25" s="7">
        <v>0.24</v>
      </c>
      <c r="S25" s="7">
        <v>1.0999999999999999E-2</v>
      </c>
      <c r="T25" s="7">
        <v>6.0000000000000001E-3</v>
      </c>
      <c r="U25" s="7">
        <v>3</v>
      </c>
      <c r="V25" s="7">
        <v>0.6</v>
      </c>
      <c r="W25" s="7">
        <v>0.02</v>
      </c>
      <c r="X25" s="7">
        <v>0.188</v>
      </c>
      <c r="Y25" s="7">
        <v>6.4000000000000001E-2</v>
      </c>
      <c r="Z25" s="7">
        <v>0.495</v>
      </c>
      <c r="AA25" s="7">
        <v>3.5000000000000003E-2</v>
      </c>
      <c r="AB25" s="7">
        <v>4</v>
      </c>
      <c r="AC25" s="7">
        <v>0</v>
      </c>
      <c r="AD25" s="7">
        <v>4</v>
      </c>
      <c r="AE25" s="7">
        <v>4</v>
      </c>
      <c r="AF25" s="7">
        <v>16.8</v>
      </c>
      <c r="AG25" s="7">
        <v>0.16</v>
      </c>
      <c r="AH25" s="7">
        <v>1470</v>
      </c>
      <c r="AI25" s="7">
        <v>411</v>
      </c>
      <c r="AJ25" s="7">
        <v>405</v>
      </c>
      <c r="AK25" s="7">
        <v>0</v>
      </c>
      <c r="AL25" s="7">
        <v>72</v>
      </c>
      <c r="AM25" s="7">
        <v>0</v>
      </c>
      <c r="AN25" s="7">
        <v>0</v>
      </c>
      <c r="AO25" s="7">
        <v>0</v>
      </c>
      <c r="AP25" s="7">
        <v>0.92</v>
      </c>
      <c r="AQ25" s="7">
        <v>1.6</v>
      </c>
      <c r="AR25" s="7">
        <v>63</v>
      </c>
      <c r="AS25" s="7">
        <v>3.2</v>
      </c>
      <c r="AT25" s="7">
        <v>23.032</v>
      </c>
      <c r="AU25" s="7">
        <v>9.1010000000000009</v>
      </c>
      <c r="AV25" s="7">
        <v>1.57</v>
      </c>
      <c r="AW25" s="7">
        <v>113</v>
      </c>
      <c r="AX25" s="7">
        <v>120</v>
      </c>
      <c r="AY25" s="6" t="s">
        <v>214</v>
      </c>
      <c r="AZ25" s="7">
        <v>238</v>
      </c>
      <c r="BA25" s="6" t="s">
        <v>215</v>
      </c>
      <c r="BB25" s="7">
        <v>0</v>
      </c>
    </row>
    <row r="26" spans="1:54" ht="105" x14ac:dyDescent="0.2">
      <c r="A26" t="s">
        <v>39</v>
      </c>
      <c r="B26" s="6" t="s">
        <v>216</v>
      </c>
      <c r="C26" s="6" t="s">
        <v>217</v>
      </c>
      <c r="D26" s="7">
        <v>83.01</v>
      </c>
      <c r="E26" s="7">
        <v>71</v>
      </c>
      <c r="F26" s="7">
        <v>13.61</v>
      </c>
      <c r="G26" s="7">
        <v>1.01</v>
      </c>
      <c r="H26" s="7">
        <v>1.86</v>
      </c>
      <c r="I26" s="7">
        <v>0.91</v>
      </c>
      <c r="J26" s="7">
        <v>0</v>
      </c>
      <c r="K26" s="7">
        <v>0</v>
      </c>
      <c r="L26" s="7">
        <v>54</v>
      </c>
      <c r="M26" s="7">
        <v>0.21</v>
      </c>
      <c r="N26" s="7">
        <v>22</v>
      </c>
      <c r="O26" s="7">
        <v>244</v>
      </c>
      <c r="P26" s="7">
        <v>113</v>
      </c>
      <c r="Q26" s="7">
        <v>566</v>
      </c>
      <c r="R26" s="7">
        <v>0.97</v>
      </c>
      <c r="S26" s="7">
        <v>0.182</v>
      </c>
      <c r="T26" s="7">
        <v>2.9000000000000001E-2</v>
      </c>
      <c r="U26" s="7">
        <v>29.6</v>
      </c>
      <c r="V26" s="7">
        <v>0</v>
      </c>
      <c r="W26" s="7">
        <v>0.02</v>
      </c>
      <c r="X26" s="7">
        <v>1.4999999999999999E-2</v>
      </c>
      <c r="Y26" s="7">
        <v>1.778</v>
      </c>
      <c r="Z26" s="7">
        <v>0.31</v>
      </c>
      <c r="AA26" s="7">
        <v>0.161</v>
      </c>
      <c r="AB26" s="7">
        <v>19</v>
      </c>
      <c r="AC26" s="7">
        <v>0</v>
      </c>
      <c r="AD26" s="7">
        <v>19</v>
      </c>
      <c r="AE26" s="7">
        <v>19</v>
      </c>
      <c r="AF26" s="7">
        <v>80.900000000000006</v>
      </c>
      <c r="AG26" s="7">
        <v>1.1100000000000001</v>
      </c>
      <c r="AH26" s="7">
        <v>180</v>
      </c>
      <c r="AI26" s="7">
        <v>54</v>
      </c>
      <c r="AJ26" s="7">
        <v>54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1.32</v>
      </c>
      <c r="AQ26" s="7">
        <v>0.1</v>
      </c>
      <c r="AR26" s="7">
        <v>2</v>
      </c>
      <c r="AS26" s="7">
        <v>0.3</v>
      </c>
      <c r="AT26" s="7">
        <v>0.26100000000000001</v>
      </c>
      <c r="AU26" s="7">
        <v>0.18099999999999999</v>
      </c>
      <c r="AV26" s="7">
        <v>0.29499999999999998</v>
      </c>
      <c r="AW26" s="7">
        <v>126</v>
      </c>
      <c r="AX26" s="7">
        <v>6</v>
      </c>
      <c r="AY26" s="6" t="s">
        <v>209</v>
      </c>
      <c r="AZ26" s="7">
        <v>5</v>
      </c>
      <c r="BA26" s="6" t="s">
        <v>218</v>
      </c>
      <c r="BB26" s="7">
        <v>0</v>
      </c>
    </row>
    <row r="27" spans="1:54" ht="30" x14ac:dyDescent="0.2">
      <c r="A27" t="s">
        <v>40</v>
      </c>
      <c r="B27" s="6" t="s">
        <v>219</v>
      </c>
      <c r="C27" s="6" t="s">
        <v>220</v>
      </c>
      <c r="D27" s="7">
        <v>20.53</v>
      </c>
      <c r="E27" s="7">
        <v>282</v>
      </c>
      <c r="F27" s="7">
        <v>2.4500000000000002</v>
      </c>
      <c r="G27" s="7">
        <v>0.39</v>
      </c>
      <c r="H27" s="7">
        <v>1.6</v>
      </c>
      <c r="I27" s="7">
        <v>75.03</v>
      </c>
      <c r="J27" s="7">
        <v>8</v>
      </c>
      <c r="K27" s="7">
        <v>63.35</v>
      </c>
      <c r="L27" s="7">
        <v>39</v>
      </c>
      <c r="M27" s="7">
        <v>1.02</v>
      </c>
      <c r="N27" s="7">
        <v>43</v>
      </c>
      <c r="O27" s="7">
        <v>62</v>
      </c>
      <c r="P27" s="7">
        <v>656</v>
      </c>
      <c r="Q27" s="7">
        <v>2</v>
      </c>
      <c r="R27" s="7">
        <v>0.28999999999999998</v>
      </c>
      <c r="S27" s="7">
        <v>0.20599999999999999</v>
      </c>
      <c r="T27" s="7">
        <v>0.26200000000000001</v>
      </c>
      <c r="U27" s="7">
        <v>3</v>
      </c>
      <c r="V27" s="7">
        <v>0.4</v>
      </c>
      <c r="W27" s="7">
        <v>5.1999999999999998E-2</v>
      </c>
      <c r="X27" s="7">
        <v>6.6000000000000003E-2</v>
      </c>
      <c r="Y27" s="7">
        <v>1.274</v>
      </c>
      <c r="Z27" s="7">
        <v>0.58899999999999997</v>
      </c>
      <c r="AA27" s="7">
        <v>0.16500000000000001</v>
      </c>
      <c r="AB27" s="7">
        <v>19</v>
      </c>
      <c r="AC27" s="7">
        <v>0</v>
      </c>
      <c r="AD27" s="7">
        <v>19</v>
      </c>
      <c r="AE27" s="7">
        <v>19</v>
      </c>
      <c r="AF27" s="7">
        <v>6.3</v>
      </c>
      <c r="AG27" s="7">
        <v>0</v>
      </c>
      <c r="AH27" s="7">
        <v>10</v>
      </c>
      <c r="AI27" s="7">
        <v>0</v>
      </c>
      <c r="AJ27" s="7">
        <v>0</v>
      </c>
      <c r="AK27" s="7">
        <v>0</v>
      </c>
      <c r="AL27" s="7">
        <v>6</v>
      </c>
      <c r="AM27" s="7">
        <v>0</v>
      </c>
      <c r="AN27" s="7">
        <v>0</v>
      </c>
      <c r="AO27" s="7">
        <v>75</v>
      </c>
      <c r="AP27" s="7">
        <v>0.05</v>
      </c>
      <c r="AQ27" s="7">
        <v>0</v>
      </c>
      <c r="AR27" s="7">
        <v>0</v>
      </c>
      <c r="AS27" s="7">
        <v>2.7</v>
      </c>
      <c r="AT27" s="7">
        <v>3.2000000000000001E-2</v>
      </c>
      <c r="AU27" s="7">
        <v>3.5999999999999997E-2</v>
      </c>
      <c r="AV27" s="7">
        <v>1.9E-2</v>
      </c>
      <c r="AW27" s="7">
        <v>0</v>
      </c>
      <c r="AX27" s="7">
        <v>147</v>
      </c>
      <c r="AY27" s="6" t="s">
        <v>221</v>
      </c>
      <c r="AZ27" s="7">
        <v>7.1</v>
      </c>
      <c r="BA27" s="6" t="s">
        <v>222</v>
      </c>
      <c r="BB27" s="7">
        <v>10</v>
      </c>
    </row>
    <row r="28" spans="1:54" ht="45" x14ac:dyDescent="0.2">
      <c r="A28" t="s">
        <v>41</v>
      </c>
      <c r="B28" s="6" t="s">
        <v>223</v>
      </c>
      <c r="C28" s="6" t="s">
        <v>224</v>
      </c>
      <c r="D28" s="7">
        <v>80.36</v>
      </c>
      <c r="E28" s="7">
        <v>95</v>
      </c>
      <c r="F28" s="7">
        <v>16.38</v>
      </c>
      <c r="G28" s="7">
        <v>2.82</v>
      </c>
      <c r="H28" s="7">
        <v>0.96</v>
      </c>
      <c r="I28" s="7">
        <v>0</v>
      </c>
      <c r="J28" s="7">
        <v>0</v>
      </c>
      <c r="L28" s="7">
        <v>14</v>
      </c>
      <c r="M28" s="7">
        <v>0.3</v>
      </c>
      <c r="N28" s="7">
        <v>23</v>
      </c>
      <c r="O28" s="7">
        <v>209</v>
      </c>
      <c r="P28" s="7">
        <v>358</v>
      </c>
      <c r="Q28" s="7">
        <v>43</v>
      </c>
      <c r="R28" s="7">
        <v>0.51</v>
      </c>
      <c r="S28" s="7">
        <v>3.4000000000000002E-2</v>
      </c>
      <c r="T28" s="7">
        <v>2.5000000000000001E-2</v>
      </c>
      <c r="U28" s="7">
        <v>12.6</v>
      </c>
      <c r="V28" s="7">
        <v>0.7</v>
      </c>
      <c r="W28" s="7">
        <v>0.21</v>
      </c>
      <c r="X28" s="7">
        <v>7.1999999999999995E-2</v>
      </c>
      <c r="Y28" s="7">
        <v>1.907</v>
      </c>
      <c r="Z28" s="7">
        <v>0.76500000000000001</v>
      </c>
      <c r="AA28" s="7">
        <v>0.11600000000000001</v>
      </c>
      <c r="AB28" s="7">
        <v>10</v>
      </c>
      <c r="AC28" s="7">
        <v>0</v>
      </c>
      <c r="AD28" s="7">
        <v>10</v>
      </c>
      <c r="AE28" s="7">
        <v>10</v>
      </c>
      <c r="AG28" s="7">
        <v>2.23</v>
      </c>
      <c r="AH28" s="7">
        <v>50</v>
      </c>
      <c r="AI28" s="7">
        <v>15</v>
      </c>
      <c r="AJ28" s="7">
        <v>15</v>
      </c>
      <c r="AQ28" s="7">
        <v>12.5</v>
      </c>
      <c r="AR28" s="7">
        <v>500</v>
      </c>
      <c r="AT28" s="7">
        <v>0.72199999999999998</v>
      </c>
      <c r="AU28" s="7">
        <v>0.84399999999999997</v>
      </c>
      <c r="AV28" s="7">
        <v>0.86499999999999999</v>
      </c>
      <c r="AW28" s="7">
        <v>58</v>
      </c>
      <c r="AX28" s="7">
        <v>85</v>
      </c>
      <c r="AY28" s="6" t="s">
        <v>199</v>
      </c>
      <c r="AZ28" s="7">
        <v>159</v>
      </c>
      <c r="BA28" s="6" t="s">
        <v>225</v>
      </c>
      <c r="BB28" s="7">
        <v>0</v>
      </c>
    </row>
    <row r="29" spans="1:54" ht="30" x14ac:dyDescent="0.2">
      <c r="A29" t="s">
        <v>42</v>
      </c>
      <c r="B29" s="6" t="s">
        <v>226</v>
      </c>
      <c r="C29" s="6" t="s">
        <v>227</v>
      </c>
      <c r="D29" s="7">
        <v>76.150000000000006</v>
      </c>
      <c r="E29" s="7">
        <v>143</v>
      </c>
      <c r="F29" s="7">
        <v>12.56</v>
      </c>
      <c r="G29" s="7">
        <v>9.51</v>
      </c>
      <c r="H29" s="7">
        <v>1.06</v>
      </c>
      <c r="I29" s="7">
        <v>0.72</v>
      </c>
      <c r="J29" s="7">
        <v>0</v>
      </c>
      <c r="K29" s="7">
        <v>0.37</v>
      </c>
      <c r="L29" s="7">
        <v>56</v>
      </c>
      <c r="M29" s="7">
        <v>1.75</v>
      </c>
      <c r="N29" s="7">
        <v>12</v>
      </c>
      <c r="O29" s="7">
        <v>198</v>
      </c>
      <c r="P29" s="7">
        <v>138</v>
      </c>
      <c r="Q29" s="7">
        <v>142</v>
      </c>
      <c r="R29" s="7">
        <v>1.29</v>
      </c>
      <c r="S29" s="7">
        <v>7.1999999999999995E-2</v>
      </c>
      <c r="T29" s="7">
        <v>2.8000000000000001E-2</v>
      </c>
      <c r="U29" s="7">
        <v>30.7</v>
      </c>
      <c r="V29" s="7">
        <v>0</v>
      </c>
      <c r="W29" s="7">
        <v>0.04</v>
      </c>
      <c r="X29" s="7">
        <v>0.45700000000000002</v>
      </c>
      <c r="Y29" s="7">
        <v>7.4999999999999997E-2</v>
      </c>
      <c r="Z29" s="7">
        <v>1.5329999999999999</v>
      </c>
      <c r="AA29" s="7">
        <v>0.17</v>
      </c>
      <c r="AB29" s="7">
        <v>47</v>
      </c>
      <c r="AC29" s="7">
        <v>0</v>
      </c>
      <c r="AD29" s="7">
        <v>47</v>
      </c>
      <c r="AE29" s="7">
        <v>47</v>
      </c>
      <c r="AF29" s="7">
        <v>293.8</v>
      </c>
      <c r="AG29" s="7">
        <v>0.89</v>
      </c>
      <c r="AH29" s="7">
        <v>540</v>
      </c>
      <c r="AI29" s="7">
        <v>160</v>
      </c>
      <c r="AJ29" s="7">
        <v>160</v>
      </c>
      <c r="AK29" s="7">
        <v>0</v>
      </c>
      <c r="AL29" s="7">
        <v>0</v>
      </c>
      <c r="AM29" s="7">
        <v>9</v>
      </c>
      <c r="AN29" s="7">
        <v>0</v>
      </c>
      <c r="AO29" s="7">
        <v>503</v>
      </c>
      <c r="AP29" s="7">
        <v>1.05</v>
      </c>
      <c r="AQ29" s="7">
        <v>2</v>
      </c>
      <c r="AR29" s="7">
        <v>82</v>
      </c>
      <c r="AS29" s="7">
        <v>0.3</v>
      </c>
      <c r="AT29" s="7">
        <v>3.1259999999999999</v>
      </c>
      <c r="AU29" s="7">
        <v>3.6579999999999999</v>
      </c>
      <c r="AV29" s="7">
        <v>1.911</v>
      </c>
      <c r="AW29" s="7">
        <v>372</v>
      </c>
      <c r="AX29" s="7">
        <v>50</v>
      </c>
      <c r="AY29" s="6" t="s">
        <v>228</v>
      </c>
      <c r="AZ29" s="7">
        <v>56</v>
      </c>
      <c r="BA29" s="6" t="s">
        <v>229</v>
      </c>
      <c r="BB29" s="7">
        <v>12</v>
      </c>
    </row>
    <row r="30" spans="1:54" ht="30" x14ac:dyDescent="0.2">
      <c r="A30" t="s">
        <v>43</v>
      </c>
      <c r="B30" s="6" t="s">
        <v>230</v>
      </c>
      <c r="C30" s="6" t="s">
        <v>231</v>
      </c>
      <c r="D30" s="7">
        <v>0</v>
      </c>
      <c r="E30" s="7">
        <v>902</v>
      </c>
      <c r="F30" s="7">
        <v>0</v>
      </c>
      <c r="G30" s="7">
        <v>100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U30" s="7">
        <v>0.2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79.8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2.7</v>
      </c>
      <c r="AQ30" s="7">
        <v>0.7</v>
      </c>
      <c r="AR30" s="7">
        <v>28</v>
      </c>
      <c r="AS30" s="7">
        <v>0</v>
      </c>
      <c r="AT30" s="7">
        <v>49.8</v>
      </c>
      <c r="AU30" s="7">
        <v>41.8</v>
      </c>
      <c r="AV30" s="7">
        <v>4</v>
      </c>
      <c r="AW30" s="7">
        <v>109</v>
      </c>
      <c r="AX30" s="7">
        <v>12.8</v>
      </c>
      <c r="AY30" s="6" t="s">
        <v>177</v>
      </c>
      <c r="AZ30" s="7">
        <v>205</v>
      </c>
      <c r="BA30" s="6" t="s">
        <v>178</v>
      </c>
      <c r="BB30" s="7">
        <v>0</v>
      </c>
    </row>
    <row r="31" spans="1:54" x14ac:dyDescent="0.2">
      <c r="A31" t="s">
        <v>44</v>
      </c>
    </row>
    <row r="32" spans="1:54" ht="45" x14ac:dyDescent="0.2">
      <c r="A32" t="s">
        <v>45</v>
      </c>
      <c r="B32" s="6" t="s">
        <v>232</v>
      </c>
      <c r="C32" s="6" t="s">
        <v>233</v>
      </c>
      <c r="D32" s="7">
        <v>0</v>
      </c>
      <c r="E32" s="7">
        <v>902</v>
      </c>
      <c r="F32" s="7">
        <v>0</v>
      </c>
      <c r="G32" s="7">
        <v>100</v>
      </c>
      <c r="H32" s="7">
        <v>0</v>
      </c>
      <c r="I32" s="7">
        <v>0</v>
      </c>
      <c r="J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G32" s="7">
        <v>0</v>
      </c>
      <c r="AH32" s="7">
        <v>100000</v>
      </c>
      <c r="AI32" s="7">
        <v>30000</v>
      </c>
      <c r="AJ32" s="7">
        <v>30000</v>
      </c>
      <c r="AQ32" s="7">
        <v>250</v>
      </c>
      <c r="AR32" s="7">
        <v>10000</v>
      </c>
      <c r="AT32" s="7">
        <v>22.608000000000001</v>
      </c>
      <c r="AU32" s="7">
        <v>46.710999999999999</v>
      </c>
      <c r="AV32" s="7">
        <v>22.541</v>
      </c>
      <c r="AW32" s="7">
        <v>570</v>
      </c>
      <c r="AX32" s="7">
        <v>4.5</v>
      </c>
      <c r="AY32" s="6" t="s">
        <v>234</v>
      </c>
      <c r="AZ32" s="7">
        <v>13.6</v>
      </c>
      <c r="BA32" s="6" t="s">
        <v>177</v>
      </c>
      <c r="BB32" s="7">
        <v>0</v>
      </c>
    </row>
    <row r="33" spans="1:54" ht="45" x14ac:dyDescent="0.2">
      <c r="A33" t="s">
        <v>46</v>
      </c>
      <c r="B33" s="6" t="s">
        <v>232</v>
      </c>
      <c r="C33" s="6" t="s">
        <v>233</v>
      </c>
      <c r="D33" s="7">
        <v>0</v>
      </c>
      <c r="E33" s="7">
        <v>902</v>
      </c>
      <c r="F33" s="7">
        <v>0</v>
      </c>
      <c r="G33" s="7">
        <v>100</v>
      </c>
      <c r="H33" s="7">
        <v>0</v>
      </c>
      <c r="I33" s="7">
        <v>0</v>
      </c>
      <c r="J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G33" s="7">
        <v>0</v>
      </c>
      <c r="AH33" s="7">
        <v>100000</v>
      </c>
      <c r="AI33" s="7">
        <v>30000</v>
      </c>
      <c r="AJ33" s="7">
        <v>30000</v>
      </c>
      <c r="AQ33" s="7">
        <v>250</v>
      </c>
      <c r="AR33" s="7">
        <v>10000</v>
      </c>
      <c r="AT33" s="7">
        <v>22.608000000000001</v>
      </c>
      <c r="AU33" s="7">
        <v>46.710999999999999</v>
      </c>
      <c r="AV33" s="7">
        <v>22.541</v>
      </c>
      <c r="AW33" s="7">
        <v>570</v>
      </c>
      <c r="AX33" s="7">
        <v>4.5</v>
      </c>
      <c r="AY33" s="6" t="s">
        <v>234</v>
      </c>
      <c r="AZ33" s="7">
        <v>13.6</v>
      </c>
      <c r="BA33" s="6" t="s">
        <v>177</v>
      </c>
      <c r="BB33" s="7">
        <v>0</v>
      </c>
    </row>
    <row r="34" spans="1:54" ht="45" x14ac:dyDescent="0.2">
      <c r="A34" t="s">
        <v>47</v>
      </c>
      <c r="B34" s="6" t="s">
        <v>235</v>
      </c>
      <c r="C34" s="6" t="s">
        <v>236</v>
      </c>
      <c r="D34" s="7">
        <v>75.66</v>
      </c>
      <c r="E34" s="7">
        <v>114</v>
      </c>
      <c r="F34" s="7">
        <v>18.86</v>
      </c>
      <c r="G34" s="7">
        <v>3.69</v>
      </c>
      <c r="H34" s="7">
        <v>1.52</v>
      </c>
      <c r="I34" s="7">
        <v>0</v>
      </c>
      <c r="J34" s="7">
        <v>0</v>
      </c>
      <c r="L34" s="7">
        <v>80</v>
      </c>
      <c r="M34" s="7">
        <v>1.49</v>
      </c>
      <c r="N34" s="7">
        <v>30</v>
      </c>
      <c r="O34" s="7">
        <v>200</v>
      </c>
      <c r="P34" s="7">
        <v>356</v>
      </c>
      <c r="Q34" s="7">
        <v>70</v>
      </c>
      <c r="R34" s="7">
        <v>0.65</v>
      </c>
      <c r="S34" s="7">
        <v>9.2999999999999999E-2</v>
      </c>
      <c r="T34" s="7">
        <v>0.88900000000000001</v>
      </c>
      <c r="U34" s="7">
        <v>12.6</v>
      </c>
      <c r="V34" s="7">
        <v>2</v>
      </c>
      <c r="W34" s="7">
        <v>7.4999999999999997E-2</v>
      </c>
      <c r="X34" s="7">
        <v>7.3999999999999996E-2</v>
      </c>
      <c r="Y34" s="7">
        <v>1.25</v>
      </c>
      <c r="Z34" s="7">
        <v>0.75</v>
      </c>
      <c r="AA34" s="7">
        <v>0.12</v>
      </c>
      <c r="AB34" s="7">
        <v>15</v>
      </c>
      <c r="AC34" s="7">
        <v>0</v>
      </c>
      <c r="AD34" s="7">
        <v>15</v>
      </c>
      <c r="AE34" s="7">
        <v>15</v>
      </c>
      <c r="AG34" s="7">
        <v>2</v>
      </c>
      <c r="AH34" s="7">
        <v>100</v>
      </c>
      <c r="AI34" s="7">
        <v>30</v>
      </c>
      <c r="AJ34" s="7">
        <v>30</v>
      </c>
      <c r="AT34" s="7">
        <v>0.78</v>
      </c>
      <c r="AU34" s="7">
        <v>1.431</v>
      </c>
      <c r="AV34" s="7">
        <v>1.0620000000000001</v>
      </c>
      <c r="AW34" s="7">
        <v>68</v>
      </c>
      <c r="AX34" s="7">
        <v>79</v>
      </c>
      <c r="AY34" s="6" t="s">
        <v>225</v>
      </c>
      <c r="AZ34" s="7">
        <v>85</v>
      </c>
      <c r="BA34" s="6" t="s">
        <v>199</v>
      </c>
      <c r="BB34" s="7">
        <v>0</v>
      </c>
    </row>
    <row r="35" spans="1:54" x14ac:dyDescent="0.2">
      <c r="A35" t="s">
        <v>48</v>
      </c>
    </row>
    <row r="36" spans="1:54" x14ac:dyDescent="0.2">
      <c r="A36" t="s">
        <v>49</v>
      </c>
    </row>
    <row r="37" spans="1:54" ht="60" x14ac:dyDescent="0.2">
      <c r="A37" t="s">
        <v>50</v>
      </c>
      <c r="B37" s="6" t="s">
        <v>237</v>
      </c>
      <c r="C37" s="6" t="s">
        <v>238</v>
      </c>
      <c r="D37" s="7">
        <v>90.89</v>
      </c>
      <c r="E37" s="7">
        <v>32</v>
      </c>
      <c r="F37" s="7">
        <v>0.63</v>
      </c>
      <c r="G37" s="7">
        <v>0.1</v>
      </c>
      <c r="H37" s="7">
        <v>0.31</v>
      </c>
      <c r="I37" s="7">
        <v>8.08</v>
      </c>
      <c r="J37" s="7">
        <v>1.1000000000000001</v>
      </c>
      <c r="K37" s="7">
        <v>6.98</v>
      </c>
      <c r="L37" s="7">
        <v>12</v>
      </c>
      <c r="M37" s="7">
        <v>0.09</v>
      </c>
      <c r="N37" s="7">
        <v>8</v>
      </c>
      <c r="O37" s="7">
        <v>8</v>
      </c>
      <c r="P37" s="7">
        <v>139</v>
      </c>
      <c r="Q37" s="7">
        <v>0</v>
      </c>
      <c r="R37" s="7">
        <v>7.0000000000000007E-2</v>
      </c>
      <c r="S37" s="7">
        <v>4.7E-2</v>
      </c>
      <c r="T37" s="7">
        <v>1.2E-2</v>
      </c>
      <c r="U37" s="7">
        <v>0.3</v>
      </c>
      <c r="V37" s="7">
        <v>34.4</v>
      </c>
      <c r="W37" s="7">
        <v>3.5999999999999997E-2</v>
      </c>
      <c r="X37" s="7">
        <v>0.02</v>
      </c>
      <c r="Y37" s="7">
        <v>0.25</v>
      </c>
      <c r="Z37" s="7">
        <v>0.28299999999999997</v>
      </c>
      <c r="AA37" s="7">
        <v>4.2000000000000003E-2</v>
      </c>
      <c r="AB37" s="7">
        <v>10</v>
      </c>
      <c r="AC37" s="7">
        <v>0</v>
      </c>
      <c r="AD37" s="7">
        <v>10</v>
      </c>
      <c r="AE37" s="7">
        <v>10</v>
      </c>
      <c r="AF37" s="7">
        <v>7.7</v>
      </c>
      <c r="AG37" s="7">
        <v>0</v>
      </c>
      <c r="AH37" s="7">
        <v>927</v>
      </c>
      <c r="AI37" s="7">
        <v>46</v>
      </c>
      <c r="AJ37" s="7">
        <v>0</v>
      </c>
      <c r="AK37" s="7">
        <v>4</v>
      </c>
      <c r="AL37" s="7">
        <v>552</v>
      </c>
      <c r="AM37" s="7">
        <v>6</v>
      </c>
      <c r="AN37" s="7">
        <v>1135</v>
      </c>
      <c r="AO37" s="7">
        <v>6</v>
      </c>
      <c r="AP37" s="7">
        <v>0.13</v>
      </c>
      <c r="AQ37" s="7">
        <v>0</v>
      </c>
      <c r="AR37" s="7">
        <v>0</v>
      </c>
      <c r="AS37" s="7">
        <v>0</v>
      </c>
      <c r="AT37" s="7">
        <v>1.4E-2</v>
      </c>
      <c r="AU37" s="7">
        <v>1.2999999999999999E-2</v>
      </c>
      <c r="AV37" s="7">
        <v>2.4E-2</v>
      </c>
      <c r="AW37" s="7">
        <v>0</v>
      </c>
      <c r="AX37" s="7">
        <v>230</v>
      </c>
      <c r="AY37" s="6" t="s">
        <v>239</v>
      </c>
      <c r="AZ37" s="7">
        <v>166</v>
      </c>
      <c r="BA37" s="6" t="s">
        <v>240</v>
      </c>
      <c r="BB37" s="7">
        <v>50</v>
      </c>
    </row>
    <row r="38" spans="1:54" ht="120" x14ac:dyDescent="0.2">
      <c r="A38" t="s">
        <v>51</v>
      </c>
      <c r="B38" s="6" t="s">
        <v>241</v>
      </c>
      <c r="C38" s="6" t="s">
        <v>242</v>
      </c>
      <c r="D38" s="7">
        <v>80.540000000000006</v>
      </c>
      <c r="E38" s="7">
        <v>69</v>
      </c>
      <c r="F38" s="7">
        <v>0.72</v>
      </c>
      <c r="G38" s="7">
        <v>0.16</v>
      </c>
      <c r="H38" s="7">
        <v>0.48</v>
      </c>
      <c r="I38" s="7">
        <v>18.100000000000001</v>
      </c>
      <c r="J38" s="7">
        <v>0.9</v>
      </c>
      <c r="K38" s="7">
        <v>15.48</v>
      </c>
      <c r="L38" s="7">
        <v>10</v>
      </c>
      <c r="M38" s="7">
        <v>0.36</v>
      </c>
      <c r="N38" s="7">
        <v>7</v>
      </c>
      <c r="O38" s="7">
        <v>20</v>
      </c>
      <c r="P38" s="7">
        <v>191</v>
      </c>
      <c r="Q38" s="7">
        <v>2</v>
      </c>
      <c r="R38" s="7">
        <v>7.0000000000000007E-2</v>
      </c>
      <c r="S38" s="7">
        <v>0.127</v>
      </c>
      <c r="T38" s="7">
        <v>7.0999999999999994E-2</v>
      </c>
      <c r="U38" s="7">
        <v>0.1</v>
      </c>
      <c r="V38" s="7">
        <v>3.2</v>
      </c>
      <c r="W38" s="7">
        <v>6.9000000000000006E-2</v>
      </c>
      <c r="X38" s="7">
        <v>7.0000000000000007E-2</v>
      </c>
      <c r="Y38" s="7">
        <v>0.188</v>
      </c>
      <c r="Z38" s="7">
        <v>0.05</v>
      </c>
      <c r="AA38" s="7">
        <v>8.5999999999999993E-2</v>
      </c>
      <c r="AB38" s="7">
        <v>2</v>
      </c>
      <c r="AC38" s="7">
        <v>0</v>
      </c>
      <c r="AD38" s="7">
        <v>2</v>
      </c>
      <c r="AE38" s="7">
        <v>2</v>
      </c>
      <c r="AF38" s="7">
        <v>5.6</v>
      </c>
      <c r="AG38" s="7">
        <v>0</v>
      </c>
      <c r="AH38" s="7">
        <v>66</v>
      </c>
      <c r="AI38" s="7">
        <v>3</v>
      </c>
      <c r="AJ38" s="7">
        <v>0</v>
      </c>
      <c r="AK38" s="7">
        <v>1</v>
      </c>
      <c r="AL38" s="7">
        <v>39</v>
      </c>
      <c r="AM38" s="7">
        <v>0</v>
      </c>
      <c r="AN38" s="7">
        <v>0</v>
      </c>
      <c r="AO38" s="7">
        <v>72</v>
      </c>
      <c r="AP38" s="7">
        <v>0.19</v>
      </c>
      <c r="AQ38" s="7">
        <v>0</v>
      </c>
      <c r="AR38" s="7">
        <v>0</v>
      </c>
      <c r="AS38" s="7">
        <v>14.6</v>
      </c>
      <c r="AT38" s="7">
        <v>5.3999999999999999E-2</v>
      </c>
      <c r="AU38" s="7">
        <v>7.0000000000000001E-3</v>
      </c>
      <c r="AV38" s="7">
        <v>4.8000000000000001E-2</v>
      </c>
      <c r="AW38" s="7">
        <v>0</v>
      </c>
      <c r="AX38" s="7">
        <v>151</v>
      </c>
      <c r="AY38" s="6" t="s">
        <v>178</v>
      </c>
      <c r="AZ38" s="7">
        <v>49</v>
      </c>
      <c r="BA38" s="6" t="s">
        <v>243</v>
      </c>
      <c r="BB38" s="7">
        <v>4</v>
      </c>
    </row>
    <row r="39" spans="1:54" ht="45" x14ac:dyDescent="0.2">
      <c r="A39" t="s">
        <v>52</v>
      </c>
      <c r="B39" s="6" t="s">
        <v>247</v>
      </c>
      <c r="C39" s="6" t="s">
        <v>248</v>
      </c>
      <c r="D39" s="7">
        <v>0</v>
      </c>
      <c r="E39" s="7">
        <v>884</v>
      </c>
      <c r="F39" s="7">
        <v>0</v>
      </c>
      <c r="G39" s="7">
        <v>100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0.13</v>
      </c>
      <c r="N39" s="7">
        <v>0</v>
      </c>
      <c r="O39" s="7">
        <v>0</v>
      </c>
      <c r="P39" s="7">
        <v>0</v>
      </c>
      <c r="Q39" s="7">
        <v>0</v>
      </c>
      <c r="R39" s="7">
        <v>0.02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 s="7">
        <v>0.2</v>
      </c>
      <c r="AG39" s="7">
        <v>0</v>
      </c>
      <c r="AH39" s="7">
        <v>0</v>
      </c>
      <c r="AI39" s="7">
        <v>0</v>
      </c>
      <c r="AJ39" s="7">
        <v>0</v>
      </c>
      <c r="AK39" s="7">
        <v>0</v>
      </c>
      <c r="AL39" s="7">
        <v>0</v>
      </c>
      <c r="AM39" s="7">
        <v>0</v>
      </c>
      <c r="AN39" s="7">
        <v>0</v>
      </c>
      <c r="AO39" s="7">
        <v>0</v>
      </c>
      <c r="AP39" s="7">
        <v>14.78</v>
      </c>
      <c r="AQ39" s="7">
        <v>0</v>
      </c>
      <c r="AR39" s="7">
        <v>0</v>
      </c>
      <c r="AS39" s="7">
        <v>21</v>
      </c>
      <c r="AT39" s="7">
        <v>14.367000000000001</v>
      </c>
      <c r="AU39" s="7">
        <v>48.033000000000001</v>
      </c>
      <c r="AV39" s="7">
        <v>33.033000000000001</v>
      </c>
      <c r="AW39" s="7">
        <v>0</v>
      </c>
      <c r="AX39" s="7">
        <v>14</v>
      </c>
      <c r="AY39" s="6" t="s">
        <v>249</v>
      </c>
      <c r="AZ39" s="7">
        <v>4.5</v>
      </c>
      <c r="BA39" s="6" t="s">
        <v>250</v>
      </c>
      <c r="BB39" s="7">
        <v>0</v>
      </c>
    </row>
    <row r="40" spans="1:54" ht="30" x14ac:dyDescent="0.2">
      <c r="A40" t="s">
        <v>53</v>
      </c>
      <c r="B40" s="6" t="s">
        <v>244</v>
      </c>
      <c r="C40" s="6" t="s">
        <v>245</v>
      </c>
      <c r="D40" s="7">
        <v>6.5</v>
      </c>
      <c r="E40" s="7">
        <v>567</v>
      </c>
      <c r="F40" s="7">
        <v>25.8</v>
      </c>
      <c r="G40" s="7">
        <v>49.24</v>
      </c>
      <c r="H40" s="7">
        <v>2.33</v>
      </c>
      <c r="I40" s="7">
        <v>16.13</v>
      </c>
      <c r="J40" s="7">
        <v>8.5</v>
      </c>
      <c r="K40" s="7">
        <v>4.72</v>
      </c>
      <c r="L40" s="7">
        <v>92</v>
      </c>
      <c r="M40" s="7">
        <v>4.58</v>
      </c>
      <c r="N40" s="7">
        <v>168</v>
      </c>
      <c r="O40" s="7">
        <v>376</v>
      </c>
      <c r="P40" s="7">
        <v>705</v>
      </c>
      <c r="Q40" s="7">
        <v>18</v>
      </c>
      <c r="R40" s="7">
        <v>3.27</v>
      </c>
      <c r="S40" s="7">
        <v>1.1439999999999999</v>
      </c>
      <c r="T40" s="7">
        <v>1.9339999999999999</v>
      </c>
      <c r="U40" s="7">
        <v>7.2</v>
      </c>
      <c r="V40" s="7">
        <v>0</v>
      </c>
      <c r="W40" s="7">
        <v>0.64</v>
      </c>
      <c r="X40" s="7">
        <v>0.13500000000000001</v>
      </c>
      <c r="Y40" s="7">
        <v>12.066000000000001</v>
      </c>
      <c r="Z40" s="7">
        <v>1.7669999999999999</v>
      </c>
      <c r="AA40" s="7">
        <v>0.34799999999999998</v>
      </c>
      <c r="AB40" s="7">
        <v>240</v>
      </c>
      <c r="AC40" s="7">
        <v>0</v>
      </c>
      <c r="AD40" s="7">
        <v>240</v>
      </c>
      <c r="AE40" s="7">
        <v>240</v>
      </c>
      <c r="AF40" s="7">
        <v>52.5</v>
      </c>
      <c r="AG40" s="7">
        <v>0</v>
      </c>
      <c r="AH40" s="7">
        <v>0</v>
      </c>
      <c r="AI40" s="7">
        <v>0</v>
      </c>
      <c r="AJ40" s="7">
        <v>0</v>
      </c>
      <c r="AK40" s="7">
        <v>0</v>
      </c>
      <c r="AL40" s="7">
        <v>0</v>
      </c>
      <c r="AM40" s="7">
        <v>0</v>
      </c>
      <c r="AN40" s="7">
        <v>0</v>
      </c>
      <c r="AO40" s="7">
        <v>0</v>
      </c>
      <c r="AP40" s="7">
        <v>8.33</v>
      </c>
      <c r="AQ40" s="7">
        <v>0</v>
      </c>
      <c r="AR40" s="7">
        <v>0</v>
      </c>
      <c r="AS40" s="7">
        <v>0</v>
      </c>
      <c r="AT40" s="7">
        <v>6.2789999999999999</v>
      </c>
      <c r="AU40" s="7">
        <v>24.425999999999998</v>
      </c>
      <c r="AV40" s="7">
        <v>15.558</v>
      </c>
      <c r="AW40" s="7">
        <v>0</v>
      </c>
      <c r="AX40" s="7">
        <v>28.35</v>
      </c>
      <c r="AY40" s="6" t="s">
        <v>246</v>
      </c>
      <c r="AZ40" s="7">
        <v>146</v>
      </c>
      <c r="BA40" s="6" t="s">
        <v>178</v>
      </c>
      <c r="BB40" s="7">
        <v>0</v>
      </c>
    </row>
    <row r="41" spans="1:54" x14ac:dyDescent="0.2">
      <c r="A41" t="s">
        <v>54</v>
      </c>
      <c r="B41" s="6" t="s">
        <v>251</v>
      </c>
      <c r="C41" s="6" t="s">
        <v>252</v>
      </c>
      <c r="D41" s="7">
        <v>17.100000000000001</v>
      </c>
      <c r="E41" s="7">
        <v>304</v>
      </c>
      <c r="F41" s="7">
        <v>0.3</v>
      </c>
      <c r="G41" s="7">
        <v>0</v>
      </c>
      <c r="H41" s="7">
        <v>0.2</v>
      </c>
      <c r="I41" s="7">
        <v>82.4</v>
      </c>
      <c r="J41" s="7">
        <v>0.2</v>
      </c>
      <c r="K41" s="7">
        <v>82.12</v>
      </c>
      <c r="L41" s="7">
        <v>6</v>
      </c>
      <c r="M41" s="7">
        <v>0.42</v>
      </c>
      <c r="N41" s="7">
        <v>2</v>
      </c>
      <c r="O41" s="7">
        <v>4</v>
      </c>
      <c r="P41" s="7">
        <v>52</v>
      </c>
      <c r="Q41" s="7">
        <v>4</v>
      </c>
      <c r="R41" s="7">
        <v>0.22</v>
      </c>
      <c r="S41" s="7">
        <v>3.5999999999999997E-2</v>
      </c>
      <c r="T41" s="7">
        <v>0.08</v>
      </c>
      <c r="U41" s="7">
        <v>0.8</v>
      </c>
      <c r="V41" s="7">
        <v>0.5</v>
      </c>
      <c r="W41" s="7">
        <v>0</v>
      </c>
      <c r="X41" s="7">
        <v>3.7999999999999999E-2</v>
      </c>
      <c r="Y41" s="7">
        <v>0.121</v>
      </c>
      <c r="Z41" s="7">
        <v>6.8000000000000005E-2</v>
      </c>
      <c r="AA41" s="7">
        <v>2.4E-2</v>
      </c>
      <c r="AB41" s="7">
        <v>2</v>
      </c>
      <c r="AC41" s="7">
        <v>0</v>
      </c>
      <c r="AD41" s="7">
        <v>2</v>
      </c>
      <c r="AE41" s="7">
        <v>2</v>
      </c>
      <c r="AF41" s="7">
        <v>2.2000000000000002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  <c r="AL41" s="7">
        <v>0</v>
      </c>
      <c r="AM41" s="7">
        <v>0</v>
      </c>
      <c r="AN41" s="7">
        <v>0</v>
      </c>
      <c r="AO41" s="7">
        <v>0</v>
      </c>
      <c r="AP41" s="7">
        <v>0</v>
      </c>
      <c r="AQ41" s="7">
        <v>0</v>
      </c>
      <c r="AR41" s="7">
        <v>0</v>
      </c>
      <c r="AS41" s="7">
        <v>0</v>
      </c>
      <c r="AT41" s="7">
        <v>0</v>
      </c>
      <c r="AU41" s="7">
        <v>0</v>
      </c>
      <c r="AV41" s="7">
        <v>0</v>
      </c>
      <c r="AW41" s="7">
        <v>0</v>
      </c>
      <c r="AX41" s="7">
        <v>339</v>
      </c>
      <c r="AY41" s="6" t="s">
        <v>178</v>
      </c>
      <c r="AZ41" s="7">
        <v>21</v>
      </c>
      <c r="BA41" s="6" t="s">
        <v>177</v>
      </c>
      <c r="BB41" s="7">
        <v>0</v>
      </c>
    </row>
    <row r="42" spans="1:54" ht="45" x14ac:dyDescent="0.2">
      <c r="A42" t="s">
        <v>55</v>
      </c>
      <c r="B42" s="6" t="s">
        <v>253</v>
      </c>
      <c r="C42" s="6" t="s">
        <v>254</v>
      </c>
      <c r="D42" s="7">
        <v>88.98</v>
      </c>
      <c r="E42" s="7">
        <v>29</v>
      </c>
      <c r="F42" s="7">
        <v>1.1000000000000001</v>
      </c>
      <c r="G42" s="7">
        <v>0.3</v>
      </c>
      <c r="H42" s="7">
        <v>0.3</v>
      </c>
      <c r="I42" s="7">
        <v>9.32</v>
      </c>
      <c r="J42" s="7">
        <v>2.8</v>
      </c>
      <c r="K42" s="7">
        <v>2.5</v>
      </c>
      <c r="L42" s="7">
        <v>26</v>
      </c>
      <c r="M42" s="7">
        <v>0.6</v>
      </c>
      <c r="N42" s="7">
        <v>8</v>
      </c>
      <c r="O42" s="7">
        <v>16</v>
      </c>
      <c r="P42" s="7">
        <v>138</v>
      </c>
      <c r="Q42" s="7">
        <v>2</v>
      </c>
      <c r="R42" s="7">
        <v>0.06</v>
      </c>
      <c r="S42" s="7">
        <v>3.6999999999999998E-2</v>
      </c>
      <c r="T42" s="7">
        <v>0.03</v>
      </c>
      <c r="U42" s="7">
        <v>0.4</v>
      </c>
      <c r="V42" s="7">
        <v>53</v>
      </c>
      <c r="W42" s="7">
        <v>0.04</v>
      </c>
      <c r="X42" s="7">
        <v>0.02</v>
      </c>
      <c r="Y42" s="7">
        <v>0.1</v>
      </c>
      <c r="Z42" s="7">
        <v>0.19</v>
      </c>
      <c r="AA42" s="7">
        <v>0.08</v>
      </c>
      <c r="AB42" s="7">
        <v>11</v>
      </c>
      <c r="AC42" s="7">
        <v>0</v>
      </c>
      <c r="AD42" s="7">
        <v>11</v>
      </c>
      <c r="AE42" s="7">
        <v>11</v>
      </c>
      <c r="AF42" s="7">
        <v>5.0999999999999996</v>
      </c>
      <c r="AG42" s="7">
        <v>0</v>
      </c>
      <c r="AH42" s="7">
        <v>22</v>
      </c>
      <c r="AI42" s="7">
        <v>1</v>
      </c>
      <c r="AJ42" s="7">
        <v>0</v>
      </c>
      <c r="AK42" s="7">
        <v>1</v>
      </c>
      <c r="AL42" s="7">
        <v>3</v>
      </c>
      <c r="AM42" s="7">
        <v>20</v>
      </c>
      <c r="AN42" s="7">
        <v>0</v>
      </c>
      <c r="AO42" s="7">
        <v>11</v>
      </c>
      <c r="AP42" s="7">
        <v>0.15</v>
      </c>
      <c r="AQ42" s="7">
        <v>0</v>
      </c>
      <c r="AR42" s="7">
        <v>0</v>
      </c>
      <c r="AS42" s="7">
        <v>0</v>
      </c>
      <c r="AT42" s="7">
        <v>3.9E-2</v>
      </c>
      <c r="AU42" s="7">
        <v>1.0999999999999999E-2</v>
      </c>
      <c r="AV42" s="7">
        <v>8.8999999999999996E-2</v>
      </c>
      <c r="AW42" s="7">
        <v>0</v>
      </c>
      <c r="AX42" s="7">
        <v>212</v>
      </c>
      <c r="AY42" s="6" t="s">
        <v>202</v>
      </c>
      <c r="AZ42" s="7">
        <v>58</v>
      </c>
      <c r="BA42" s="6" t="s">
        <v>255</v>
      </c>
      <c r="BB42" s="7">
        <v>47</v>
      </c>
    </row>
    <row r="43" spans="1:54" ht="60" x14ac:dyDescent="0.2">
      <c r="A43" t="s">
        <v>56</v>
      </c>
      <c r="B43" s="6" t="s">
        <v>310</v>
      </c>
      <c r="C43" s="6" t="s">
        <v>311</v>
      </c>
      <c r="D43" s="7">
        <v>73.41</v>
      </c>
      <c r="E43" s="7">
        <v>96</v>
      </c>
      <c r="F43" s="7">
        <v>3.41</v>
      </c>
      <c r="G43" s="7">
        <v>1.5</v>
      </c>
      <c r="H43" s="7">
        <v>0.71</v>
      </c>
      <c r="I43" s="7">
        <v>20.98</v>
      </c>
      <c r="J43" s="7">
        <v>2.4</v>
      </c>
      <c r="K43" s="7">
        <v>4.54</v>
      </c>
      <c r="L43" s="7">
        <v>3</v>
      </c>
      <c r="M43" s="7">
        <v>0.45</v>
      </c>
      <c r="N43" s="7">
        <v>26</v>
      </c>
      <c r="O43" s="7">
        <v>77</v>
      </c>
      <c r="P43" s="7">
        <v>218</v>
      </c>
      <c r="Q43" s="7">
        <v>1</v>
      </c>
      <c r="R43" s="7">
        <v>0.62</v>
      </c>
      <c r="S43" s="7">
        <v>4.9000000000000002E-2</v>
      </c>
      <c r="T43" s="7">
        <v>0.16700000000000001</v>
      </c>
      <c r="U43" s="7">
        <v>0.2</v>
      </c>
      <c r="V43" s="7">
        <v>5.5</v>
      </c>
      <c r="W43" s="7">
        <v>9.2999999999999999E-2</v>
      </c>
      <c r="X43" s="7">
        <v>5.7000000000000002E-2</v>
      </c>
      <c r="Y43" s="7">
        <v>1.6830000000000001</v>
      </c>
      <c r="Z43" s="7">
        <v>0.79200000000000004</v>
      </c>
      <c r="AA43" s="7">
        <v>0.13900000000000001</v>
      </c>
      <c r="AB43" s="7">
        <v>23</v>
      </c>
      <c r="AC43" s="7">
        <v>0</v>
      </c>
      <c r="AD43" s="7">
        <v>23</v>
      </c>
      <c r="AE43" s="7">
        <v>23</v>
      </c>
      <c r="AF43" s="7">
        <v>29.1</v>
      </c>
      <c r="AG43" s="7">
        <v>0</v>
      </c>
      <c r="AH43" s="7">
        <v>263</v>
      </c>
      <c r="AI43" s="7">
        <v>13</v>
      </c>
      <c r="AJ43" s="7">
        <v>0</v>
      </c>
      <c r="AK43" s="7">
        <v>23</v>
      </c>
      <c r="AL43" s="7">
        <v>66</v>
      </c>
      <c r="AM43" s="7">
        <v>161</v>
      </c>
      <c r="AN43" s="7">
        <v>0</v>
      </c>
      <c r="AO43" s="7">
        <v>906</v>
      </c>
      <c r="AP43" s="7">
        <v>0.09</v>
      </c>
      <c r="AQ43" s="7">
        <v>0</v>
      </c>
      <c r="AR43" s="7">
        <v>0</v>
      </c>
      <c r="AS43" s="7">
        <v>0.4</v>
      </c>
      <c r="AT43" s="7">
        <v>0.19700000000000001</v>
      </c>
      <c r="AU43" s="7">
        <v>0.374</v>
      </c>
      <c r="AV43" s="7">
        <v>0.60299999999999998</v>
      </c>
      <c r="AW43" s="7">
        <v>0</v>
      </c>
      <c r="AX43" s="7">
        <v>89</v>
      </c>
      <c r="AY43" s="6" t="s">
        <v>312</v>
      </c>
      <c r="AZ43" s="7">
        <v>103</v>
      </c>
      <c r="BA43" s="6" t="s">
        <v>313</v>
      </c>
      <c r="BB43" s="7">
        <v>45</v>
      </c>
    </row>
    <row r="44" spans="1:54" ht="75" x14ac:dyDescent="0.2">
      <c r="A44" t="s">
        <v>57</v>
      </c>
      <c r="B44" s="6" t="s">
        <v>256</v>
      </c>
      <c r="C44" s="6" t="s">
        <v>257</v>
      </c>
      <c r="D44" s="7">
        <v>0</v>
      </c>
      <c r="E44" s="7">
        <v>900</v>
      </c>
      <c r="F44" s="7">
        <v>0</v>
      </c>
      <c r="G44" s="7">
        <v>100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</v>
      </c>
      <c r="AB44" s="7">
        <v>0</v>
      </c>
      <c r="AC44" s="7">
        <v>0</v>
      </c>
      <c r="AD44" s="7">
        <v>0</v>
      </c>
      <c r="AE44" s="7">
        <v>0</v>
      </c>
      <c r="AF44" s="7">
        <v>0.2</v>
      </c>
      <c r="AG44" s="7">
        <v>0</v>
      </c>
      <c r="AH44" s="7">
        <v>0</v>
      </c>
      <c r="AI44" s="7">
        <v>0</v>
      </c>
      <c r="AJ44" s="7">
        <v>0</v>
      </c>
      <c r="AK44" s="7">
        <v>0</v>
      </c>
      <c r="AL44" s="7">
        <v>0</v>
      </c>
      <c r="AM44" s="7">
        <v>0</v>
      </c>
      <c r="AN44" s="7">
        <v>0</v>
      </c>
      <c r="AO44" s="7">
        <v>0</v>
      </c>
      <c r="AP44" s="7">
        <v>14.78</v>
      </c>
      <c r="AQ44" s="7">
        <v>0</v>
      </c>
      <c r="AR44" s="7">
        <v>0</v>
      </c>
      <c r="AS44" s="7">
        <v>21</v>
      </c>
      <c r="AT44" s="7">
        <v>14.367000000000001</v>
      </c>
      <c r="AU44" s="7">
        <v>48.033000000000001</v>
      </c>
      <c r="AV44" s="7">
        <v>33.033000000000001</v>
      </c>
      <c r="AW44" s="7">
        <v>0</v>
      </c>
      <c r="AX44" s="7">
        <v>14</v>
      </c>
      <c r="AY44" s="6" t="s">
        <v>249</v>
      </c>
      <c r="AZ44" s="7">
        <v>4.5</v>
      </c>
      <c r="BA44" s="6" t="s">
        <v>250</v>
      </c>
      <c r="BB44" s="7">
        <v>0</v>
      </c>
    </row>
    <row r="45" spans="1:54" x14ac:dyDescent="0.2">
      <c r="A45" t="s">
        <v>58</v>
      </c>
    </row>
    <row r="46" spans="1:54" x14ac:dyDescent="0.2">
      <c r="A46" t="s">
        <v>59</v>
      </c>
    </row>
    <row r="47" spans="1:54" x14ac:dyDescent="0.2">
      <c r="A47" t="s">
        <v>60</v>
      </c>
    </row>
    <row r="48" spans="1:54" ht="105" x14ac:dyDescent="0.2">
      <c r="A48" t="s">
        <v>61</v>
      </c>
      <c r="B48" s="6" t="s">
        <v>272</v>
      </c>
      <c r="C48" s="6" t="s">
        <v>273</v>
      </c>
      <c r="D48" s="7">
        <v>89.21</v>
      </c>
      <c r="E48" s="7">
        <v>50</v>
      </c>
      <c r="F48" s="7">
        <v>3.3</v>
      </c>
      <c r="G48" s="7">
        <v>1.98</v>
      </c>
      <c r="H48" s="7">
        <v>0.71</v>
      </c>
      <c r="I48" s="7">
        <v>4.8</v>
      </c>
      <c r="J48" s="7">
        <v>0</v>
      </c>
      <c r="K48" s="7">
        <v>5.0599999999999996</v>
      </c>
      <c r="L48" s="7">
        <v>120</v>
      </c>
      <c r="M48" s="7">
        <v>0.02</v>
      </c>
      <c r="N48" s="7">
        <v>11</v>
      </c>
      <c r="O48" s="7">
        <v>92</v>
      </c>
      <c r="P48" s="7">
        <v>140</v>
      </c>
      <c r="Q48" s="7">
        <v>47</v>
      </c>
      <c r="R48" s="7">
        <v>0.48</v>
      </c>
      <c r="S48" s="7">
        <v>6.0000000000000001E-3</v>
      </c>
      <c r="T48" s="7">
        <v>1.4E-2</v>
      </c>
      <c r="U48" s="7">
        <v>2.5</v>
      </c>
      <c r="V48" s="7">
        <v>0.2</v>
      </c>
      <c r="W48" s="7">
        <v>3.9E-2</v>
      </c>
      <c r="X48" s="7">
        <v>0.185</v>
      </c>
      <c r="Y48" s="7">
        <v>9.1999999999999998E-2</v>
      </c>
      <c r="Z48" s="7">
        <v>0.35599999999999998</v>
      </c>
      <c r="AA48" s="7">
        <v>3.7999999999999999E-2</v>
      </c>
      <c r="AB48" s="7">
        <v>5</v>
      </c>
      <c r="AC48" s="7">
        <v>0</v>
      </c>
      <c r="AD48" s="7">
        <v>5</v>
      </c>
      <c r="AE48" s="7">
        <v>5</v>
      </c>
      <c r="AF48" s="7">
        <v>16.399999999999999</v>
      </c>
      <c r="AG48" s="7">
        <v>0.53</v>
      </c>
      <c r="AH48" s="7">
        <v>190</v>
      </c>
      <c r="AI48" s="7">
        <v>55</v>
      </c>
      <c r="AJ48" s="7">
        <v>55</v>
      </c>
      <c r="AK48" s="7">
        <v>0</v>
      </c>
      <c r="AL48" s="7">
        <v>4</v>
      </c>
      <c r="AM48" s="7">
        <v>0</v>
      </c>
      <c r="AN48" s="7">
        <v>0</v>
      </c>
      <c r="AO48" s="7">
        <v>0</v>
      </c>
      <c r="AP48" s="7">
        <v>0.03</v>
      </c>
      <c r="AQ48" s="7">
        <v>1.2</v>
      </c>
      <c r="AR48" s="7">
        <v>49</v>
      </c>
      <c r="AS48" s="7">
        <v>0.2</v>
      </c>
      <c r="AT48" s="7">
        <v>1.2569999999999999</v>
      </c>
      <c r="AU48" s="7">
        <v>0.56000000000000005</v>
      </c>
      <c r="AV48" s="7">
        <v>7.2999999999999995E-2</v>
      </c>
      <c r="AW48" s="7">
        <v>8</v>
      </c>
      <c r="AX48" s="7">
        <v>244</v>
      </c>
      <c r="AY48" s="6" t="s">
        <v>178</v>
      </c>
      <c r="AZ48" s="7">
        <v>30.5</v>
      </c>
      <c r="BA48" s="6" t="s">
        <v>174</v>
      </c>
      <c r="BB48" s="7">
        <v>0</v>
      </c>
    </row>
    <row r="49" spans="1:54" x14ac:dyDescent="0.2">
      <c r="A49" t="s">
        <v>62</v>
      </c>
      <c r="B49" s="6" t="s">
        <v>274</v>
      </c>
      <c r="C49" s="6" t="s">
        <v>275</v>
      </c>
      <c r="D49" s="7">
        <v>79.2</v>
      </c>
      <c r="E49" s="7">
        <v>90</v>
      </c>
      <c r="F49" s="7">
        <v>16.100000000000001</v>
      </c>
      <c r="G49" s="7">
        <v>1.4</v>
      </c>
      <c r="H49" s="7">
        <v>1.3</v>
      </c>
      <c r="I49" s="7">
        <v>2</v>
      </c>
      <c r="J49" s="7">
        <v>0</v>
      </c>
      <c r="K49" s="7">
        <v>0</v>
      </c>
      <c r="L49" s="7">
        <v>10</v>
      </c>
      <c r="M49" s="7">
        <v>3.5</v>
      </c>
      <c r="N49" s="7">
        <v>250</v>
      </c>
      <c r="O49" s="7">
        <v>272</v>
      </c>
      <c r="P49" s="7">
        <v>382</v>
      </c>
      <c r="Q49" s="7">
        <v>70</v>
      </c>
      <c r="R49" s="7">
        <v>1</v>
      </c>
      <c r="S49" s="7">
        <v>0.4</v>
      </c>
      <c r="U49" s="7">
        <v>27.4</v>
      </c>
      <c r="V49" s="7">
        <v>0</v>
      </c>
      <c r="W49" s="7">
        <v>0.01</v>
      </c>
      <c r="X49" s="7">
        <v>0.12</v>
      </c>
      <c r="Y49" s="7">
        <v>1.4</v>
      </c>
      <c r="AA49" s="7">
        <v>0.13</v>
      </c>
      <c r="AB49" s="7">
        <v>6</v>
      </c>
      <c r="AC49" s="7">
        <v>0</v>
      </c>
      <c r="AD49" s="7">
        <v>6</v>
      </c>
      <c r="AE49" s="7">
        <v>6</v>
      </c>
      <c r="AF49" s="7">
        <v>65</v>
      </c>
      <c r="AG49" s="7">
        <v>0.5</v>
      </c>
      <c r="AH49" s="7">
        <v>100</v>
      </c>
      <c r="AI49" s="7">
        <v>30</v>
      </c>
      <c r="AJ49" s="7">
        <v>30</v>
      </c>
      <c r="AK49" s="7">
        <v>0</v>
      </c>
      <c r="AL49" s="7">
        <v>0</v>
      </c>
      <c r="AM49" s="7">
        <v>0</v>
      </c>
      <c r="AN49" s="7">
        <v>0</v>
      </c>
      <c r="AO49" s="7">
        <v>0</v>
      </c>
      <c r="AP49" s="7">
        <v>5</v>
      </c>
      <c r="AQ49" s="7">
        <v>0</v>
      </c>
      <c r="AR49" s="7">
        <v>0</v>
      </c>
      <c r="AS49" s="7">
        <v>0.1</v>
      </c>
      <c r="AT49" s="7">
        <v>0.36099999999999999</v>
      </c>
      <c r="AU49" s="7">
        <v>0.25900000000000001</v>
      </c>
      <c r="AV49" s="7">
        <v>0.252</v>
      </c>
      <c r="AW49" s="7">
        <v>50</v>
      </c>
      <c r="AX49" s="7">
        <v>85</v>
      </c>
      <c r="AY49" s="6" t="s">
        <v>199</v>
      </c>
      <c r="BA49" s="6" t="s">
        <v>276</v>
      </c>
    </row>
    <row r="50" spans="1:54" ht="75" x14ac:dyDescent="0.2">
      <c r="A50" t="s">
        <v>63</v>
      </c>
      <c r="B50" s="6" t="s">
        <v>277</v>
      </c>
      <c r="C50" s="6" t="s">
        <v>278</v>
      </c>
      <c r="D50" s="7">
        <v>68.209999999999994</v>
      </c>
      <c r="E50" s="7">
        <v>143</v>
      </c>
      <c r="F50" s="7">
        <v>27.1</v>
      </c>
      <c r="G50" s="7">
        <v>3.03</v>
      </c>
      <c r="H50" s="7">
        <v>1.46</v>
      </c>
      <c r="I50" s="7">
        <v>0</v>
      </c>
      <c r="J50" s="7">
        <v>0</v>
      </c>
      <c r="K50" s="7">
        <v>0</v>
      </c>
      <c r="L50" s="7">
        <v>17</v>
      </c>
      <c r="M50" s="7">
        <v>3.73</v>
      </c>
      <c r="N50" s="7">
        <v>0</v>
      </c>
      <c r="O50" s="7">
        <v>201</v>
      </c>
      <c r="P50" s="7">
        <v>405</v>
      </c>
      <c r="Q50" s="7">
        <v>86</v>
      </c>
      <c r="R50" s="7">
        <v>5.27</v>
      </c>
      <c r="S50" s="7">
        <v>0.30299999999999999</v>
      </c>
      <c r="T50" s="7">
        <v>4.2000000000000003E-2</v>
      </c>
      <c r="U50" s="7">
        <v>11.8</v>
      </c>
      <c r="V50" s="7">
        <v>0</v>
      </c>
      <c r="W50" s="7">
        <v>0.09</v>
      </c>
      <c r="X50" s="7">
        <v>0.61</v>
      </c>
      <c r="Y50" s="7">
        <v>3.95</v>
      </c>
      <c r="AA50" s="7">
        <v>0</v>
      </c>
      <c r="AB50" s="7">
        <v>5</v>
      </c>
      <c r="AC50" s="7">
        <v>0</v>
      </c>
      <c r="AD50" s="7">
        <v>5</v>
      </c>
      <c r="AE50" s="7">
        <v>5</v>
      </c>
      <c r="AF50" s="7">
        <v>106.4</v>
      </c>
      <c r="AG50" s="7">
        <v>1.19</v>
      </c>
      <c r="AH50" s="7">
        <v>0</v>
      </c>
      <c r="AI50" s="7">
        <v>0</v>
      </c>
      <c r="AJ50" s="7">
        <v>0</v>
      </c>
      <c r="AK50" s="7">
        <v>0</v>
      </c>
      <c r="AL50" s="7">
        <v>0</v>
      </c>
      <c r="AM50" s="7">
        <v>0</v>
      </c>
      <c r="AN50" s="7">
        <v>0</v>
      </c>
      <c r="AO50" s="7">
        <v>0</v>
      </c>
      <c r="AP50" s="7">
        <v>0.34</v>
      </c>
      <c r="AQ50" s="7">
        <v>0</v>
      </c>
      <c r="AR50" s="7">
        <v>0</v>
      </c>
      <c r="AS50" s="7">
        <v>1.2</v>
      </c>
      <c r="AT50" s="7">
        <v>0.93</v>
      </c>
      <c r="AU50" s="7">
        <v>1.36</v>
      </c>
      <c r="AV50" s="7">
        <v>0.23</v>
      </c>
      <c r="AW50" s="7">
        <v>75</v>
      </c>
      <c r="AX50" s="7">
        <v>85</v>
      </c>
      <c r="AY50" s="6" t="s">
        <v>199</v>
      </c>
      <c r="AZ50" s="7">
        <v>340</v>
      </c>
      <c r="BA50" s="6" t="s">
        <v>279</v>
      </c>
      <c r="BB50" s="7">
        <v>0</v>
      </c>
    </row>
    <row r="51" spans="1:54" x14ac:dyDescent="0.2">
      <c r="A51" t="s">
        <v>64</v>
      </c>
      <c r="B51" s="6" t="s">
        <v>280</v>
      </c>
      <c r="C51" s="6" t="s">
        <v>281</v>
      </c>
      <c r="D51" s="7">
        <v>8.2200000000000006</v>
      </c>
      <c r="E51" s="7">
        <v>389</v>
      </c>
      <c r="F51" s="7">
        <v>16.89</v>
      </c>
      <c r="G51" s="7">
        <v>6.9</v>
      </c>
      <c r="H51" s="7">
        <v>1.72</v>
      </c>
      <c r="I51" s="7">
        <v>66.27</v>
      </c>
      <c r="J51" s="7">
        <v>10.6</v>
      </c>
      <c r="L51" s="7">
        <v>54</v>
      </c>
      <c r="M51" s="7">
        <v>4.72</v>
      </c>
      <c r="N51" s="7">
        <v>177</v>
      </c>
      <c r="O51" s="7">
        <v>523</v>
      </c>
      <c r="P51" s="7">
        <v>429</v>
      </c>
      <c r="Q51" s="7">
        <v>2</v>
      </c>
      <c r="R51" s="7">
        <v>3.97</v>
      </c>
      <c r="S51" s="7">
        <v>0.626</v>
      </c>
      <c r="T51" s="7">
        <v>4.9160000000000004</v>
      </c>
      <c r="V51" s="7">
        <v>0</v>
      </c>
      <c r="W51" s="7">
        <v>0.76300000000000001</v>
      </c>
      <c r="X51" s="7">
        <v>0.13900000000000001</v>
      </c>
      <c r="Y51" s="7">
        <v>0.96099999999999997</v>
      </c>
      <c r="Z51" s="7">
        <v>1.349</v>
      </c>
      <c r="AA51" s="7">
        <v>0.11899999999999999</v>
      </c>
      <c r="AB51" s="7">
        <v>56</v>
      </c>
      <c r="AC51" s="7">
        <v>0</v>
      </c>
      <c r="AD51" s="7">
        <v>56</v>
      </c>
      <c r="AE51" s="7">
        <v>56</v>
      </c>
      <c r="AG51" s="7">
        <v>0</v>
      </c>
      <c r="AH51" s="7">
        <v>0</v>
      </c>
      <c r="AI51" s="7">
        <v>0</v>
      </c>
      <c r="AJ51" s="7">
        <v>0</v>
      </c>
      <c r="AQ51" s="7">
        <v>0</v>
      </c>
      <c r="AR51" s="7">
        <v>0</v>
      </c>
      <c r="AT51" s="7">
        <v>1.2170000000000001</v>
      </c>
      <c r="AU51" s="7">
        <v>2.1779999999999999</v>
      </c>
      <c r="AV51" s="7">
        <v>2.5350000000000001</v>
      </c>
      <c r="AW51" s="7">
        <v>0</v>
      </c>
      <c r="AX51" s="7">
        <v>156</v>
      </c>
      <c r="AY51" s="6" t="s">
        <v>178</v>
      </c>
      <c r="BA51" s="6" t="s">
        <v>276</v>
      </c>
      <c r="BB51" s="7">
        <v>0</v>
      </c>
    </row>
    <row r="52" spans="1:54" x14ac:dyDescent="0.2">
      <c r="A52" t="s">
        <v>65</v>
      </c>
    </row>
    <row r="53" spans="1:54" x14ac:dyDescent="0.2">
      <c r="A53" t="s">
        <v>66</v>
      </c>
    </row>
    <row r="54" spans="1:54" ht="75" x14ac:dyDescent="0.2">
      <c r="A54" t="s">
        <v>67</v>
      </c>
      <c r="B54" s="6" t="s">
        <v>256</v>
      </c>
      <c r="C54" s="6" t="s">
        <v>257</v>
      </c>
      <c r="D54" s="7">
        <v>0</v>
      </c>
      <c r="E54" s="7">
        <v>900</v>
      </c>
      <c r="F54" s="7">
        <v>0</v>
      </c>
      <c r="G54" s="7">
        <v>100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</row>
    <row r="55" spans="1:54" ht="75" x14ac:dyDescent="0.2">
      <c r="A55" t="s">
        <v>68</v>
      </c>
      <c r="B55" s="6" t="s">
        <v>256</v>
      </c>
      <c r="C55" s="6" t="s">
        <v>257</v>
      </c>
      <c r="D55" s="7">
        <v>0</v>
      </c>
      <c r="E55" s="7">
        <v>900</v>
      </c>
      <c r="F55" s="7">
        <v>0</v>
      </c>
      <c r="G55" s="7">
        <v>100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</row>
    <row r="56" spans="1:54" ht="45" x14ac:dyDescent="0.2">
      <c r="A56" t="s">
        <v>69</v>
      </c>
      <c r="B56" s="6" t="s">
        <v>268</v>
      </c>
      <c r="C56" s="6" t="s">
        <v>269</v>
      </c>
      <c r="D56" s="7">
        <v>0</v>
      </c>
      <c r="E56" s="7">
        <v>884</v>
      </c>
      <c r="F56" s="7">
        <v>0</v>
      </c>
      <c r="G56" s="7">
        <v>100</v>
      </c>
      <c r="H56" s="7">
        <v>0</v>
      </c>
      <c r="I56" s="7">
        <v>0</v>
      </c>
      <c r="J56" s="7">
        <v>0</v>
      </c>
      <c r="K56" s="7">
        <v>0</v>
      </c>
      <c r="L56" s="7">
        <v>1</v>
      </c>
      <c r="M56" s="7">
        <v>0.56000000000000005</v>
      </c>
      <c r="N56" s="7">
        <v>0</v>
      </c>
      <c r="O56" s="7">
        <v>0</v>
      </c>
      <c r="P56" s="7">
        <v>1</v>
      </c>
      <c r="Q56" s="7">
        <v>2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 s="7">
        <v>0.3</v>
      </c>
      <c r="AG56" s="7">
        <v>0</v>
      </c>
      <c r="AH56" s="7">
        <v>0</v>
      </c>
      <c r="AI56" s="7">
        <v>0</v>
      </c>
      <c r="AJ56" s="7">
        <v>0</v>
      </c>
      <c r="AK56" s="7">
        <v>0</v>
      </c>
      <c r="AL56" s="7">
        <v>0</v>
      </c>
      <c r="AM56" s="7">
        <v>0</v>
      </c>
      <c r="AN56" s="7">
        <v>0</v>
      </c>
      <c r="AO56" s="7">
        <v>0</v>
      </c>
      <c r="AP56" s="7">
        <v>14.35</v>
      </c>
      <c r="AQ56" s="7">
        <v>0</v>
      </c>
      <c r="AR56" s="7">
        <v>0</v>
      </c>
      <c r="AS56" s="7">
        <v>60.2</v>
      </c>
      <c r="AT56" s="7">
        <v>13.808</v>
      </c>
      <c r="AU56" s="7">
        <v>72.960999999999999</v>
      </c>
      <c r="AV56" s="7">
        <v>10.523</v>
      </c>
      <c r="AW56" s="7">
        <v>0</v>
      </c>
      <c r="AX56" s="7">
        <v>13.5</v>
      </c>
      <c r="AY56" s="6" t="s">
        <v>249</v>
      </c>
      <c r="AZ56" s="7">
        <v>216</v>
      </c>
      <c r="BA56" s="6" t="s">
        <v>178</v>
      </c>
      <c r="BB56" s="7">
        <v>0</v>
      </c>
    </row>
    <row r="57" spans="1:54" ht="45" x14ac:dyDescent="0.2">
      <c r="A57" s="9" t="s">
        <v>70</v>
      </c>
      <c r="B57" s="6" t="s">
        <v>341</v>
      </c>
      <c r="C57" s="6" t="s">
        <v>342</v>
      </c>
      <c r="D57" s="7">
        <v>79.989999999999995</v>
      </c>
      <c r="E57" s="7">
        <v>115</v>
      </c>
      <c r="F57" s="7">
        <v>0.84</v>
      </c>
      <c r="G57" s="7">
        <v>10.68</v>
      </c>
      <c r="H57" s="7">
        <v>2.23</v>
      </c>
      <c r="I57" s="7">
        <v>6.26</v>
      </c>
      <c r="J57" s="7">
        <v>3.2</v>
      </c>
      <c r="K57" s="7">
        <v>0</v>
      </c>
      <c r="L57" s="7">
        <v>88</v>
      </c>
      <c r="M57" s="7">
        <v>3.3</v>
      </c>
      <c r="N57" s="7">
        <v>4</v>
      </c>
      <c r="O57" s="7">
        <v>3</v>
      </c>
      <c r="P57" s="7">
        <v>8</v>
      </c>
      <c r="Q57" s="7">
        <v>735</v>
      </c>
      <c r="R57" s="7">
        <v>0.22</v>
      </c>
      <c r="S57" s="7">
        <v>0.251</v>
      </c>
      <c r="T57" s="7">
        <v>0.02</v>
      </c>
      <c r="U57" s="7">
        <v>0.9</v>
      </c>
      <c r="V57" s="7">
        <v>0.9</v>
      </c>
      <c r="W57" s="7">
        <v>3.0000000000000001E-3</v>
      </c>
      <c r="X57" s="7">
        <v>0</v>
      </c>
      <c r="Y57" s="7">
        <v>3.6999999999999998E-2</v>
      </c>
      <c r="Z57" s="7">
        <v>1.4999999999999999E-2</v>
      </c>
      <c r="AA57" s="7">
        <v>8.9999999999999993E-3</v>
      </c>
      <c r="AB57" s="7">
        <v>0</v>
      </c>
      <c r="AC57" s="7">
        <v>0</v>
      </c>
      <c r="AD57" s="7">
        <v>0</v>
      </c>
      <c r="AE57" s="7">
        <v>0</v>
      </c>
      <c r="AF57" s="7">
        <v>10.3</v>
      </c>
      <c r="AG57" s="7">
        <v>0</v>
      </c>
      <c r="AH57" s="7">
        <v>403</v>
      </c>
      <c r="AI57" s="7">
        <v>20</v>
      </c>
      <c r="AJ57" s="7">
        <v>0</v>
      </c>
      <c r="AK57" s="7">
        <v>0</v>
      </c>
      <c r="AL57" s="7">
        <v>237</v>
      </c>
      <c r="AM57" s="7">
        <v>9</v>
      </c>
      <c r="AN57" s="7">
        <v>0</v>
      </c>
      <c r="AO57" s="7">
        <v>510</v>
      </c>
      <c r="AP57" s="7">
        <v>1.65</v>
      </c>
      <c r="AQ57" s="7">
        <v>0</v>
      </c>
      <c r="AR57" s="7">
        <v>0</v>
      </c>
      <c r="AS57" s="7">
        <v>1.4</v>
      </c>
      <c r="AT57" s="7">
        <v>1.415</v>
      </c>
      <c r="AU57" s="7">
        <v>7.8879999999999999</v>
      </c>
      <c r="AV57" s="7">
        <v>0.91100000000000003</v>
      </c>
      <c r="AW57" s="7">
        <v>0</v>
      </c>
      <c r="AX57" s="7">
        <v>8.4</v>
      </c>
      <c r="AY57" s="6" t="s">
        <v>177</v>
      </c>
      <c r="AZ57" s="7">
        <v>4.4000000000000004</v>
      </c>
      <c r="BA57" s="6" t="s">
        <v>228</v>
      </c>
      <c r="BB57" s="7">
        <v>0</v>
      </c>
    </row>
    <row r="58" spans="1:54" ht="30" x14ac:dyDescent="0.2">
      <c r="A58" t="s">
        <v>71</v>
      </c>
      <c r="B58" s="6" t="s">
        <v>314</v>
      </c>
      <c r="C58" s="6" t="s">
        <v>315</v>
      </c>
      <c r="D58" s="7">
        <v>89.11</v>
      </c>
      <c r="E58" s="7">
        <v>40</v>
      </c>
      <c r="F58" s="7">
        <v>1.1000000000000001</v>
      </c>
      <c r="G58" s="7">
        <v>0.1</v>
      </c>
      <c r="H58" s="7">
        <v>0.35</v>
      </c>
      <c r="I58" s="7">
        <v>9.34</v>
      </c>
      <c r="J58" s="7">
        <v>1.7</v>
      </c>
      <c r="K58" s="7">
        <v>4.24</v>
      </c>
      <c r="L58" s="7">
        <v>23</v>
      </c>
      <c r="M58" s="7">
        <v>0.21</v>
      </c>
      <c r="N58" s="7">
        <v>10</v>
      </c>
      <c r="O58" s="7">
        <v>29</v>
      </c>
      <c r="P58" s="7">
        <v>146</v>
      </c>
      <c r="Q58" s="7">
        <v>4</v>
      </c>
      <c r="R58" s="7">
        <v>0.17</v>
      </c>
      <c r="S58" s="7">
        <v>3.9E-2</v>
      </c>
      <c r="T58" s="7">
        <v>0.129</v>
      </c>
      <c r="U58" s="7">
        <v>0.5</v>
      </c>
      <c r="V58" s="7">
        <v>7.4</v>
      </c>
      <c r="W58" s="7">
        <v>4.5999999999999999E-2</v>
      </c>
      <c r="X58" s="7">
        <v>2.7E-2</v>
      </c>
      <c r="Y58" s="7">
        <v>0.11600000000000001</v>
      </c>
      <c r="Z58" s="7">
        <v>0.123</v>
      </c>
      <c r="AA58" s="7">
        <v>0.12</v>
      </c>
      <c r="AB58" s="7">
        <v>19</v>
      </c>
      <c r="AC58" s="7">
        <v>0</v>
      </c>
      <c r="AD58" s="7">
        <v>19</v>
      </c>
      <c r="AE58" s="7">
        <v>19</v>
      </c>
      <c r="AF58" s="7">
        <v>6.1</v>
      </c>
      <c r="AG58" s="7">
        <v>0</v>
      </c>
      <c r="AH58" s="7">
        <v>2</v>
      </c>
      <c r="AI58" s="7">
        <v>0</v>
      </c>
      <c r="AJ58" s="7">
        <v>0</v>
      </c>
      <c r="AK58" s="7">
        <v>0</v>
      </c>
      <c r="AL58" s="7">
        <v>1</v>
      </c>
      <c r="AM58" s="7">
        <v>0</v>
      </c>
      <c r="AN58" s="7">
        <v>0</v>
      </c>
      <c r="AO58" s="7">
        <v>4</v>
      </c>
      <c r="AP58" s="7">
        <v>0.02</v>
      </c>
      <c r="AQ58" s="7">
        <v>0</v>
      </c>
      <c r="AR58" s="7">
        <v>0</v>
      </c>
      <c r="AS58" s="7">
        <v>0.4</v>
      </c>
      <c r="AT58" s="7">
        <v>4.2000000000000003E-2</v>
      </c>
      <c r="AU58" s="7">
        <v>1.2999999999999999E-2</v>
      </c>
      <c r="AV58" s="7">
        <v>1.7000000000000001E-2</v>
      </c>
      <c r="AW58" s="7">
        <v>0</v>
      </c>
      <c r="AX58" s="7">
        <v>160</v>
      </c>
      <c r="AY58" s="6" t="s">
        <v>221</v>
      </c>
      <c r="AZ58" s="7">
        <v>115</v>
      </c>
      <c r="BA58" s="6" t="s">
        <v>186</v>
      </c>
      <c r="BB58" s="7">
        <v>10</v>
      </c>
    </row>
    <row r="59" spans="1:54" ht="60" x14ac:dyDescent="0.2">
      <c r="A59" s="9" t="s">
        <v>72</v>
      </c>
      <c r="B59" s="6" t="s">
        <v>337</v>
      </c>
      <c r="C59" s="6" t="s">
        <v>338</v>
      </c>
      <c r="D59" s="7">
        <v>87.14</v>
      </c>
      <c r="E59" s="7">
        <v>46</v>
      </c>
      <c r="F59" s="7">
        <v>0.7</v>
      </c>
      <c r="G59" s="7">
        <v>0.21</v>
      </c>
      <c r="H59" s="7">
        <v>0.41</v>
      </c>
      <c r="I59" s="7">
        <v>11.54</v>
      </c>
      <c r="J59" s="7">
        <v>2.4</v>
      </c>
      <c r="K59" s="7">
        <v>9.14</v>
      </c>
      <c r="L59" s="7">
        <v>43</v>
      </c>
      <c r="M59" s="7">
        <v>0.09</v>
      </c>
      <c r="N59" s="7">
        <v>10</v>
      </c>
      <c r="O59" s="7">
        <v>12</v>
      </c>
      <c r="P59" s="7">
        <v>169</v>
      </c>
      <c r="Q59" s="7">
        <v>0</v>
      </c>
      <c r="R59" s="7">
        <v>0.08</v>
      </c>
      <c r="S59" s="7">
        <v>3.9E-2</v>
      </c>
      <c r="T59" s="7">
        <v>2.4E-2</v>
      </c>
      <c r="U59" s="7">
        <v>0.5</v>
      </c>
      <c r="V59" s="7">
        <v>45</v>
      </c>
      <c r="W59" s="7">
        <v>0.1</v>
      </c>
      <c r="X59" s="7">
        <v>0.04</v>
      </c>
      <c r="Y59" s="7">
        <v>0.4</v>
      </c>
      <c r="Z59" s="7">
        <v>0.25</v>
      </c>
      <c r="AA59" s="7">
        <v>5.0999999999999997E-2</v>
      </c>
      <c r="AB59" s="7">
        <v>17</v>
      </c>
      <c r="AC59" s="7">
        <v>0</v>
      </c>
      <c r="AD59" s="7">
        <v>17</v>
      </c>
      <c r="AE59" s="7">
        <v>17</v>
      </c>
      <c r="AF59" s="7">
        <v>8.4</v>
      </c>
      <c r="AG59" s="7">
        <v>0</v>
      </c>
      <c r="AH59" s="7">
        <v>225</v>
      </c>
      <c r="AI59" s="7">
        <v>11</v>
      </c>
      <c r="AJ59" s="7">
        <v>0</v>
      </c>
      <c r="AK59" s="7">
        <v>11</v>
      </c>
      <c r="AL59" s="7">
        <v>71</v>
      </c>
      <c r="AM59" s="7">
        <v>116</v>
      </c>
      <c r="AN59" s="7">
        <v>0</v>
      </c>
      <c r="AO59" s="7">
        <v>129</v>
      </c>
      <c r="AP59" s="7">
        <v>0.18</v>
      </c>
      <c r="AQ59" s="7">
        <v>0</v>
      </c>
      <c r="AR59" s="7">
        <v>0</v>
      </c>
      <c r="AS59" s="7">
        <v>0</v>
      </c>
      <c r="AT59" s="7">
        <v>2.5000000000000001E-2</v>
      </c>
      <c r="AU59" s="7">
        <v>3.9E-2</v>
      </c>
      <c r="AV59" s="7">
        <v>4.2000000000000003E-2</v>
      </c>
      <c r="AW59" s="7">
        <v>0</v>
      </c>
      <c r="AX59" s="7">
        <v>185</v>
      </c>
      <c r="AY59" s="6" t="s">
        <v>339</v>
      </c>
      <c r="AZ59" s="7">
        <v>141</v>
      </c>
      <c r="BA59" s="6" t="s">
        <v>340</v>
      </c>
      <c r="BB59" s="7">
        <v>26</v>
      </c>
    </row>
    <row r="60" spans="1:54" x14ac:dyDescent="0.2">
      <c r="A60" t="s">
        <v>73</v>
      </c>
      <c r="B60" s="6" t="s">
        <v>270</v>
      </c>
      <c r="C60" s="6" t="s">
        <v>271</v>
      </c>
      <c r="D60" s="7">
        <v>0</v>
      </c>
      <c r="E60" s="7">
        <v>884</v>
      </c>
      <c r="F60" s="7">
        <v>0</v>
      </c>
      <c r="G60" s="7">
        <v>100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0.01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 s="7">
        <v>0.3</v>
      </c>
      <c r="AG60" s="7">
        <v>0</v>
      </c>
      <c r="AH60" s="7">
        <v>0</v>
      </c>
      <c r="AI60" s="7">
        <v>0</v>
      </c>
      <c r="AJ60" s="7">
        <v>0</v>
      </c>
      <c r="AK60" s="7">
        <v>0</v>
      </c>
      <c r="AL60" s="7">
        <v>0</v>
      </c>
      <c r="AM60" s="7">
        <v>0</v>
      </c>
      <c r="AN60" s="7">
        <v>0</v>
      </c>
      <c r="AO60" s="7">
        <v>0</v>
      </c>
      <c r="AP60" s="7">
        <v>15.94</v>
      </c>
      <c r="AS60" s="7">
        <v>8</v>
      </c>
      <c r="AT60" s="7">
        <v>49.3</v>
      </c>
      <c r="AU60" s="7">
        <v>37</v>
      </c>
      <c r="AV60" s="7">
        <v>9.3000000000000007</v>
      </c>
      <c r="AW60" s="7">
        <v>0</v>
      </c>
      <c r="AX60" s="7">
        <v>13.6</v>
      </c>
      <c r="AY60" s="6" t="s">
        <v>177</v>
      </c>
      <c r="AZ60" s="7">
        <v>216</v>
      </c>
      <c r="BA60" s="6" t="s">
        <v>178</v>
      </c>
      <c r="BB60" s="7">
        <v>0</v>
      </c>
    </row>
    <row r="61" spans="1:54" ht="45" x14ac:dyDescent="0.2">
      <c r="A61" t="s">
        <v>74</v>
      </c>
      <c r="B61" s="6" t="s">
        <v>258</v>
      </c>
      <c r="C61" s="6" t="s">
        <v>259</v>
      </c>
      <c r="D61" s="7">
        <v>0</v>
      </c>
      <c r="E61" s="7">
        <v>862</v>
      </c>
      <c r="F61" s="7">
        <v>0</v>
      </c>
      <c r="G61" s="7">
        <v>100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7">
        <v>0</v>
      </c>
      <c r="AE61" s="7">
        <v>0</v>
      </c>
      <c r="AF61" s="7">
        <v>0.2</v>
      </c>
      <c r="AG61" s="7">
        <v>0</v>
      </c>
      <c r="AH61" s="7">
        <v>0</v>
      </c>
      <c r="AI61" s="7">
        <v>0</v>
      </c>
      <c r="AJ61" s="7">
        <v>0</v>
      </c>
      <c r="AK61" s="7">
        <v>0</v>
      </c>
      <c r="AL61" s="7">
        <v>0</v>
      </c>
      <c r="AM61" s="7">
        <v>0</v>
      </c>
      <c r="AN61" s="7">
        <v>0</v>
      </c>
      <c r="AO61" s="7">
        <v>0</v>
      </c>
      <c r="AP61" s="7">
        <v>3.81</v>
      </c>
      <c r="AQ61" s="7">
        <v>0</v>
      </c>
      <c r="AR61" s="7">
        <v>0</v>
      </c>
      <c r="AS61" s="7">
        <v>24.7</v>
      </c>
      <c r="AT61" s="7">
        <v>81.5</v>
      </c>
      <c r="AU61" s="7">
        <v>11.4</v>
      </c>
      <c r="AV61" s="7">
        <v>1.6</v>
      </c>
      <c r="AW61" s="7">
        <v>0</v>
      </c>
      <c r="AX61" s="7">
        <v>13.6</v>
      </c>
      <c r="AY61" s="6" t="s">
        <v>249</v>
      </c>
      <c r="AZ61" s="7">
        <v>218</v>
      </c>
      <c r="BA61" s="6" t="s">
        <v>178</v>
      </c>
      <c r="BB61" s="7">
        <v>0</v>
      </c>
    </row>
    <row r="62" spans="1:54" ht="45" x14ac:dyDescent="0.2">
      <c r="A62" t="s">
        <v>75</v>
      </c>
      <c r="B62" s="6" t="s">
        <v>292</v>
      </c>
      <c r="C62" s="6" t="s">
        <v>293</v>
      </c>
      <c r="D62" s="7">
        <v>77.87</v>
      </c>
      <c r="E62" s="7">
        <v>84</v>
      </c>
      <c r="F62" s="7">
        <v>5.36</v>
      </c>
      <c r="G62" s="7">
        <v>0.22</v>
      </c>
      <c r="H62" s="7">
        <v>0.92</v>
      </c>
      <c r="I62" s="7">
        <v>15.63</v>
      </c>
      <c r="J62" s="7">
        <v>5.5</v>
      </c>
      <c r="K62" s="7">
        <v>5.93</v>
      </c>
      <c r="L62" s="7">
        <v>27</v>
      </c>
      <c r="M62" s="7">
        <v>1.54</v>
      </c>
      <c r="N62" s="7">
        <v>39</v>
      </c>
      <c r="O62" s="7">
        <v>117</v>
      </c>
      <c r="P62" s="7">
        <v>271</v>
      </c>
      <c r="Q62" s="7">
        <v>3</v>
      </c>
      <c r="R62" s="7">
        <v>1.19</v>
      </c>
      <c r="S62" s="7">
        <v>0.17299999999999999</v>
      </c>
      <c r="T62" s="7">
        <v>0.52500000000000002</v>
      </c>
      <c r="U62" s="7">
        <v>1.9</v>
      </c>
      <c r="V62" s="7">
        <v>14.2</v>
      </c>
      <c r="W62" s="7">
        <v>0.25900000000000001</v>
      </c>
      <c r="X62" s="7">
        <v>0.14899999999999999</v>
      </c>
      <c r="Y62" s="7">
        <v>2.0209999999999999</v>
      </c>
      <c r="Z62" s="7">
        <v>0.153</v>
      </c>
      <c r="AA62" s="7">
        <v>0.216</v>
      </c>
      <c r="AB62" s="7">
        <v>63</v>
      </c>
      <c r="AC62" s="7">
        <v>0</v>
      </c>
      <c r="AD62" s="7">
        <v>63</v>
      </c>
      <c r="AE62" s="7">
        <v>63</v>
      </c>
      <c r="AF62" s="7">
        <v>29.7</v>
      </c>
      <c r="AG62" s="7">
        <v>0</v>
      </c>
      <c r="AH62" s="7">
        <v>801</v>
      </c>
      <c r="AI62" s="7">
        <v>40</v>
      </c>
      <c r="AJ62" s="7">
        <v>0</v>
      </c>
      <c r="AK62" s="7">
        <v>22</v>
      </c>
      <c r="AL62" s="7">
        <v>470</v>
      </c>
      <c r="AM62" s="7">
        <v>0</v>
      </c>
      <c r="AN62" s="7">
        <v>0</v>
      </c>
      <c r="AO62" s="7">
        <v>2593</v>
      </c>
      <c r="AP62" s="7">
        <v>0.14000000000000001</v>
      </c>
      <c r="AQ62" s="7">
        <v>0</v>
      </c>
      <c r="AR62" s="7">
        <v>0</v>
      </c>
      <c r="AS62" s="7">
        <v>25.9</v>
      </c>
      <c r="AT62" s="7">
        <v>3.9E-2</v>
      </c>
      <c r="AU62" s="7">
        <v>1.9E-2</v>
      </c>
      <c r="AV62" s="7">
        <v>0.10199999999999999</v>
      </c>
      <c r="AW62" s="7">
        <v>0</v>
      </c>
      <c r="AX62" s="7">
        <v>160</v>
      </c>
      <c r="AY62" s="6" t="s">
        <v>178</v>
      </c>
      <c r="BA62" s="6" t="s">
        <v>276</v>
      </c>
      <c r="BB62" s="7">
        <v>0</v>
      </c>
    </row>
    <row r="63" spans="1:54" ht="45" x14ac:dyDescent="0.2">
      <c r="A63" s="9" t="s">
        <v>76</v>
      </c>
      <c r="B63" s="6" t="s">
        <v>323</v>
      </c>
      <c r="C63" s="6" t="s">
        <v>324</v>
      </c>
      <c r="D63" s="7">
        <v>59.09</v>
      </c>
      <c r="E63" s="7">
        <v>184</v>
      </c>
      <c r="F63" s="7">
        <v>29.91</v>
      </c>
      <c r="G63" s="7">
        <v>6.28</v>
      </c>
      <c r="H63" s="7">
        <v>1.51</v>
      </c>
      <c r="I63" s="7">
        <v>0</v>
      </c>
      <c r="J63" s="7">
        <v>0</v>
      </c>
      <c r="L63" s="7">
        <v>10</v>
      </c>
      <c r="M63" s="7">
        <v>1.31</v>
      </c>
      <c r="N63" s="7">
        <v>64</v>
      </c>
      <c r="O63" s="7">
        <v>326</v>
      </c>
      <c r="P63" s="7">
        <v>323</v>
      </c>
      <c r="Q63" s="7">
        <v>50</v>
      </c>
      <c r="R63" s="7">
        <v>0.77</v>
      </c>
      <c r="S63" s="7">
        <v>0.11</v>
      </c>
      <c r="T63" s="7">
        <v>0.02</v>
      </c>
      <c r="U63" s="7">
        <v>46.8</v>
      </c>
      <c r="V63" s="7">
        <v>0</v>
      </c>
      <c r="W63" s="7">
        <v>0.27800000000000002</v>
      </c>
      <c r="X63" s="7">
        <v>0.30599999999999999</v>
      </c>
      <c r="Y63" s="7">
        <v>10.54</v>
      </c>
      <c r="Z63" s="7">
        <v>1.37</v>
      </c>
      <c r="AA63" s="7">
        <v>0.52500000000000002</v>
      </c>
      <c r="AB63" s="7">
        <v>2</v>
      </c>
      <c r="AC63" s="7">
        <v>0</v>
      </c>
      <c r="AD63" s="7">
        <v>2</v>
      </c>
      <c r="AE63" s="7">
        <v>2</v>
      </c>
      <c r="AG63" s="7">
        <v>10.88</v>
      </c>
      <c r="AH63" s="7">
        <v>2520</v>
      </c>
      <c r="AI63" s="7">
        <v>757</v>
      </c>
      <c r="AJ63" s="7">
        <v>757</v>
      </c>
      <c r="AT63" s="7">
        <v>1.6120000000000001</v>
      </c>
      <c r="AU63" s="7">
        <v>2.0529999999999999</v>
      </c>
      <c r="AV63" s="7">
        <v>1.8440000000000001</v>
      </c>
      <c r="AW63" s="7">
        <v>49</v>
      </c>
      <c r="AX63" s="7">
        <v>85</v>
      </c>
      <c r="AY63" s="6" t="s">
        <v>199</v>
      </c>
      <c r="BA63" s="6" t="s">
        <v>276</v>
      </c>
      <c r="BB63" s="7">
        <v>0</v>
      </c>
    </row>
    <row r="64" spans="1:54" ht="30" x14ac:dyDescent="0.2">
      <c r="A64" t="s">
        <v>77</v>
      </c>
      <c r="B64" s="6" t="s">
        <v>294</v>
      </c>
      <c r="C64" s="6" t="s">
        <v>295</v>
      </c>
      <c r="D64" s="7">
        <v>93.89</v>
      </c>
      <c r="E64" s="7">
        <v>20</v>
      </c>
      <c r="F64" s="7">
        <v>0.86</v>
      </c>
      <c r="G64" s="7">
        <v>0.17</v>
      </c>
      <c r="H64" s="7">
        <v>0.43</v>
      </c>
      <c r="I64" s="7">
        <v>4.6399999999999997</v>
      </c>
      <c r="J64" s="7">
        <v>1.7</v>
      </c>
      <c r="K64" s="7">
        <v>2.4</v>
      </c>
      <c r="L64" s="7">
        <v>10</v>
      </c>
      <c r="M64" s="7">
        <v>0.34</v>
      </c>
      <c r="N64" s="7">
        <v>10</v>
      </c>
      <c r="O64" s="7">
        <v>20</v>
      </c>
      <c r="P64" s="7">
        <v>175</v>
      </c>
      <c r="Q64" s="7">
        <v>3</v>
      </c>
      <c r="R64" s="7">
        <v>0.13</v>
      </c>
      <c r="S64" s="7">
        <v>6.6000000000000003E-2</v>
      </c>
      <c r="T64" s="7">
        <v>0.122</v>
      </c>
      <c r="U64" s="7">
        <v>0</v>
      </c>
      <c r="V64" s="7">
        <v>80.400000000000006</v>
      </c>
      <c r="W64" s="7">
        <v>5.7000000000000002E-2</v>
      </c>
      <c r="X64" s="7">
        <v>2.8000000000000001E-2</v>
      </c>
      <c r="Y64" s="7">
        <v>0.48</v>
      </c>
      <c r="Z64" s="7">
        <v>9.9000000000000005E-2</v>
      </c>
      <c r="AA64" s="7">
        <v>0.224</v>
      </c>
      <c r="AB64" s="7">
        <v>10</v>
      </c>
      <c r="AC64" s="7">
        <v>0</v>
      </c>
      <c r="AD64" s="7">
        <v>10</v>
      </c>
      <c r="AE64" s="7">
        <v>10</v>
      </c>
      <c r="AF64" s="7">
        <v>5.5</v>
      </c>
      <c r="AG64" s="7">
        <v>0</v>
      </c>
      <c r="AH64" s="7">
        <v>370</v>
      </c>
      <c r="AI64" s="7">
        <v>18</v>
      </c>
      <c r="AJ64" s="7">
        <v>0</v>
      </c>
      <c r="AK64" s="7">
        <v>21</v>
      </c>
      <c r="AL64" s="7">
        <v>208</v>
      </c>
      <c r="AM64" s="7">
        <v>7</v>
      </c>
      <c r="AN64" s="7">
        <v>0</v>
      </c>
      <c r="AO64" s="7">
        <v>341</v>
      </c>
      <c r="AP64" s="7">
        <v>0.37</v>
      </c>
      <c r="AQ64" s="7">
        <v>0</v>
      </c>
      <c r="AR64" s="7">
        <v>0</v>
      </c>
      <c r="AS64" s="7">
        <v>7.4</v>
      </c>
      <c r="AT64" s="7">
        <v>5.8000000000000003E-2</v>
      </c>
      <c r="AU64" s="7">
        <v>8.0000000000000002E-3</v>
      </c>
      <c r="AV64" s="7">
        <v>6.2E-2</v>
      </c>
      <c r="AW64" s="7">
        <v>0</v>
      </c>
      <c r="AX64" s="7">
        <v>149</v>
      </c>
      <c r="AY64" s="6" t="s">
        <v>221</v>
      </c>
      <c r="AZ64" s="7">
        <v>92</v>
      </c>
      <c r="BA64" s="6" t="s">
        <v>186</v>
      </c>
      <c r="BB64" s="7">
        <v>18</v>
      </c>
    </row>
    <row r="65" spans="1:54" ht="75" x14ac:dyDescent="0.2">
      <c r="A65" s="9" t="s">
        <v>78</v>
      </c>
      <c r="B65" s="6" t="s">
        <v>330</v>
      </c>
      <c r="C65" s="6" t="s">
        <v>331</v>
      </c>
      <c r="D65" s="7">
        <v>55.04</v>
      </c>
      <c r="E65" s="7">
        <v>273</v>
      </c>
      <c r="F65" s="7">
        <v>26.83</v>
      </c>
      <c r="G65" s="7">
        <v>17.61</v>
      </c>
      <c r="H65" s="7">
        <v>1.06</v>
      </c>
      <c r="I65" s="7">
        <v>0</v>
      </c>
      <c r="J65" s="7">
        <v>0</v>
      </c>
      <c r="K65" s="7">
        <v>0</v>
      </c>
      <c r="L65" s="7">
        <v>14</v>
      </c>
      <c r="M65" s="7">
        <v>1.01</v>
      </c>
      <c r="N65" s="7">
        <v>22</v>
      </c>
      <c r="O65" s="7">
        <v>263</v>
      </c>
      <c r="P65" s="7">
        <v>352</v>
      </c>
      <c r="Q65" s="7">
        <v>60</v>
      </c>
      <c r="R65" s="7">
        <v>2.96</v>
      </c>
      <c r="S65" s="7">
        <v>0.1</v>
      </c>
      <c r="T65" s="7">
        <v>3.2000000000000001E-2</v>
      </c>
      <c r="U65" s="7">
        <v>45.3</v>
      </c>
      <c r="V65" s="7">
        <v>0.3</v>
      </c>
      <c r="W65" s="7">
        <v>0.63500000000000001</v>
      </c>
      <c r="X65" s="7">
        <v>0.313</v>
      </c>
      <c r="Y65" s="7">
        <v>4.5739999999999998</v>
      </c>
      <c r="Z65" s="7">
        <v>0.61699999999999999</v>
      </c>
      <c r="AA65" s="7">
        <v>0.40200000000000002</v>
      </c>
      <c r="AB65" s="7">
        <v>10</v>
      </c>
      <c r="AC65" s="7">
        <v>0</v>
      </c>
      <c r="AD65" s="7">
        <v>10</v>
      </c>
      <c r="AE65" s="7">
        <v>10</v>
      </c>
      <c r="AF65" s="7">
        <v>92.2</v>
      </c>
      <c r="AG65" s="7">
        <v>0.68</v>
      </c>
      <c r="AH65" s="7">
        <v>10</v>
      </c>
      <c r="AI65" s="7">
        <v>3</v>
      </c>
      <c r="AJ65" s="7">
        <v>3</v>
      </c>
      <c r="AK65" s="7">
        <v>0</v>
      </c>
      <c r="AL65" s="7">
        <v>0</v>
      </c>
      <c r="AM65" s="7">
        <v>0</v>
      </c>
      <c r="AN65" s="7">
        <v>0</v>
      </c>
      <c r="AO65" s="7">
        <v>0</v>
      </c>
      <c r="AP65" s="7">
        <v>0.22</v>
      </c>
      <c r="AQ65" s="7">
        <v>0.8</v>
      </c>
      <c r="AR65" s="7">
        <v>33</v>
      </c>
      <c r="AS65" s="7">
        <v>0</v>
      </c>
      <c r="AT65" s="7">
        <v>6.47</v>
      </c>
      <c r="AU65" s="7">
        <v>7.88</v>
      </c>
      <c r="AV65" s="7">
        <v>1.68</v>
      </c>
      <c r="AW65" s="7">
        <v>94</v>
      </c>
      <c r="AX65" s="7">
        <v>135</v>
      </c>
      <c r="AY65" s="6" t="s">
        <v>332</v>
      </c>
      <c r="AZ65" s="7">
        <v>85</v>
      </c>
      <c r="BA65" s="6" t="s">
        <v>199</v>
      </c>
      <c r="BB65" s="7">
        <v>20</v>
      </c>
    </row>
    <row r="66" spans="1:54" ht="105" x14ac:dyDescent="0.2">
      <c r="A66" t="s">
        <v>79</v>
      </c>
      <c r="B66" s="6" t="s">
        <v>300</v>
      </c>
      <c r="C66" s="6" t="s">
        <v>301</v>
      </c>
      <c r="D66" s="7">
        <v>92.5</v>
      </c>
      <c r="E66" s="7">
        <v>21</v>
      </c>
      <c r="F66" s="7">
        <v>0.9</v>
      </c>
      <c r="G66" s="7">
        <v>0.1</v>
      </c>
      <c r="H66" s="7">
        <v>1.4</v>
      </c>
      <c r="I66" s="7">
        <v>5.0999999999999996</v>
      </c>
      <c r="J66" s="7">
        <v>1.3</v>
      </c>
      <c r="K66" s="7">
        <v>3.12</v>
      </c>
      <c r="L66" s="7">
        <v>7</v>
      </c>
      <c r="M66" s="7">
        <v>0.5</v>
      </c>
      <c r="N66" s="7">
        <v>14</v>
      </c>
      <c r="O66" s="7">
        <v>17</v>
      </c>
      <c r="P66" s="7">
        <v>187</v>
      </c>
      <c r="Q66" s="7">
        <v>1173</v>
      </c>
      <c r="R66" s="7">
        <v>0.17</v>
      </c>
      <c r="S66" s="7">
        <v>0.10100000000000001</v>
      </c>
      <c r="T66" s="7">
        <v>0.13800000000000001</v>
      </c>
      <c r="U66" s="7">
        <v>0.3</v>
      </c>
      <c r="V66" s="7">
        <v>68</v>
      </c>
      <c r="W66" s="7">
        <v>0.02</v>
      </c>
      <c r="X66" s="7">
        <v>0.05</v>
      </c>
      <c r="Y66" s="7">
        <v>0.8</v>
      </c>
      <c r="Z66" s="7">
        <v>3.4000000000000002E-2</v>
      </c>
      <c r="AA66" s="7">
        <v>0.153</v>
      </c>
      <c r="AB66" s="7">
        <v>10</v>
      </c>
      <c r="AC66" s="7">
        <v>0</v>
      </c>
      <c r="AD66" s="7">
        <v>10</v>
      </c>
      <c r="AE66" s="7">
        <v>10</v>
      </c>
      <c r="AF66" s="7">
        <v>6.8</v>
      </c>
      <c r="AG66" s="7">
        <v>0</v>
      </c>
      <c r="AH66" s="7">
        <v>721</v>
      </c>
      <c r="AI66" s="7">
        <v>36</v>
      </c>
      <c r="AJ66" s="7">
        <v>0</v>
      </c>
      <c r="AK66" s="7">
        <v>14</v>
      </c>
      <c r="AL66" s="7">
        <v>410</v>
      </c>
      <c r="AM66" s="7">
        <v>30</v>
      </c>
      <c r="AN66" s="7">
        <v>0</v>
      </c>
      <c r="AO66" s="7">
        <v>444</v>
      </c>
      <c r="AP66" s="7">
        <v>0.69</v>
      </c>
      <c r="AQ66" s="7">
        <v>0</v>
      </c>
      <c r="AR66" s="7">
        <v>0</v>
      </c>
      <c r="AS66" s="7">
        <v>8.6999999999999993</v>
      </c>
      <c r="AT66" s="7">
        <v>0.01</v>
      </c>
      <c r="AU66" s="7">
        <v>6.0000000000000001E-3</v>
      </c>
      <c r="AV66" s="7">
        <v>5.5E-2</v>
      </c>
      <c r="AW66" s="7">
        <v>0</v>
      </c>
      <c r="AX66" s="7">
        <v>73</v>
      </c>
      <c r="AY66" s="6" t="s">
        <v>302</v>
      </c>
      <c r="AZ66" s="7">
        <v>68</v>
      </c>
      <c r="BA66" s="6" t="s">
        <v>303</v>
      </c>
      <c r="BB66" s="7">
        <v>0</v>
      </c>
    </row>
    <row r="67" spans="1:54" ht="30" x14ac:dyDescent="0.2">
      <c r="A67" s="9" t="s">
        <v>80</v>
      </c>
      <c r="B67" s="6" t="s">
        <v>333</v>
      </c>
      <c r="C67" s="6" t="s">
        <v>334</v>
      </c>
      <c r="D67" s="7">
        <v>86</v>
      </c>
      <c r="E67" s="7">
        <v>50</v>
      </c>
      <c r="F67" s="7">
        <v>0.54</v>
      </c>
      <c r="G67" s="7">
        <v>0.12</v>
      </c>
      <c r="H67" s="7">
        <v>0.22</v>
      </c>
      <c r="I67" s="7">
        <v>13.12</v>
      </c>
      <c r="J67" s="7">
        <v>1.4</v>
      </c>
      <c r="K67" s="7">
        <v>9.85</v>
      </c>
      <c r="L67" s="7">
        <v>13</v>
      </c>
      <c r="M67" s="7">
        <v>0.28999999999999998</v>
      </c>
      <c r="N67" s="7">
        <v>12</v>
      </c>
      <c r="O67" s="7">
        <v>8</v>
      </c>
      <c r="P67" s="7">
        <v>109</v>
      </c>
      <c r="Q67" s="7">
        <v>1</v>
      </c>
      <c r="R67" s="7">
        <v>0.12</v>
      </c>
      <c r="S67" s="7">
        <v>0.11</v>
      </c>
      <c r="T67" s="7">
        <v>0.92700000000000005</v>
      </c>
      <c r="U67" s="7">
        <v>0.1</v>
      </c>
      <c r="V67" s="7">
        <v>47.8</v>
      </c>
      <c r="W67" s="7">
        <v>7.9000000000000001E-2</v>
      </c>
      <c r="X67" s="7">
        <v>3.2000000000000001E-2</v>
      </c>
      <c r="Y67" s="7">
        <v>0.5</v>
      </c>
      <c r="Z67" s="7">
        <v>0.21299999999999999</v>
      </c>
      <c r="AA67" s="7">
        <v>0.112</v>
      </c>
      <c r="AB67" s="7">
        <v>18</v>
      </c>
      <c r="AC67" s="7">
        <v>0</v>
      </c>
      <c r="AD67" s="7">
        <v>18</v>
      </c>
      <c r="AE67" s="7">
        <v>18</v>
      </c>
      <c r="AF67" s="7">
        <v>5.5</v>
      </c>
      <c r="AG67" s="7">
        <v>0</v>
      </c>
      <c r="AH67" s="7">
        <v>58</v>
      </c>
      <c r="AI67" s="7">
        <v>3</v>
      </c>
      <c r="AJ67" s="7">
        <v>0</v>
      </c>
      <c r="AK67" s="7">
        <v>0</v>
      </c>
      <c r="AL67" s="7">
        <v>35</v>
      </c>
      <c r="AM67" s="7">
        <v>0</v>
      </c>
      <c r="AN67" s="7">
        <v>0</v>
      </c>
      <c r="AO67" s="7">
        <v>0</v>
      </c>
      <c r="AP67" s="7">
        <v>0.02</v>
      </c>
      <c r="AQ67" s="7">
        <v>0</v>
      </c>
      <c r="AR67" s="7">
        <v>0</v>
      </c>
      <c r="AS67" s="7">
        <v>0.7</v>
      </c>
      <c r="AT67" s="7">
        <v>8.9999999999999993E-3</v>
      </c>
      <c r="AU67" s="7">
        <v>1.2999999999999999E-2</v>
      </c>
      <c r="AV67" s="7">
        <v>0.04</v>
      </c>
      <c r="AW67" s="7">
        <v>0</v>
      </c>
      <c r="AX67" s="7">
        <v>165</v>
      </c>
      <c r="AY67" s="6" t="s">
        <v>335</v>
      </c>
      <c r="AZ67" s="7">
        <v>905</v>
      </c>
      <c r="BA67" s="6" t="s">
        <v>336</v>
      </c>
      <c r="BB67" s="7">
        <v>49</v>
      </c>
    </row>
    <row r="68" spans="1:54" ht="30" x14ac:dyDescent="0.2">
      <c r="A68" s="9" t="s">
        <v>81</v>
      </c>
      <c r="B68" s="6" t="s">
        <v>343</v>
      </c>
      <c r="C68" s="6" t="s">
        <v>344</v>
      </c>
      <c r="D68" s="7">
        <v>67.3</v>
      </c>
      <c r="E68" s="7">
        <v>116</v>
      </c>
      <c r="F68" s="7">
        <v>0.79</v>
      </c>
      <c r="G68" s="7">
        <v>0.18</v>
      </c>
      <c r="H68" s="7">
        <v>0.57999999999999996</v>
      </c>
      <c r="I68" s="7">
        <v>31.15</v>
      </c>
      <c r="J68" s="7">
        <v>2.2999999999999998</v>
      </c>
      <c r="K68" s="7">
        <v>14</v>
      </c>
      <c r="L68" s="7">
        <v>2</v>
      </c>
      <c r="M68" s="7">
        <v>0.57999999999999996</v>
      </c>
      <c r="N68" s="7">
        <v>32</v>
      </c>
      <c r="O68" s="7">
        <v>28</v>
      </c>
      <c r="P68" s="7">
        <v>465</v>
      </c>
      <c r="Q68" s="7">
        <v>5</v>
      </c>
      <c r="R68" s="7">
        <v>0.13</v>
      </c>
      <c r="S68" s="7">
        <v>6.6000000000000003E-2</v>
      </c>
    </row>
    <row r="69" spans="1:54" ht="60" x14ac:dyDescent="0.2">
      <c r="A69" t="s">
        <v>82</v>
      </c>
      <c r="B69" s="6" t="s">
        <v>296</v>
      </c>
      <c r="C69" s="6" t="s">
        <v>297</v>
      </c>
      <c r="D69" s="7">
        <v>74.45</v>
      </c>
      <c r="E69" s="7">
        <v>97</v>
      </c>
      <c r="F69" s="7">
        <v>2.63</v>
      </c>
      <c r="G69" s="7">
        <v>0.13</v>
      </c>
      <c r="H69" s="7">
        <v>1.35</v>
      </c>
      <c r="I69" s="7">
        <v>21.44</v>
      </c>
      <c r="J69" s="7">
        <v>2.2999999999999998</v>
      </c>
      <c r="K69" s="7">
        <v>1.08</v>
      </c>
      <c r="L69" s="7">
        <v>18</v>
      </c>
      <c r="M69" s="7">
        <v>1.07</v>
      </c>
      <c r="N69" s="7">
        <v>30</v>
      </c>
      <c r="O69" s="7">
        <v>71</v>
      </c>
      <c r="P69" s="7">
        <v>550</v>
      </c>
      <c r="Q69" s="7">
        <v>14</v>
      </c>
      <c r="R69" s="7">
        <v>0.35</v>
      </c>
      <c r="S69" s="7">
        <v>0.107</v>
      </c>
      <c r="T69" s="7">
        <v>0.22800000000000001</v>
      </c>
      <c r="U69" s="7">
        <v>0.5</v>
      </c>
      <c r="V69" s="7">
        <v>8.3000000000000007</v>
      </c>
      <c r="W69" s="7">
        <v>6.7000000000000004E-2</v>
      </c>
      <c r="X69" s="7">
        <v>4.8000000000000001E-2</v>
      </c>
      <c r="Y69" s="7">
        <v>1.3480000000000001</v>
      </c>
      <c r="Z69" s="7">
        <v>0.38</v>
      </c>
      <c r="AA69" s="7">
        <v>0.35399999999999998</v>
      </c>
      <c r="AB69" s="7">
        <v>26</v>
      </c>
      <c r="AC69" s="7">
        <v>0</v>
      </c>
      <c r="AD69" s="7">
        <v>26</v>
      </c>
      <c r="AE69" s="7">
        <v>26</v>
      </c>
      <c r="AF69" s="7">
        <v>15</v>
      </c>
      <c r="AG69" s="7">
        <v>0</v>
      </c>
      <c r="AH69" s="7">
        <v>10</v>
      </c>
      <c r="AI69" s="7">
        <v>1</v>
      </c>
      <c r="AJ69" s="7">
        <v>0</v>
      </c>
      <c r="AK69" s="7">
        <v>0</v>
      </c>
      <c r="AL69" s="7">
        <v>6</v>
      </c>
      <c r="AM69" s="7">
        <v>0</v>
      </c>
      <c r="AN69" s="7">
        <v>0</v>
      </c>
      <c r="AO69" s="7">
        <v>19</v>
      </c>
      <c r="AP69" s="7">
        <v>7.0000000000000007E-2</v>
      </c>
      <c r="AQ69" s="7">
        <v>0</v>
      </c>
      <c r="AR69" s="7">
        <v>0</v>
      </c>
      <c r="AS69" s="7">
        <v>2</v>
      </c>
      <c r="AT69" s="7">
        <v>3.2000000000000001E-2</v>
      </c>
      <c r="AU69" s="7">
        <v>3.0000000000000001E-3</v>
      </c>
      <c r="AV69" s="7">
        <v>5.3999999999999999E-2</v>
      </c>
      <c r="AW69" s="7">
        <v>0</v>
      </c>
      <c r="AX69" s="7">
        <v>299</v>
      </c>
      <c r="AY69" s="6" t="s">
        <v>298</v>
      </c>
      <c r="AZ69" s="7">
        <v>173</v>
      </c>
      <c r="BA69" s="6" t="s">
        <v>299</v>
      </c>
      <c r="BB69" s="7">
        <v>0</v>
      </c>
    </row>
    <row r="70" spans="1:54" ht="90" x14ac:dyDescent="0.2">
      <c r="A70" s="9" t="s">
        <v>83</v>
      </c>
      <c r="B70" s="6" t="s">
        <v>327</v>
      </c>
      <c r="C70" s="6" t="s">
        <v>328</v>
      </c>
      <c r="D70" s="7">
        <v>60.11</v>
      </c>
      <c r="E70" s="7">
        <v>234</v>
      </c>
      <c r="F70" s="7">
        <v>26.78</v>
      </c>
      <c r="G70" s="7">
        <v>13.27</v>
      </c>
      <c r="H70" s="7">
        <v>0.9</v>
      </c>
      <c r="I70" s="7">
        <v>0.06</v>
      </c>
      <c r="J70" s="7">
        <v>0</v>
      </c>
      <c r="K70" s="7">
        <v>0</v>
      </c>
      <c r="L70" s="7">
        <v>15</v>
      </c>
      <c r="M70" s="7">
        <v>1.66</v>
      </c>
      <c r="N70" s="7">
        <v>23</v>
      </c>
      <c r="O70" s="7">
        <v>182</v>
      </c>
      <c r="P70" s="7">
        <v>212</v>
      </c>
      <c r="Q70" s="7">
        <v>79</v>
      </c>
      <c r="R70" s="7">
        <v>2.16</v>
      </c>
      <c r="S70" s="7">
        <v>0.08</v>
      </c>
      <c r="T70" s="7">
        <v>3.1E-2</v>
      </c>
      <c r="U70" s="7">
        <v>15.9</v>
      </c>
      <c r="V70" s="7">
        <v>0.5</v>
      </c>
      <c r="W70" s="7">
        <v>6.3E-2</v>
      </c>
      <c r="X70" s="7">
        <v>0.224</v>
      </c>
      <c r="Y70" s="7">
        <v>7.9080000000000004</v>
      </c>
      <c r="Z70" s="7">
        <v>1.1279999999999999</v>
      </c>
      <c r="AA70" s="7">
        <v>0.38</v>
      </c>
      <c r="AB70" s="7">
        <v>29</v>
      </c>
      <c r="AC70" s="7">
        <v>0</v>
      </c>
      <c r="AD70" s="7">
        <v>29</v>
      </c>
      <c r="AE70" s="7">
        <v>29</v>
      </c>
      <c r="AF70" s="7">
        <v>73.3</v>
      </c>
      <c r="AG70" s="7">
        <v>0.94</v>
      </c>
      <c r="AH70" s="7">
        <v>636</v>
      </c>
      <c r="AI70" s="7">
        <v>191</v>
      </c>
      <c r="AJ70" s="7">
        <v>191</v>
      </c>
      <c r="AK70" s="7">
        <v>0</v>
      </c>
      <c r="AL70" s="7">
        <v>0</v>
      </c>
      <c r="AM70" s="7">
        <v>0</v>
      </c>
      <c r="AN70" s="7">
        <v>0</v>
      </c>
      <c r="AO70" s="7">
        <v>0</v>
      </c>
      <c r="AP70" s="7">
        <v>0.33</v>
      </c>
      <c r="AQ70" s="7">
        <v>0</v>
      </c>
      <c r="AR70" s="7">
        <v>1</v>
      </c>
      <c r="AS70" s="7">
        <v>2.4</v>
      </c>
      <c r="AT70" s="7">
        <v>3.7</v>
      </c>
      <c r="AU70" s="7">
        <v>5.17</v>
      </c>
      <c r="AV70" s="7">
        <v>2.9</v>
      </c>
      <c r="AW70" s="7">
        <v>107</v>
      </c>
      <c r="AX70" s="7">
        <v>85</v>
      </c>
      <c r="AY70" s="6" t="s">
        <v>199</v>
      </c>
      <c r="AZ70" s="7">
        <v>205</v>
      </c>
      <c r="BA70" s="6" t="s">
        <v>329</v>
      </c>
      <c r="BB70" s="7">
        <v>31</v>
      </c>
    </row>
    <row r="71" spans="1:54" ht="60" x14ac:dyDescent="0.2">
      <c r="A71" s="9" t="s">
        <v>84</v>
      </c>
      <c r="B71" s="6" t="s">
        <v>325</v>
      </c>
      <c r="C71" s="6" t="s">
        <v>326</v>
      </c>
      <c r="D71" s="7">
        <v>69.64</v>
      </c>
      <c r="E71" s="7">
        <v>116</v>
      </c>
      <c r="F71" s="7">
        <v>9.02</v>
      </c>
      <c r="G71" s="7">
        <v>0.38</v>
      </c>
      <c r="H71" s="7">
        <v>0.83</v>
      </c>
      <c r="I71" s="7">
        <v>20.13</v>
      </c>
      <c r="J71" s="7">
        <v>7.9</v>
      </c>
      <c r="K71" s="7">
        <v>1.8</v>
      </c>
      <c r="L71" s="7">
        <v>19</v>
      </c>
      <c r="M71" s="7">
        <v>3.33</v>
      </c>
      <c r="N71" s="7">
        <v>36</v>
      </c>
      <c r="O71" s="7">
        <v>180</v>
      </c>
      <c r="P71" s="7">
        <v>369</v>
      </c>
      <c r="Q71" s="7">
        <v>2</v>
      </c>
      <c r="R71" s="7">
        <v>1.27</v>
      </c>
      <c r="S71" s="7">
        <v>0.251</v>
      </c>
      <c r="T71" s="7">
        <v>0.49399999999999999</v>
      </c>
      <c r="U71" s="7">
        <v>2.8</v>
      </c>
      <c r="V71" s="7">
        <v>1.5</v>
      </c>
      <c r="W71" s="7">
        <v>0.16900000000000001</v>
      </c>
      <c r="X71" s="7">
        <v>7.2999999999999995E-2</v>
      </c>
      <c r="Y71" s="7">
        <v>1.06</v>
      </c>
      <c r="Z71" s="7">
        <v>0.63800000000000001</v>
      </c>
      <c r="AA71" s="7">
        <v>0.17799999999999999</v>
      </c>
      <c r="AB71" s="7">
        <v>181</v>
      </c>
      <c r="AC71" s="7">
        <v>0</v>
      </c>
      <c r="AD71" s="7">
        <v>181</v>
      </c>
      <c r="AE71" s="7">
        <v>181</v>
      </c>
      <c r="AF71" s="7">
        <v>32.700000000000003</v>
      </c>
      <c r="AG71" s="7">
        <v>0</v>
      </c>
      <c r="AH71" s="7">
        <v>8</v>
      </c>
      <c r="AI71" s="7">
        <v>0</v>
      </c>
      <c r="AJ71" s="7">
        <v>0</v>
      </c>
      <c r="AK71" s="7">
        <v>0</v>
      </c>
      <c r="AL71" s="7">
        <v>5</v>
      </c>
      <c r="AM71" s="7">
        <v>0</v>
      </c>
      <c r="AN71" s="7">
        <v>0</v>
      </c>
      <c r="AO71" s="7">
        <v>0</v>
      </c>
      <c r="AP71" s="7">
        <v>0.11</v>
      </c>
      <c r="AQ71" s="7">
        <v>0</v>
      </c>
      <c r="AR71" s="7">
        <v>0</v>
      </c>
      <c r="AS71" s="7">
        <v>1.7</v>
      </c>
      <c r="AT71" s="7">
        <v>5.2999999999999999E-2</v>
      </c>
      <c r="AU71" s="7">
        <v>6.4000000000000001E-2</v>
      </c>
      <c r="AV71" s="7">
        <v>0.17499999999999999</v>
      </c>
      <c r="AW71" s="7">
        <v>0</v>
      </c>
      <c r="AX71" s="7">
        <v>198</v>
      </c>
      <c r="AY71" s="6" t="s">
        <v>178</v>
      </c>
      <c r="AZ71" s="7">
        <v>12.3</v>
      </c>
      <c r="BA71" s="6" t="s">
        <v>177</v>
      </c>
      <c r="BB71" s="7">
        <v>0</v>
      </c>
    </row>
    <row r="72" spans="1:54" x14ac:dyDescent="0.2">
      <c r="A72" s="8" t="s">
        <v>85</v>
      </c>
    </row>
    <row r="73" spans="1:54" ht="30" x14ac:dyDescent="0.2">
      <c r="A73" t="s">
        <v>86</v>
      </c>
      <c r="B73" s="6" t="s">
        <v>260</v>
      </c>
      <c r="C73" s="6" t="s">
        <v>261</v>
      </c>
      <c r="D73" s="7">
        <v>0</v>
      </c>
      <c r="E73" s="7">
        <v>884</v>
      </c>
      <c r="F73" s="7">
        <v>0</v>
      </c>
      <c r="G73" s="7">
        <v>100</v>
      </c>
      <c r="H73" s="7">
        <v>0</v>
      </c>
      <c r="I73" s="7">
        <v>0</v>
      </c>
      <c r="J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G73" s="7">
        <v>0</v>
      </c>
      <c r="AH73" s="7">
        <v>0</v>
      </c>
      <c r="AI73" s="7">
        <v>0</v>
      </c>
      <c r="AJ73" s="7">
        <v>0</v>
      </c>
      <c r="AT73" s="7">
        <v>11.582000000000001</v>
      </c>
      <c r="AU73" s="7">
        <v>59.186999999999998</v>
      </c>
      <c r="AV73" s="7">
        <v>21.23</v>
      </c>
      <c r="AX73" s="7">
        <v>14</v>
      </c>
      <c r="AY73" s="6" t="s">
        <v>177</v>
      </c>
      <c r="AZ73" s="7">
        <v>218</v>
      </c>
      <c r="BA73" s="6" t="s">
        <v>178</v>
      </c>
      <c r="BB73" s="7">
        <v>0</v>
      </c>
    </row>
    <row r="74" spans="1:54" x14ac:dyDescent="0.2">
      <c r="A74" s="8" t="s">
        <v>87</v>
      </c>
    </row>
    <row r="75" spans="1:54" ht="60" x14ac:dyDescent="0.2">
      <c r="A75" t="s">
        <v>88</v>
      </c>
      <c r="B75" s="6" t="s">
        <v>282</v>
      </c>
      <c r="C75" s="6" t="s">
        <v>283</v>
      </c>
      <c r="D75" s="7">
        <v>11.62</v>
      </c>
      <c r="E75" s="7">
        <v>365</v>
      </c>
      <c r="F75" s="7">
        <v>7.13</v>
      </c>
      <c r="G75" s="7">
        <v>0.66</v>
      </c>
      <c r="H75" s="7">
        <v>0.64</v>
      </c>
      <c r="I75" s="7">
        <v>79.95</v>
      </c>
      <c r="J75" s="7">
        <v>1.3</v>
      </c>
      <c r="K75" s="7">
        <v>0.12</v>
      </c>
      <c r="L75" s="7">
        <v>28</v>
      </c>
      <c r="M75" s="7">
        <v>4.3099999999999996</v>
      </c>
      <c r="N75" s="7">
        <v>25</v>
      </c>
      <c r="O75" s="7">
        <v>115</v>
      </c>
      <c r="P75" s="7">
        <v>115</v>
      </c>
      <c r="Q75" s="7">
        <v>5</v>
      </c>
      <c r="R75" s="7">
        <v>1.0900000000000001</v>
      </c>
      <c r="S75" s="7">
        <v>0.22</v>
      </c>
      <c r="T75" s="7">
        <v>1.0880000000000001</v>
      </c>
      <c r="U75" s="7">
        <v>15.1</v>
      </c>
      <c r="V75" s="7">
        <v>0</v>
      </c>
      <c r="W75" s="7">
        <v>0.57599999999999996</v>
      </c>
      <c r="X75" s="7">
        <v>4.9000000000000002E-2</v>
      </c>
      <c r="Y75" s="7">
        <v>4.1920000000000002</v>
      </c>
      <c r="Z75" s="7">
        <v>1.014</v>
      </c>
      <c r="AA75" s="7">
        <v>0.16400000000000001</v>
      </c>
      <c r="AB75" s="7">
        <v>231</v>
      </c>
      <c r="AC75" s="7">
        <v>223</v>
      </c>
      <c r="AD75" s="7">
        <v>8</v>
      </c>
      <c r="AE75" s="7">
        <v>387</v>
      </c>
      <c r="AF75" s="7">
        <v>5.8</v>
      </c>
      <c r="AG75" s="7">
        <v>0</v>
      </c>
      <c r="AH75" s="7">
        <v>0</v>
      </c>
      <c r="AI75" s="7">
        <v>0</v>
      </c>
      <c r="AJ75" s="7">
        <v>0</v>
      </c>
      <c r="AK75" s="7">
        <v>0</v>
      </c>
      <c r="AL75" s="7">
        <v>0</v>
      </c>
      <c r="AM75" s="7">
        <v>0</v>
      </c>
      <c r="AN75" s="7">
        <v>0</v>
      </c>
      <c r="AO75" s="7">
        <v>0</v>
      </c>
      <c r="AP75" s="7">
        <v>0.11</v>
      </c>
      <c r="AQ75" s="7">
        <v>0</v>
      </c>
      <c r="AR75" s="7">
        <v>0</v>
      </c>
      <c r="AS75" s="7">
        <v>0.1</v>
      </c>
      <c r="AT75" s="7">
        <v>0.18</v>
      </c>
      <c r="AU75" s="7">
        <v>0.20599999999999999</v>
      </c>
      <c r="AV75" s="7">
        <v>0.17699999999999999</v>
      </c>
      <c r="AW75" s="7">
        <v>0</v>
      </c>
      <c r="AX75" s="7">
        <v>185</v>
      </c>
      <c r="AY75" s="6" t="s">
        <v>178</v>
      </c>
      <c r="BA75" s="6" t="s">
        <v>276</v>
      </c>
      <c r="BB75" s="7">
        <v>0</v>
      </c>
    </row>
    <row r="76" spans="1:54" x14ac:dyDescent="0.2">
      <c r="A76" t="s">
        <v>89</v>
      </c>
      <c r="B76" s="6" t="s">
        <v>284</v>
      </c>
      <c r="C76" s="6" t="s">
        <v>285</v>
      </c>
      <c r="D76" s="7">
        <v>10.6</v>
      </c>
      <c r="E76" s="7">
        <v>338</v>
      </c>
      <c r="F76" s="7">
        <v>10.34</v>
      </c>
      <c r="G76" s="7">
        <v>1.63</v>
      </c>
      <c r="H76" s="7">
        <v>1.57</v>
      </c>
      <c r="I76" s="7">
        <v>75.86</v>
      </c>
      <c r="J76" s="7">
        <v>15.1</v>
      </c>
      <c r="K76" s="7">
        <v>0.98</v>
      </c>
      <c r="L76" s="7">
        <v>24</v>
      </c>
      <c r="M76" s="7">
        <v>2.63</v>
      </c>
      <c r="N76" s="7">
        <v>110</v>
      </c>
      <c r="O76" s="7">
        <v>332</v>
      </c>
      <c r="P76" s="7">
        <v>510</v>
      </c>
      <c r="Q76" s="7">
        <v>2</v>
      </c>
      <c r="R76" s="7">
        <v>2.65</v>
      </c>
      <c r="S76" s="7">
        <v>0.36699999999999999</v>
      </c>
      <c r="T76" s="7">
        <v>2.577</v>
      </c>
      <c r="U76" s="7">
        <v>13.9</v>
      </c>
      <c r="V76" s="7">
        <v>0</v>
      </c>
      <c r="W76" s="7">
        <v>0.316</v>
      </c>
      <c r="X76" s="7">
        <v>0.251</v>
      </c>
      <c r="Y76" s="7">
        <v>4.2699999999999996</v>
      </c>
      <c r="Z76" s="7">
        <v>1.456</v>
      </c>
      <c r="AA76" s="7">
        <v>0.29399999999999998</v>
      </c>
      <c r="AB76" s="7">
        <v>38</v>
      </c>
      <c r="AC76" s="7">
        <v>0</v>
      </c>
      <c r="AD76" s="7">
        <v>38</v>
      </c>
      <c r="AE76" s="7">
        <v>38</v>
      </c>
      <c r="AF76" s="7">
        <v>30.4</v>
      </c>
      <c r="AG76" s="7">
        <v>0</v>
      </c>
      <c r="AH76" s="7">
        <v>11</v>
      </c>
      <c r="AI76" s="7">
        <v>1</v>
      </c>
      <c r="AJ76" s="7">
        <v>0</v>
      </c>
      <c r="AK76" s="7">
        <v>0</v>
      </c>
      <c r="AL76" s="7">
        <v>7</v>
      </c>
      <c r="AM76" s="7">
        <v>0</v>
      </c>
      <c r="AN76" s="7">
        <v>0</v>
      </c>
      <c r="AO76" s="7">
        <v>210</v>
      </c>
      <c r="AP76" s="7">
        <v>0.85</v>
      </c>
      <c r="AQ76" s="7">
        <v>0</v>
      </c>
      <c r="AR76" s="7">
        <v>0</v>
      </c>
      <c r="AS76" s="7">
        <v>5.9</v>
      </c>
      <c r="AT76" s="7">
        <v>0.19700000000000001</v>
      </c>
      <c r="AU76" s="7">
        <v>0.20799999999999999</v>
      </c>
      <c r="AV76" s="7">
        <v>0.76700000000000002</v>
      </c>
      <c r="AW76" s="7">
        <v>0</v>
      </c>
      <c r="AX76" s="7">
        <v>169</v>
      </c>
      <c r="AY76" s="6" t="s">
        <v>178</v>
      </c>
      <c r="BA76" s="6" t="s">
        <v>276</v>
      </c>
    </row>
    <row r="77" spans="1:54" ht="45" x14ac:dyDescent="0.2">
      <c r="A77" s="9" t="s">
        <v>90</v>
      </c>
      <c r="B77" s="6" t="s">
        <v>318</v>
      </c>
      <c r="C77" s="6" t="s">
        <v>319</v>
      </c>
      <c r="D77" s="7">
        <v>3.3</v>
      </c>
      <c r="E77" s="7">
        <v>565</v>
      </c>
      <c r="F77" s="7">
        <v>16.96</v>
      </c>
      <c r="G77" s="7">
        <v>48</v>
      </c>
      <c r="H77" s="7">
        <v>6</v>
      </c>
      <c r="I77" s="7">
        <v>25.74</v>
      </c>
      <c r="J77" s="7">
        <v>14</v>
      </c>
      <c r="L77" s="7">
        <v>989</v>
      </c>
      <c r="M77" s="7">
        <v>14.76</v>
      </c>
      <c r="N77" s="7">
        <v>356</v>
      </c>
      <c r="O77" s="7">
        <v>638</v>
      </c>
      <c r="P77" s="7">
        <v>475</v>
      </c>
      <c r="Q77" s="7">
        <v>11</v>
      </c>
      <c r="R77" s="7">
        <v>7.16</v>
      </c>
      <c r="S77" s="7">
        <v>2.4700000000000002</v>
      </c>
      <c r="T77" s="7">
        <v>2.496</v>
      </c>
      <c r="U77" s="7">
        <v>34.4</v>
      </c>
      <c r="V77" s="7">
        <v>0</v>
      </c>
      <c r="W77" s="7">
        <v>0.80300000000000005</v>
      </c>
      <c r="X77" s="7">
        <v>0.251</v>
      </c>
      <c r="Y77" s="7">
        <v>4.5810000000000004</v>
      </c>
      <c r="Z77" s="7">
        <v>5.0999999999999997E-2</v>
      </c>
      <c r="AA77" s="7">
        <v>0.80200000000000005</v>
      </c>
      <c r="AB77" s="7">
        <v>98</v>
      </c>
      <c r="AC77" s="7">
        <v>0</v>
      </c>
      <c r="AD77" s="7">
        <v>98</v>
      </c>
      <c r="AE77" s="7">
        <v>98</v>
      </c>
      <c r="AG77" s="7">
        <v>0</v>
      </c>
      <c r="AH77" s="7">
        <v>9</v>
      </c>
      <c r="AI77" s="7">
        <v>0</v>
      </c>
      <c r="AJ77" s="7">
        <v>0</v>
      </c>
      <c r="AQ77" s="7">
        <v>0</v>
      </c>
      <c r="AR77" s="7">
        <v>0</v>
      </c>
      <c r="AT77" s="7">
        <v>6.7220000000000004</v>
      </c>
      <c r="AU77" s="7">
        <v>18.126999999999999</v>
      </c>
      <c r="AV77" s="7">
        <v>21.039000000000001</v>
      </c>
      <c r="AW77" s="7">
        <v>0</v>
      </c>
      <c r="AX77" s="7">
        <v>28.35</v>
      </c>
      <c r="AY77" s="6" t="s">
        <v>246</v>
      </c>
      <c r="BA77" s="6" t="s">
        <v>276</v>
      </c>
      <c r="BB77" s="7">
        <v>0</v>
      </c>
    </row>
    <row r="78" spans="1:54" ht="45" x14ac:dyDescent="0.2">
      <c r="A78" t="s">
        <v>91</v>
      </c>
      <c r="B78" s="6" t="s">
        <v>266</v>
      </c>
      <c r="C78" s="6" t="s">
        <v>267</v>
      </c>
      <c r="D78" s="7">
        <v>0</v>
      </c>
      <c r="E78" s="7">
        <v>884</v>
      </c>
      <c r="F78" s="7">
        <v>0</v>
      </c>
      <c r="G78" s="7">
        <v>100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 s="7">
        <v>0.2</v>
      </c>
      <c r="AG78" s="7">
        <v>0</v>
      </c>
      <c r="AH78" s="7">
        <v>0</v>
      </c>
      <c r="AI78" s="7">
        <v>0</v>
      </c>
      <c r="AJ78" s="7">
        <v>0</v>
      </c>
      <c r="AK78" s="7">
        <v>0</v>
      </c>
      <c r="AL78" s="7">
        <v>0</v>
      </c>
      <c r="AM78" s="7">
        <v>0</v>
      </c>
      <c r="AN78" s="7">
        <v>0</v>
      </c>
      <c r="AO78" s="7">
        <v>0</v>
      </c>
      <c r="AP78" s="7">
        <v>1.4</v>
      </c>
      <c r="AQ78" s="7">
        <v>0</v>
      </c>
      <c r="AR78" s="7">
        <v>0</v>
      </c>
      <c r="AS78" s="7">
        <v>13.6</v>
      </c>
      <c r="AT78" s="7">
        <v>14.2</v>
      </c>
      <c r="AU78" s="7">
        <v>39.700000000000003</v>
      </c>
      <c r="AV78" s="7">
        <v>41.7</v>
      </c>
      <c r="AW78" s="7">
        <v>0</v>
      </c>
      <c r="AX78" s="7">
        <v>13.6</v>
      </c>
      <c r="AY78" s="6" t="s">
        <v>249</v>
      </c>
      <c r="AZ78" s="7">
        <v>218</v>
      </c>
      <c r="BA78" s="6" t="s">
        <v>178</v>
      </c>
      <c r="BB78" s="7">
        <v>0</v>
      </c>
    </row>
    <row r="79" spans="1:54" ht="105" x14ac:dyDescent="0.2">
      <c r="A79" t="s">
        <v>92</v>
      </c>
      <c r="B79" s="6" t="s">
        <v>262</v>
      </c>
      <c r="C79" s="6" t="s">
        <v>263</v>
      </c>
      <c r="D79" s="7">
        <v>0</v>
      </c>
      <c r="E79" s="7">
        <v>884</v>
      </c>
      <c r="F79" s="7">
        <v>0</v>
      </c>
      <c r="G79" s="7">
        <v>100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  <c r="AF79" s="7">
        <v>0.2</v>
      </c>
      <c r="AG79" s="7">
        <v>0</v>
      </c>
      <c r="AH79" s="7">
        <v>0</v>
      </c>
      <c r="AI79" s="7">
        <v>0</v>
      </c>
      <c r="AJ79" s="7">
        <v>0</v>
      </c>
      <c r="AK79" s="7">
        <v>0</v>
      </c>
      <c r="AL79" s="7">
        <v>0</v>
      </c>
      <c r="AM79" s="7">
        <v>0</v>
      </c>
      <c r="AN79" s="7">
        <v>0</v>
      </c>
      <c r="AO79" s="7">
        <v>0</v>
      </c>
      <c r="AP79" s="7">
        <v>12.1</v>
      </c>
      <c r="AQ79" s="7">
        <v>0</v>
      </c>
      <c r="AR79" s="7">
        <v>0</v>
      </c>
      <c r="AS79" s="7">
        <v>24.7</v>
      </c>
      <c r="AT79" s="7">
        <v>18</v>
      </c>
      <c r="AU79" s="7">
        <v>29.5</v>
      </c>
      <c r="AV79" s="7">
        <v>48.1</v>
      </c>
      <c r="AW79" s="7">
        <v>0</v>
      </c>
      <c r="AX79" s="7">
        <v>13.6</v>
      </c>
      <c r="AY79" s="6" t="s">
        <v>249</v>
      </c>
      <c r="AZ79" s="7">
        <v>218</v>
      </c>
      <c r="BA79" s="6" t="s">
        <v>178</v>
      </c>
      <c r="BB79" s="7">
        <v>0</v>
      </c>
    </row>
    <row r="80" spans="1:54" ht="60" x14ac:dyDescent="0.2">
      <c r="A80" t="s">
        <v>93</v>
      </c>
      <c r="B80" s="6" t="s">
        <v>304</v>
      </c>
      <c r="C80" s="6" t="s">
        <v>305</v>
      </c>
      <c r="D80" s="7">
        <v>68.599999999999994</v>
      </c>
      <c r="E80" s="7">
        <v>141</v>
      </c>
      <c r="F80" s="7">
        <v>12.35</v>
      </c>
      <c r="G80" s="7">
        <v>6.4</v>
      </c>
      <c r="H80" s="7">
        <v>1.6</v>
      </c>
      <c r="I80" s="7">
        <v>11.05</v>
      </c>
      <c r="J80" s="7">
        <v>4.2</v>
      </c>
      <c r="L80" s="7">
        <v>145</v>
      </c>
      <c r="M80" s="7">
        <v>2.5</v>
      </c>
      <c r="N80" s="7">
        <v>60</v>
      </c>
      <c r="O80" s="7">
        <v>158</v>
      </c>
      <c r="P80" s="7">
        <v>539</v>
      </c>
      <c r="Q80" s="7">
        <v>14</v>
      </c>
      <c r="R80" s="7">
        <v>0.91</v>
      </c>
      <c r="S80" s="7">
        <v>0.11700000000000001</v>
      </c>
      <c r="T80" s="7">
        <v>0.502</v>
      </c>
      <c r="U80" s="7">
        <v>1.4</v>
      </c>
      <c r="V80" s="7">
        <v>17</v>
      </c>
      <c r="W80" s="7">
        <v>0.26</v>
      </c>
      <c r="X80" s="7">
        <v>0.155</v>
      </c>
      <c r="Y80" s="7">
        <v>1.25</v>
      </c>
      <c r="Z80" s="7">
        <v>0.128</v>
      </c>
      <c r="AA80" s="7">
        <v>0.06</v>
      </c>
      <c r="AB80" s="7">
        <v>111</v>
      </c>
      <c r="AC80" s="7">
        <v>0</v>
      </c>
      <c r="AD80" s="7">
        <v>111</v>
      </c>
      <c r="AE80" s="7">
        <v>111</v>
      </c>
      <c r="AG80" s="7">
        <v>0</v>
      </c>
      <c r="AH80" s="7">
        <v>156</v>
      </c>
      <c r="AI80" s="7">
        <v>8</v>
      </c>
      <c r="AJ80" s="7">
        <v>0</v>
      </c>
      <c r="AQ80" s="7">
        <v>0</v>
      </c>
      <c r="AR80" s="7">
        <v>0</v>
      </c>
      <c r="AT80" s="7">
        <v>0.74</v>
      </c>
      <c r="AU80" s="7">
        <v>1.2090000000000001</v>
      </c>
      <c r="AV80" s="7">
        <v>3.0110000000000001</v>
      </c>
      <c r="AW80" s="7">
        <v>0</v>
      </c>
      <c r="AX80" s="7">
        <v>180</v>
      </c>
      <c r="AY80" s="6" t="s">
        <v>178</v>
      </c>
      <c r="BA80" s="6" t="s">
        <v>276</v>
      </c>
      <c r="BB80" s="7">
        <v>0</v>
      </c>
    </row>
    <row r="81" spans="1:54" x14ac:dyDescent="0.2">
      <c r="A81" t="s">
        <v>94</v>
      </c>
    </row>
    <row r="82" spans="1:54" x14ac:dyDescent="0.2">
      <c r="A82" t="s">
        <v>95</v>
      </c>
    </row>
    <row r="83" spans="1:54" ht="60" x14ac:dyDescent="0.2">
      <c r="A83" t="s">
        <v>96</v>
      </c>
      <c r="B83" s="6" t="s">
        <v>296</v>
      </c>
      <c r="C83" s="6" t="s">
        <v>297</v>
      </c>
      <c r="D83" s="7">
        <v>74.45</v>
      </c>
      <c r="E83" s="7">
        <v>97</v>
      </c>
      <c r="F83" s="7">
        <v>2.63</v>
      </c>
      <c r="G83" s="7">
        <v>0.13</v>
      </c>
      <c r="H83" s="7">
        <v>1.35</v>
      </c>
      <c r="I83" s="7">
        <v>21.44</v>
      </c>
      <c r="J83" s="7">
        <v>2.2999999999999998</v>
      </c>
      <c r="K83" s="7">
        <v>1.08</v>
      </c>
      <c r="L83" s="7">
        <v>18</v>
      </c>
      <c r="M83" s="7">
        <v>1.07</v>
      </c>
      <c r="N83" s="7">
        <v>30</v>
      </c>
      <c r="O83" s="7">
        <v>71</v>
      </c>
      <c r="P83" s="7">
        <v>550</v>
      </c>
      <c r="Q83" s="7">
        <v>14</v>
      </c>
      <c r="R83" s="7">
        <v>0.35</v>
      </c>
      <c r="S83" s="7">
        <v>0.107</v>
      </c>
      <c r="T83" s="7">
        <v>0.22800000000000001</v>
      </c>
      <c r="U83" s="7">
        <v>0.5</v>
      </c>
      <c r="V83" s="7">
        <v>8.3000000000000007</v>
      </c>
      <c r="W83" s="7">
        <v>6.7000000000000004E-2</v>
      </c>
      <c r="X83" s="7">
        <v>4.8000000000000001E-2</v>
      </c>
      <c r="Y83" s="7">
        <v>1.3480000000000001</v>
      </c>
      <c r="Z83" s="7">
        <v>0.38</v>
      </c>
      <c r="AA83" s="7">
        <v>0.35399999999999998</v>
      </c>
      <c r="AB83" s="7">
        <v>26</v>
      </c>
      <c r="AC83" s="7">
        <v>0</v>
      </c>
      <c r="AD83" s="7">
        <v>26</v>
      </c>
      <c r="AE83" s="7">
        <v>26</v>
      </c>
      <c r="AF83" s="7">
        <v>15</v>
      </c>
      <c r="AG83" s="7">
        <v>0</v>
      </c>
      <c r="AH83" s="7">
        <v>10</v>
      </c>
      <c r="AI83" s="7">
        <v>1</v>
      </c>
      <c r="AJ83" s="7">
        <v>0</v>
      </c>
      <c r="AK83" s="7">
        <v>0</v>
      </c>
      <c r="AL83" s="7">
        <v>6</v>
      </c>
      <c r="AM83" s="7">
        <v>0</v>
      </c>
      <c r="AN83" s="7">
        <v>0</v>
      </c>
      <c r="AO83" s="7">
        <v>19</v>
      </c>
      <c r="AP83" s="7">
        <v>7.0000000000000007E-2</v>
      </c>
      <c r="AQ83" s="7">
        <v>0</v>
      </c>
      <c r="AR83" s="7">
        <v>0</v>
      </c>
      <c r="AS83" s="7">
        <v>2</v>
      </c>
      <c r="AT83" s="7">
        <v>3.2000000000000001E-2</v>
      </c>
      <c r="AU83" s="7">
        <v>3.0000000000000001E-3</v>
      </c>
      <c r="AV83" s="7">
        <v>5.3999999999999999E-2</v>
      </c>
      <c r="AW83" s="7">
        <v>0</v>
      </c>
      <c r="AX83" s="7">
        <v>299</v>
      </c>
      <c r="AY83" s="6" t="s">
        <v>298</v>
      </c>
      <c r="AZ83" s="7">
        <v>173</v>
      </c>
      <c r="BA83" s="6" t="s">
        <v>299</v>
      </c>
      <c r="BB83" s="7">
        <v>0</v>
      </c>
    </row>
    <row r="84" spans="1:54" x14ac:dyDescent="0.2">
      <c r="A84" t="s">
        <v>97</v>
      </c>
    </row>
    <row r="85" spans="1:54" ht="30" x14ac:dyDescent="0.2">
      <c r="A85" t="s">
        <v>98</v>
      </c>
      <c r="B85" s="6" t="s">
        <v>290</v>
      </c>
      <c r="C85" s="6" t="s">
        <v>291</v>
      </c>
      <c r="D85" s="7">
        <v>0.03</v>
      </c>
      <c r="E85" s="7">
        <v>399</v>
      </c>
      <c r="F85" s="7">
        <v>0</v>
      </c>
      <c r="G85" s="7">
        <v>0</v>
      </c>
      <c r="H85" s="7">
        <v>0.17</v>
      </c>
      <c r="I85" s="7">
        <v>99.8</v>
      </c>
      <c r="K85" s="7">
        <v>99.19</v>
      </c>
      <c r="L85" s="7">
        <v>12</v>
      </c>
      <c r="M85" s="7">
        <v>0.37</v>
      </c>
      <c r="N85" s="7">
        <v>2</v>
      </c>
      <c r="O85" s="7">
        <v>1</v>
      </c>
      <c r="P85" s="7">
        <v>29</v>
      </c>
      <c r="Q85" s="7">
        <v>3</v>
      </c>
      <c r="R85" s="7">
        <v>0.03</v>
      </c>
      <c r="S85" s="7">
        <v>8.9999999999999993E-3</v>
      </c>
      <c r="T85" s="7">
        <v>4.5999999999999999E-2</v>
      </c>
      <c r="AX85" s="7">
        <v>4.5999999999999996</v>
      </c>
      <c r="AY85" s="6" t="s">
        <v>234</v>
      </c>
      <c r="AZ85" s="7">
        <v>202</v>
      </c>
      <c r="BA85" s="6" t="s">
        <v>178</v>
      </c>
      <c r="BB85" s="7">
        <v>0</v>
      </c>
    </row>
    <row r="86" spans="1:54" ht="30" x14ac:dyDescent="0.2">
      <c r="A86" t="s">
        <v>99</v>
      </c>
      <c r="B86" s="6" t="s">
        <v>290</v>
      </c>
      <c r="C86" s="6" t="s">
        <v>291</v>
      </c>
      <c r="D86" s="7">
        <v>0.03</v>
      </c>
      <c r="E86" s="7">
        <v>399</v>
      </c>
      <c r="F86" s="7">
        <v>0</v>
      </c>
      <c r="G86" s="7">
        <v>0</v>
      </c>
      <c r="H86" s="7">
        <v>0.17</v>
      </c>
      <c r="I86" s="7">
        <v>99.8</v>
      </c>
      <c r="K86" s="7">
        <v>99.19</v>
      </c>
      <c r="L86" s="7">
        <v>12</v>
      </c>
      <c r="M86" s="7">
        <v>0.37</v>
      </c>
      <c r="N86" s="7">
        <v>2</v>
      </c>
      <c r="O86" s="7">
        <v>1</v>
      </c>
      <c r="P86" s="7">
        <v>29</v>
      </c>
      <c r="Q86" s="7">
        <v>3</v>
      </c>
      <c r="R86" s="7">
        <v>0.03</v>
      </c>
      <c r="S86" s="7">
        <v>8.9999999999999993E-3</v>
      </c>
      <c r="T86" s="7">
        <v>4.5999999999999999E-2</v>
      </c>
      <c r="AX86" s="7">
        <v>4.5999999999999996</v>
      </c>
      <c r="AY86" s="6" t="s">
        <v>234</v>
      </c>
      <c r="AZ86" s="7">
        <v>202</v>
      </c>
      <c r="BA86" s="6" t="s">
        <v>178</v>
      </c>
      <c r="BB86" s="7">
        <v>0</v>
      </c>
    </row>
    <row r="87" spans="1:54" ht="60" x14ac:dyDescent="0.2">
      <c r="A87" t="s">
        <v>100</v>
      </c>
      <c r="B87" s="6" t="s">
        <v>264</v>
      </c>
      <c r="C87" s="6" t="s">
        <v>265</v>
      </c>
      <c r="D87" s="7">
        <v>0</v>
      </c>
      <c r="E87" s="7">
        <v>884</v>
      </c>
      <c r="F87" s="7">
        <v>0</v>
      </c>
      <c r="G87" s="7">
        <v>100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7">
        <v>0</v>
      </c>
      <c r="AC87" s="7">
        <v>0</v>
      </c>
      <c r="AD87" s="7">
        <v>0</v>
      </c>
      <c r="AE87" s="7">
        <v>0</v>
      </c>
      <c r="AF87" s="7">
        <v>0.2</v>
      </c>
      <c r="AG87" s="7">
        <v>0</v>
      </c>
      <c r="AH87" s="7">
        <v>0</v>
      </c>
      <c r="AI87" s="7">
        <v>0</v>
      </c>
      <c r="AJ87" s="7">
        <v>0</v>
      </c>
      <c r="AK87" s="7">
        <v>0</v>
      </c>
      <c r="AL87" s="7">
        <v>0</v>
      </c>
      <c r="AM87" s="7">
        <v>0</v>
      </c>
      <c r="AN87" s="7">
        <v>0</v>
      </c>
      <c r="AO87" s="7">
        <v>0</v>
      </c>
      <c r="AP87" s="7">
        <v>41.08</v>
      </c>
      <c r="AQ87" s="7">
        <v>0</v>
      </c>
      <c r="AR87" s="7">
        <v>0</v>
      </c>
      <c r="AS87" s="7">
        <v>5.4</v>
      </c>
      <c r="AT87" s="7">
        <v>10.3</v>
      </c>
      <c r="AU87" s="7">
        <v>19.5</v>
      </c>
      <c r="AV87" s="7">
        <v>65.7</v>
      </c>
      <c r="AW87" s="7">
        <v>0</v>
      </c>
      <c r="AX87" s="7">
        <v>13.6</v>
      </c>
      <c r="AY87" s="6" t="s">
        <v>177</v>
      </c>
      <c r="AZ87" s="7">
        <v>218</v>
      </c>
      <c r="BA87" s="6" t="s">
        <v>178</v>
      </c>
      <c r="BB87" s="7">
        <v>0</v>
      </c>
    </row>
    <row r="88" spans="1:54" ht="90" x14ac:dyDescent="0.2">
      <c r="A88" t="s">
        <v>101</v>
      </c>
      <c r="B88" s="6" t="s">
        <v>288</v>
      </c>
      <c r="C88" s="6" t="s">
        <v>289</v>
      </c>
      <c r="D88" s="7">
        <v>2.44</v>
      </c>
      <c r="E88" s="7">
        <v>388</v>
      </c>
      <c r="F88" s="7">
        <v>0</v>
      </c>
      <c r="G88" s="7">
        <v>0</v>
      </c>
      <c r="H88" s="7">
        <v>0.45</v>
      </c>
      <c r="I88" s="7">
        <v>97.11</v>
      </c>
      <c r="K88" s="7">
        <v>45.66</v>
      </c>
      <c r="L88" s="7">
        <v>63</v>
      </c>
      <c r="M88" s="7">
        <v>1.64</v>
      </c>
      <c r="N88" s="7">
        <v>10</v>
      </c>
      <c r="O88" s="7">
        <v>2</v>
      </c>
      <c r="P88" s="7">
        <v>130</v>
      </c>
      <c r="Q88" s="7">
        <v>11</v>
      </c>
      <c r="R88" s="7">
        <v>0.08</v>
      </c>
      <c r="S88" s="7">
        <v>8.3000000000000004E-2</v>
      </c>
      <c r="T88" s="7">
        <v>6.6000000000000003E-2</v>
      </c>
      <c r="W88" s="7">
        <v>1.4999999999999999E-2</v>
      </c>
      <c r="X88" s="7">
        <v>1.4999999999999999E-2</v>
      </c>
      <c r="Y88" s="7">
        <v>0.08</v>
      </c>
      <c r="Z88" s="7">
        <v>0.12</v>
      </c>
      <c r="AA88" s="7">
        <v>0.04</v>
      </c>
      <c r="AX88" s="7">
        <v>12.9</v>
      </c>
      <c r="AY88" s="6" t="s">
        <v>177</v>
      </c>
      <c r="AZ88" s="7">
        <v>189</v>
      </c>
      <c r="BA88" s="6" t="s">
        <v>178</v>
      </c>
      <c r="BB88" s="7">
        <v>0</v>
      </c>
    </row>
    <row r="89" spans="1:54" x14ac:dyDescent="0.2">
      <c r="A89" t="s">
        <v>102</v>
      </c>
    </row>
    <row r="90" spans="1:54" ht="60" x14ac:dyDescent="0.2">
      <c r="A90" t="s">
        <v>103</v>
      </c>
      <c r="B90" s="6" t="s">
        <v>306</v>
      </c>
      <c r="C90" s="6" t="s">
        <v>307</v>
      </c>
      <c r="D90" s="7">
        <v>94.52</v>
      </c>
      <c r="E90" s="7">
        <v>18</v>
      </c>
      <c r="F90" s="7">
        <v>0.88</v>
      </c>
      <c r="G90" s="7">
        <v>0.2</v>
      </c>
      <c r="H90" s="7">
        <v>0.5</v>
      </c>
      <c r="I90" s="7">
        <v>3.89</v>
      </c>
      <c r="J90" s="7">
        <v>1.2</v>
      </c>
      <c r="K90" s="7">
        <v>2.63</v>
      </c>
      <c r="L90" s="7">
        <v>10</v>
      </c>
      <c r="M90" s="7">
        <v>0.27</v>
      </c>
      <c r="N90" s="7">
        <v>11</v>
      </c>
      <c r="O90" s="7">
        <v>24</v>
      </c>
      <c r="P90" s="7">
        <v>237</v>
      </c>
      <c r="Q90" s="7">
        <v>5</v>
      </c>
      <c r="R90" s="7">
        <v>0.17</v>
      </c>
      <c r="S90" s="7">
        <v>5.8999999999999997E-2</v>
      </c>
      <c r="T90" s="7">
        <v>0.114</v>
      </c>
      <c r="U90" s="7">
        <v>0</v>
      </c>
      <c r="V90" s="7">
        <v>13.7</v>
      </c>
      <c r="W90" s="7">
        <v>3.6999999999999998E-2</v>
      </c>
      <c r="X90" s="7">
        <v>1.9E-2</v>
      </c>
      <c r="Y90" s="7">
        <v>0.59399999999999997</v>
      </c>
      <c r="Z90" s="7">
        <v>8.8999999999999996E-2</v>
      </c>
      <c r="AA90" s="7">
        <v>0.08</v>
      </c>
      <c r="AB90" s="7">
        <v>15</v>
      </c>
      <c r="AC90" s="7">
        <v>0</v>
      </c>
      <c r="AD90" s="7">
        <v>15</v>
      </c>
      <c r="AE90" s="7">
        <v>15</v>
      </c>
      <c r="AF90" s="7">
        <v>6.7</v>
      </c>
      <c r="AG90" s="7">
        <v>0</v>
      </c>
      <c r="AH90" s="7">
        <v>833</v>
      </c>
      <c r="AI90" s="7">
        <v>42</v>
      </c>
      <c r="AJ90" s="7">
        <v>0</v>
      </c>
      <c r="AK90" s="7">
        <v>101</v>
      </c>
      <c r="AL90" s="7">
        <v>449</v>
      </c>
      <c r="AM90" s="7">
        <v>0</v>
      </c>
      <c r="AN90" s="7">
        <v>2573</v>
      </c>
      <c r="AO90" s="7">
        <v>123</v>
      </c>
      <c r="AP90" s="7">
        <v>0.54</v>
      </c>
      <c r="AQ90" s="7">
        <v>0</v>
      </c>
      <c r="AR90" s="7">
        <v>0</v>
      </c>
      <c r="AS90" s="7">
        <v>7.9</v>
      </c>
      <c r="AT90" s="7">
        <v>2.8000000000000001E-2</v>
      </c>
      <c r="AU90" s="7">
        <v>3.1E-2</v>
      </c>
      <c r="AV90" s="7">
        <v>8.3000000000000004E-2</v>
      </c>
      <c r="AW90" s="7">
        <v>0</v>
      </c>
      <c r="AX90" s="7">
        <v>149</v>
      </c>
      <c r="AY90" s="6" t="s">
        <v>308</v>
      </c>
      <c r="AZ90" s="7">
        <v>180</v>
      </c>
      <c r="BA90" s="6" t="s">
        <v>309</v>
      </c>
      <c r="BB90" s="7">
        <v>9</v>
      </c>
    </row>
    <row r="91" spans="1:54" x14ac:dyDescent="0.2">
      <c r="A91" s="9" t="s">
        <v>104</v>
      </c>
      <c r="B91" s="6" t="s">
        <v>320</v>
      </c>
      <c r="C91" s="6" t="s">
        <v>321</v>
      </c>
      <c r="D91" s="7">
        <v>4.41</v>
      </c>
      <c r="E91" s="7">
        <v>579</v>
      </c>
      <c r="F91" s="7">
        <v>21.15</v>
      </c>
      <c r="G91" s="7">
        <v>49.93</v>
      </c>
      <c r="H91" s="7">
        <v>2.97</v>
      </c>
      <c r="I91" s="7">
        <v>21.55</v>
      </c>
      <c r="J91" s="7">
        <v>12.5</v>
      </c>
      <c r="K91" s="7">
        <v>4.3499999999999996</v>
      </c>
      <c r="L91" s="7">
        <v>269</v>
      </c>
      <c r="M91" s="7">
        <v>3.71</v>
      </c>
      <c r="N91" s="7">
        <v>270</v>
      </c>
      <c r="O91" s="7">
        <v>481</v>
      </c>
      <c r="P91" s="7">
        <v>733</v>
      </c>
      <c r="Q91" s="7">
        <v>1</v>
      </c>
      <c r="R91" s="7">
        <v>3.12</v>
      </c>
      <c r="S91" s="7">
        <v>1.0309999999999999</v>
      </c>
      <c r="T91" s="7">
        <v>2.1789999999999998</v>
      </c>
      <c r="U91" s="7">
        <v>4.0999999999999996</v>
      </c>
      <c r="V91" s="7">
        <v>0</v>
      </c>
      <c r="W91" s="7">
        <v>0.20499999999999999</v>
      </c>
      <c r="X91" s="7">
        <v>1.1379999999999999</v>
      </c>
      <c r="Y91" s="7">
        <v>3.6179999999999999</v>
      </c>
      <c r="Z91" s="7">
        <v>0.47099999999999997</v>
      </c>
      <c r="AA91" s="7">
        <v>0.13700000000000001</v>
      </c>
      <c r="AB91" s="7">
        <v>44</v>
      </c>
      <c r="AC91" s="7">
        <v>0</v>
      </c>
      <c r="AD91" s="7">
        <v>44</v>
      </c>
      <c r="AE91" s="7">
        <v>44</v>
      </c>
      <c r="AF91" s="7">
        <v>52.1</v>
      </c>
      <c r="AG91" s="7">
        <v>0</v>
      </c>
      <c r="AH91" s="7">
        <v>2</v>
      </c>
      <c r="AI91" s="7">
        <v>0</v>
      </c>
      <c r="AJ91" s="7">
        <v>0</v>
      </c>
      <c r="AK91" s="7">
        <v>0</v>
      </c>
      <c r="AL91" s="7">
        <v>1</v>
      </c>
      <c r="AM91" s="7">
        <v>0</v>
      </c>
      <c r="AN91" s="7">
        <v>0</v>
      </c>
      <c r="AO91" s="7">
        <v>1</v>
      </c>
      <c r="AP91" s="7">
        <v>25.63</v>
      </c>
      <c r="AQ91" s="7">
        <v>0</v>
      </c>
      <c r="AR91" s="7">
        <v>0</v>
      </c>
      <c r="AS91" s="7">
        <v>0</v>
      </c>
      <c r="AT91" s="7">
        <v>3.802</v>
      </c>
      <c r="AU91" s="7">
        <v>31.550999999999998</v>
      </c>
      <c r="AV91" s="7">
        <v>12.329000000000001</v>
      </c>
      <c r="AW91" s="7">
        <v>0</v>
      </c>
      <c r="AX91" s="7">
        <v>143</v>
      </c>
      <c r="AY91" s="6" t="s">
        <v>322</v>
      </c>
      <c r="AZ91" s="7">
        <v>92</v>
      </c>
      <c r="BA91" s="6" t="s">
        <v>186</v>
      </c>
      <c r="BB91" s="7">
        <v>60</v>
      </c>
    </row>
    <row r="92" spans="1:54" ht="75" x14ac:dyDescent="0.2">
      <c r="A92" t="s">
        <v>105</v>
      </c>
      <c r="B92" s="6" t="s">
        <v>256</v>
      </c>
      <c r="C92" s="6" t="s">
        <v>257</v>
      </c>
      <c r="D92" s="7">
        <v>0</v>
      </c>
      <c r="E92" s="7">
        <v>900</v>
      </c>
      <c r="F92" s="7">
        <v>0</v>
      </c>
      <c r="G92" s="7">
        <v>100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  <c r="AB92" s="7">
        <v>0</v>
      </c>
      <c r="AC92" s="7">
        <v>0</v>
      </c>
      <c r="AD92" s="7">
        <v>0</v>
      </c>
      <c r="AE92" s="7">
        <v>0</v>
      </c>
      <c r="AF92" s="7">
        <v>0.2</v>
      </c>
      <c r="AG92" s="7">
        <v>0</v>
      </c>
      <c r="AH92" s="7">
        <v>0</v>
      </c>
      <c r="AI92" s="7">
        <v>0</v>
      </c>
      <c r="AJ92" s="7">
        <v>0</v>
      </c>
      <c r="AK92" s="7">
        <v>0</v>
      </c>
      <c r="AL92" s="7">
        <v>0</v>
      </c>
      <c r="AM92" s="7">
        <v>0</v>
      </c>
      <c r="AN92" s="7">
        <v>0</v>
      </c>
      <c r="AO92" s="7">
        <v>0</v>
      </c>
      <c r="AP92" s="7">
        <v>14.3</v>
      </c>
      <c r="AQ92" s="7">
        <v>0</v>
      </c>
      <c r="AR92" s="7">
        <v>0</v>
      </c>
      <c r="AS92" s="7">
        <v>1.9</v>
      </c>
      <c r="AT92" s="7">
        <v>12.948</v>
      </c>
      <c r="AU92" s="7">
        <v>27.576000000000001</v>
      </c>
      <c r="AV92" s="7">
        <v>54.677</v>
      </c>
      <c r="AW92" s="7">
        <v>0</v>
      </c>
      <c r="AX92" s="7">
        <v>13.6</v>
      </c>
      <c r="AY92" s="6" t="s">
        <v>177</v>
      </c>
      <c r="AZ92" s="7">
        <v>218</v>
      </c>
      <c r="BA92" s="6" t="s">
        <v>178</v>
      </c>
      <c r="BB92" s="7">
        <v>0</v>
      </c>
    </row>
    <row r="93" spans="1:54" ht="45" x14ac:dyDescent="0.2">
      <c r="A93" t="s">
        <v>106</v>
      </c>
      <c r="B93" s="6" t="s">
        <v>316</v>
      </c>
      <c r="C93" s="6" t="s">
        <v>317</v>
      </c>
      <c r="D93" s="7">
        <v>87.01</v>
      </c>
      <c r="E93" s="7">
        <v>49</v>
      </c>
      <c r="F93" s="7">
        <v>2.59</v>
      </c>
      <c r="G93" s="7">
        <v>0.25</v>
      </c>
      <c r="H93" s="7">
        <v>0.89</v>
      </c>
      <c r="I93" s="7">
        <v>9.26</v>
      </c>
      <c r="J93" s="7">
        <v>3</v>
      </c>
      <c r="K93" s="7">
        <v>2.41</v>
      </c>
      <c r="L93" s="7">
        <v>27</v>
      </c>
      <c r="M93" s="7">
        <v>1.05</v>
      </c>
      <c r="N93" s="7">
        <v>16</v>
      </c>
      <c r="O93" s="7">
        <v>42</v>
      </c>
      <c r="P93" s="7">
        <v>291</v>
      </c>
      <c r="Q93" s="7">
        <v>214</v>
      </c>
      <c r="R93" s="7">
        <v>0.41</v>
      </c>
      <c r="S93" s="7">
        <v>7.2999999999999995E-2</v>
      </c>
      <c r="T93" s="7">
        <v>0.56799999999999995</v>
      </c>
      <c r="U93" s="7">
        <v>0.3</v>
      </c>
      <c r="V93" s="7">
        <v>5</v>
      </c>
      <c r="W93" s="7">
        <v>4.5999999999999999E-2</v>
      </c>
      <c r="X93" s="7">
        <v>4.8000000000000001E-2</v>
      </c>
      <c r="Y93" s="7">
        <v>0.57699999999999996</v>
      </c>
      <c r="Z93" s="7">
        <v>0.14299999999999999</v>
      </c>
      <c r="AA93" s="7">
        <v>7.9000000000000001E-2</v>
      </c>
      <c r="AB93" s="7">
        <v>24</v>
      </c>
      <c r="AC93" s="7">
        <v>0</v>
      </c>
      <c r="AD93" s="7">
        <v>24</v>
      </c>
      <c r="AE93" s="7">
        <v>24</v>
      </c>
      <c r="AF93" s="7">
        <v>18.600000000000001</v>
      </c>
      <c r="AG93" s="7">
        <v>0</v>
      </c>
      <c r="AH93" s="7">
        <v>11651</v>
      </c>
      <c r="AI93" s="7">
        <v>583</v>
      </c>
      <c r="AJ93" s="7">
        <v>0</v>
      </c>
      <c r="AK93" s="7">
        <v>2636</v>
      </c>
      <c r="AL93" s="7">
        <v>5670</v>
      </c>
      <c r="AM93" s="7">
        <v>5</v>
      </c>
      <c r="AN93" s="7">
        <v>0</v>
      </c>
      <c r="AO93" s="7">
        <v>493</v>
      </c>
      <c r="AP93" s="7">
        <v>0.28999999999999998</v>
      </c>
      <c r="AQ93" s="7">
        <v>0</v>
      </c>
      <c r="AR93" s="7">
        <v>0</v>
      </c>
      <c r="AS93" s="7">
        <v>18.2</v>
      </c>
      <c r="AT93" s="7">
        <v>5.0999999999999997E-2</v>
      </c>
      <c r="AU93" s="7">
        <v>1.6E-2</v>
      </c>
      <c r="AV93" s="7">
        <v>0.11899999999999999</v>
      </c>
      <c r="AW93" s="7">
        <v>0</v>
      </c>
      <c r="AX93" s="7">
        <v>163</v>
      </c>
      <c r="AY93" s="6" t="s">
        <v>178</v>
      </c>
      <c r="BA93" s="6" t="s">
        <v>276</v>
      </c>
    </row>
    <row r="94" spans="1:54" x14ac:dyDescent="0.2">
      <c r="A94" t="s">
        <v>107</v>
      </c>
    </row>
    <row r="95" spans="1:54" ht="90" x14ac:dyDescent="0.2">
      <c r="A95" t="s">
        <v>108</v>
      </c>
      <c r="B95" s="6" t="s">
        <v>286</v>
      </c>
      <c r="C95" s="6" t="s">
        <v>287</v>
      </c>
      <c r="D95" s="7">
        <v>11.92</v>
      </c>
      <c r="E95" s="7">
        <v>364</v>
      </c>
      <c r="F95" s="7">
        <v>10.33</v>
      </c>
      <c r="G95" s="7">
        <v>0.98</v>
      </c>
      <c r="H95" s="7">
        <v>0.47</v>
      </c>
      <c r="I95" s="7">
        <v>76.31</v>
      </c>
      <c r="J95" s="7">
        <v>2.7</v>
      </c>
      <c r="K95" s="7">
        <v>0.27</v>
      </c>
      <c r="L95" s="7">
        <v>15</v>
      </c>
      <c r="M95" s="7">
        <v>4.6399999999999997</v>
      </c>
      <c r="N95" s="7">
        <v>22</v>
      </c>
      <c r="O95" s="7">
        <v>108</v>
      </c>
      <c r="P95" s="7">
        <v>107</v>
      </c>
      <c r="Q95" s="7">
        <v>2</v>
      </c>
      <c r="R95" s="7">
        <v>0.7</v>
      </c>
      <c r="S95" s="7">
        <v>0.14399999999999999</v>
      </c>
      <c r="T95" s="7">
        <v>0.68200000000000005</v>
      </c>
      <c r="U95" s="7">
        <v>33.9</v>
      </c>
      <c r="V95" s="7">
        <v>0</v>
      </c>
      <c r="W95" s="7">
        <v>0.78500000000000003</v>
      </c>
      <c r="X95" s="7">
        <v>0.49399999999999999</v>
      </c>
      <c r="Y95" s="7">
        <v>5.9039999999999999</v>
      </c>
      <c r="Z95" s="7">
        <v>0.438</v>
      </c>
      <c r="AA95" s="7">
        <v>4.3999999999999997E-2</v>
      </c>
      <c r="AB95" s="7">
        <v>183</v>
      </c>
      <c r="AC95" s="7">
        <v>154</v>
      </c>
      <c r="AD95" s="7">
        <v>29</v>
      </c>
      <c r="AE95" s="7">
        <v>291</v>
      </c>
      <c r="AG95" s="7">
        <v>0</v>
      </c>
      <c r="AH95" s="7">
        <v>2</v>
      </c>
      <c r="AI95" s="7">
        <v>0</v>
      </c>
      <c r="AJ95" s="7">
        <v>0</v>
      </c>
      <c r="AK95" s="7">
        <v>0</v>
      </c>
      <c r="AL95" s="7">
        <v>1</v>
      </c>
      <c r="AM95" s="7">
        <v>0</v>
      </c>
      <c r="AN95" s="7">
        <v>0</v>
      </c>
      <c r="AO95" s="7">
        <v>79</v>
      </c>
      <c r="AP95" s="7">
        <v>0.23</v>
      </c>
      <c r="AQ95" s="7">
        <v>0</v>
      </c>
      <c r="AR95" s="7">
        <v>0</v>
      </c>
      <c r="AS95" s="7">
        <v>0.3</v>
      </c>
      <c r="AT95" s="7">
        <v>0.155</v>
      </c>
      <c r="AU95" s="7">
        <v>8.6999999999999994E-2</v>
      </c>
      <c r="AV95" s="7">
        <v>0.41299999999999998</v>
      </c>
      <c r="AW95" s="7">
        <v>0</v>
      </c>
      <c r="AX95" s="7">
        <v>125</v>
      </c>
      <c r="AY95" s="6" t="s">
        <v>178</v>
      </c>
      <c r="BA95" s="6" t="s">
        <v>276</v>
      </c>
      <c r="BB95" s="7">
        <v>0</v>
      </c>
    </row>
    <row r="96" spans="1:54" ht="45" x14ac:dyDescent="0.2">
      <c r="A96" t="s">
        <v>109</v>
      </c>
      <c r="B96" s="6" t="s">
        <v>171</v>
      </c>
      <c r="C96" s="6" t="s">
        <v>172</v>
      </c>
      <c r="D96" s="7">
        <v>86.58</v>
      </c>
      <c r="E96" s="7">
        <v>83</v>
      </c>
      <c r="F96" s="7">
        <v>7.0000000000000007E-2</v>
      </c>
      <c r="G96" s="7">
        <v>0</v>
      </c>
      <c r="H96" s="7">
        <v>0.24</v>
      </c>
      <c r="I96" s="7">
        <v>2.72</v>
      </c>
      <c r="J96" s="7">
        <v>0</v>
      </c>
      <c r="K96" s="7">
        <v>0.79</v>
      </c>
      <c r="L96" s="7">
        <v>8</v>
      </c>
      <c r="M96" s="7">
        <v>0.37</v>
      </c>
      <c r="N96" s="7">
        <v>11</v>
      </c>
      <c r="O96" s="7">
        <v>20</v>
      </c>
      <c r="P96" s="7">
        <v>99</v>
      </c>
      <c r="Q96" s="7">
        <v>5</v>
      </c>
      <c r="R96" s="7">
        <v>0.13</v>
      </c>
      <c r="S96" s="7">
        <v>7.0000000000000001E-3</v>
      </c>
      <c r="T96" s="7">
        <v>0.124</v>
      </c>
      <c r="U96" s="7">
        <v>0.2</v>
      </c>
      <c r="V96" s="7">
        <v>0</v>
      </c>
      <c r="W96" s="7">
        <v>5.0000000000000001E-3</v>
      </c>
      <c r="X96" s="7">
        <v>2.3E-2</v>
      </c>
      <c r="Y96" s="7">
        <v>0.16600000000000001</v>
      </c>
      <c r="Z96" s="7">
        <v>3.6999999999999998E-2</v>
      </c>
      <c r="AA96" s="7">
        <v>5.3999999999999999E-2</v>
      </c>
      <c r="AB96" s="7">
        <v>1</v>
      </c>
      <c r="AC96" s="7">
        <v>0</v>
      </c>
      <c r="AD96" s="7">
        <v>1</v>
      </c>
      <c r="AE96" s="7">
        <v>1</v>
      </c>
      <c r="AF96" s="7">
        <v>5</v>
      </c>
      <c r="AG96" s="7">
        <v>0</v>
      </c>
      <c r="AH96" s="7">
        <v>0</v>
      </c>
      <c r="AI96" s="7">
        <v>0</v>
      </c>
      <c r="AJ96" s="7">
        <v>0</v>
      </c>
      <c r="AK96" s="7">
        <v>0</v>
      </c>
      <c r="AL96" s="7">
        <v>0</v>
      </c>
      <c r="AM96" s="7">
        <v>0</v>
      </c>
      <c r="AN96" s="7">
        <v>0</v>
      </c>
      <c r="AO96" s="7">
        <v>0</v>
      </c>
      <c r="AP96" s="7">
        <v>0</v>
      </c>
      <c r="AQ96" s="7">
        <v>0</v>
      </c>
      <c r="AR96" s="7">
        <v>0</v>
      </c>
      <c r="AS96" s="7">
        <v>0</v>
      </c>
      <c r="AT96" s="7">
        <v>0</v>
      </c>
      <c r="AU96" s="7">
        <v>0</v>
      </c>
      <c r="AV96" s="7">
        <v>0</v>
      </c>
      <c r="AW96" s="7">
        <v>0</v>
      </c>
      <c r="AX96" s="7">
        <v>148</v>
      </c>
      <c r="AY96" s="6" t="s">
        <v>173</v>
      </c>
      <c r="AZ96" s="7">
        <v>29.5</v>
      </c>
      <c r="BA96" s="6" t="s">
        <v>174</v>
      </c>
      <c r="BB96" s="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51g protein</vt:lpstr>
      <vt:lpstr>93g protein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2019-01-24T22:45:31Z</dcterms:created>
  <dcterms:modified xsi:type="dcterms:W3CDTF">2019-03-01T18:02:47Z</dcterms:modified>
</cp:coreProperties>
</file>