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fanoammaturo/Downloads/"/>
    </mc:Choice>
  </mc:AlternateContent>
  <xr:revisionPtr revIDLastSave="0" documentId="13_ncr:1_{F95BE468-C2CC-344B-A58D-CF26D0342839}" xr6:coauthVersionLast="47" xr6:coauthVersionMax="47" xr10:uidLastSave="{00000000-0000-0000-0000-000000000000}"/>
  <bookViews>
    <workbookView xWindow="3180" yWindow="460" windowWidth="25620" windowHeight="14920" tabRatio="769" xr2:uid="{00000000-000D-0000-FFFF-FFFF00000000}"/>
  </bookViews>
  <sheets>
    <sheet name="mySolutions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9" l="1"/>
  <c r="E85" i="9"/>
  <c r="D7" i="9"/>
  <c r="D8" i="9"/>
  <c r="D6" i="9"/>
  <c r="F9" i="9"/>
  <c r="G106" i="9"/>
  <c r="D104" i="9"/>
  <c r="D105" i="9"/>
  <c r="D106" i="9"/>
  <c r="D103" i="9"/>
  <c r="D82" i="9"/>
  <c r="D83" i="9"/>
  <c r="D84" i="9"/>
  <c r="D81" i="9"/>
  <c r="G104" i="9"/>
  <c r="G105" i="9"/>
  <c r="G103" i="9"/>
  <c r="F104" i="9"/>
  <c r="F105" i="9"/>
  <c r="F106" i="9"/>
  <c r="F103" i="9"/>
  <c r="E108" i="9"/>
  <c r="E107" i="9"/>
  <c r="E106" i="9"/>
  <c r="E105" i="9"/>
  <c r="E104" i="9"/>
  <c r="E103" i="9"/>
  <c r="C109" i="9"/>
  <c r="C108" i="9"/>
  <c r="C107" i="9"/>
  <c r="C106" i="9"/>
  <c r="C105" i="9"/>
  <c r="C104" i="9"/>
  <c r="C103" i="9"/>
  <c r="D100" i="9"/>
  <c r="D95" i="9"/>
  <c r="D96" i="9"/>
  <c r="D97" i="9"/>
  <c r="D98" i="9"/>
  <c r="D99" i="9"/>
  <c r="D94" i="9"/>
  <c r="C100" i="9"/>
  <c r="C95" i="9"/>
  <c r="C96" i="9"/>
  <c r="C97" i="9"/>
  <c r="C98" i="9"/>
  <c r="C99" i="9"/>
  <c r="C94" i="9"/>
  <c r="C87" i="9"/>
  <c r="C81" i="9"/>
  <c r="C82" i="9"/>
  <c r="D66" i="9"/>
  <c r="F86" i="9"/>
  <c r="F108" i="9" s="1"/>
  <c r="F85" i="9"/>
  <c r="D85" i="9" s="1"/>
  <c r="F84" i="9"/>
  <c r="F83" i="9"/>
  <c r="F82" i="9"/>
  <c r="F81" i="9"/>
  <c r="C77" i="9"/>
  <c r="C76" i="9"/>
  <c r="C75" i="9"/>
  <c r="E41" i="9"/>
  <c r="E42" i="9"/>
  <c r="E45" i="9"/>
  <c r="E40" i="9"/>
  <c r="B41" i="9"/>
  <c r="B42" i="9"/>
  <c r="B43" i="9"/>
  <c r="E43" i="9" s="1"/>
  <c r="B45" i="9"/>
  <c r="B40" i="9"/>
  <c r="K45" i="9"/>
  <c r="K44" i="9"/>
  <c r="P41" i="9"/>
  <c r="J46" i="9" s="1"/>
  <c r="K39" i="9"/>
  <c r="J44" i="9" s="1"/>
  <c r="J47" i="9" s="1"/>
  <c r="K47" i="9" s="1"/>
  <c r="P20" i="9"/>
  <c r="J16" i="9"/>
  <c r="J18" i="9" s="1"/>
  <c r="P21" i="9" s="1"/>
  <c r="B19" i="9" s="1"/>
  <c r="D19" i="9" s="1"/>
  <c r="E20" i="9"/>
  <c r="E28" i="9"/>
  <c r="E29" i="9"/>
  <c r="E30" i="9"/>
  <c r="E32" i="9"/>
  <c r="E27" i="9"/>
  <c r="F107" i="9" l="1"/>
  <c r="G108" i="9"/>
  <c r="D108" i="9"/>
  <c r="D86" i="9"/>
  <c r="B57" i="9"/>
  <c r="K46" i="9"/>
  <c r="J50" i="9" s="1"/>
  <c r="P52" i="9" s="1"/>
  <c r="C46" i="9" s="1"/>
  <c r="O63" i="9" s="1"/>
  <c r="B20" i="9"/>
  <c r="B31" i="9" s="1"/>
  <c r="B44" i="9" s="1"/>
  <c r="E44" i="9" s="1"/>
  <c r="B33" i="9"/>
  <c r="C19" i="9"/>
  <c r="D107" i="9" l="1"/>
  <c r="G107" i="9"/>
  <c r="C32" i="9"/>
  <c r="B46" i="9"/>
  <c r="D46" i="9" s="1"/>
  <c r="E46" i="9" s="1"/>
  <c r="C31" i="9"/>
  <c r="E31" i="9"/>
  <c r="E33" i="9" s="1"/>
  <c r="C74" i="9"/>
  <c r="O76" i="9"/>
  <c r="O79" i="9" s="1"/>
  <c r="O64" i="9" l="1"/>
  <c r="B47" i="9"/>
  <c r="S79" i="9"/>
  <c r="B59" i="9" s="1"/>
  <c r="E47" i="9"/>
  <c r="C40" i="9" l="1"/>
  <c r="C44" i="9"/>
  <c r="C42" i="9"/>
  <c r="C41" i="9"/>
  <c r="C47" i="9" s="1"/>
  <c r="C43" i="9"/>
  <c r="C45" i="9"/>
  <c r="C73" i="9"/>
  <c r="S80" i="9"/>
  <c r="B60" i="9" s="1"/>
  <c r="B61" i="9" l="1"/>
  <c r="C72" i="9"/>
  <c r="E60" i="9"/>
  <c r="D60" i="9"/>
  <c r="C56" i="9" l="1"/>
  <c r="C58" i="9"/>
  <c r="C57" i="9"/>
  <c r="C54" i="9"/>
  <c r="C55" i="9"/>
  <c r="C59" i="9"/>
  <c r="C78" i="9"/>
  <c r="D56" i="9"/>
  <c r="E56" i="9" s="1"/>
  <c r="D54" i="9"/>
  <c r="E54" i="9" s="1"/>
  <c r="D55" i="9"/>
  <c r="E55" i="9" s="1"/>
  <c r="D57" i="9"/>
  <c r="E57" i="9" s="1"/>
  <c r="D58" i="9"/>
  <c r="E58" i="9" s="1"/>
  <c r="D59" i="9"/>
  <c r="E59" i="9" s="1"/>
  <c r="D68" i="9" s="1"/>
  <c r="D70" i="9" s="1"/>
  <c r="C60" i="9"/>
  <c r="E61" i="9" l="1"/>
  <c r="D77" i="9"/>
  <c r="C86" i="9" s="1"/>
  <c r="D75" i="9"/>
  <c r="C84" i="9" s="1"/>
  <c r="D76" i="9"/>
  <c r="C85" i="9" s="1"/>
  <c r="D74" i="9"/>
  <c r="C83" i="9" s="1"/>
  <c r="D73" i="9"/>
  <c r="D72" i="9"/>
  <c r="C61" i="9"/>
  <c r="G85" i="9" l="1"/>
  <c r="E82" i="9"/>
  <c r="G82" i="9"/>
  <c r="E84" i="9"/>
  <c r="G84" i="9"/>
  <c r="E81" i="9"/>
  <c r="G81" i="9"/>
  <c r="E86" i="9"/>
  <c r="G86" i="9"/>
  <c r="E83" i="9"/>
  <c r="G83" i="9"/>
  <c r="D78" i="9"/>
</calcChain>
</file>

<file path=xl/sharedStrings.xml><?xml version="1.0" encoding="utf-8"?>
<sst xmlns="http://schemas.openxmlformats.org/spreadsheetml/2006/main" count="187" uniqueCount="85">
  <si>
    <t>Half</t>
  </si>
  <si>
    <t>Full</t>
  </si>
  <si>
    <t>Uncle</t>
  </si>
  <si>
    <t>Shares</t>
  </si>
  <si>
    <t>% Owned</t>
  </si>
  <si>
    <t>Price</t>
  </si>
  <si>
    <t>Value</t>
  </si>
  <si>
    <t>TOTAL</t>
  </si>
  <si>
    <t>Post-Money Capitalization Table</t>
  </si>
  <si>
    <t>Angels need 70% IRR on their 5-year investment of $500,000.</t>
  </si>
  <si>
    <t>PV =</t>
  </si>
  <si>
    <t>n =</t>
  </si>
  <si>
    <t>r =</t>
  </si>
  <si>
    <t>FV =</t>
  </si>
  <si>
    <t>Thus, Angels need $</t>
  </si>
  <si>
    <t>out of the ending market value of the company to meet their IRR requirements.</t>
  </si>
  <si>
    <t>Ending market value (at the end of year 6) based on 14X $5MM of net income (in year 7) =</t>
  </si>
  <si>
    <t>Angels</t>
  </si>
  <si>
    <t>Required equity stake to be given to Angels today for their IRR requirements =</t>
  </si>
  <si>
    <t>VCs</t>
  </si>
  <si>
    <t>Post-Money Capitalization Table (Fully Diluted)</t>
  </si>
  <si>
    <t>Options pool</t>
  </si>
  <si>
    <t>In this down round, VCs appear to need over 62% IRR on their 3-year investment of $2,000,000.</t>
  </si>
  <si>
    <t>Pre-money valuation today =</t>
  </si>
  <si>
    <t>VCs' down round investment =</t>
  </si>
  <si>
    <t>Post-money valuation today =</t>
  </si>
  <si>
    <t>Revised ending market value (at the end of year 6) based on 12X $5MM of net income (year 7) =</t>
  </si>
  <si>
    <t>IRR =</t>
  </si>
  <si>
    <t>Company</t>
  </si>
  <si>
    <t>New equity stake to be given to VCs today for their IRR requirements =</t>
  </si>
  <si>
    <t>VC round 1</t>
  </si>
  <si>
    <t>VC round 2</t>
  </si>
  <si>
    <t>=</t>
  </si>
  <si>
    <t>of</t>
  </si>
  <si>
    <t>Ntotal</t>
  </si>
  <si>
    <t>Nr2</t>
  </si>
  <si>
    <t>Pr2</t>
  </si>
  <si>
    <t>/</t>
  </si>
  <si>
    <t>Nr1</t>
  </si>
  <si>
    <t>* Nr2 /</t>
  </si>
  <si>
    <t>* Nr2</t>
  </si>
  <si>
    <t>Suppose:</t>
  </si>
  <si>
    <t>Nr1 =</t>
  </si>
  <si>
    <t>Nr2 =</t>
  </si>
  <si>
    <t>Ntotal =</t>
  </si>
  <si>
    <t>Total no of shares issued by the company</t>
  </si>
  <si>
    <t>Pr2 =</t>
  </si>
  <si>
    <t>Price per share in VC round 2</t>
  </si>
  <si>
    <t>We know that:</t>
  </si>
  <si>
    <t>Thus:</t>
  </si>
  <si>
    <t>Also:</t>
  </si>
  <si>
    <t>Nr1 + Nr2</t>
  </si>
  <si>
    <t>* Nr1</t>
  </si>
  <si>
    <t>No of common shares outstanding before VC round 1 (but incl. options pool):</t>
  </si>
  <si>
    <t>And:</t>
  </si>
  <si>
    <t>Calculation of Shares to Be Issued Using the Full Ratchet</t>
  </si>
  <si>
    <t>No of shares to be issued to VCs from round 1 term sheet</t>
  </si>
  <si>
    <t>No of shares to be issued to VCs from round 2 term sheet</t>
  </si>
  <si>
    <t>Thus, round 2 VCs need $</t>
  </si>
  <si>
    <t>out of the ending market value after accounting for revised shares to meet their IRR requirements.</t>
  </si>
  <si>
    <t>After Uncle John Invests</t>
  </si>
  <si>
    <t>Now the Angels invest</t>
  </si>
  <si>
    <t>Accept Burligntons offer</t>
  </si>
  <si>
    <t>VC's</t>
  </si>
  <si>
    <t>Additional Funding from Burlington</t>
  </si>
  <si>
    <t>`</t>
  </si>
  <si>
    <t>Including full ratchet provision</t>
  </si>
  <si>
    <t>Series B</t>
  </si>
  <si>
    <t>Series A</t>
  </si>
  <si>
    <t>Acquisition Payment</t>
  </si>
  <si>
    <t>Total left for participation</t>
  </si>
  <si>
    <t>*Assuming Series A &amp; B do not convert</t>
  </si>
  <si>
    <t>Distribution</t>
  </si>
  <si>
    <t>Series A + option pool</t>
  </si>
  <si>
    <t>Series A+ option pool</t>
  </si>
  <si>
    <t>Total</t>
  </si>
  <si>
    <t>Proceeds</t>
  </si>
  <si>
    <t>Burlington A</t>
  </si>
  <si>
    <t>Burlington B</t>
  </si>
  <si>
    <t>IRR</t>
  </si>
  <si>
    <t>Initial Investment</t>
  </si>
  <si>
    <t>Investment Multiple</t>
  </si>
  <si>
    <t>3x Liquidation Preference</t>
  </si>
  <si>
    <t>Dollar Profit</t>
  </si>
  <si>
    <t>*Assuming both Series A and Series B are 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</si>
</sst>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(* #,##0.0000_);_(* \(#,##0.0000\);_(* &quot;-&quot;??_);_(@_)"/>
    <numFmt numFmtId="166" formatCode="_(* #,##0_);_(* \(#,##0\);_(* &quot;-&quot;??_);_(@_)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41" fontId="0" fillId="0" borderId="0" xfId="0" applyNumberFormat="1"/>
    <xf numFmtId="9" fontId="0" fillId="0" borderId="0" xfId="1" applyFont="1"/>
    <xf numFmtId="43" fontId="0" fillId="0" borderId="0" xfId="0" applyNumberFormat="1"/>
    <xf numFmtId="0" fontId="2" fillId="0" borderId="0" xfId="0" applyFont="1"/>
    <xf numFmtId="41" fontId="2" fillId="0" borderId="0" xfId="0" applyNumberFormat="1" applyFont="1"/>
    <xf numFmtId="0" fontId="3" fillId="0" borderId="0" xfId="0" applyFont="1" applyAlignment="1">
      <alignment horizontal="center"/>
    </xf>
    <xf numFmtId="41" fontId="2" fillId="2" borderId="0" xfId="0" applyNumberFormat="1" applyFont="1" applyFill="1"/>
    <xf numFmtId="10" fontId="0" fillId="0" borderId="0" xfId="1" applyNumberFormat="1" applyFont="1"/>
    <xf numFmtId="10" fontId="2" fillId="0" borderId="0" xfId="1" applyNumberFormat="1" applyFont="1"/>
    <xf numFmtId="41" fontId="0" fillId="0" borderId="0" xfId="0" applyNumberFormat="1" applyAlignment="1">
      <alignment horizontal="center"/>
    </xf>
    <xf numFmtId="165" fontId="0" fillId="0" borderId="0" xfId="0" applyNumberFormat="1"/>
    <xf numFmtId="10" fontId="0" fillId="2" borderId="0" xfId="1" applyNumberFormat="1" applyFont="1" applyFill="1"/>
    <xf numFmtId="41" fontId="0" fillId="2" borderId="0" xfId="0" applyNumberFormat="1" applyFill="1"/>
    <xf numFmtId="43" fontId="0" fillId="2" borderId="0" xfId="0" applyNumberFormat="1" applyFill="1"/>
    <xf numFmtId="0" fontId="0" fillId="0" borderId="0" xfId="0" applyAlignment="1">
      <alignment horizontal="right"/>
    </xf>
    <xf numFmtId="165" fontId="0" fillId="2" borderId="0" xfId="0" applyNumberFormat="1" applyFill="1"/>
    <xf numFmtId="10" fontId="0" fillId="0" borderId="0" xfId="0" applyNumberFormat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Border="1"/>
    <xf numFmtId="41" fontId="0" fillId="0" borderId="0" xfId="0" applyNumberFormat="1" applyBorder="1"/>
    <xf numFmtId="43" fontId="0" fillId="0" borderId="0" xfId="0" applyNumberFormat="1" applyBorder="1"/>
    <xf numFmtId="0" fontId="0" fillId="0" borderId="7" xfId="0" applyBorder="1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41" fontId="4" fillId="0" borderId="0" xfId="0" applyNumberFormat="1" applyFont="1"/>
    <xf numFmtId="164" fontId="4" fillId="0" borderId="0" xfId="0" applyNumberFormat="1" applyFont="1"/>
    <xf numFmtId="43" fontId="4" fillId="0" borderId="0" xfId="0" applyNumberFormat="1" applyFont="1"/>
    <xf numFmtId="41" fontId="5" fillId="0" borderId="0" xfId="0" applyNumberFormat="1" applyFont="1"/>
    <xf numFmtId="41" fontId="5" fillId="3" borderId="0" xfId="0" applyNumberFormat="1" applyFont="1" applyFill="1"/>
    <xf numFmtId="0" fontId="2" fillId="4" borderId="0" xfId="0" applyFont="1" applyFill="1"/>
    <xf numFmtId="0" fontId="0" fillId="4" borderId="0" xfId="0" applyFill="1"/>
    <xf numFmtId="10" fontId="0" fillId="0" borderId="0" xfId="1" applyNumberFormat="1" applyFont="1" applyFill="1"/>
    <xf numFmtId="41" fontId="0" fillId="0" borderId="10" xfId="0" applyNumberFormat="1" applyBorder="1"/>
    <xf numFmtId="43" fontId="0" fillId="0" borderId="10" xfId="0" applyNumberFormat="1" applyBorder="1"/>
    <xf numFmtId="166" fontId="0" fillId="0" borderId="0" xfId="0" applyNumberFormat="1"/>
    <xf numFmtId="8" fontId="0" fillId="0" borderId="0" xfId="0" applyNumberFormat="1"/>
    <xf numFmtId="0" fontId="0" fillId="0" borderId="0" xfId="0" applyAlignment="1">
      <alignment horizontal="left"/>
    </xf>
    <xf numFmtId="43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  <xf numFmtId="167" fontId="0" fillId="0" borderId="0" xfId="0" applyNumberFormat="1"/>
    <xf numFmtId="0" fontId="2" fillId="0" borderId="0" xfId="0" applyFont="1" applyAlignment="1">
      <alignment horizontal="left"/>
    </xf>
    <xf numFmtId="41" fontId="0" fillId="0" borderId="0" xfId="0" applyNumberFormat="1" applyFill="1"/>
    <xf numFmtId="43" fontId="0" fillId="0" borderId="10" xfId="0" applyNumberFormat="1" applyBorder="1" applyAlignment="1">
      <alignment horizontal="left"/>
    </xf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7C3A-9510-5046-82B8-674001162AD7}">
  <dimension ref="A1:T112"/>
  <sheetViews>
    <sheetView tabSelected="1" topLeftCell="A40" zoomScale="92" workbookViewId="0">
      <selection activeCell="E54" sqref="E54"/>
    </sheetView>
  </sheetViews>
  <sheetFormatPr baseColWidth="10" defaultRowHeight="15" x14ac:dyDescent="0.2"/>
  <cols>
    <col min="2" max="2" width="11.33203125" bestFit="1" customWidth="1"/>
    <col min="3" max="4" width="13.83203125" bestFit="1" customWidth="1"/>
    <col min="5" max="5" width="11.33203125" bestFit="1" customWidth="1"/>
    <col min="6" max="6" width="12.83203125" bestFit="1" customWidth="1"/>
    <col min="7" max="7" width="14.83203125" bestFit="1" customWidth="1"/>
    <col min="8" max="8" width="13.83203125" bestFit="1" customWidth="1"/>
    <col min="9" max="9" width="14" bestFit="1" customWidth="1"/>
    <col min="10" max="10" width="11.1640625" bestFit="1" customWidth="1"/>
    <col min="11" max="11" width="11" bestFit="1" customWidth="1"/>
    <col min="12" max="12" width="14" bestFit="1" customWidth="1"/>
    <col min="15" max="15" width="11.33203125" bestFit="1" customWidth="1"/>
    <col min="16" max="17" width="11" bestFit="1" customWidth="1"/>
    <col min="19" max="19" width="11" bestFit="1" customWidth="1"/>
  </cols>
  <sheetData>
    <row r="1" spans="1:10" x14ac:dyDescent="0.2">
      <c r="A1" s="41" t="s">
        <v>60</v>
      </c>
      <c r="B1" s="42"/>
    </row>
    <row r="2" spans="1:10" x14ac:dyDescent="0.2">
      <c r="A2" s="33"/>
      <c r="B2" s="33"/>
      <c r="C2" s="33"/>
      <c r="D2" s="33"/>
      <c r="E2" s="33"/>
      <c r="F2" s="33"/>
    </row>
    <row r="3" spans="1:10" x14ac:dyDescent="0.2">
      <c r="A3" s="34"/>
      <c r="B3" s="60" t="s">
        <v>8</v>
      </c>
      <c r="C3" s="61"/>
      <c r="D3" s="61"/>
      <c r="E3" s="61"/>
      <c r="F3" s="62"/>
    </row>
    <row r="4" spans="1:10" x14ac:dyDescent="0.2">
      <c r="A4" s="33"/>
      <c r="B4" s="33"/>
      <c r="C4" s="33"/>
      <c r="D4" s="33"/>
      <c r="E4" s="33"/>
      <c r="F4" s="33"/>
    </row>
    <row r="5" spans="1:10" x14ac:dyDescent="0.2">
      <c r="A5" s="33"/>
      <c r="B5" s="33"/>
      <c r="C5" s="35" t="s">
        <v>3</v>
      </c>
      <c r="D5" s="35" t="s">
        <v>4</v>
      </c>
      <c r="E5" s="35" t="s">
        <v>5</v>
      </c>
      <c r="F5" s="35" t="s">
        <v>6</v>
      </c>
    </row>
    <row r="6" spans="1:10" x14ac:dyDescent="0.2">
      <c r="A6" s="33"/>
      <c r="B6" s="33" t="s">
        <v>0</v>
      </c>
      <c r="C6" s="36">
        <v>3000000</v>
      </c>
      <c r="D6" s="37">
        <f>C6/$C$9</f>
        <v>0.375</v>
      </c>
      <c r="E6" s="38">
        <v>0.05</v>
      </c>
      <c r="F6" s="36">
        <v>30000</v>
      </c>
    </row>
    <row r="7" spans="1:10" x14ac:dyDescent="0.2">
      <c r="A7" s="33"/>
      <c r="B7" s="33" t="s">
        <v>1</v>
      </c>
      <c r="C7" s="36">
        <v>2000000</v>
      </c>
      <c r="D7" s="37">
        <f t="shared" ref="D7:D8" si="0">C7/$C$9</f>
        <v>0.25</v>
      </c>
      <c r="E7" s="38">
        <v>0.05</v>
      </c>
      <c r="F7" s="36">
        <v>20000</v>
      </c>
    </row>
    <row r="8" spans="1:10" x14ac:dyDescent="0.2">
      <c r="A8" s="33"/>
      <c r="B8" s="33" t="s">
        <v>2</v>
      </c>
      <c r="C8" s="36">
        <v>3000000</v>
      </c>
      <c r="D8" s="37">
        <f t="shared" si="0"/>
        <v>0.375</v>
      </c>
      <c r="E8" s="38">
        <v>0.05</v>
      </c>
      <c r="F8" s="36">
        <v>150000</v>
      </c>
    </row>
    <row r="9" spans="1:10" x14ac:dyDescent="0.2">
      <c r="A9" s="34"/>
      <c r="B9" s="34" t="s">
        <v>7</v>
      </c>
      <c r="C9" s="39">
        <v>8000000</v>
      </c>
      <c r="D9" s="34"/>
      <c r="E9" s="34"/>
      <c r="F9" s="40">
        <f>SUM(F6:F8)</f>
        <v>200000</v>
      </c>
    </row>
    <row r="10" spans="1:10" x14ac:dyDescent="0.2">
      <c r="J10" s="1"/>
    </row>
    <row r="11" spans="1:10" x14ac:dyDescent="0.2">
      <c r="A11" s="42" t="s">
        <v>61</v>
      </c>
      <c r="B11" s="42"/>
      <c r="H11" t="s">
        <v>9</v>
      </c>
    </row>
    <row r="13" spans="1:10" x14ac:dyDescent="0.2">
      <c r="A13" s="57" t="s">
        <v>8</v>
      </c>
      <c r="B13" s="58"/>
      <c r="C13" s="58"/>
      <c r="D13" s="58"/>
      <c r="E13" s="59"/>
      <c r="I13" t="s">
        <v>10</v>
      </c>
      <c r="J13" s="1">
        <v>500000</v>
      </c>
    </row>
    <row r="14" spans="1:10" x14ac:dyDescent="0.2">
      <c r="I14" t="s">
        <v>11</v>
      </c>
      <c r="J14" s="1">
        <v>5</v>
      </c>
    </row>
    <row r="15" spans="1:10" x14ac:dyDescent="0.2">
      <c r="B15" s="6" t="s">
        <v>3</v>
      </c>
      <c r="C15" s="6" t="s">
        <v>4</v>
      </c>
      <c r="D15" s="6" t="s">
        <v>5</v>
      </c>
      <c r="E15" s="6" t="s">
        <v>6</v>
      </c>
      <c r="I15" t="s">
        <v>12</v>
      </c>
      <c r="J15" s="2">
        <v>0.7</v>
      </c>
    </row>
    <row r="16" spans="1:10" x14ac:dyDescent="0.2">
      <c r="A16" t="s">
        <v>0</v>
      </c>
      <c r="B16" s="1">
        <v>3000000</v>
      </c>
      <c r="C16" s="8">
        <v>0.33696811607142857</v>
      </c>
      <c r="D16" s="3">
        <v>0.55375924300827495</v>
      </c>
      <c r="E16" s="1">
        <f>B16*D16</f>
        <v>1661277.7290248249</v>
      </c>
      <c r="I16" t="s">
        <v>13</v>
      </c>
      <c r="J16" s="1">
        <f>FV(J15,J14,0,-J13)</f>
        <v>7099284.9999999981</v>
      </c>
    </row>
    <row r="17" spans="1:16" x14ac:dyDescent="0.2">
      <c r="A17" t="s">
        <v>1</v>
      </c>
      <c r="B17" s="1">
        <v>2000000</v>
      </c>
      <c r="C17" s="8">
        <v>0.2246454107142857</v>
      </c>
      <c r="D17" s="3">
        <v>0.55375924300827495</v>
      </c>
      <c r="E17" s="1">
        <v>1107518.4860165499</v>
      </c>
    </row>
    <row r="18" spans="1:16" x14ac:dyDescent="0.2">
      <c r="A18" t="s">
        <v>2</v>
      </c>
      <c r="B18" s="1">
        <v>3000000</v>
      </c>
      <c r="C18" s="8">
        <v>0.33696811607142857</v>
      </c>
      <c r="D18" s="3">
        <v>0.55375924300827495</v>
      </c>
      <c r="E18" s="1">
        <v>1661277.7290248249</v>
      </c>
      <c r="H18" t="s">
        <v>14</v>
      </c>
      <c r="J18" s="1">
        <f>J16</f>
        <v>7099284.9999999981</v>
      </c>
      <c r="K18" t="s">
        <v>15</v>
      </c>
    </row>
    <row r="19" spans="1:16" x14ac:dyDescent="0.2">
      <c r="A19" t="s">
        <v>17</v>
      </c>
      <c r="B19" s="13">
        <f>C9*P21/(1-P21)</f>
        <v>902919.46601878817</v>
      </c>
      <c r="C19" s="12">
        <f>B19/B20</f>
        <v>0.1014183571428571</v>
      </c>
      <c r="D19" s="14">
        <f>J13/B19</f>
        <v>0.55375924300827495</v>
      </c>
      <c r="E19" s="1">
        <v>500000</v>
      </c>
    </row>
    <row r="20" spans="1:16" x14ac:dyDescent="0.2">
      <c r="A20" s="4" t="s">
        <v>7</v>
      </c>
      <c r="B20" s="5">
        <f>SUM(B16:B19)</f>
        <v>8902919.4660187885</v>
      </c>
      <c r="C20" s="9">
        <v>1</v>
      </c>
      <c r="D20" s="5"/>
      <c r="E20" s="7">
        <f>SUM(E16:E19)</f>
        <v>4930073.9440661995</v>
      </c>
      <c r="H20" t="s">
        <v>16</v>
      </c>
      <c r="P20" s="1">
        <f>14*5000000</f>
        <v>70000000</v>
      </c>
    </row>
    <row r="21" spans="1:16" x14ac:dyDescent="0.2">
      <c r="H21" t="s">
        <v>18</v>
      </c>
      <c r="P21" s="8">
        <f>J18/P20</f>
        <v>0.10141835714285712</v>
      </c>
    </row>
    <row r="22" spans="1:16" x14ac:dyDescent="0.2">
      <c r="A22" s="42" t="s">
        <v>62</v>
      </c>
      <c r="B22" s="42"/>
      <c r="H22" s="8"/>
      <c r="I22" s="8"/>
      <c r="J22" s="8"/>
      <c r="K22" s="8"/>
      <c r="L22" s="8"/>
    </row>
    <row r="23" spans="1:16" x14ac:dyDescent="0.2">
      <c r="H23" s="8"/>
      <c r="I23" s="8"/>
      <c r="J23" s="8"/>
      <c r="K23" s="8"/>
      <c r="L23" s="8"/>
    </row>
    <row r="24" spans="1:16" x14ac:dyDescent="0.2">
      <c r="A24" s="57" t="s">
        <v>8</v>
      </c>
      <c r="B24" s="58"/>
      <c r="C24" s="58"/>
      <c r="D24" s="58"/>
      <c r="E24" s="59"/>
      <c r="H24" s="8"/>
      <c r="I24" s="8"/>
      <c r="J24" s="8"/>
      <c r="K24" s="8"/>
      <c r="L24" s="8"/>
    </row>
    <row r="25" spans="1:16" x14ac:dyDescent="0.2">
      <c r="H25" s="8"/>
      <c r="I25" s="8"/>
      <c r="J25" s="8"/>
      <c r="K25" s="8"/>
      <c r="L25" s="8"/>
    </row>
    <row r="26" spans="1:16" x14ac:dyDescent="0.2">
      <c r="B26" s="6" t="s">
        <v>3</v>
      </c>
      <c r="C26" s="6" t="s">
        <v>4</v>
      </c>
      <c r="D26" s="6" t="s">
        <v>5</v>
      </c>
      <c r="E26" s="6" t="s">
        <v>6</v>
      </c>
      <c r="H26" s="8"/>
      <c r="I26" s="8"/>
      <c r="J26" s="8"/>
      <c r="K26" s="8"/>
      <c r="L26" s="8"/>
    </row>
    <row r="27" spans="1:16" x14ac:dyDescent="0.2">
      <c r="A27" t="s">
        <v>0</v>
      </c>
      <c r="B27" s="1">
        <v>3000000</v>
      </c>
      <c r="C27" s="8">
        <v>0.33696811607142857</v>
      </c>
      <c r="D27" s="11">
        <v>3</v>
      </c>
      <c r="E27" s="1">
        <f>B27*D27</f>
        <v>9000000</v>
      </c>
      <c r="H27" s="8"/>
      <c r="I27" s="8"/>
      <c r="J27" s="8"/>
      <c r="K27" s="8"/>
      <c r="L27" s="8"/>
    </row>
    <row r="28" spans="1:16" x14ac:dyDescent="0.2">
      <c r="A28" t="s">
        <v>1</v>
      </c>
      <c r="B28" s="1">
        <v>2000000</v>
      </c>
      <c r="C28" s="8">
        <v>0.2246454107142857</v>
      </c>
      <c r="D28" s="11">
        <v>3</v>
      </c>
      <c r="E28" s="1">
        <f t="shared" ref="E28:E32" si="1">B28*D28</f>
        <v>6000000</v>
      </c>
      <c r="H28" s="8"/>
      <c r="I28" s="8"/>
      <c r="J28" s="8"/>
      <c r="K28" s="8"/>
      <c r="L28" s="8"/>
    </row>
    <row r="29" spans="1:16" x14ac:dyDescent="0.2">
      <c r="A29" t="s">
        <v>2</v>
      </c>
      <c r="B29" s="1">
        <v>3000000</v>
      </c>
      <c r="C29" s="8">
        <v>0.33696811607142857</v>
      </c>
      <c r="D29" s="11">
        <v>3</v>
      </c>
      <c r="E29" s="1">
        <f t="shared" si="1"/>
        <v>9000000</v>
      </c>
      <c r="H29" s="8"/>
      <c r="I29" s="8"/>
      <c r="J29" s="8"/>
      <c r="K29" s="8"/>
      <c r="L29" s="8"/>
    </row>
    <row r="30" spans="1:16" x14ac:dyDescent="0.2">
      <c r="A30" t="s">
        <v>17</v>
      </c>
      <c r="B30" s="1">
        <v>902919.46601878817</v>
      </c>
      <c r="C30" s="43">
        <v>0.1014183571428571</v>
      </c>
      <c r="D30" s="11">
        <v>3</v>
      </c>
      <c r="E30" s="1">
        <f t="shared" si="1"/>
        <v>2708758.3980563646</v>
      </c>
      <c r="H30" s="8"/>
      <c r="I30" s="8"/>
      <c r="J30" s="8"/>
      <c r="K30" s="8"/>
      <c r="L30" s="8"/>
    </row>
    <row r="31" spans="1:16" x14ac:dyDescent="0.2">
      <c r="A31" t="s">
        <v>21</v>
      </c>
      <c r="B31" s="1">
        <f>B20*0.2/(1-0.2)</f>
        <v>2225729.8665046971</v>
      </c>
      <c r="C31" s="8">
        <f>B31/B33</f>
        <v>0.1810225932650309</v>
      </c>
      <c r="D31" s="11">
        <v>3</v>
      </c>
      <c r="E31" s="1">
        <f t="shared" si="1"/>
        <v>6677189.5995140914</v>
      </c>
      <c r="H31" s="8"/>
      <c r="I31" s="8"/>
      <c r="J31" s="8"/>
      <c r="K31" s="8"/>
      <c r="L31" s="8"/>
    </row>
    <row r="32" spans="1:16" x14ac:dyDescent="0.2">
      <c r="A32" t="s">
        <v>63</v>
      </c>
      <c r="B32" s="1">
        <v>1166666</v>
      </c>
      <c r="C32" s="8">
        <f>B32/B33</f>
        <v>9.4887033674845481E-2</v>
      </c>
      <c r="D32" s="11">
        <v>3</v>
      </c>
      <c r="E32" s="1">
        <f t="shared" si="1"/>
        <v>3499998</v>
      </c>
      <c r="H32" s="8"/>
      <c r="I32" s="8"/>
      <c r="J32" s="8"/>
      <c r="K32" s="8"/>
      <c r="L32" s="8"/>
    </row>
    <row r="33" spans="1:16" x14ac:dyDescent="0.2">
      <c r="A33" s="4" t="s">
        <v>7</v>
      </c>
      <c r="B33" s="5">
        <f>SUM(B27:B32)</f>
        <v>12295315.332523486</v>
      </c>
      <c r="C33" s="9">
        <v>1</v>
      </c>
      <c r="D33" s="5"/>
      <c r="E33" s="7">
        <f>SUM(E27:E32)</f>
        <v>36885945.997570455</v>
      </c>
      <c r="H33" s="8"/>
      <c r="I33" s="8"/>
      <c r="J33" s="8"/>
      <c r="K33" s="8"/>
      <c r="L33" s="8"/>
    </row>
    <row r="34" spans="1:16" x14ac:dyDescent="0.2">
      <c r="H34" s="8"/>
      <c r="I34" s="8"/>
      <c r="J34" s="8"/>
      <c r="K34" s="8"/>
      <c r="L34" s="8"/>
    </row>
    <row r="35" spans="1:16" x14ac:dyDescent="0.2">
      <c r="A35" s="42" t="s">
        <v>64</v>
      </c>
      <c r="B35" s="42"/>
      <c r="C35" s="42"/>
      <c r="H35" t="s">
        <v>22</v>
      </c>
    </row>
    <row r="37" spans="1:16" x14ac:dyDescent="0.2">
      <c r="A37" s="57" t="s">
        <v>20</v>
      </c>
      <c r="B37" s="58"/>
      <c r="C37" s="58"/>
      <c r="D37" s="58"/>
      <c r="E37" s="59"/>
      <c r="H37" t="s">
        <v>23</v>
      </c>
      <c r="K37" s="1">
        <v>12000000</v>
      </c>
    </row>
    <row r="38" spans="1:16" x14ac:dyDescent="0.2">
      <c r="H38" t="s">
        <v>24</v>
      </c>
      <c r="K38" s="1">
        <v>2000000</v>
      </c>
    </row>
    <row r="39" spans="1:16" x14ac:dyDescent="0.2">
      <c r="B39" s="6" t="s">
        <v>3</v>
      </c>
      <c r="C39" s="6" t="s">
        <v>4</v>
      </c>
      <c r="D39" s="6" t="s">
        <v>65</v>
      </c>
      <c r="E39" s="6" t="s">
        <v>6</v>
      </c>
      <c r="H39" s="4" t="s">
        <v>25</v>
      </c>
      <c r="I39" s="4"/>
      <c r="J39" s="4"/>
      <c r="K39" s="5">
        <f>K37+K38</f>
        <v>14000000</v>
      </c>
    </row>
    <row r="40" spans="1:16" x14ac:dyDescent="0.2">
      <c r="A40" t="s">
        <v>0</v>
      </c>
      <c r="B40" s="1">
        <f>B27</f>
        <v>3000000</v>
      </c>
      <c r="C40" s="8">
        <f>B40/$B$47</f>
        <v>0.20913888760759522</v>
      </c>
      <c r="D40" s="11">
        <v>0.97598147550211145</v>
      </c>
      <c r="E40" s="1">
        <f>B40*D40</f>
        <v>2927944.4265063345</v>
      </c>
    </row>
    <row r="41" spans="1:16" x14ac:dyDescent="0.2">
      <c r="A41" t="s">
        <v>1</v>
      </c>
      <c r="B41" s="1">
        <f t="shared" ref="B41:B45" si="2">B28</f>
        <v>2000000</v>
      </c>
      <c r="C41" s="8">
        <f t="shared" ref="C41:C45" si="3">B41/$B$47</f>
        <v>0.13942592507173016</v>
      </c>
      <c r="D41" s="11">
        <v>0.97598147550211145</v>
      </c>
      <c r="E41" s="1">
        <f t="shared" ref="E41:E45" si="4">B41*D41</f>
        <v>1951962.951004223</v>
      </c>
      <c r="H41" t="s">
        <v>26</v>
      </c>
      <c r="P41" s="1">
        <f>12*5000000</f>
        <v>60000000</v>
      </c>
    </row>
    <row r="42" spans="1:16" x14ac:dyDescent="0.2">
      <c r="A42" t="s">
        <v>2</v>
      </c>
      <c r="B42" s="1">
        <f t="shared" si="2"/>
        <v>3000000</v>
      </c>
      <c r="C42" s="8">
        <f t="shared" si="3"/>
        <v>0.20913888760759522</v>
      </c>
      <c r="D42" s="11">
        <v>0.97598147550211145</v>
      </c>
      <c r="E42" s="1">
        <f t="shared" si="4"/>
        <v>2927944.4265063345</v>
      </c>
    </row>
    <row r="43" spans="1:16" x14ac:dyDescent="0.2">
      <c r="A43" t="s">
        <v>17</v>
      </c>
      <c r="B43" s="1">
        <f t="shared" si="2"/>
        <v>902919.46601878817</v>
      </c>
      <c r="C43" s="8">
        <f t="shared" si="3"/>
        <v>6.2945190907471082E-2</v>
      </c>
      <c r="D43" s="11">
        <v>0.97598147550211145</v>
      </c>
      <c r="E43" s="1">
        <f t="shared" si="4"/>
        <v>881232.67270459549</v>
      </c>
      <c r="J43" s="6" t="s">
        <v>28</v>
      </c>
      <c r="K43" s="6" t="s">
        <v>19</v>
      </c>
    </row>
    <row r="44" spans="1:16" x14ac:dyDescent="0.2">
      <c r="A44" t="s">
        <v>21</v>
      </c>
      <c r="B44" s="1">
        <f t="shared" si="2"/>
        <v>2225729.8665046971</v>
      </c>
      <c r="C44" s="8">
        <f t="shared" si="3"/>
        <v>0.15516222279859793</v>
      </c>
      <c r="D44" s="11">
        <v>0.97598147550211145</v>
      </c>
      <c r="E44" s="1">
        <f t="shared" si="4"/>
        <v>2172271.119180372</v>
      </c>
      <c r="I44" t="s">
        <v>10</v>
      </c>
      <c r="J44" s="10">
        <f>K39</f>
        <v>14000000</v>
      </c>
      <c r="K44" s="10">
        <f>K38</f>
        <v>2000000</v>
      </c>
    </row>
    <row r="45" spans="1:16" x14ac:dyDescent="0.2">
      <c r="A45" t="s">
        <v>30</v>
      </c>
      <c r="B45" s="1">
        <f t="shared" si="2"/>
        <v>1166666</v>
      </c>
      <c r="C45" s="8">
        <f t="shared" si="3"/>
        <v>8.1331743149867561E-2</v>
      </c>
      <c r="D45" s="11">
        <v>0.97598147550211145</v>
      </c>
      <c r="E45" s="1">
        <f t="shared" si="4"/>
        <v>1138644.4040981464</v>
      </c>
      <c r="I45" t="s">
        <v>11</v>
      </c>
      <c r="J45" s="10">
        <v>3</v>
      </c>
      <c r="K45" s="1">
        <f>J45</f>
        <v>3</v>
      </c>
    </row>
    <row r="46" spans="1:16" x14ac:dyDescent="0.2">
      <c r="A46" t="s">
        <v>31</v>
      </c>
      <c r="B46" s="13">
        <f>B33*P52/(1-P52)</f>
        <v>2049219.2220872466</v>
      </c>
      <c r="C46" s="12">
        <f>P52</f>
        <v>0.14285714285714279</v>
      </c>
      <c r="D46" s="16">
        <f>K38/B46</f>
        <v>0.97598147550211145</v>
      </c>
      <c r="E46" s="1">
        <f>D46*B46</f>
        <v>2000000</v>
      </c>
      <c r="I46" t="s">
        <v>13</v>
      </c>
      <c r="J46" s="1">
        <f>P41</f>
        <v>60000000</v>
      </c>
      <c r="K46" s="1">
        <f>FV(K47,K45,0,-K44)</f>
        <v>8571428.5714285672</v>
      </c>
    </row>
    <row r="47" spans="1:16" x14ac:dyDescent="0.2">
      <c r="A47" s="4" t="s">
        <v>7</v>
      </c>
      <c r="B47" s="5">
        <f>SUM(B40:B46)</f>
        <v>14344534.554610733</v>
      </c>
      <c r="C47" s="9">
        <f>SUM(C40:C46)</f>
        <v>1</v>
      </c>
      <c r="D47" s="5"/>
      <c r="E47" s="5">
        <f>SUM(E40:E46)</f>
        <v>14000000.000000006</v>
      </c>
      <c r="I47" t="s">
        <v>27</v>
      </c>
      <c r="J47" s="17">
        <f>RATE(J45,0,-J44,J46)</f>
        <v>0.62433052162942027</v>
      </c>
      <c r="K47" s="17">
        <f>J47</f>
        <v>0.62433052162942027</v>
      </c>
    </row>
    <row r="49" spans="1:20" x14ac:dyDescent="0.2">
      <c r="A49" s="42" t="s">
        <v>66</v>
      </c>
      <c r="B49" s="42"/>
      <c r="C49" s="42"/>
    </row>
    <row r="50" spans="1:20" x14ac:dyDescent="0.2">
      <c r="I50" s="15" t="s">
        <v>58</v>
      </c>
      <c r="J50" s="1">
        <f>K46</f>
        <v>8571428.5714285672</v>
      </c>
      <c r="K50" t="s">
        <v>59</v>
      </c>
    </row>
    <row r="51" spans="1:20" x14ac:dyDescent="0.2">
      <c r="A51" s="57" t="s">
        <v>20</v>
      </c>
      <c r="B51" s="58"/>
      <c r="C51" s="58"/>
      <c r="D51" s="58"/>
      <c r="E51" s="59"/>
    </row>
    <row r="52" spans="1:20" x14ac:dyDescent="0.2">
      <c r="H52" t="s">
        <v>29</v>
      </c>
      <c r="P52" s="12">
        <f>J50/J46</f>
        <v>0.14285714285714279</v>
      </c>
    </row>
    <row r="53" spans="1:20" x14ac:dyDescent="0.2">
      <c r="B53" s="6" t="s">
        <v>3</v>
      </c>
      <c r="C53" s="6" t="s">
        <v>4</v>
      </c>
      <c r="D53" s="6" t="s">
        <v>5</v>
      </c>
      <c r="E53" s="6" t="s">
        <v>6</v>
      </c>
    </row>
    <row r="54" spans="1:20" x14ac:dyDescent="0.2">
      <c r="A54" t="s">
        <v>0</v>
      </c>
      <c r="B54" s="1">
        <v>3000000</v>
      </c>
      <c r="C54" s="8">
        <f>B54/$B$61</f>
        <v>0.16330782116196946</v>
      </c>
      <c r="D54" s="11">
        <f>$D$60</f>
        <v>0.76379439642857205</v>
      </c>
      <c r="E54" s="1">
        <f>B54*D54</f>
        <v>2291383.189285716</v>
      </c>
      <c r="M54" s="18" t="s">
        <v>55</v>
      </c>
      <c r="N54" s="19"/>
      <c r="O54" s="19"/>
      <c r="P54" s="19"/>
      <c r="Q54" s="19"/>
      <c r="R54" s="19"/>
      <c r="S54" s="19"/>
      <c r="T54" s="20"/>
    </row>
    <row r="55" spans="1:20" x14ac:dyDescent="0.2">
      <c r="A55" t="s">
        <v>1</v>
      </c>
      <c r="B55" s="1">
        <v>2000000</v>
      </c>
      <c r="C55" s="8">
        <f t="shared" ref="C55:C60" si="5">B55/$B$61</f>
        <v>0.10887188077464631</v>
      </c>
      <c r="D55" s="11">
        <f t="shared" ref="D55:D59" si="6">$D$60</f>
        <v>0.76379439642857205</v>
      </c>
      <c r="E55" s="1">
        <f t="shared" ref="E55:E59" si="7">B55*D55</f>
        <v>1527588.792857144</v>
      </c>
      <c r="M55" s="21"/>
      <c r="N55" s="22"/>
      <c r="O55" s="22"/>
      <c r="P55" s="22"/>
      <c r="Q55" s="22"/>
      <c r="R55" s="22"/>
      <c r="S55" s="22"/>
      <c r="T55" s="23"/>
    </row>
    <row r="56" spans="1:20" x14ac:dyDescent="0.2">
      <c r="A56" t="s">
        <v>2</v>
      </c>
      <c r="B56" s="1">
        <v>3000000</v>
      </c>
      <c r="C56" s="8">
        <f t="shared" si="5"/>
        <v>0.16330782116196946</v>
      </c>
      <c r="D56" s="11">
        <f t="shared" si="6"/>
        <v>0.76379439642857205</v>
      </c>
      <c r="E56" s="1">
        <f t="shared" si="7"/>
        <v>2291383.189285716</v>
      </c>
      <c r="I56" s="6"/>
      <c r="J56" s="6"/>
      <c r="K56" s="6"/>
      <c r="L56" s="6"/>
      <c r="M56" s="21" t="s">
        <v>41</v>
      </c>
      <c r="N56" s="22"/>
      <c r="O56" s="22"/>
      <c r="P56" s="22"/>
      <c r="Q56" s="22"/>
      <c r="R56" s="22"/>
      <c r="S56" s="22"/>
      <c r="T56" s="23"/>
    </row>
    <row r="57" spans="1:20" x14ac:dyDescent="0.2">
      <c r="A57" t="s">
        <v>17</v>
      </c>
      <c r="B57" s="1">
        <f>B43</f>
        <v>902919.46601878817</v>
      </c>
      <c r="C57" s="8">
        <f t="shared" si="5"/>
        <v>4.9151270226752405E-2</v>
      </c>
      <c r="D57" s="11">
        <f t="shared" si="6"/>
        <v>0.76379439642857205</v>
      </c>
      <c r="E57" s="1">
        <f t="shared" si="7"/>
        <v>689644.82857142889</v>
      </c>
      <c r="I57" s="1"/>
      <c r="J57" s="8"/>
      <c r="K57" s="11"/>
      <c r="L57" s="1"/>
      <c r="M57" s="21"/>
      <c r="N57" s="22" t="s">
        <v>42</v>
      </c>
      <c r="O57" s="22" t="s">
        <v>56</v>
      </c>
      <c r="P57" s="22"/>
      <c r="Q57" s="22"/>
      <c r="R57" s="22"/>
      <c r="S57" s="22"/>
      <c r="T57" s="23"/>
    </row>
    <row r="58" spans="1:20" x14ac:dyDescent="0.2">
      <c r="A58" t="s">
        <v>21</v>
      </c>
      <c r="B58" s="1">
        <v>2266406.1002634028</v>
      </c>
      <c r="C58" s="8">
        <f t="shared" si="5"/>
        <v>0.12337394736740413</v>
      </c>
      <c r="D58" s="11">
        <f t="shared" si="6"/>
        <v>0.76379439642857205</v>
      </c>
      <c r="E58" s="1">
        <f t="shared" si="7"/>
        <v>1731068.2794127194</v>
      </c>
      <c r="I58" s="1"/>
      <c r="J58" s="8"/>
      <c r="K58" s="11"/>
      <c r="L58" s="1"/>
      <c r="M58" s="21"/>
      <c r="N58" s="22" t="s">
        <v>43</v>
      </c>
      <c r="O58" s="22" t="s">
        <v>57</v>
      </c>
      <c r="P58" s="22"/>
      <c r="Q58" s="22"/>
      <c r="R58" s="22"/>
      <c r="S58" s="22"/>
      <c r="T58" s="23"/>
    </row>
    <row r="59" spans="1:20" x14ac:dyDescent="0.2">
      <c r="A59" t="s">
        <v>30</v>
      </c>
      <c r="B59" s="1">
        <f>S79</f>
        <v>4582385.0192743745</v>
      </c>
      <c r="C59" s="8">
        <f t="shared" si="5"/>
        <v>0.24944643774098252</v>
      </c>
      <c r="D59" s="11">
        <f t="shared" si="6"/>
        <v>0.76379439642857205</v>
      </c>
      <c r="E59" s="1">
        <f t="shared" si="7"/>
        <v>3500000.0000000014</v>
      </c>
      <c r="F59" t="s">
        <v>68</v>
      </c>
      <c r="I59" s="1"/>
      <c r="J59" s="8"/>
      <c r="K59" s="11"/>
      <c r="L59" s="1"/>
      <c r="M59" s="21"/>
      <c r="N59" s="22" t="s">
        <v>44</v>
      </c>
      <c r="O59" s="22" t="s">
        <v>45</v>
      </c>
      <c r="P59" s="22"/>
      <c r="Q59" s="22"/>
      <c r="R59" s="22"/>
      <c r="S59" s="22"/>
      <c r="T59" s="23"/>
    </row>
    <row r="60" spans="1:20" x14ac:dyDescent="0.2">
      <c r="A60" t="s">
        <v>31</v>
      </c>
      <c r="B60" s="1">
        <f>S80</f>
        <v>2618505.7252996415</v>
      </c>
      <c r="C60" s="8">
        <f t="shared" si="5"/>
        <v>0.14254082156627565</v>
      </c>
      <c r="D60" s="16">
        <f>E46/B60</f>
        <v>0.76379439642857205</v>
      </c>
      <c r="E60" s="1">
        <f>B60*D60</f>
        <v>2000000</v>
      </c>
      <c r="F60" t="s">
        <v>67</v>
      </c>
      <c r="I60" s="1"/>
      <c r="J60" s="8"/>
      <c r="K60" s="11"/>
      <c r="L60" s="1"/>
      <c r="M60" s="21"/>
      <c r="N60" s="22" t="s">
        <v>46</v>
      </c>
      <c r="O60" s="22" t="s">
        <v>47</v>
      </c>
      <c r="P60" s="22"/>
      <c r="Q60" s="22"/>
      <c r="R60" s="22"/>
      <c r="S60" s="22"/>
      <c r="T60" s="23"/>
    </row>
    <row r="61" spans="1:20" x14ac:dyDescent="0.2">
      <c r="A61" s="4" t="s">
        <v>7</v>
      </c>
      <c r="B61" s="5">
        <f>SUM(B54:B60)</f>
        <v>18370216.310856208</v>
      </c>
      <c r="C61" s="9">
        <f>SUM(C54:C60)</f>
        <v>1</v>
      </c>
      <c r="D61" s="5"/>
      <c r="E61" s="7">
        <f>SUM(E54:E60)</f>
        <v>14031068.279412726</v>
      </c>
      <c r="I61" s="1"/>
      <c r="J61" s="8"/>
      <c r="K61" s="11"/>
      <c r="L61" s="1"/>
      <c r="M61" s="21"/>
      <c r="N61" s="22"/>
      <c r="O61" s="22"/>
      <c r="P61" s="22"/>
      <c r="Q61" s="22"/>
      <c r="R61" s="22"/>
      <c r="S61" s="22"/>
      <c r="T61" s="23"/>
    </row>
    <row r="62" spans="1:20" x14ac:dyDescent="0.2">
      <c r="I62" s="1"/>
      <c r="J62" s="8"/>
      <c r="K62" s="11"/>
      <c r="L62" s="1"/>
      <c r="M62" s="21" t="s">
        <v>48</v>
      </c>
      <c r="N62" s="22"/>
      <c r="O62" s="22"/>
      <c r="P62" s="22"/>
      <c r="Q62" s="22"/>
      <c r="R62" s="22"/>
      <c r="S62" s="22"/>
      <c r="T62" s="23"/>
    </row>
    <row r="63" spans="1:20" x14ac:dyDescent="0.2">
      <c r="A63" s="42" t="s">
        <v>71</v>
      </c>
      <c r="B63" s="42"/>
      <c r="C63" s="42"/>
      <c r="I63" s="1"/>
      <c r="J63" s="1"/>
      <c r="K63" s="1"/>
      <c r="L63" s="1"/>
      <c r="M63" s="24" t="s">
        <v>35</v>
      </c>
      <c r="N63" s="25" t="s">
        <v>32</v>
      </c>
      <c r="O63" s="26">
        <f>C46</f>
        <v>0.14285714285714279</v>
      </c>
      <c r="P63" s="25" t="s">
        <v>33</v>
      </c>
      <c r="Q63" s="22" t="s">
        <v>34</v>
      </c>
      <c r="R63" s="22"/>
      <c r="S63" s="22"/>
      <c r="T63" s="23"/>
    </row>
    <row r="64" spans="1:20" x14ac:dyDescent="0.2">
      <c r="A64" t="s">
        <v>69</v>
      </c>
      <c r="D64" s="1">
        <v>41500000</v>
      </c>
      <c r="H64" s="4"/>
      <c r="I64" s="1"/>
      <c r="J64" s="1"/>
      <c r="K64" s="1"/>
      <c r="L64" s="1"/>
      <c r="M64" s="24" t="s">
        <v>36</v>
      </c>
      <c r="N64" s="25" t="s">
        <v>32</v>
      </c>
      <c r="O64" s="27">
        <f>E46</f>
        <v>2000000</v>
      </c>
      <c r="P64" s="25" t="s">
        <v>37</v>
      </c>
      <c r="Q64" s="22" t="s">
        <v>35</v>
      </c>
      <c r="R64" s="22"/>
      <c r="S64" s="22"/>
      <c r="T64" s="23"/>
    </row>
    <row r="65" spans="1:20" x14ac:dyDescent="0.2">
      <c r="M65" s="24" t="s">
        <v>38</v>
      </c>
      <c r="N65" s="25" t="s">
        <v>32</v>
      </c>
      <c r="O65" s="27">
        <v>3500000</v>
      </c>
      <c r="P65" s="25" t="s">
        <v>37</v>
      </c>
      <c r="Q65" s="22" t="s">
        <v>36</v>
      </c>
      <c r="R65" s="22"/>
      <c r="S65" s="22"/>
      <c r="T65" s="23"/>
    </row>
    <row r="66" spans="1:20" x14ac:dyDescent="0.2">
      <c r="A66" t="s">
        <v>67</v>
      </c>
      <c r="B66" s="1"/>
      <c r="C66" t="s">
        <v>82</v>
      </c>
      <c r="D66" s="1">
        <f>(E60)*3</f>
        <v>6000000</v>
      </c>
      <c r="M66" s="21"/>
      <c r="N66" s="22"/>
      <c r="O66" s="22"/>
      <c r="P66" s="22"/>
      <c r="Q66" s="22"/>
      <c r="R66" s="22"/>
      <c r="S66" s="22"/>
      <c r="T66" s="23"/>
    </row>
    <row r="67" spans="1:20" x14ac:dyDescent="0.2">
      <c r="M67" s="24" t="s">
        <v>49</v>
      </c>
      <c r="N67" s="22"/>
      <c r="O67" s="22"/>
      <c r="P67" s="22"/>
      <c r="Q67" s="22"/>
      <c r="R67" s="22"/>
      <c r="S67" s="22"/>
      <c r="T67" s="23"/>
    </row>
    <row r="68" spans="1:20" x14ac:dyDescent="0.2">
      <c r="A68" t="s">
        <v>73</v>
      </c>
      <c r="D68" s="1">
        <f>E59+E58</f>
        <v>5231068.2794127204</v>
      </c>
      <c r="M68" s="24" t="s">
        <v>38</v>
      </c>
      <c r="N68" s="25" t="s">
        <v>32</v>
      </c>
      <c r="O68" s="27">
        <v>3500000</v>
      </c>
      <c r="P68" s="25" t="s">
        <v>39</v>
      </c>
      <c r="Q68" s="27">
        <v>2000000</v>
      </c>
      <c r="R68" s="25" t="s">
        <v>32</v>
      </c>
      <c r="S68" s="28">
        <v>1.75</v>
      </c>
      <c r="T68" s="23" t="s">
        <v>40</v>
      </c>
    </row>
    <row r="69" spans="1:20" x14ac:dyDescent="0.2">
      <c r="M69" s="24" t="s">
        <v>35</v>
      </c>
      <c r="N69" s="25" t="s">
        <v>32</v>
      </c>
      <c r="O69" s="26">
        <v>0.5714285714285714</v>
      </c>
      <c r="P69" s="25" t="s">
        <v>52</v>
      </c>
      <c r="Q69" s="22"/>
      <c r="R69" s="22"/>
      <c r="S69" s="22"/>
      <c r="T69" s="23"/>
    </row>
    <row r="70" spans="1:20" x14ac:dyDescent="0.2">
      <c r="A70" t="s">
        <v>70</v>
      </c>
      <c r="D70" s="54">
        <f>D64-D66-D68</f>
        <v>30268931.72058728</v>
      </c>
      <c r="M70" s="24" t="s">
        <v>38</v>
      </c>
      <c r="N70" s="25" t="s">
        <v>32</v>
      </c>
      <c r="O70" s="26">
        <v>0.24999999999999989</v>
      </c>
      <c r="P70" s="25" t="s">
        <v>33</v>
      </c>
      <c r="Q70" s="22" t="s">
        <v>34</v>
      </c>
      <c r="R70" s="22"/>
      <c r="S70" s="22"/>
      <c r="T70" s="23"/>
    </row>
    <row r="71" spans="1:20" x14ac:dyDescent="0.2">
      <c r="C71" t="s">
        <v>3</v>
      </c>
      <c r="D71" t="s">
        <v>72</v>
      </c>
      <c r="M71" s="21"/>
      <c r="N71" s="22"/>
      <c r="O71" s="22"/>
      <c r="P71" s="22"/>
      <c r="Q71" s="22"/>
      <c r="R71" s="22"/>
      <c r="S71" s="22"/>
      <c r="T71" s="23"/>
    </row>
    <row r="72" spans="1:20" x14ac:dyDescent="0.2">
      <c r="B72" t="s">
        <v>67</v>
      </c>
      <c r="C72" s="1">
        <f>B60</f>
        <v>2618505.7252996415</v>
      </c>
      <c r="D72" s="3">
        <f>(C72/$C$78)*$D$70</f>
        <v>4314558.3953860123</v>
      </c>
      <c r="M72" s="24" t="s">
        <v>50</v>
      </c>
      <c r="N72" s="22"/>
      <c r="O72" s="22"/>
      <c r="P72" s="22"/>
      <c r="Q72" s="22"/>
      <c r="R72" s="22"/>
      <c r="S72" s="22"/>
      <c r="T72" s="23"/>
    </row>
    <row r="73" spans="1:20" x14ac:dyDescent="0.2">
      <c r="B73" t="s">
        <v>74</v>
      </c>
      <c r="C73" s="1">
        <f>B59+B58</f>
        <v>6848791.1195377773</v>
      </c>
      <c r="D73" s="3">
        <f>(C73/C78)*D70</f>
        <v>11284874.780888811</v>
      </c>
      <c r="M73" s="24" t="s">
        <v>51</v>
      </c>
      <c r="N73" s="25" t="s">
        <v>32</v>
      </c>
      <c r="O73" s="26">
        <v>0.39285714285714268</v>
      </c>
      <c r="P73" s="25" t="s">
        <v>33</v>
      </c>
      <c r="Q73" s="22" t="s">
        <v>34</v>
      </c>
      <c r="R73" s="22"/>
      <c r="S73" s="22"/>
      <c r="T73" s="23"/>
    </row>
    <row r="74" spans="1:20" x14ac:dyDescent="0.2">
      <c r="B74" t="s">
        <v>17</v>
      </c>
      <c r="C74" s="1">
        <f>B57</f>
        <v>902919.46601878817</v>
      </c>
      <c r="D74" s="3">
        <f t="shared" ref="D74:D77" si="8">(C74/$C$78)*$D$70</f>
        <v>1487756.4424737031</v>
      </c>
      <c r="M74" s="21"/>
      <c r="N74" s="22"/>
      <c r="O74" s="22"/>
      <c r="P74" s="22"/>
      <c r="Q74" s="22"/>
      <c r="R74" s="22"/>
      <c r="S74" s="22"/>
      <c r="T74" s="23"/>
    </row>
    <row r="75" spans="1:20" x14ac:dyDescent="0.2">
      <c r="B75" t="s">
        <v>2</v>
      </c>
      <c r="C75" s="1">
        <f>B56</f>
        <v>3000000</v>
      </c>
      <c r="D75" s="3">
        <f t="shared" si="8"/>
        <v>4943153.2881895322</v>
      </c>
      <c r="M75" s="29" t="s">
        <v>53</v>
      </c>
      <c r="N75" s="22"/>
      <c r="O75" s="22"/>
      <c r="P75" s="22"/>
      <c r="Q75" s="22"/>
      <c r="R75" s="22"/>
      <c r="S75" s="22"/>
      <c r="T75" s="23"/>
    </row>
    <row r="76" spans="1:20" x14ac:dyDescent="0.2">
      <c r="B76" t="s">
        <v>1</v>
      </c>
      <c r="C76" s="1">
        <f>B55</f>
        <v>2000000</v>
      </c>
      <c r="D76" s="3">
        <f t="shared" si="8"/>
        <v>3295435.5254596882</v>
      </c>
      <c r="M76" s="21"/>
      <c r="N76" s="25" t="s">
        <v>32</v>
      </c>
      <c r="O76" s="27">
        <f>SUM(B40:B44)</f>
        <v>11128649.332523486</v>
      </c>
      <c r="P76" s="22"/>
      <c r="Q76" s="22"/>
      <c r="R76" s="22"/>
      <c r="S76" s="22"/>
      <c r="T76" s="23"/>
    </row>
    <row r="77" spans="1:20" x14ac:dyDescent="0.2">
      <c r="B77" s="31" t="s">
        <v>0</v>
      </c>
      <c r="C77" s="44">
        <f>B54</f>
        <v>3000000</v>
      </c>
      <c r="D77" s="45">
        <f t="shared" si="8"/>
        <v>4943153.2881895322</v>
      </c>
      <c r="M77" s="21"/>
      <c r="N77" s="25"/>
      <c r="O77" s="27"/>
      <c r="P77" s="22"/>
      <c r="Q77" s="22"/>
      <c r="R77" s="22"/>
      <c r="S77" s="22"/>
      <c r="T77" s="23"/>
    </row>
    <row r="78" spans="1:20" x14ac:dyDescent="0.2">
      <c r="B78" s="4" t="s">
        <v>75</v>
      </c>
      <c r="C78" s="1">
        <f>SUM(C72:C77)</f>
        <v>18370216.310856208</v>
      </c>
      <c r="D78" s="46">
        <f>SUM(D72:D77)</f>
        <v>30268931.720587283</v>
      </c>
      <c r="M78" s="24" t="s">
        <v>49</v>
      </c>
      <c r="N78" s="22"/>
      <c r="O78" s="22"/>
      <c r="P78" s="22"/>
      <c r="Q78" s="25" t="s">
        <v>54</v>
      </c>
      <c r="R78" s="22"/>
      <c r="S78" s="22"/>
      <c r="T78" s="23"/>
    </row>
    <row r="79" spans="1:20" x14ac:dyDescent="0.2">
      <c r="M79" s="24" t="s">
        <v>51</v>
      </c>
      <c r="N79" s="25" t="s">
        <v>32</v>
      </c>
      <c r="O79" s="27">
        <f>O76*O73/(1-O73)</f>
        <v>7200890.744574016</v>
      </c>
      <c r="P79" s="22"/>
      <c r="Q79" s="25" t="s">
        <v>38</v>
      </c>
      <c r="R79" s="25" t="s">
        <v>32</v>
      </c>
      <c r="S79" s="27">
        <f>O79*O70/O73</f>
        <v>4582385.0192743745</v>
      </c>
      <c r="T79" s="23"/>
    </row>
    <row r="80" spans="1:20" x14ac:dyDescent="0.2">
      <c r="B80" s="48"/>
      <c r="C80" s="53" t="s">
        <v>76</v>
      </c>
      <c r="D80" s="53" t="s">
        <v>83</v>
      </c>
      <c r="E80" s="53" t="s">
        <v>79</v>
      </c>
      <c r="F80" s="53" t="s">
        <v>80</v>
      </c>
      <c r="G80" s="53" t="s">
        <v>81</v>
      </c>
      <c r="H80" s="53"/>
      <c r="M80" s="24"/>
      <c r="N80" s="25"/>
      <c r="O80" s="27"/>
      <c r="P80" s="22"/>
      <c r="Q80" s="25" t="s">
        <v>35</v>
      </c>
      <c r="R80" s="25" t="s">
        <v>32</v>
      </c>
      <c r="S80" s="27">
        <f>O79-S79</f>
        <v>2618505.7252996415</v>
      </c>
      <c r="T80" s="23"/>
    </row>
    <row r="81" spans="1:20" x14ac:dyDescent="0.2">
      <c r="B81" s="53" t="s">
        <v>77</v>
      </c>
      <c r="C81" s="49">
        <f>D73+D68</f>
        <v>16515943.060301531</v>
      </c>
      <c r="D81" s="49">
        <f>C81-F81</f>
        <v>13015943.060301529</v>
      </c>
      <c r="E81" s="50">
        <f>RATE(4,0,E59,-C81)</f>
        <v>0.47386882606698905</v>
      </c>
      <c r="F81" s="1">
        <f>E59</f>
        <v>3500000.0000000014</v>
      </c>
      <c r="G81" s="52">
        <f>C81/F81</f>
        <v>4.7188408743718639</v>
      </c>
      <c r="H81" s="1"/>
      <c r="I81" s="47"/>
      <c r="M81" s="30"/>
      <c r="N81" s="31"/>
      <c r="O81" s="31"/>
      <c r="P81" s="31"/>
      <c r="Q81" s="31"/>
      <c r="R81" s="31"/>
      <c r="S81" s="31"/>
      <c r="T81" s="32"/>
    </row>
    <row r="82" spans="1:20" x14ac:dyDescent="0.2">
      <c r="B82" s="53" t="s">
        <v>78</v>
      </c>
      <c r="C82" s="49">
        <f>D72+D66</f>
        <v>10314558.395386012</v>
      </c>
      <c r="D82" s="49">
        <f t="shared" ref="D82:D86" si="9">C82-F82</f>
        <v>8314558.3953860123</v>
      </c>
      <c r="E82" s="50">
        <f>RATE(3,0,E60,-C82)</f>
        <v>0.72772074436737755</v>
      </c>
      <c r="F82" s="1">
        <f>E60</f>
        <v>2000000</v>
      </c>
      <c r="G82" s="52">
        <f t="shared" ref="G82:G86" si="10">C82/F82</f>
        <v>5.1572791976930059</v>
      </c>
      <c r="H82" s="1"/>
      <c r="M82" s="22"/>
      <c r="N82" s="22"/>
      <c r="O82" s="22"/>
      <c r="P82" s="22"/>
      <c r="Q82" s="22"/>
      <c r="R82" s="22"/>
      <c r="S82" s="22"/>
      <c r="T82" s="22"/>
    </row>
    <row r="83" spans="1:20" x14ac:dyDescent="0.2">
      <c r="B83" s="53" t="s">
        <v>17</v>
      </c>
      <c r="C83" s="49">
        <f>D74</f>
        <v>1487756.4424737031</v>
      </c>
      <c r="D83" s="49">
        <f t="shared" si="9"/>
        <v>987756.44247370306</v>
      </c>
      <c r="E83" s="50">
        <f>RATE(5,0,J13,-C83)</f>
        <v>0.24369064344443206</v>
      </c>
      <c r="F83" s="1">
        <f>E19</f>
        <v>500000</v>
      </c>
      <c r="G83" s="52">
        <f t="shared" si="10"/>
        <v>2.9755128849474062</v>
      </c>
      <c r="H83" s="1"/>
    </row>
    <row r="84" spans="1:20" x14ac:dyDescent="0.2">
      <c r="B84" s="53" t="s">
        <v>2</v>
      </c>
      <c r="C84" s="49">
        <f>D75</f>
        <v>4943153.2881895322</v>
      </c>
      <c r="D84" s="49">
        <f t="shared" si="9"/>
        <v>4793153.2881895322</v>
      </c>
      <c r="E84" s="50">
        <f>RATE(5.5,0,F8,-C84)</f>
        <v>0.88792244166635503</v>
      </c>
      <c r="F84" s="1">
        <f>F8</f>
        <v>150000</v>
      </c>
      <c r="G84" s="52">
        <f t="shared" si="10"/>
        <v>32.954355254596884</v>
      </c>
      <c r="H84" s="1"/>
    </row>
    <row r="85" spans="1:20" x14ac:dyDescent="0.2">
      <c r="B85" s="53" t="s">
        <v>1</v>
      </c>
      <c r="C85" s="49">
        <f t="shared" ref="C85:C86" si="11">D76</f>
        <v>3295435.5254596882</v>
      </c>
      <c r="D85" s="49">
        <f t="shared" si="9"/>
        <v>3275435.5254596882</v>
      </c>
      <c r="E85" s="50" t="e">
        <f>RATE(6,0,F85,-C85)</f>
        <v>#NUM!</v>
      </c>
      <c r="F85" s="1">
        <f>F7</f>
        <v>20000</v>
      </c>
      <c r="G85" s="52">
        <f t="shared" si="10"/>
        <v>164.7717762729844</v>
      </c>
      <c r="H85" s="1"/>
    </row>
    <row r="86" spans="1:20" x14ac:dyDescent="0.2">
      <c r="B86" s="53" t="s">
        <v>0</v>
      </c>
      <c r="C86" s="55">
        <f t="shared" si="11"/>
        <v>4943153.2881895322</v>
      </c>
      <c r="D86" s="49">
        <f t="shared" si="9"/>
        <v>4913153.2881895322</v>
      </c>
      <c r="E86" s="50" t="e">
        <f>RATE(6,0,F6,-C86)</f>
        <v>#NUM!</v>
      </c>
      <c r="F86" s="1">
        <f>F6</f>
        <v>30000</v>
      </c>
      <c r="G86" s="52">
        <f t="shared" si="10"/>
        <v>164.7717762729844</v>
      </c>
      <c r="H86" s="1"/>
    </row>
    <row r="87" spans="1:20" x14ac:dyDescent="0.2">
      <c r="C87" s="3">
        <f>SUM(C81:C86)</f>
        <v>41500000</v>
      </c>
      <c r="D87" s="49"/>
    </row>
    <row r="89" spans="1:20" x14ac:dyDescent="0.2">
      <c r="A89" s="42" t="s">
        <v>84</v>
      </c>
      <c r="B89" s="42"/>
      <c r="C89" s="42"/>
      <c r="D89" s="42"/>
    </row>
    <row r="91" spans="1:20" x14ac:dyDescent="0.2">
      <c r="A91" t="s">
        <v>69</v>
      </c>
      <c r="D91" s="1">
        <v>41500000</v>
      </c>
    </row>
    <row r="93" spans="1:20" x14ac:dyDescent="0.2">
      <c r="C93" t="s">
        <v>3</v>
      </c>
      <c r="D93" t="s">
        <v>72</v>
      </c>
    </row>
    <row r="94" spans="1:20" x14ac:dyDescent="0.2">
      <c r="B94" t="s">
        <v>67</v>
      </c>
      <c r="C94" s="1">
        <f>C72</f>
        <v>2618505.7252996415</v>
      </c>
      <c r="D94" s="3">
        <f>(C94/$C$100)*$D$91</f>
        <v>5915444.0950004393</v>
      </c>
    </row>
    <row r="95" spans="1:20" x14ac:dyDescent="0.2">
      <c r="B95" t="s">
        <v>74</v>
      </c>
      <c r="C95" s="1">
        <f t="shared" ref="C95:C99" si="12">C73</f>
        <v>6848791.1195377773</v>
      </c>
      <c r="D95" s="3">
        <f t="shared" ref="D95:D99" si="13">(C95/$C$100)*$D$91</f>
        <v>15472045.981998047</v>
      </c>
    </row>
    <row r="96" spans="1:20" x14ac:dyDescent="0.2">
      <c r="B96" t="s">
        <v>17</v>
      </c>
      <c r="C96" s="1">
        <f t="shared" si="12"/>
        <v>902919.46601878817</v>
      </c>
      <c r="D96" s="3">
        <f t="shared" si="13"/>
        <v>2039777.7144102249</v>
      </c>
    </row>
    <row r="97" spans="2:8" x14ac:dyDescent="0.2">
      <c r="B97" t="s">
        <v>2</v>
      </c>
      <c r="C97" s="1">
        <f t="shared" si="12"/>
        <v>3000000</v>
      </c>
      <c r="D97" s="3">
        <f t="shared" si="13"/>
        <v>6777274.5782217328</v>
      </c>
    </row>
    <row r="98" spans="2:8" x14ac:dyDescent="0.2">
      <c r="B98" t="s">
        <v>1</v>
      </c>
      <c r="C98" s="1">
        <f t="shared" si="12"/>
        <v>2000000</v>
      </c>
      <c r="D98" s="3">
        <f t="shared" si="13"/>
        <v>4518183.0521478215</v>
      </c>
    </row>
    <row r="99" spans="2:8" x14ac:dyDescent="0.2">
      <c r="B99" s="31" t="s">
        <v>0</v>
      </c>
      <c r="C99" s="44">
        <f t="shared" si="12"/>
        <v>3000000</v>
      </c>
      <c r="D99" s="45">
        <f t="shared" si="13"/>
        <v>6777274.5782217328</v>
      </c>
    </row>
    <row r="100" spans="2:8" x14ac:dyDescent="0.2">
      <c r="B100" s="4" t="s">
        <v>75</v>
      </c>
      <c r="C100" s="1">
        <f>SUM(C94:C99)</f>
        <v>18370216.310856208</v>
      </c>
      <c r="D100" s="3">
        <f>SUM(D94:D99)</f>
        <v>41499999.999999993</v>
      </c>
    </row>
    <row r="102" spans="2:8" x14ac:dyDescent="0.2">
      <c r="B102" s="48"/>
      <c r="C102" s="53" t="s">
        <v>76</v>
      </c>
      <c r="D102" s="53" t="s">
        <v>83</v>
      </c>
      <c r="E102" s="53" t="s">
        <v>79</v>
      </c>
      <c r="F102" s="53" t="s">
        <v>80</v>
      </c>
      <c r="G102" s="53" t="s">
        <v>81</v>
      </c>
      <c r="H102" s="53"/>
    </row>
    <row r="103" spans="2:8" x14ac:dyDescent="0.2">
      <c r="B103" s="53" t="s">
        <v>77</v>
      </c>
      <c r="C103" s="49">
        <f>D95</f>
        <v>15472045.981998047</v>
      </c>
      <c r="D103" s="49">
        <f>C103-F103</f>
        <v>11972045.981998045</v>
      </c>
      <c r="E103" s="50">
        <f>RATE(4,0,E59,-C103)</f>
        <v>0.45000642222025089</v>
      </c>
      <c r="F103" s="1">
        <f>F81</f>
        <v>3500000.0000000014</v>
      </c>
      <c r="G103" s="52">
        <f>C103/F103</f>
        <v>4.4205845662851546</v>
      </c>
      <c r="H103" s="47"/>
    </row>
    <row r="104" spans="2:8" x14ac:dyDescent="0.2">
      <c r="B104" s="53" t="s">
        <v>78</v>
      </c>
      <c r="C104" s="49">
        <f>D94</f>
        <v>5915444.0950004393</v>
      </c>
      <c r="D104" s="49">
        <f t="shared" ref="D104:D108" si="14">C104-F104</f>
        <v>3915444.0950004393</v>
      </c>
      <c r="E104" s="50">
        <f>RATE(3,0,E60,-C104)</f>
        <v>0.43544245280748628</v>
      </c>
      <c r="F104" s="1">
        <f t="shared" ref="F104:F108" si="15">F82</f>
        <v>2000000</v>
      </c>
      <c r="G104" s="52">
        <f t="shared" ref="G104:G108" si="16">C104/F104</f>
        <v>2.9577220475002197</v>
      </c>
      <c r="H104" s="47"/>
    </row>
    <row r="105" spans="2:8" x14ac:dyDescent="0.2">
      <c r="B105" s="53" t="s">
        <v>17</v>
      </c>
      <c r="C105" s="49">
        <f>D96</f>
        <v>2039777.7144102249</v>
      </c>
      <c r="D105" s="49">
        <f t="shared" si="14"/>
        <v>1539777.7144102249</v>
      </c>
      <c r="E105" s="50">
        <f>RATE(5,0,J13,-C105)</f>
        <v>0.32471534684816716</v>
      </c>
      <c r="F105" s="1">
        <f t="shared" si="15"/>
        <v>500000</v>
      </c>
      <c r="G105" s="52">
        <f t="shared" si="16"/>
        <v>4.0795554288204503</v>
      </c>
      <c r="H105" s="47"/>
    </row>
    <row r="106" spans="2:8" x14ac:dyDescent="0.2">
      <c r="B106" s="53" t="s">
        <v>2</v>
      </c>
      <c r="C106" s="49">
        <f>D97</f>
        <v>6777274.5782217328</v>
      </c>
      <c r="D106" s="49">
        <f t="shared" si="14"/>
        <v>6627274.5782217328</v>
      </c>
      <c r="E106" s="50">
        <f>RATE(5.5,0,F8,-C106)</f>
        <v>0.99941300736774952</v>
      </c>
      <c r="F106" s="1">
        <f t="shared" si="15"/>
        <v>150000</v>
      </c>
      <c r="G106" s="56">
        <f>C106/F106</f>
        <v>45.181830521478219</v>
      </c>
      <c r="H106" s="47"/>
    </row>
    <row r="107" spans="2:8" x14ac:dyDescent="0.2">
      <c r="B107" s="53" t="s">
        <v>1</v>
      </c>
      <c r="C107" s="49">
        <f>D98</f>
        <v>4518183.0521478215</v>
      </c>
      <c r="D107" s="49">
        <f t="shared" si="14"/>
        <v>4498183.0521478215</v>
      </c>
      <c r="E107" s="50" t="e">
        <f>RATE(6,0,F7,-C107)</f>
        <v>#NUM!</v>
      </c>
      <c r="F107" s="1">
        <f t="shared" si="15"/>
        <v>20000</v>
      </c>
      <c r="G107" s="56">
        <f t="shared" si="16"/>
        <v>225.90915260739106</v>
      </c>
      <c r="H107" s="47"/>
    </row>
    <row r="108" spans="2:8" x14ac:dyDescent="0.2">
      <c r="B108" s="53" t="s">
        <v>0</v>
      </c>
      <c r="C108" s="55">
        <f>D99</f>
        <v>6777274.5782217328</v>
      </c>
      <c r="D108" s="49">
        <f t="shared" si="14"/>
        <v>6747274.5782217328</v>
      </c>
      <c r="E108" s="50" t="e">
        <f>RATE(6,0,F6,-C108)</f>
        <v>#NUM!</v>
      </c>
      <c r="F108" s="1">
        <f t="shared" si="15"/>
        <v>30000</v>
      </c>
      <c r="G108" s="56">
        <f t="shared" si="16"/>
        <v>225.90915260739109</v>
      </c>
      <c r="H108" s="47"/>
    </row>
    <row r="109" spans="2:8" x14ac:dyDescent="0.2">
      <c r="B109" s="53" t="s">
        <v>75</v>
      </c>
      <c r="C109" s="49">
        <f>SUM(C103:C108)</f>
        <v>41499999.999999993</v>
      </c>
      <c r="D109" s="51"/>
      <c r="E109" s="50"/>
      <c r="F109" s="1"/>
      <c r="G109" s="52"/>
      <c r="H109" s="1"/>
    </row>
    <row r="110" spans="2:8" x14ac:dyDescent="0.2">
      <c r="B110" s="53"/>
      <c r="C110" s="49"/>
      <c r="D110" s="48"/>
      <c r="E110" s="50"/>
      <c r="F110" s="1"/>
      <c r="G110" s="52"/>
      <c r="H110" s="1"/>
    </row>
    <row r="111" spans="2:8" x14ac:dyDescent="0.2">
      <c r="B111" s="53"/>
      <c r="C111" s="49"/>
      <c r="D111" s="48"/>
      <c r="E111" s="50"/>
      <c r="F111" s="1"/>
      <c r="G111" s="52"/>
      <c r="H111" s="1"/>
    </row>
    <row r="112" spans="2:8" x14ac:dyDescent="0.2">
      <c r="C112" s="3"/>
    </row>
  </sheetData>
  <mergeCells count="5">
    <mergeCell ref="A37:E37"/>
    <mergeCell ref="A51:E51"/>
    <mergeCell ref="B3:F3"/>
    <mergeCell ref="A13:E13"/>
    <mergeCell ref="A24:E2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mySolutions</vt:lpstr>
    </vt:vector>
  </TitlesOfParts>
  <Company>Bluedrill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Adeel Mahmood</dc:creator>
  <cp:lastModifiedBy>Microsoft Office User</cp:lastModifiedBy>
  <dcterms:created xsi:type="dcterms:W3CDTF">2011-09-29T07:27:42Z</dcterms:created>
  <dcterms:modified xsi:type="dcterms:W3CDTF">2022-04-03T04:28:38Z</dcterms:modified>
</cp:coreProperties>
</file>