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3c7bef20ec7f67/Desktop/Investment and portfolio management/"/>
    </mc:Choice>
  </mc:AlternateContent>
  <xr:revisionPtr revIDLastSave="0" documentId="8_{3BF51FBB-1972-498A-9B71-B439588B8F23}" xr6:coauthVersionLast="47" xr6:coauthVersionMax="47" xr10:uidLastSave="{00000000-0000-0000-0000-000000000000}"/>
  <bookViews>
    <workbookView xWindow="-108" yWindow="-108" windowWidth="23256" windowHeight="12576" firstSheet="9" activeTab="3" xr2:uid="{BE0B1B94-27CF-4004-A69E-DAE0129F30BC}"/>
  </bookViews>
  <sheets>
    <sheet name="interloop" sheetId="9" r:id="rId1"/>
    <sheet name="data " sheetId="3" r:id="rId2"/>
    <sheet name="income statement" sheetId="2" r:id="rId3"/>
    <sheet name="balance sheet" sheetId="1" r:id="rId4"/>
    <sheet name="Fixed Asset Roll Forward" sheetId="4" r:id="rId5"/>
    <sheet name="Financial Liabilities" sheetId="5" r:id="rId6"/>
    <sheet name="equity schedule" sheetId="6" r:id="rId7"/>
    <sheet name="cash flow" sheetId="7" r:id="rId8"/>
    <sheet name="WACC" sheetId="8" r:id="rId9"/>
    <sheet name="1m investment 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1" l="1"/>
  <c r="D22" i="11"/>
  <c r="E22" i="11"/>
  <c r="F22" i="11"/>
  <c r="B22" i="11"/>
  <c r="C38" i="11"/>
  <c r="D38" i="11"/>
  <c r="E38" i="11"/>
  <c r="F38" i="11"/>
  <c r="B38" i="11"/>
  <c r="B13" i="11"/>
  <c r="B10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B33" i="8"/>
  <c r="G24" i="8"/>
  <c r="B29" i="8"/>
  <c r="B28" i="8"/>
  <c r="B27" i="8"/>
  <c r="B26" i="8"/>
  <c r="F25" i="8"/>
  <c r="E25" i="8" s="1"/>
  <c r="D25" i="8" s="1"/>
  <c r="C25" i="8" s="1"/>
  <c r="B25" i="8" s="1"/>
  <c r="B31" i="8" s="1"/>
  <c r="G22" i="8"/>
  <c r="I11" i="1"/>
  <c r="J11" i="1"/>
  <c r="K11" i="1"/>
  <c r="H11" i="1"/>
  <c r="G11" i="1"/>
  <c r="G12" i="1"/>
  <c r="H12" i="1"/>
  <c r="I12" i="1"/>
  <c r="J12" i="1"/>
  <c r="K12" i="1"/>
  <c r="G13" i="1"/>
  <c r="C23" i="8"/>
  <c r="D23" i="8"/>
  <c r="E23" i="8"/>
  <c r="F23" i="8"/>
  <c r="B23" i="8"/>
  <c r="B13" i="8"/>
  <c r="C13" i="7"/>
  <c r="D13" i="7"/>
  <c r="E13" i="7"/>
  <c r="F13" i="7"/>
  <c r="B13" i="7"/>
  <c r="C11" i="7"/>
  <c r="D11" i="7"/>
  <c r="E11" i="7"/>
  <c r="F11" i="7"/>
  <c r="B11" i="7"/>
  <c r="B12" i="7"/>
  <c r="C9" i="7"/>
  <c r="D9" i="7"/>
  <c r="E9" i="7"/>
  <c r="F9" i="7"/>
  <c r="B9" i="7"/>
  <c r="C8" i="7"/>
  <c r="D8" i="7"/>
  <c r="E8" i="7"/>
  <c r="F8" i="7"/>
  <c r="B8" i="7"/>
  <c r="E9" i="5"/>
  <c r="C4" i="4"/>
  <c r="C5" i="4"/>
  <c r="C6" i="4"/>
  <c r="C7" i="4"/>
  <c r="B7" i="4"/>
  <c r="D7" i="4"/>
  <c r="D5" i="4"/>
  <c r="E5" i="4"/>
  <c r="E7" i="4"/>
  <c r="F7" i="4"/>
  <c r="F5" i="4"/>
  <c r="D4" i="4"/>
  <c r="D6" i="4" s="1"/>
  <c r="E4" i="4"/>
  <c r="E6" i="4" s="1"/>
  <c r="F4" i="4"/>
  <c r="F6" i="4" s="1"/>
  <c r="D8" i="5"/>
  <c r="D7" i="5"/>
  <c r="C7" i="5"/>
  <c r="C3" i="1"/>
  <c r="D3" i="1"/>
  <c r="E3" i="1"/>
  <c r="F3" i="1"/>
  <c r="B3" i="1"/>
  <c r="G2" i="1"/>
  <c r="G9" i="1"/>
  <c r="B10" i="8"/>
  <c r="C7" i="8"/>
  <c r="D7" i="8"/>
  <c r="E7" i="8"/>
  <c r="F7" i="8"/>
  <c r="B7" i="8"/>
  <c r="C6" i="8"/>
  <c r="D6" i="8"/>
  <c r="E6" i="8"/>
  <c r="F6" i="8"/>
  <c r="B6" i="8"/>
  <c r="C8" i="8"/>
  <c r="D8" i="8"/>
  <c r="E8" i="8"/>
  <c r="F8" i="8"/>
  <c r="B8" i="8"/>
  <c r="C4" i="8"/>
  <c r="D4" i="8"/>
  <c r="E4" i="8"/>
  <c r="F4" i="8"/>
  <c r="B4" i="8"/>
  <c r="D3" i="8"/>
  <c r="E3" i="8"/>
  <c r="F3" i="8"/>
  <c r="C3" i="8"/>
  <c r="B3" i="8"/>
  <c r="D12" i="7"/>
  <c r="D17" i="7"/>
  <c r="H9" i="1"/>
  <c r="I9" i="1"/>
  <c r="J9" i="1"/>
  <c r="K9" i="1"/>
  <c r="C12" i="2"/>
  <c r="B12" i="2"/>
  <c r="D12" i="2"/>
  <c r="E12" i="2"/>
  <c r="F12" i="2"/>
  <c r="B4" i="3"/>
  <c r="C4" i="3"/>
  <c r="D4" i="3"/>
  <c r="E4" i="3"/>
  <c r="F4" i="3"/>
  <c r="G4" i="3"/>
  <c r="C17" i="7"/>
  <c r="E17" i="7"/>
  <c r="F17" i="7"/>
  <c r="B17" i="7"/>
  <c r="H17" i="1"/>
  <c r="I17" i="1"/>
  <c r="J17" i="1"/>
  <c r="K17" i="1"/>
  <c r="G17" i="1"/>
  <c r="B14" i="5"/>
  <c r="H6" i="6"/>
  <c r="G10" i="6"/>
  <c r="D9" i="5"/>
  <c r="F9" i="5"/>
  <c r="C9" i="5"/>
  <c r="B9" i="5"/>
  <c r="C6" i="5" s="1"/>
  <c r="C8" i="5" s="1"/>
  <c r="C9" i="4"/>
  <c r="G9" i="4" s="1"/>
  <c r="G4" i="4"/>
  <c r="E9" i="4"/>
  <c r="F9" i="4"/>
  <c r="E10" i="4"/>
  <c r="F10" i="4"/>
  <c r="B11" i="1"/>
  <c r="B2" i="1"/>
  <c r="C2" i="1"/>
  <c r="D2" i="1"/>
  <c r="E2" i="1"/>
  <c r="F2" i="1"/>
  <c r="G6" i="1"/>
  <c r="G5" i="1"/>
  <c r="C6" i="1"/>
  <c r="D6" i="1"/>
  <c r="E6" i="1"/>
  <c r="F6" i="1"/>
  <c r="B6" i="1"/>
  <c r="C5" i="1"/>
  <c r="D5" i="1"/>
  <c r="E5" i="1"/>
  <c r="F5" i="1"/>
  <c r="B5" i="1"/>
  <c r="C20" i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F16" i="1"/>
  <c r="F21" i="1" s="1"/>
  <c r="C16" i="1"/>
  <c r="C21" i="1" s="1"/>
  <c r="D16" i="1"/>
  <c r="D21" i="1" s="1"/>
  <c r="E16" i="1"/>
  <c r="E21" i="1" s="1"/>
  <c r="B16" i="1"/>
  <c r="C13" i="1"/>
  <c r="D13" i="1"/>
  <c r="E13" i="1"/>
  <c r="F13" i="1"/>
  <c r="B13" i="1"/>
  <c r="C12" i="1"/>
  <c r="D12" i="1"/>
  <c r="E12" i="1"/>
  <c r="F12" i="1"/>
  <c r="B12" i="1"/>
  <c r="C11" i="1"/>
  <c r="D11" i="1"/>
  <c r="E11" i="1"/>
  <c r="F11" i="1"/>
  <c r="C10" i="1"/>
  <c r="D10" i="1"/>
  <c r="E10" i="1"/>
  <c r="F10" i="1"/>
  <c r="B10" i="1"/>
  <c r="C9" i="1"/>
  <c r="D9" i="1"/>
  <c r="E9" i="1"/>
  <c r="F9" i="1"/>
  <c r="B9" i="1"/>
  <c r="C14" i="2"/>
  <c r="D14" i="2"/>
  <c r="E14" i="2"/>
  <c r="F14" i="2"/>
  <c r="B14" i="2"/>
  <c r="B21" i="1"/>
  <c r="B14" i="1"/>
  <c r="L15" i="3"/>
  <c r="M15" i="3"/>
  <c r="N15" i="3"/>
  <c r="O15" i="3"/>
  <c r="P15" i="3"/>
  <c r="K15" i="3"/>
  <c r="S17" i="3"/>
  <c r="C18" i="2"/>
  <c r="D18" i="2"/>
  <c r="E18" i="2"/>
  <c r="F18" i="2"/>
  <c r="B18" i="2"/>
  <c r="D16" i="2"/>
  <c r="E16" i="2"/>
  <c r="F16" i="2"/>
  <c r="C16" i="2"/>
  <c r="B16" i="2"/>
  <c r="C10" i="2"/>
  <c r="D10" i="2"/>
  <c r="E10" i="2"/>
  <c r="F10" i="2"/>
  <c r="B10" i="2"/>
  <c r="B4" i="1" s="1"/>
  <c r="C9" i="2"/>
  <c r="D9" i="2"/>
  <c r="E9" i="2"/>
  <c r="F9" i="2"/>
  <c r="G9" i="2" s="1"/>
  <c r="B9" i="2"/>
  <c r="B8" i="11" l="1"/>
  <c r="B6" i="11"/>
  <c r="C8" i="11"/>
  <c r="C6" i="11"/>
  <c r="D8" i="11"/>
  <c r="D6" i="11"/>
  <c r="E8" i="11"/>
  <c r="E6" i="11"/>
  <c r="F8" i="11"/>
  <c r="F6" i="11"/>
  <c r="G8" i="11"/>
  <c r="G6" i="11"/>
  <c r="H8" i="11"/>
  <c r="H6" i="11"/>
  <c r="I8" i="11"/>
  <c r="I6" i="11"/>
  <c r="J8" i="11"/>
  <c r="J6" i="11"/>
  <c r="K8" i="11"/>
  <c r="K6" i="11"/>
  <c r="B7" i="11"/>
  <c r="C7" i="11"/>
  <c r="D7" i="11"/>
  <c r="E7" i="11"/>
  <c r="F7" i="11"/>
  <c r="G7" i="11"/>
  <c r="H7" i="11"/>
  <c r="I7" i="11"/>
  <c r="J7" i="11"/>
  <c r="K7" i="11"/>
  <c r="G22" i="11"/>
  <c r="G5" i="4"/>
  <c r="D9" i="4"/>
  <c r="D10" i="4"/>
  <c r="G14" i="2"/>
  <c r="F4" i="1"/>
  <c r="E4" i="1"/>
  <c r="D4" i="1"/>
  <c r="C4" i="1"/>
  <c r="G4" i="1" s="1"/>
  <c r="G3" i="1"/>
  <c r="G19" i="1"/>
  <c r="D6" i="5"/>
  <c r="B19" i="5"/>
  <c r="G16" i="2" s="1"/>
  <c r="B6" i="7" s="1"/>
  <c r="B18" i="5"/>
  <c r="C18" i="5" s="1"/>
  <c r="D18" i="5" s="1"/>
  <c r="E18" i="5" s="1"/>
  <c r="F18" i="5" s="1"/>
  <c r="G18" i="5" s="1"/>
  <c r="H18" i="5" s="1"/>
  <c r="I18" i="5" s="1"/>
  <c r="J18" i="5" s="1"/>
  <c r="K18" i="5" s="1"/>
  <c r="G6" i="5"/>
  <c r="F6" i="5"/>
  <c r="E6" i="5"/>
  <c r="B20" i="5"/>
  <c r="B21" i="5" s="1"/>
  <c r="C10" i="4"/>
  <c r="G10" i="4" s="1"/>
  <c r="G6" i="4" s="1"/>
  <c r="F14" i="1"/>
  <c r="E14" i="1"/>
  <c r="D14" i="1"/>
  <c r="C14" i="1"/>
  <c r="G12" i="2"/>
  <c r="G10" i="2"/>
  <c r="H9" i="2"/>
  <c r="B11" i="2"/>
  <c r="B13" i="2" s="1"/>
  <c r="B15" i="2" s="1"/>
  <c r="B17" i="2" s="1"/>
  <c r="B19" i="2" s="1"/>
  <c r="B2" i="2"/>
  <c r="F2" i="2"/>
  <c r="F11" i="2"/>
  <c r="F13" i="2" s="1"/>
  <c r="F15" i="2" s="1"/>
  <c r="F17" i="2" s="1"/>
  <c r="F19" i="2" s="1"/>
  <c r="E2" i="2"/>
  <c r="E11" i="2"/>
  <c r="E13" i="2" s="1"/>
  <c r="E15" i="2" s="1"/>
  <c r="E17" i="2" s="1"/>
  <c r="E19" i="2" s="1"/>
  <c r="D2" i="2"/>
  <c r="D11" i="2"/>
  <c r="D13" i="2" s="1"/>
  <c r="D15" i="2" s="1"/>
  <c r="D17" i="2" s="1"/>
  <c r="D19" i="2" s="1"/>
  <c r="C2" i="2"/>
  <c r="C11" i="2"/>
  <c r="C13" i="2" s="1"/>
  <c r="C15" i="2" s="1"/>
  <c r="C17" i="2" s="1"/>
  <c r="C19" i="2" s="1"/>
  <c r="B3" i="2"/>
  <c r="F3" i="2"/>
  <c r="E3" i="2"/>
  <c r="D3" i="2"/>
  <c r="C3" i="2"/>
  <c r="B4" i="2"/>
  <c r="F4" i="2"/>
  <c r="E4" i="2"/>
  <c r="D4" i="2"/>
  <c r="C4" i="2"/>
  <c r="B5" i="2"/>
  <c r="F5" i="2"/>
  <c r="E5" i="2"/>
  <c r="D5" i="2"/>
  <c r="F23" i="11" l="1"/>
  <c r="E23" i="11"/>
  <c r="D23" i="11"/>
  <c r="C23" i="11"/>
  <c r="B23" i="11"/>
  <c r="G7" i="4"/>
  <c r="H4" i="4"/>
  <c r="H19" i="1"/>
  <c r="C12" i="7" s="1"/>
  <c r="H13" i="1"/>
  <c r="G11" i="2"/>
  <c r="G10" i="1"/>
  <c r="E8" i="5"/>
  <c r="E7" i="5"/>
  <c r="F8" i="5"/>
  <c r="F7" i="5"/>
  <c r="G8" i="5"/>
  <c r="H12" i="2"/>
  <c r="H10" i="2"/>
  <c r="I9" i="2"/>
  <c r="B26" i="11" l="1"/>
  <c r="B27" i="11"/>
  <c r="B28" i="11"/>
  <c r="B29" i="11"/>
  <c r="G24" i="11"/>
  <c r="F25" i="11" s="1"/>
  <c r="E25" i="11" s="1"/>
  <c r="D25" i="11" s="1"/>
  <c r="C25" i="11" s="1"/>
  <c r="B25" i="11" s="1"/>
  <c r="B31" i="11" s="1"/>
  <c r="B33" i="11" s="1"/>
  <c r="H6" i="4"/>
  <c r="H5" i="4"/>
  <c r="H14" i="2" s="1"/>
  <c r="I19" i="1"/>
  <c r="I13" i="1"/>
  <c r="H11" i="2"/>
  <c r="H10" i="1"/>
  <c r="G13" i="2"/>
  <c r="G16" i="1"/>
  <c r="C19" i="5"/>
  <c r="I12" i="2"/>
  <c r="I10" i="2"/>
  <c r="J9" i="2"/>
  <c r="C20" i="5" l="1"/>
  <c r="H8" i="5" s="1"/>
  <c r="H16" i="2"/>
  <c r="C6" i="7" s="1"/>
  <c r="H7" i="4"/>
  <c r="J19" i="1"/>
  <c r="E12" i="7" s="1"/>
  <c r="J13" i="1"/>
  <c r="I11" i="2"/>
  <c r="I10" i="1"/>
  <c r="B10" i="7"/>
  <c r="G15" i="2"/>
  <c r="G17" i="2" s="1"/>
  <c r="G18" i="2" s="1"/>
  <c r="B5" i="7"/>
  <c r="H13" i="2"/>
  <c r="H16" i="1"/>
  <c r="J12" i="2"/>
  <c r="J10" i="2"/>
  <c r="K9" i="2"/>
  <c r="I4" i="4" l="1"/>
  <c r="K19" i="1"/>
  <c r="F12" i="7" s="1"/>
  <c r="K13" i="1"/>
  <c r="J11" i="2"/>
  <c r="J10" i="1"/>
  <c r="C10" i="7"/>
  <c r="H15" i="2"/>
  <c r="H17" i="2" s="1"/>
  <c r="H18" i="2" s="1"/>
  <c r="C5" i="7"/>
  <c r="G19" i="2"/>
  <c r="H8" i="6" s="1"/>
  <c r="B7" i="7"/>
  <c r="I13" i="2"/>
  <c r="I16" i="1"/>
  <c r="D10" i="7" s="1"/>
  <c r="K12" i="2"/>
  <c r="K10" i="2"/>
  <c r="I5" i="4" l="1"/>
  <c r="I14" i="2" s="1"/>
  <c r="I6" i="4"/>
  <c r="I7" i="4"/>
  <c r="K11" i="2"/>
  <c r="K10" i="1"/>
  <c r="I15" i="2"/>
  <c r="D5" i="7"/>
  <c r="H9" i="6"/>
  <c r="H19" i="2"/>
  <c r="I8" i="6" s="1"/>
  <c r="C7" i="7"/>
  <c r="C14" i="7" s="1"/>
  <c r="J13" i="2"/>
  <c r="J16" i="1"/>
  <c r="G9" i="5"/>
  <c r="G18" i="1" s="1"/>
  <c r="H6" i="5"/>
  <c r="H9" i="5"/>
  <c r="G3" i="8" l="1"/>
  <c r="B16" i="7"/>
  <c r="J4" i="4"/>
  <c r="I6" i="5"/>
  <c r="H18" i="1"/>
  <c r="E10" i="7"/>
  <c r="J15" i="2"/>
  <c r="E5" i="7"/>
  <c r="I9" i="6"/>
  <c r="B15" i="7"/>
  <c r="H10" i="6"/>
  <c r="K13" i="2"/>
  <c r="K16" i="1"/>
  <c r="C21" i="5"/>
  <c r="D19" i="5" s="1"/>
  <c r="C16" i="7" l="1"/>
  <c r="H3" i="8"/>
  <c r="J5" i="4"/>
  <c r="J14" i="2" s="1"/>
  <c r="J6" i="4"/>
  <c r="J7" i="4"/>
  <c r="G20" i="1"/>
  <c r="G4" i="8" s="1"/>
  <c r="I6" i="6"/>
  <c r="D20" i="5"/>
  <c r="I8" i="5" s="1"/>
  <c r="I16" i="2"/>
  <c r="F10" i="7"/>
  <c r="K15" i="2"/>
  <c r="F5" i="7"/>
  <c r="B18" i="7"/>
  <c r="G21" i="1"/>
  <c r="C15" i="7"/>
  <c r="I10" i="6"/>
  <c r="K4" i="4" l="1"/>
  <c r="G8" i="8"/>
  <c r="H20" i="1"/>
  <c r="H4" i="8" s="1"/>
  <c r="J6" i="6"/>
  <c r="D6" i="7"/>
  <c r="I17" i="2"/>
  <c r="I9" i="5"/>
  <c r="D21" i="5"/>
  <c r="E19" i="5" s="1"/>
  <c r="C18" i="7"/>
  <c r="C19" i="7" s="1"/>
  <c r="H21" i="1"/>
  <c r="K5" i="4" l="1"/>
  <c r="K14" i="2" s="1"/>
  <c r="K6" i="4"/>
  <c r="K7" i="4"/>
  <c r="C22" i="8"/>
  <c r="H8" i="8"/>
  <c r="G6" i="8"/>
  <c r="G7" i="8"/>
  <c r="E20" i="5"/>
  <c r="J8" i="5" s="1"/>
  <c r="J16" i="2"/>
  <c r="J6" i="5"/>
  <c r="I18" i="1"/>
  <c r="I18" i="2"/>
  <c r="D7" i="7" s="1"/>
  <c r="D14" i="7" s="1"/>
  <c r="I19" i="2"/>
  <c r="J8" i="6" s="1"/>
  <c r="I3" i="8" l="1"/>
  <c r="D16" i="7"/>
  <c r="H6" i="8"/>
  <c r="H7" i="8"/>
  <c r="J9" i="6"/>
  <c r="D15" i="7" s="1"/>
  <c r="J10" i="6"/>
  <c r="E6" i="7"/>
  <c r="J17" i="2"/>
  <c r="J9" i="5"/>
  <c r="E21" i="5"/>
  <c r="F19" i="5" s="1"/>
  <c r="I20" i="1" l="1"/>
  <c r="K6" i="6"/>
  <c r="I21" i="1"/>
  <c r="F20" i="5"/>
  <c r="K8" i="5" s="1"/>
  <c r="K16" i="2"/>
  <c r="J18" i="1"/>
  <c r="J3" i="8" s="1"/>
  <c r="K6" i="5"/>
  <c r="J18" i="2"/>
  <c r="E7" i="7" s="1"/>
  <c r="E14" i="7" s="1"/>
  <c r="J19" i="2"/>
  <c r="K8" i="6" s="1"/>
  <c r="D18" i="7" l="1"/>
  <c r="D19" i="7" s="1"/>
  <c r="I4" i="8"/>
  <c r="K9" i="6"/>
  <c r="E15" i="7" s="1"/>
  <c r="K10" i="6"/>
  <c r="E16" i="7"/>
  <c r="F6" i="7"/>
  <c r="K17" i="2"/>
  <c r="K9" i="5"/>
  <c r="K18" i="1" s="1"/>
  <c r="K3" i="8" s="1"/>
  <c r="F21" i="5"/>
  <c r="G19" i="5" s="1"/>
  <c r="G20" i="5" s="1"/>
  <c r="G21" i="5" s="1"/>
  <c r="H19" i="5" s="1"/>
  <c r="H20" i="5" s="1"/>
  <c r="H21" i="5" s="1"/>
  <c r="I19" i="5" s="1"/>
  <c r="I20" i="5" s="1"/>
  <c r="I21" i="5" s="1"/>
  <c r="J19" i="5" s="1"/>
  <c r="J20" i="5" s="1"/>
  <c r="J21" i="5"/>
  <c r="K19" i="5" s="1"/>
  <c r="K20" i="5" s="1"/>
  <c r="K21" i="5" s="1"/>
  <c r="D22" i="8" l="1"/>
  <c r="I8" i="8"/>
  <c r="J20" i="1"/>
  <c r="J4" i="8" s="1"/>
  <c r="L6" i="6"/>
  <c r="F16" i="7"/>
  <c r="K18" i="2"/>
  <c r="F7" i="7" s="1"/>
  <c r="F14" i="7" s="1"/>
  <c r="K19" i="2"/>
  <c r="L8" i="6" s="1"/>
  <c r="J8" i="8" l="1"/>
  <c r="I6" i="8"/>
  <c r="I7" i="8"/>
  <c r="E18" i="7"/>
  <c r="E19" i="7" s="1"/>
  <c r="J21" i="1"/>
  <c r="L9" i="6"/>
  <c r="F15" i="7" s="1"/>
  <c r="L10" i="6"/>
  <c r="K20" i="1" s="1"/>
  <c r="K4" i="8" s="1"/>
  <c r="E22" i="8" l="1"/>
  <c r="K8" i="8"/>
  <c r="J6" i="8"/>
  <c r="J7" i="8"/>
  <c r="F18" i="7"/>
  <c r="F19" i="7" s="1"/>
  <c r="K21" i="1"/>
  <c r="F22" i="8" l="1"/>
  <c r="K6" i="8"/>
  <c r="K7" i="8"/>
  <c r="B14" i="7"/>
  <c r="B19" i="7"/>
  <c r="G14" i="1" l="1"/>
  <c r="B22" i="8"/>
  <c r="H14" i="1"/>
  <c r="I14" i="1" l="1"/>
  <c r="J14" i="1" l="1"/>
  <c r="K14" i="1" l="1"/>
</calcChain>
</file>

<file path=xl/sharedStrings.xml><?xml version="1.0" encoding="utf-8"?>
<sst xmlns="http://schemas.openxmlformats.org/spreadsheetml/2006/main" count="501" uniqueCount="174">
  <si>
    <r>
      <rPr>
        <b/>
        <sz val="11"/>
        <color rgb="FF000000"/>
        <rFont val="Calibri"/>
        <scheme val="minor"/>
      </rPr>
      <t>SUBMITTED BY</t>
    </r>
    <r>
      <rPr>
        <sz val="11"/>
        <color rgb="FF000000"/>
        <rFont val="Calibri"/>
        <scheme val="minor"/>
      </rPr>
      <t xml:space="preserve"> :</t>
    </r>
    <r>
      <rPr>
        <b/>
        <sz val="11"/>
        <color rgb="FF000000"/>
        <rFont val="Calibri"/>
        <scheme val="minor"/>
      </rPr>
      <t xml:space="preserve">SYEDA AMNA BATOOL </t>
    </r>
  </si>
  <si>
    <t>ROLL NO:1893-BS-BAF-21</t>
  </si>
  <si>
    <t>SUBMITTED TO :   SIR NAVEED</t>
  </si>
  <si>
    <t>COMPANY: INTERLOOP LIMITED</t>
  </si>
  <si>
    <t xml:space="preserve">FINANCIAL FORECASTING </t>
  </si>
  <si>
    <t>Particulars</t>
  </si>
  <si>
    <t>Particulars (Rupees ‘000)</t>
  </si>
  <si>
    <t>ASSETS</t>
  </si>
  <si>
    <t>Net Sales</t>
  </si>
  <si>
    <t>Cost of goods sold</t>
  </si>
  <si>
    <t>Non Current Assets</t>
  </si>
  <si>
    <t>Gross Profit</t>
  </si>
  <si>
    <t>Property, plant and equipment</t>
  </si>
  <si>
    <t>Operating Expenses</t>
  </si>
  <si>
    <t>Intangible Asset</t>
  </si>
  <si>
    <t>EBITDA</t>
  </si>
  <si>
    <t>Long term investments</t>
  </si>
  <si>
    <t>Depreciation &amp; Amortization</t>
  </si>
  <si>
    <t>0 (not given)</t>
  </si>
  <si>
    <t>Long term loans</t>
  </si>
  <si>
    <t>EBIT</t>
  </si>
  <si>
    <t>Long term deposits</t>
  </si>
  <si>
    <t>Interest Expenses</t>
  </si>
  <si>
    <t>Deferred taxation - net</t>
  </si>
  <si>
    <t>EBT (Earnings Before Taxes)</t>
  </si>
  <si>
    <t>Total non current assets</t>
  </si>
  <si>
    <t>Taxes</t>
  </si>
  <si>
    <t>Current Assets</t>
  </si>
  <si>
    <t>Net Income</t>
  </si>
  <si>
    <t>Stores and spares</t>
  </si>
  <si>
    <t>Stock in trade</t>
  </si>
  <si>
    <t>Inventory</t>
  </si>
  <si>
    <t>Trade debts</t>
  </si>
  <si>
    <t>Metric</t>
  </si>
  <si>
    <t>2019 (PKR M)</t>
  </si>
  <si>
    <t>2020 (PKR M)</t>
  </si>
  <si>
    <t>2021 (PKR M)</t>
  </si>
  <si>
    <t>2022 (PKR M)</t>
  </si>
  <si>
    <t>2023 (PKR M)</t>
  </si>
  <si>
    <t>Loan and advances</t>
  </si>
  <si>
    <t>other assets</t>
  </si>
  <si>
    <t>Deposit, prepayment and other receivables</t>
  </si>
  <si>
    <t>Cost of Sales</t>
  </si>
  <si>
    <t>Derivative financial instruments</t>
  </si>
  <si>
    <t>Accrued Income</t>
  </si>
  <si>
    <t>Refunds due from Government and statutory authorities</t>
  </si>
  <si>
    <t>Short term investments</t>
  </si>
  <si>
    <t>Depreciation &amp; Amortization (D&amp;A)</t>
  </si>
  <si>
    <t>Cash and bank balances</t>
  </si>
  <si>
    <t>-</t>
  </si>
  <si>
    <t>Total current assets</t>
  </si>
  <si>
    <t>EBT</t>
  </si>
  <si>
    <t>Total Assets</t>
  </si>
  <si>
    <t>EQUITY &amp; LIABILITIES</t>
  </si>
  <si>
    <t>Equity</t>
  </si>
  <si>
    <t>Issued, subscribed and paid up capital</t>
  </si>
  <si>
    <t>Reserves</t>
  </si>
  <si>
    <t>Unappropriated profit</t>
  </si>
  <si>
    <t>Total equity</t>
  </si>
  <si>
    <t>Non current liabilities</t>
  </si>
  <si>
    <t>Long term financing</t>
  </si>
  <si>
    <t>Lease liabilities</t>
  </si>
  <si>
    <t>Deferred liabilities</t>
  </si>
  <si>
    <t>Total non current liabilities</t>
  </si>
  <si>
    <t>Current liabilities</t>
  </si>
  <si>
    <t>Trade and other payables</t>
  </si>
  <si>
    <t>Unclaimed dividend</t>
  </si>
  <si>
    <t>Accrued mark up</t>
  </si>
  <si>
    <t>Short term borrowings</t>
  </si>
  <si>
    <t>Current portion of non current liabilities</t>
  </si>
  <si>
    <t>Total current liabilities</t>
  </si>
  <si>
    <t>Total equity and liabilities</t>
  </si>
  <si>
    <t>ADJUSTED VALUES</t>
  </si>
  <si>
    <t>Year</t>
  </si>
  <si>
    <t>2019 (Rupees ‘000)</t>
  </si>
  <si>
    <t>2020 (Rupees ‘000)</t>
  </si>
  <si>
    <t>2021 (Rupees ‘000)</t>
  </si>
  <si>
    <t>2022 (Rupees ‘000)</t>
  </si>
  <si>
    <t>2023 (Rupees ‘000)</t>
  </si>
  <si>
    <t>2024 (Rupees ‘000)</t>
  </si>
  <si>
    <t>Trade Receivables</t>
  </si>
  <si>
    <t>PP&amp;E</t>
  </si>
  <si>
    <t>Intangible Assets</t>
  </si>
  <si>
    <t>Cash</t>
  </si>
  <si>
    <t>Deferred taxation</t>
  </si>
  <si>
    <t>Other Assets</t>
  </si>
  <si>
    <t>Stores and spare</t>
  </si>
  <si>
    <t>financial liabilities</t>
  </si>
  <si>
    <t>Trade Payables</t>
  </si>
  <si>
    <t>Provisions(deferred liability)</t>
  </si>
  <si>
    <t>Financial Liabilities</t>
  </si>
  <si>
    <t>Other Liabilities</t>
  </si>
  <si>
    <t>Equity (Adjusted)</t>
  </si>
  <si>
    <t>other liabilities</t>
  </si>
  <si>
    <t xml:space="preserve">ASSUMPTIONS </t>
  </si>
  <si>
    <t>Revenue growth rate</t>
  </si>
  <si>
    <t>COGS rate for revenue</t>
  </si>
  <si>
    <t>opex for revenue%</t>
  </si>
  <si>
    <t>income tax %</t>
  </si>
  <si>
    <t>----</t>
  </si>
  <si>
    <t> </t>
  </si>
  <si>
    <t>Forecast</t>
  </si>
  <si>
    <t>$ in mln</t>
  </si>
  <si>
    <t>Revenue</t>
  </si>
  <si>
    <t>Cogs</t>
  </si>
  <si>
    <t>Operating expenses</t>
  </si>
  <si>
    <t>D&amp;A</t>
  </si>
  <si>
    <t>Interest expenses</t>
  </si>
  <si>
    <t>ASSUMPTIONS</t>
  </si>
  <si>
    <t>DSO</t>
  </si>
  <si>
    <t>DIO</t>
  </si>
  <si>
    <t>DPO</t>
  </si>
  <si>
    <t>Other assets %</t>
  </si>
  <si>
    <t>Other liabilities %</t>
  </si>
  <si>
    <t xml:space="preserve">Forecast				</t>
  </si>
  <si>
    <t>Other assets</t>
  </si>
  <si>
    <t>Assets</t>
  </si>
  <si>
    <t>Provisions</t>
  </si>
  <si>
    <t>Other liabilities</t>
  </si>
  <si>
    <t>Liabilities &amp; Equity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</si>
  <si>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</si>
  <si>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</si>
  <si>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</si>
  <si>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</si>
  <si>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</si>
  <si>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</si>
  <si>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</si>
  <si>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Principal repayment</t>
  </si>
  <si>
    <t>Ending Debt</t>
  </si>
  <si>
    <t xml:space="preserve">Interest rate </t>
  </si>
  <si>
    <t>Repay debt in 10 years</t>
  </si>
  <si>
    <t>Annual payment:</t>
  </si>
  <si>
    <t>Period</t>
  </si>
  <si>
    <t>Payment</t>
  </si>
  <si>
    <t>Interest</t>
  </si>
  <si>
    <t>Residual debt</t>
  </si>
  <si>
    <t>Equity Schedule</t>
  </si>
  <si>
    <t>Beginning Equity</t>
  </si>
  <si>
    <t>Increase of Capital</t>
  </si>
  <si>
    <t xml:space="preserve">               -  </t>
  </si>
  <si>
    <t>Net Income/(Loss)</t>
  </si>
  <si>
    <t>Dividends</t>
  </si>
  <si>
    <t>Ending Equity</t>
  </si>
  <si>
    <t>Dividends as a % of Net Income</t>
  </si>
  <si>
    <t>Cash Flow</t>
  </si>
  <si>
    <t>Change in Trade Receivables</t>
  </si>
  <si>
    <t>Change in Inventory</t>
  </si>
  <si>
    <t>Change in Trade Payables</t>
  </si>
  <si>
    <t>Change in Other assets</t>
  </si>
  <si>
    <t>Change in Other liabilities</t>
  </si>
  <si>
    <t>Operating Cash Flow</t>
  </si>
  <si>
    <t>Change in Financial Liabilities</t>
  </si>
  <si>
    <t>Change in Provisions</t>
  </si>
  <si>
    <t>Change in Equity</t>
  </si>
  <si>
    <t>Net Cash Flow</t>
  </si>
  <si>
    <t>Debt</t>
  </si>
  <si>
    <t>Weight of Debt</t>
  </si>
  <si>
    <t>Weight of Equity</t>
  </si>
  <si>
    <t>Total Debt and Equity</t>
  </si>
  <si>
    <t>Cost of Debt</t>
  </si>
  <si>
    <t>Cost of Equity</t>
  </si>
  <si>
    <t>CAPM</t>
  </si>
  <si>
    <t>Market Return</t>
  </si>
  <si>
    <t>Risk Free Rate</t>
  </si>
  <si>
    <t>Beta</t>
  </si>
  <si>
    <t>WACC</t>
  </si>
  <si>
    <t>Cash Flows</t>
  </si>
  <si>
    <t>terminal value</t>
  </si>
  <si>
    <t>present value</t>
  </si>
  <si>
    <t>firm value</t>
  </si>
  <si>
    <t xml:space="preserve">numer of shares </t>
  </si>
  <si>
    <t>share price</t>
  </si>
  <si>
    <t>IMPACT OF 1 MILLION INVESTMENT ON CASHFLOW</t>
  </si>
  <si>
    <t xml:space="preserve">Assuming the company invest 1,000,000 in a venture that will givw 30% return and will generate equal amount of cash flows every year for 5 years.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</si>
</sst>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-[$Rs-420]\ * #,##0_-;\-[$Rs-420]\ * #,##0_-;_-[$Rs-420]\ * &quot;-&quot;??_-;_-@_-"/>
    <numFmt numFmtId="166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206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11"/>
      <color rgb="FF000000"/>
      <name val="Calibri"/>
      <scheme val="minor"/>
    </font>
    <font>
      <b/>
      <sz val="9"/>
      <color rgb="FFFFFFFF"/>
      <name val="Arial"/>
      <family val="2"/>
      <charset val="204"/>
    </font>
    <font>
      <sz val="11"/>
      <color rgb="FF002060"/>
      <name val="Calibri"/>
      <family val="2"/>
      <scheme val="minor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Calibri"/>
      <scheme val="minor"/>
    </font>
    <font>
      <sz val="12"/>
      <color rgb="FF333333"/>
      <name val="Calibri"/>
      <scheme val="minor"/>
    </font>
    <font>
      <b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2F2F2"/>
        <bgColor rgb="FF000000"/>
      </patternFill>
    </fill>
    <fill>
      <patternFill patternType="lightGray">
        <fgColor rgb="FF000000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/>
    <xf numFmtId="0" fontId="2" fillId="0" borderId="0" xfId="0" applyFont="1"/>
    <xf numFmtId="3" fontId="0" fillId="0" borderId="0" xfId="0" applyNumberFormat="1"/>
    <xf numFmtId="0" fontId="3" fillId="2" borderId="1" xfId="0" applyFont="1" applyFill="1" applyBorder="1" applyAlignment="1"/>
    <xf numFmtId="0" fontId="4" fillId="2" borderId="0" xfId="0" applyFont="1" applyFill="1" applyBorder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9" fontId="0" fillId="0" borderId="0" xfId="0" applyNumberFormat="1"/>
    <xf numFmtId="0" fontId="0" fillId="0" borderId="0" xfId="0" quotePrefix="1"/>
    <xf numFmtId="0" fontId="7" fillId="3" borderId="0" xfId="0" applyFont="1" applyFill="1" applyBorder="1" applyAlignment="1"/>
    <xf numFmtId="3" fontId="5" fillId="2" borderId="3" xfId="0" applyNumberFormat="1" applyFont="1" applyFill="1" applyBorder="1" applyAlignment="1"/>
    <xf numFmtId="9" fontId="8" fillId="0" borderId="0" xfId="0" applyNumberFormat="1" applyFont="1"/>
    <xf numFmtId="0" fontId="8" fillId="0" borderId="0" xfId="0" applyFont="1"/>
    <xf numFmtId="0" fontId="5" fillId="2" borderId="0" xfId="0" applyFont="1" applyFill="1" applyBorder="1" applyAlignment="1"/>
    <xf numFmtId="0" fontId="6" fillId="0" borderId="0" xfId="0" applyFont="1"/>
    <xf numFmtId="3" fontId="2" fillId="0" borderId="0" xfId="0" applyNumberFormat="1" applyFont="1"/>
    <xf numFmtId="0" fontId="9" fillId="4" borderId="0" xfId="0" applyFont="1" applyFill="1" applyBorder="1" applyAlignment="1"/>
    <xf numFmtId="10" fontId="0" fillId="0" borderId="0" xfId="0" applyNumberFormat="1"/>
    <xf numFmtId="2" fontId="0" fillId="0" borderId="0" xfId="0" applyNumberFormat="1"/>
    <xf numFmtId="0" fontId="4" fillId="5" borderId="0" xfId="0" applyFont="1" applyFill="1" applyBorder="1" applyAlignment="1"/>
    <xf numFmtId="0" fontId="4" fillId="4" borderId="0" xfId="0" applyFont="1" applyFill="1" applyBorder="1" applyAlignment="1"/>
    <xf numFmtId="10" fontId="4" fillId="4" borderId="0" xfId="0" applyNumberFormat="1" applyFont="1" applyFill="1" applyBorder="1" applyAlignment="1"/>
    <xf numFmtId="0" fontId="3" fillId="2" borderId="1" xfId="0" applyNumberFormat="1" applyFont="1" applyFill="1" applyBorder="1" applyAlignment="1"/>
    <xf numFmtId="0" fontId="10" fillId="2" borderId="0" xfId="0" applyFont="1" applyFill="1" applyBorder="1" applyAlignment="1"/>
    <xf numFmtId="9" fontId="4" fillId="2" borderId="0" xfId="0" applyNumberFormat="1" applyFont="1" applyFill="1" applyBorder="1" applyAlignment="1"/>
    <xf numFmtId="0" fontId="5" fillId="2" borderId="4" xfId="0" applyFont="1" applyFill="1" applyBorder="1" applyAlignment="1"/>
    <xf numFmtId="164" fontId="4" fillId="2" borderId="0" xfId="0" applyNumberFormat="1" applyFont="1" applyFill="1" applyBorder="1" applyAlignment="1"/>
    <xf numFmtId="1" fontId="0" fillId="0" borderId="0" xfId="0" applyNumberFormat="1"/>
    <xf numFmtId="165" fontId="5" fillId="2" borderId="0" xfId="0" applyNumberFormat="1" applyFont="1" applyFill="1" applyBorder="1" applyAlignment="1"/>
    <xf numFmtId="166" fontId="4" fillId="2" borderId="0" xfId="0" applyNumberFormat="1" applyFont="1" applyFill="1" applyBorder="1" applyAlignment="1"/>
    <xf numFmtId="166" fontId="4" fillId="2" borderId="2" xfId="0" applyNumberFormat="1" applyFont="1" applyFill="1" applyBorder="1" applyAlignment="1"/>
    <xf numFmtId="166" fontId="5" fillId="2" borderId="3" xfId="0" applyNumberFormat="1" applyFont="1" applyFill="1" applyBorder="1" applyAlignment="1"/>
    <xf numFmtId="166" fontId="0" fillId="0" borderId="0" xfId="0" applyNumberFormat="1"/>
    <xf numFmtId="166" fontId="2" fillId="0" borderId="0" xfId="0" applyNumberFormat="1" applyFont="1"/>
    <xf numFmtId="166" fontId="5" fillId="2" borderId="2" xfId="0" applyNumberFormat="1" applyFont="1" applyFill="1" applyBorder="1" applyAlignment="1"/>
    <xf numFmtId="0" fontId="12" fillId="0" borderId="0" xfId="0" applyFont="1" applyFill="1" applyBorder="1" applyAlignment="1"/>
    <xf numFmtId="10" fontId="12" fillId="7" borderId="0" xfId="0" applyNumberFormat="1" applyFont="1" applyFill="1" applyBorder="1" applyAlignment="1"/>
    <xf numFmtId="10" fontId="12" fillId="8" borderId="0" xfId="0" applyNumberFormat="1" applyFont="1" applyFill="1" applyBorder="1" applyAlignment="1"/>
    <xf numFmtId="9" fontId="12" fillId="0" borderId="0" xfId="0" applyNumberFormat="1" applyFont="1" applyFill="1" applyBorder="1" applyAlignment="1"/>
    <xf numFmtId="10" fontId="12" fillId="0" borderId="0" xfId="0" applyNumberFormat="1" applyFont="1" applyFill="1" applyBorder="1" applyAlignment="1"/>
    <xf numFmtId="3" fontId="12" fillId="0" borderId="0" xfId="0" applyNumberFormat="1" applyFont="1" applyFill="1" applyBorder="1" applyAlignment="1"/>
    <xf numFmtId="1" fontId="3" fillId="2" borderId="1" xfId="0" applyNumberFormat="1" applyFont="1" applyFill="1" applyBorder="1" applyAlignment="1"/>
    <xf numFmtId="166" fontId="12" fillId="0" borderId="0" xfId="0" applyNumberFormat="1" applyFont="1" applyFill="1" applyBorder="1" applyAlignment="1"/>
    <xf numFmtId="43" fontId="12" fillId="0" borderId="0" xfId="0" applyNumberFormat="1" applyFont="1" applyFill="1" applyBorder="1" applyAlignment="1"/>
    <xf numFmtId="0" fontId="6" fillId="0" borderId="0" xfId="0" applyFont="1" applyAlignment="1"/>
    <xf numFmtId="8" fontId="12" fillId="0" borderId="0" xfId="0" applyNumberFormat="1" applyFont="1" applyFill="1" applyBorder="1" applyAlignment="1"/>
    <xf numFmtId="3" fontId="14" fillId="0" borderId="0" xfId="0" applyNumberFormat="1" applyFont="1"/>
    <xf numFmtId="2" fontId="12" fillId="0" borderId="0" xfId="0" applyNumberFormat="1" applyFont="1" applyFill="1" applyBorder="1" applyAlignment="1"/>
    <xf numFmtId="0" fontId="15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6</xdr:row>
      <xdr:rowOff>180975</xdr:rowOff>
    </xdr:from>
    <xdr:to>
      <xdr:col>9</xdr:col>
      <xdr:colOff>295275</xdr:colOff>
      <xdr:row>17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F2F8AB-54B3-708F-79B4-94F57560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323975"/>
          <a:ext cx="4572000" cy="1952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A9580DA-3219-4CC9-B0A6-68585601A7F0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fA55XF_jDtIhI9gGG2BLE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32B2-D9EA-4D1E-AD27-69C3A7228AAA}">
  <dimension ref="A1:I8"/>
  <sheetViews>
    <sheetView workbookViewId="0">
      <selection activeCell="C4" sqref="C4:H4"/>
    </sheetView>
  </sheetViews>
  <sheetFormatPr defaultRowHeight="15"/>
  <sheetData>
    <row r="1" spans="1:9">
      <c r="A1" s="52" t="s">
        <v>0</v>
      </c>
      <c r="B1" s="53"/>
      <c r="C1" s="53"/>
      <c r="D1" s="53"/>
      <c r="E1" s="53"/>
      <c r="F1" s="53"/>
      <c r="G1" s="53"/>
      <c r="H1" s="53"/>
      <c r="I1" s="53"/>
    </row>
    <row r="2" spans="1:9">
      <c r="A2" s="1"/>
      <c r="B2" s="1"/>
      <c r="C2" s="54" t="s">
        <v>1</v>
      </c>
      <c r="D2" s="51"/>
      <c r="E2" s="51"/>
      <c r="F2" s="51"/>
      <c r="G2" s="51"/>
      <c r="H2" s="1"/>
      <c r="I2" s="1"/>
    </row>
    <row r="3" spans="1:9">
      <c r="A3" s="1"/>
      <c r="B3" s="1"/>
      <c r="C3" s="54" t="s">
        <v>2</v>
      </c>
      <c r="D3" s="51"/>
      <c r="E3" s="51"/>
      <c r="F3" s="51"/>
      <c r="G3" s="51"/>
      <c r="H3" s="51"/>
      <c r="I3" s="1"/>
    </row>
    <row r="4" spans="1:9">
      <c r="A4" s="1"/>
      <c r="B4" s="1"/>
      <c r="C4" s="51"/>
      <c r="D4" s="51"/>
      <c r="E4" s="51"/>
      <c r="F4" s="51"/>
      <c r="G4" s="51"/>
      <c r="H4" s="51"/>
      <c r="I4" s="1"/>
    </row>
    <row r="5" spans="1:9">
      <c r="A5" s="1"/>
      <c r="B5" s="1"/>
      <c r="C5" s="55" t="s">
        <v>3</v>
      </c>
      <c r="D5" s="55"/>
      <c r="E5" s="55"/>
      <c r="F5" s="55"/>
      <c r="G5" s="55"/>
      <c r="H5" s="1"/>
      <c r="I5" s="1"/>
    </row>
    <row r="6" spans="1:9">
      <c r="A6" s="1"/>
      <c r="B6" s="1"/>
      <c r="C6" s="45" t="s">
        <v>4</v>
      </c>
      <c r="D6" s="45"/>
      <c r="E6" s="45"/>
      <c r="F6" s="45"/>
      <c r="G6" s="45"/>
      <c r="H6" s="1"/>
      <c r="I6" s="1"/>
    </row>
    <row r="7" spans="1:9">
      <c r="A7" s="1"/>
      <c r="B7" s="1"/>
      <c r="C7" s="50"/>
      <c r="D7" s="50"/>
      <c r="E7" s="50"/>
      <c r="F7" s="50"/>
      <c r="G7" s="50"/>
      <c r="H7" s="1"/>
      <c r="I7" s="1"/>
    </row>
    <row r="8" spans="1:9">
      <c r="A8" s="1"/>
      <c r="B8" s="1"/>
      <c r="C8" s="50"/>
      <c r="D8" s="50"/>
      <c r="E8" s="50"/>
      <c r="F8" s="50"/>
      <c r="G8" s="50"/>
      <c r="H8" s="1"/>
      <c r="I8" s="1"/>
    </row>
  </sheetData>
  <mergeCells count="7">
    <mergeCell ref="C8:G8"/>
    <mergeCell ref="C4:H4"/>
    <mergeCell ref="A1:I1"/>
    <mergeCell ref="C2:G2"/>
    <mergeCell ref="C3:H3"/>
    <mergeCell ref="C5:G5"/>
    <mergeCell ref="C7:G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BC78-0F2B-4C94-AD44-99FB9AA83B01}">
  <dimension ref="A1:K38"/>
  <sheetViews>
    <sheetView topLeftCell="A14" workbookViewId="0">
      <selection activeCell="E44" sqref="E44"/>
    </sheetView>
  </sheetViews>
  <sheetFormatPr defaultRowHeight="15"/>
  <cols>
    <col min="1" max="1" width="20.28515625" style="1" bestFit="1" customWidth="1"/>
    <col min="2" max="2" width="21.28515625" style="1" bestFit="1" customWidth="1"/>
    <col min="3" max="6" width="15.85546875" style="1" bestFit="1" customWidth="1"/>
    <col min="7" max="8" width="14.7109375" style="1" bestFit="1" customWidth="1"/>
    <col min="9" max="11" width="12" style="1" bestFit="1" customWidth="1"/>
    <col min="12" max="16384" width="9.140625" style="1"/>
  </cols>
  <sheetData>
    <row r="1" spans="1:11" ht="15.75">
      <c r="A1" s="49" t="s">
        <v>172</v>
      </c>
    </row>
    <row r="2" spans="1:11">
      <c r="A2" s="36"/>
      <c r="B2" s="23">
        <v>2019</v>
      </c>
      <c r="C2" s="23">
        <v>2020</v>
      </c>
      <c r="D2" s="23">
        <v>2021</v>
      </c>
      <c r="E2" s="23">
        <v>2022</v>
      </c>
      <c r="F2" s="23">
        <v>2023</v>
      </c>
      <c r="G2" s="23">
        <v>2024</v>
      </c>
      <c r="H2" s="23">
        <v>2025</v>
      </c>
      <c r="I2" s="23">
        <v>2026</v>
      </c>
      <c r="J2" s="23">
        <v>2027</v>
      </c>
      <c r="K2" s="23">
        <v>2028</v>
      </c>
    </row>
    <row r="3" spans="1:11">
      <c r="A3" s="36" t="s">
        <v>155</v>
      </c>
      <c r="B3" s="41">
        <f>'balance sheet'!B18</f>
        <v>16712674</v>
      </c>
      <c r="C3" s="41">
        <f>'balance sheet'!C18</f>
        <v>21416991</v>
      </c>
      <c r="D3" s="41">
        <f>'balance sheet'!D18</f>
        <v>30424884</v>
      </c>
      <c r="E3" s="41">
        <f>'balance sheet'!E18</f>
        <v>51150486</v>
      </c>
      <c r="F3" s="41">
        <f>'balance sheet'!F18</f>
        <v>59527131</v>
      </c>
      <c r="G3" s="41">
        <f>'balance sheet'!G18</f>
        <v>33253832.266179748</v>
      </c>
      <c r="H3" s="41">
        <f>'balance sheet'!H18</f>
        <v>31511503.580271848</v>
      </c>
      <c r="I3" s="41">
        <f>'balance sheet'!I18</f>
        <v>29455555.730900526</v>
      </c>
      <c r="J3" s="41">
        <f>'balance sheet'!J18</f>
        <v>27769678.494416043</v>
      </c>
      <c r="K3" s="41">
        <f>'balance sheet'!K18</f>
        <v>25647117.934725091</v>
      </c>
    </row>
    <row r="4" spans="1:11">
      <c r="A4" s="36" t="s">
        <v>54</v>
      </c>
      <c r="B4" s="41">
        <f>'balance sheet'!B20</f>
        <v>14103977</v>
      </c>
      <c r="C4" s="41">
        <f>'balance sheet'!C20</f>
        <v>16382012</v>
      </c>
      <c r="D4" s="41">
        <f>'balance sheet'!D20</f>
        <v>19206561</v>
      </c>
      <c r="E4" s="41">
        <f>'balance sheet'!E20</f>
        <v>28666420</v>
      </c>
      <c r="F4" s="41">
        <f>'balance sheet'!F20</f>
        <v>41531734</v>
      </c>
      <c r="G4" s="41">
        <f>'balance sheet'!G20</f>
        <v>93294747.888236552</v>
      </c>
      <c r="H4" s="41">
        <f>'balance sheet'!H20</f>
        <v>162563820.00983182</v>
      </c>
      <c r="I4" s="41">
        <f>'balance sheet'!I20</f>
        <v>254761156.01914552</v>
      </c>
      <c r="J4" s="41">
        <f>'balance sheet'!J20</f>
        <v>376519805.44610667</v>
      </c>
      <c r="K4" s="41">
        <f>'balance sheet'!K20</f>
        <v>537620552.59980237</v>
      </c>
    </row>
    <row r="5" spans="1:11">
      <c r="A5" s="36"/>
      <c r="B5" s="36"/>
      <c r="C5" s="36"/>
      <c r="D5" s="36"/>
      <c r="E5" s="36"/>
      <c r="F5" s="36"/>
      <c r="G5" s="36"/>
      <c r="H5" s="36"/>
      <c r="I5" s="36"/>
    </row>
    <row r="6" spans="1:11">
      <c r="A6" s="36" t="s">
        <v>156</v>
      </c>
      <c r="B6" s="37">
        <f>B3/B8</f>
        <v>0.54232609507113538</v>
      </c>
      <c r="C6" s="37">
        <f t="shared" ref="C6:K6" si="0">C3/C8</f>
        <v>0.56660200799476113</v>
      </c>
      <c r="D6" s="37">
        <f t="shared" si="0"/>
        <v>0.61301628433345035</v>
      </c>
      <c r="E6" s="37">
        <f t="shared" si="0"/>
        <v>0.64084776726374237</v>
      </c>
      <c r="F6" s="37">
        <f t="shared" si="0"/>
        <v>0.58903423267221533</v>
      </c>
      <c r="G6" s="37">
        <f t="shared" si="0"/>
        <v>0.26277523007846448</v>
      </c>
      <c r="H6" s="37">
        <f t="shared" si="0"/>
        <v>0.16236738910107731</v>
      </c>
      <c r="I6" s="37">
        <f t="shared" si="0"/>
        <v>0.10363766278741966</v>
      </c>
      <c r="J6" s="37">
        <f t="shared" si="0"/>
        <v>6.868761023351623E-2</v>
      </c>
      <c r="K6" s="37">
        <f t="shared" si="0"/>
        <v>4.5532735635948347E-2</v>
      </c>
    </row>
    <row r="7" spans="1:11">
      <c r="A7" s="36" t="s">
        <v>157</v>
      </c>
      <c r="B7" s="38">
        <f>B4/B8</f>
        <v>0.45767390492886462</v>
      </c>
      <c r="C7" s="38">
        <f t="shared" ref="C7:K7" si="1">C4/C8</f>
        <v>0.43339799200523887</v>
      </c>
      <c r="D7" s="38">
        <f t="shared" si="1"/>
        <v>0.38698371566654971</v>
      </c>
      <c r="E7" s="38">
        <f t="shared" si="1"/>
        <v>0.35915223273625768</v>
      </c>
      <c r="F7" s="38">
        <f t="shared" si="1"/>
        <v>0.41096576732778467</v>
      </c>
      <c r="G7" s="38">
        <f t="shared" si="1"/>
        <v>0.73722476992153552</v>
      </c>
      <c r="H7" s="38">
        <f t="shared" si="1"/>
        <v>0.83763261089892271</v>
      </c>
      <c r="I7" s="38">
        <f t="shared" si="1"/>
        <v>0.89636233721258041</v>
      </c>
      <c r="J7" s="38">
        <f t="shared" si="1"/>
        <v>0.93131238976648378</v>
      </c>
      <c r="K7" s="38">
        <f t="shared" si="1"/>
        <v>0.95446726436405172</v>
      </c>
    </row>
    <row r="8" spans="1:11">
      <c r="A8" s="36" t="s">
        <v>158</v>
      </c>
      <c r="B8" s="41">
        <f>B3+B4</f>
        <v>30816651</v>
      </c>
      <c r="C8" s="41">
        <f t="shared" ref="C8:I8" si="2">C3+C4</f>
        <v>37799003</v>
      </c>
      <c r="D8" s="41">
        <f t="shared" si="2"/>
        <v>49631445</v>
      </c>
      <c r="E8" s="41">
        <f t="shared" si="2"/>
        <v>79816906</v>
      </c>
      <c r="F8" s="41">
        <f t="shared" si="2"/>
        <v>101058865</v>
      </c>
      <c r="G8" s="41">
        <f t="shared" si="2"/>
        <v>126548580.15441629</v>
      </c>
      <c r="H8" s="41">
        <f t="shared" si="2"/>
        <v>194075323.59010366</v>
      </c>
      <c r="I8" s="41">
        <f t="shared" si="2"/>
        <v>284216711.75004601</v>
      </c>
      <c r="J8" s="41">
        <f>J3+J4</f>
        <v>404289483.94052273</v>
      </c>
      <c r="K8" s="41">
        <f>K3+K4</f>
        <v>563267670.53452742</v>
      </c>
    </row>
    <row r="9" spans="1:11">
      <c r="A9" s="36"/>
      <c r="B9" s="36"/>
      <c r="C9" s="36"/>
      <c r="D9" s="36"/>
      <c r="E9" s="36"/>
      <c r="F9" s="36"/>
      <c r="G9" s="36"/>
      <c r="H9" s="36"/>
      <c r="I9" s="36"/>
    </row>
    <row r="10" spans="1:11">
      <c r="A10" s="36" t="s">
        <v>159</v>
      </c>
      <c r="B10" s="39">
        <f>'Financial Liabilities'!B12</f>
        <v>0.18</v>
      </c>
      <c r="C10" s="36"/>
      <c r="D10" s="36"/>
      <c r="E10" s="36"/>
      <c r="F10" s="36"/>
      <c r="G10" s="36"/>
      <c r="H10" s="36"/>
      <c r="I10" s="36"/>
    </row>
    <row r="11" spans="1:11">
      <c r="A11" s="36" t="s">
        <v>160</v>
      </c>
      <c r="B11" s="40">
        <v>0.498</v>
      </c>
      <c r="C11" s="36"/>
      <c r="D11" s="36"/>
      <c r="E11" s="36"/>
      <c r="F11" s="36"/>
      <c r="G11" s="36"/>
      <c r="H11" s="36"/>
      <c r="I11" s="36"/>
    </row>
    <row r="12" spans="1:11">
      <c r="A12" s="36"/>
      <c r="B12" s="36"/>
      <c r="C12" s="36"/>
      <c r="D12" s="36"/>
      <c r="E12" s="36"/>
      <c r="F12" s="36"/>
      <c r="G12" s="36"/>
      <c r="H12" s="36"/>
      <c r="I12" s="36"/>
    </row>
    <row r="13" spans="1:11">
      <c r="A13" s="36" t="s">
        <v>161</v>
      </c>
      <c r="B13" s="40">
        <f>B15+((B14-B15)*B16)</f>
        <v>0.49635999999999991</v>
      </c>
      <c r="C13" s="36"/>
      <c r="D13" s="36"/>
      <c r="E13" s="36"/>
      <c r="F13" s="36"/>
      <c r="G13" s="36"/>
      <c r="H13" s="36"/>
      <c r="I13" s="36"/>
    </row>
    <row r="14" spans="1:11">
      <c r="A14" s="36" t="s">
        <v>162</v>
      </c>
      <c r="B14" s="39">
        <v>0.56799999999999995</v>
      </c>
      <c r="C14" s="36"/>
      <c r="D14" s="36"/>
      <c r="E14" s="36"/>
      <c r="F14" s="36"/>
      <c r="G14" s="36"/>
      <c r="H14" s="36"/>
      <c r="I14" s="36"/>
    </row>
    <row r="15" spans="1:11">
      <c r="A15" s="36" t="s">
        <v>163</v>
      </c>
      <c r="B15" s="39">
        <v>0.17</v>
      </c>
      <c r="C15" s="36"/>
      <c r="D15" s="36"/>
      <c r="E15" s="36"/>
      <c r="F15" s="36"/>
      <c r="G15" s="36"/>
      <c r="H15" s="36"/>
      <c r="I15" s="36"/>
    </row>
    <row r="16" spans="1:11">
      <c r="A16" s="36" t="s">
        <v>164</v>
      </c>
      <c r="B16" s="36">
        <v>0.82</v>
      </c>
      <c r="C16" s="36"/>
      <c r="D16" s="36"/>
      <c r="E16" s="36"/>
      <c r="F16" s="36"/>
      <c r="G16" s="36"/>
      <c r="H16" s="36"/>
      <c r="I16" s="36"/>
    </row>
    <row r="17" spans="1:11">
      <c r="A17" s="36"/>
      <c r="B17" s="36"/>
      <c r="C17" s="36"/>
      <c r="D17" s="36"/>
      <c r="E17" s="36"/>
      <c r="F17" s="36"/>
      <c r="G17" s="36"/>
      <c r="H17" s="36"/>
      <c r="I17" s="36"/>
    </row>
    <row r="18" spans="1:11">
      <c r="A18" s="36" t="s">
        <v>165</v>
      </c>
      <c r="B18" s="36"/>
      <c r="C18" s="36"/>
      <c r="D18" s="36"/>
      <c r="E18" s="36"/>
      <c r="F18" s="36"/>
      <c r="G18" s="36"/>
      <c r="H18" s="36"/>
      <c r="I18" s="36"/>
    </row>
    <row r="19" spans="1:11">
      <c r="A19" s="36"/>
      <c r="B19" s="36"/>
      <c r="C19" s="36"/>
      <c r="D19" s="36"/>
      <c r="E19" s="36"/>
      <c r="F19" s="36"/>
      <c r="G19" s="36"/>
      <c r="H19" s="36"/>
      <c r="I19" s="36"/>
    </row>
    <row r="20" spans="1:11">
      <c r="A20" s="36"/>
      <c r="B20" s="36"/>
      <c r="C20" s="36"/>
      <c r="D20" s="36"/>
      <c r="E20" s="36"/>
      <c r="F20" s="36"/>
      <c r="G20" s="36"/>
      <c r="H20" s="36"/>
      <c r="I20" s="36"/>
    </row>
    <row r="21" spans="1:11">
      <c r="A21" s="36"/>
      <c r="B21" s="42">
        <v>2024</v>
      </c>
      <c r="C21" s="42">
        <v>2025</v>
      </c>
      <c r="D21" s="42">
        <v>2026</v>
      </c>
      <c r="E21" s="42">
        <v>2027</v>
      </c>
      <c r="F21" s="42">
        <v>2028</v>
      </c>
      <c r="G21" s="42"/>
      <c r="H21" s="42"/>
      <c r="I21" s="42"/>
      <c r="J21" s="42"/>
      <c r="K21" s="42"/>
    </row>
    <row r="22" spans="1:11">
      <c r="A22" s="36" t="s">
        <v>166</v>
      </c>
      <c r="B22" s="43">
        <f>'cash flow'!B19+B38</f>
        <v>-2359260.755094836</v>
      </c>
      <c r="C22" s="43">
        <f>'cash flow'!C19+C38</f>
        <v>18711119.586780407</v>
      </c>
      <c r="D22" s="43">
        <f>'cash flow'!D19+D38</f>
        <v>23973373.362903897</v>
      </c>
      <c r="E22" s="43">
        <f>'cash flow'!E19+E38</f>
        <v>30303394.361885849</v>
      </c>
      <c r="F22" s="43">
        <f>'cash flow'!F19+F38</f>
        <v>37745728.61984501</v>
      </c>
      <c r="G22" s="44">
        <f>F22*(1+0.05)</f>
        <v>39633015.050837263</v>
      </c>
      <c r="H22" s="44"/>
      <c r="I22" s="36"/>
    </row>
    <row r="23" spans="1:11">
      <c r="A23" s="36" t="s">
        <v>165</v>
      </c>
      <c r="B23" s="40">
        <f>((G6*$B$49)*(1-0.35))+(G7*$B$13)</f>
        <v>0.36592888679825331</v>
      </c>
      <c r="C23" s="40">
        <f t="shared" ref="C23:F23" si="3">((H6*$B$49)*(1-0.35))+(H7*$B$13)</f>
        <v>0.4157673227457892</v>
      </c>
      <c r="D23" s="40">
        <f t="shared" si="3"/>
        <v>0.44491840969883634</v>
      </c>
      <c r="E23" s="40">
        <f t="shared" si="3"/>
        <v>0.46226621778449178</v>
      </c>
      <c r="F23" s="40">
        <f t="shared" si="3"/>
        <v>0.47375937133974061</v>
      </c>
      <c r="G23" s="36"/>
      <c r="H23" s="36"/>
      <c r="I23" s="36"/>
    </row>
    <row r="24" spans="1:11">
      <c r="A24" s="36" t="s">
        <v>167</v>
      </c>
      <c r="B24" s="36"/>
      <c r="C24" s="36"/>
      <c r="D24" s="36"/>
      <c r="E24" s="36"/>
      <c r="F24" s="36"/>
      <c r="G24" s="44">
        <f>G22/F23</f>
        <v>83656424.43918176</v>
      </c>
      <c r="H24" s="36"/>
      <c r="I24" s="36"/>
    </row>
    <row r="25" spans="1:11">
      <c r="A25" s="36" t="s">
        <v>168</v>
      </c>
      <c r="B25" s="46">
        <f t="shared" ref="B25:D25" si="4">PV(B23,1,0,-C25)</f>
        <v>13892582.15592777</v>
      </c>
      <c r="C25" s="46">
        <f t="shared" si="4"/>
        <v>18976279.278999697</v>
      </c>
      <c r="D25" s="46">
        <f>PV(D23,1,0,-E25)</f>
        <v>26865996.110505797</v>
      </c>
      <c r="E25" s="46">
        <f>PV(E23,1,0,-F25)</f>
        <v>38819172.374967158</v>
      </c>
      <c r="F25" s="46">
        <f>PV(F23,1,0,-G24)</f>
        <v>56763964.366267458</v>
      </c>
      <c r="G25" s="36"/>
      <c r="H25" s="36"/>
      <c r="I25" s="36"/>
    </row>
    <row r="26" spans="1:11">
      <c r="A26" s="36"/>
      <c r="B26" s="46">
        <f>PV(C22,1,0,-C23)</f>
        <v>2.222033259940257E-8</v>
      </c>
      <c r="C26" s="36"/>
      <c r="D26" s="36"/>
      <c r="E26" s="36"/>
      <c r="F26" s="36"/>
      <c r="G26" s="36"/>
      <c r="H26" s="36"/>
      <c r="I26" s="36"/>
    </row>
    <row r="27" spans="1:11">
      <c r="A27" s="36"/>
      <c r="B27" s="46">
        <f>PV(D22,1,0,-D23)</f>
        <v>1.8558856294644012E-8</v>
      </c>
      <c r="C27" s="36"/>
      <c r="D27" s="36"/>
      <c r="E27" s="36"/>
      <c r="F27" s="36"/>
      <c r="G27" s="36"/>
      <c r="H27" s="36"/>
      <c r="I27" s="36"/>
    </row>
    <row r="28" spans="1:11">
      <c r="A28" s="36"/>
      <c r="B28" s="46">
        <f>PV(E22,1,0,-E23)</f>
        <v>1.5254601415586189E-8</v>
      </c>
      <c r="C28" s="36"/>
      <c r="D28" s="36"/>
      <c r="E28" s="36"/>
      <c r="F28" s="36"/>
      <c r="G28" s="36"/>
      <c r="H28" s="36"/>
      <c r="I28" s="36"/>
    </row>
    <row r="29" spans="1:11">
      <c r="A29" s="36"/>
      <c r="B29" s="46">
        <f>PV(F22,1,0,-F23)</f>
        <v>1.2551336962119794E-8</v>
      </c>
      <c r="C29" s="36"/>
      <c r="D29" s="36"/>
      <c r="E29" s="36"/>
      <c r="F29" s="36"/>
      <c r="G29" s="36"/>
      <c r="H29" s="36"/>
      <c r="I29" s="36"/>
    </row>
    <row r="30" spans="1:11">
      <c r="A30" s="36"/>
      <c r="B30" s="36"/>
      <c r="C30" s="36"/>
      <c r="D30" s="36"/>
      <c r="E30" s="36"/>
      <c r="F30" s="36"/>
      <c r="G30" s="36"/>
      <c r="H30" s="36"/>
      <c r="I30" s="36"/>
    </row>
    <row r="31" spans="1:11">
      <c r="A31" s="36" t="s">
        <v>169</v>
      </c>
      <c r="B31" s="46">
        <f>SUM(B25:B29)</f>
        <v>13892582.155927839</v>
      </c>
      <c r="C31" s="36"/>
      <c r="D31" s="36"/>
      <c r="E31" s="36"/>
      <c r="F31" s="36"/>
      <c r="G31" s="36"/>
      <c r="H31" s="36"/>
      <c r="I31" s="36"/>
    </row>
    <row r="32" spans="1:11" ht="15.75">
      <c r="A32" s="36" t="s">
        <v>170</v>
      </c>
      <c r="B32" s="47">
        <v>1401709468</v>
      </c>
      <c r="C32" s="36"/>
      <c r="D32" s="36"/>
      <c r="E32" s="36"/>
      <c r="F32" s="36"/>
      <c r="G32" s="36"/>
      <c r="H32" s="36"/>
      <c r="I32" s="36"/>
    </row>
    <row r="33" spans="1:9">
      <c r="A33" s="36" t="s">
        <v>171</v>
      </c>
      <c r="B33" s="48">
        <f>B32/B31</f>
        <v>100.89625184630658</v>
      </c>
      <c r="C33" s="36"/>
      <c r="D33" s="36"/>
      <c r="E33" s="36"/>
      <c r="F33" s="36"/>
      <c r="G33" s="36"/>
      <c r="H33" s="36"/>
      <c r="I33" s="36"/>
    </row>
    <row r="34" spans="1:9">
      <c r="A34" s="36"/>
      <c r="B34" s="36"/>
      <c r="C34" s="36"/>
      <c r="D34" s="36"/>
      <c r="E34" s="36"/>
      <c r="F34" s="36"/>
      <c r="G34" s="36"/>
      <c r="H34" s="36"/>
      <c r="I34" s="36"/>
    </row>
    <row r="35" spans="1:9">
      <c r="A35" s="36"/>
      <c r="B35" s="36"/>
      <c r="C35" s="36"/>
      <c r="D35" s="36"/>
      <c r="E35" s="36"/>
      <c r="F35" s="36"/>
      <c r="G35" s="36"/>
      <c r="H35" s="36"/>
      <c r="I35" s="36"/>
    </row>
    <row r="37" spans="1:9">
      <c r="A37" s="1" t="s">
        <v>173</v>
      </c>
    </row>
    <row r="38" spans="1:9">
      <c r="A38" s="1" t="s">
        <v>166</v>
      </c>
      <c r="B38" s="19">
        <f>1000000/0.3</f>
        <v>3333333.3333333335</v>
      </c>
      <c r="C38" s="1">
        <f t="shared" ref="C38:G38" si="5">1000000/0.3</f>
        <v>3333333.3333333335</v>
      </c>
      <c r="D38" s="1">
        <f t="shared" si="5"/>
        <v>3333333.3333333335</v>
      </c>
      <c r="E38" s="1">
        <f t="shared" si="5"/>
        <v>3333333.3333333335</v>
      </c>
      <c r="F38" s="1">
        <f t="shared" si="5"/>
        <v>3333333.3333333335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827B-9CC7-4B3E-B186-422BB6868FD1}">
  <dimension ref="A1:AC70"/>
  <sheetViews>
    <sheetView topLeftCell="N56" workbookViewId="0">
      <selection activeCell="S69" sqref="S69:X69"/>
    </sheetView>
  </sheetViews>
  <sheetFormatPr defaultRowHeight="15"/>
  <cols>
    <col min="1" max="1" width="31.42578125" bestFit="1" customWidth="1"/>
    <col min="2" max="2" width="12.140625" bestFit="1" customWidth="1"/>
    <col min="3" max="3" width="12.7109375" bestFit="1" customWidth="1"/>
    <col min="4" max="4" width="12" bestFit="1" customWidth="1"/>
    <col min="5" max="7" width="11.5703125" bestFit="1" customWidth="1"/>
    <col min="8" max="9" width="11.5703125" style="1" customWidth="1"/>
    <col min="10" max="10" width="51.85546875" bestFit="1" customWidth="1"/>
    <col min="11" max="15" width="18.42578125" bestFit="1" customWidth="1"/>
    <col min="16" max="16" width="12" bestFit="1" customWidth="1"/>
    <col min="18" max="18" width="51.85546875" bestFit="1" customWidth="1"/>
    <col min="19" max="19" width="10.85546875" bestFit="1" customWidth="1"/>
  </cols>
  <sheetData>
    <row r="1" spans="1:29">
      <c r="A1" s="2"/>
      <c r="B1" s="2"/>
      <c r="C1" s="2"/>
      <c r="D1" s="2"/>
      <c r="E1" s="2"/>
      <c r="F1" s="2"/>
      <c r="G1" s="2"/>
      <c r="H1" s="2"/>
      <c r="I1" s="2"/>
      <c r="J1" s="2" t="s">
        <v>5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2" t="s">
        <v>6</v>
      </c>
      <c r="B2" s="2">
        <v>2019</v>
      </c>
      <c r="C2" s="2">
        <v>2020</v>
      </c>
      <c r="D2" s="2">
        <v>2021</v>
      </c>
      <c r="E2" s="2">
        <v>2022</v>
      </c>
      <c r="F2" s="2">
        <v>2023</v>
      </c>
      <c r="G2" s="2">
        <v>2024</v>
      </c>
      <c r="H2" s="1">
        <v>2018</v>
      </c>
      <c r="I2" s="2"/>
      <c r="J2" s="2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s="1" customFormat="1">
      <c r="A3" s="2" t="s">
        <v>8</v>
      </c>
      <c r="B3" s="3">
        <v>37478321</v>
      </c>
      <c r="C3" s="3">
        <v>36302794</v>
      </c>
      <c r="D3" s="3">
        <v>54962265</v>
      </c>
      <c r="E3" s="3">
        <v>90894049</v>
      </c>
      <c r="F3" s="3">
        <v>119200293</v>
      </c>
      <c r="G3" s="3">
        <v>156128865</v>
      </c>
      <c r="H3" s="3">
        <v>31138736</v>
      </c>
      <c r="I3" s="2"/>
      <c r="J3" s="2"/>
    </row>
    <row r="4" spans="1:29">
      <c r="A4" s="2" t="s">
        <v>9</v>
      </c>
      <c r="B4" s="3">
        <f>B3-B5</f>
        <v>25523607</v>
      </c>
      <c r="C4" s="3">
        <f t="shared" ref="C4:G4" si="0">C3-C5</f>
        <v>28439076</v>
      </c>
      <c r="D4" s="3">
        <f t="shared" si="0"/>
        <v>40749985</v>
      </c>
      <c r="E4" s="3">
        <f t="shared" si="0"/>
        <v>64827880</v>
      </c>
      <c r="F4" s="3">
        <f t="shared" si="0"/>
        <v>79327921</v>
      </c>
      <c r="G4" s="3">
        <f t="shared" si="0"/>
        <v>112584682</v>
      </c>
      <c r="H4" s="3">
        <v>-21994237</v>
      </c>
      <c r="I4" s="2"/>
      <c r="J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2" t="s">
        <v>11</v>
      </c>
      <c r="B5" s="3">
        <v>11954714</v>
      </c>
      <c r="C5" s="3">
        <v>7863718</v>
      </c>
      <c r="D5" s="3">
        <v>14212280</v>
      </c>
      <c r="E5" s="3">
        <v>26066169</v>
      </c>
      <c r="F5" s="3">
        <v>39872372</v>
      </c>
      <c r="G5" s="3">
        <v>43544183</v>
      </c>
      <c r="H5" s="3">
        <v>9144499</v>
      </c>
      <c r="I5" s="2"/>
      <c r="J5" s="1" t="s">
        <v>12</v>
      </c>
      <c r="K5" s="3">
        <v>18256474</v>
      </c>
      <c r="L5" s="3">
        <v>22744239</v>
      </c>
      <c r="M5" s="3">
        <v>26193029</v>
      </c>
      <c r="N5" s="3">
        <v>34730382</v>
      </c>
      <c r="O5" s="3">
        <v>58650853</v>
      </c>
      <c r="P5" s="3">
        <v>67804680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2" t="s">
        <v>13</v>
      </c>
      <c r="B6" s="3">
        <v>-5538024</v>
      </c>
      <c r="C6" s="3">
        <v>-4831000</v>
      </c>
      <c r="D6" s="3">
        <v>-4281000</v>
      </c>
      <c r="E6" s="3">
        <v>-10149751</v>
      </c>
      <c r="F6" s="3">
        <v>-12760981</v>
      </c>
      <c r="G6" s="3">
        <v>-15611680</v>
      </c>
      <c r="H6" s="3">
        <v>-4655082</v>
      </c>
      <c r="I6" s="2"/>
      <c r="J6" s="1" t="s">
        <v>14</v>
      </c>
      <c r="K6" s="3">
        <v>66161</v>
      </c>
      <c r="L6" s="3">
        <v>171459</v>
      </c>
      <c r="M6" s="3">
        <v>209623</v>
      </c>
      <c r="N6" s="3">
        <v>227457</v>
      </c>
      <c r="O6" s="3">
        <v>394618</v>
      </c>
      <c r="P6" s="3">
        <v>454557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2" t="s">
        <v>15</v>
      </c>
      <c r="B7" s="3">
        <v>19985583</v>
      </c>
      <c r="C7" s="3">
        <v>23828351</v>
      </c>
      <c r="D7" s="3">
        <v>34557606</v>
      </c>
      <c r="E7" s="3">
        <v>54678129</v>
      </c>
      <c r="F7" s="3">
        <v>66566940</v>
      </c>
      <c r="G7" s="3">
        <v>96973002</v>
      </c>
      <c r="H7" s="3">
        <v>-2641013</v>
      </c>
      <c r="I7" s="2"/>
      <c r="J7" s="1" t="s">
        <v>16</v>
      </c>
      <c r="K7" s="1"/>
      <c r="L7" s="3">
        <v>1008735</v>
      </c>
      <c r="M7" s="3">
        <v>1853735</v>
      </c>
      <c r="N7" s="1"/>
      <c r="O7" s="1"/>
      <c r="P7" s="3">
        <v>1727763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2" t="s">
        <v>17</v>
      </c>
      <c r="B8" s="3">
        <v>-1662000</v>
      </c>
      <c r="C8" s="3">
        <v>-2012000</v>
      </c>
      <c r="D8" s="3">
        <v>-2339000</v>
      </c>
      <c r="E8" s="3">
        <v>-2821903</v>
      </c>
      <c r="F8" s="3">
        <v>-3275949</v>
      </c>
      <c r="G8" s="1" t="s">
        <v>18</v>
      </c>
      <c r="H8" s="3">
        <v>-1597804</v>
      </c>
      <c r="I8" s="2"/>
      <c r="J8" s="1" t="s">
        <v>19</v>
      </c>
      <c r="K8" s="3">
        <v>65762</v>
      </c>
      <c r="L8" s="3">
        <v>113823</v>
      </c>
      <c r="M8" s="3">
        <v>144673</v>
      </c>
      <c r="N8" s="3">
        <v>179626</v>
      </c>
      <c r="O8" s="3">
        <v>147858</v>
      </c>
      <c r="P8" s="3">
        <v>176873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2" t="s">
        <v>20</v>
      </c>
      <c r="B9" s="3">
        <v>6416690</v>
      </c>
      <c r="C9" s="3">
        <v>3252993</v>
      </c>
      <c r="D9" s="3">
        <v>8019901</v>
      </c>
      <c r="E9" s="3">
        <v>15916418</v>
      </c>
      <c r="F9" s="3">
        <v>27111391</v>
      </c>
      <c r="G9" s="3">
        <v>27932503</v>
      </c>
      <c r="H9" s="3">
        <v>-425429</v>
      </c>
      <c r="I9" s="2"/>
      <c r="J9" s="1" t="s">
        <v>21</v>
      </c>
      <c r="K9" s="3">
        <v>28019</v>
      </c>
      <c r="L9" s="3">
        <v>38337</v>
      </c>
      <c r="M9" s="3">
        <v>60478</v>
      </c>
      <c r="N9" s="3">
        <v>86955</v>
      </c>
      <c r="O9" s="3">
        <v>81701</v>
      </c>
      <c r="P9" s="3">
        <v>89451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2" t="s">
        <v>22</v>
      </c>
      <c r="B10" s="3">
        <v>-995707</v>
      </c>
      <c r="C10" s="3">
        <v>-1053000</v>
      </c>
      <c r="D10" s="3">
        <v>-1147038</v>
      </c>
      <c r="E10" s="3">
        <v>-2492950</v>
      </c>
      <c r="F10" s="3">
        <v>-5527536</v>
      </c>
      <c r="G10" s="3">
        <v>-10125154</v>
      </c>
      <c r="H10" s="3">
        <v>9164</v>
      </c>
      <c r="I10" s="2"/>
      <c r="J10" s="1" t="s">
        <v>23</v>
      </c>
      <c r="K10" s="1"/>
      <c r="L10" s="1"/>
      <c r="M10" s="1"/>
      <c r="N10" s="1"/>
      <c r="O10" s="1"/>
      <c r="P10" s="3">
        <v>350141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2" t="s">
        <v>24</v>
      </c>
      <c r="B11" s="3">
        <v>5420983</v>
      </c>
      <c r="C11" s="3">
        <v>2115831</v>
      </c>
      <c r="D11" s="3">
        <v>6872863</v>
      </c>
      <c r="E11" s="3">
        <v>13423468</v>
      </c>
      <c r="F11" s="3">
        <v>21583855</v>
      </c>
      <c r="G11" s="3">
        <v>17807349</v>
      </c>
      <c r="H11" s="3">
        <v>4489417</v>
      </c>
      <c r="I11" s="2"/>
      <c r="J11" s="1" t="s">
        <v>25</v>
      </c>
      <c r="K11" s="3">
        <v>19425151</v>
      </c>
      <c r="L11" s="3">
        <v>24921593</v>
      </c>
      <c r="M11" s="3">
        <v>26607803</v>
      </c>
      <c r="N11" s="3">
        <v>35224420</v>
      </c>
      <c r="O11" s="3">
        <v>59275030</v>
      </c>
      <c r="P11" s="3">
        <v>70603465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2" t="s">
        <v>26</v>
      </c>
      <c r="B12" s="3">
        <v>-226216</v>
      </c>
      <c r="C12" s="3">
        <v>-319428</v>
      </c>
      <c r="D12" s="3">
        <v>-581292</v>
      </c>
      <c r="E12" s="3">
        <v>-1063972</v>
      </c>
      <c r="F12" s="3">
        <v>-1412009</v>
      </c>
      <c r="G12" s="3">
        <v>-2036078</v>
      </c>
      <c r="H12" s="3">
        <v>-483654</v>
      </c>
      <c r="I12" s="2"/>
      <c r="J12" s="2" t="s">
        <v>27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2" t="s">
        <v>28</v>
      </c>
      <c r="B13" s="3">
        <v>5194767</v>
      </c>
      <c r="C13" s="3">
        <v>1796403</v>
      </c>
      <c r="D13" s="3">
        <v>6291571</v>
      </c>
      <c r="E13" s="3">
        <v>12359496</v>
      </c>
      <c r="F13" s="3">
        <v>20171846</v>
      </c>
      <c r="G13" s="3">
        <v>15771267</v>
      </c>
      <c r="H13" s="3">
        <v>4005763</v>
      </c>
      <c r="I13" s="2"/>
      <c r="J13" s="1" t="s">
        <v>29</v>
      </c>
      <c r="K13" s="3">
        <v>887659</v>
      </c>
      <c r="L13" s="3">
        <v>1062524</v>
      </c>
      <c r="M13" s="3">
        <v>1199116</v>
      </c>
      <c r="N13" s="3">
        <v>1866417</v>
      </c>
      <c r="O13" s="3">
        <v>2490975</v>
      </c>
      <c r="P13" s="3">
        <v>3184425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1" customFormat="1">
      <c r="A14" s="2"/>
      <c r="B14" s="3"/>
      <c r="C14" s="3"/>
      <c r="D14" s="3"/>
      <c r="E14" s="3"/>
      <c r="F14" s="3"/>
      <c r="G14" s="3"/>
      <c r="H14" s="3">
        <v>-119954</v>
      </c>
      <c r="I14" s="2"/>
      <c r="J14" s="1" t="s">
        <v>30</v>
      </c>
      <c r="K14" s="3">
        <v>6282491</v>
      </c>
      <c r="L14" s="3">
        <v>8810625</v>
      </c>
      <c r="M14" s="3">
        <v>11276308</v>
      </c>
      <c r="N14" s="3">
        <v>23142048</v>
      </c>
      <c r="O14" s="3">
        <v>19728810</v>
      </c>
      <c r="P14" s="3">
        <v>26360852</v>
      </c>
    </row>
    <row r="15" spans="1:29">
      <c r="A15" s="2"/>
      <c r="B15" s="1"/>
      <c r="C15" s="3"/>
      <c r="D15" s="3"/>
      <c r="E15" s="3"/>
      <c r="F15" s="3"/>
      <c r="G15" s="3"/>
      <c r="H15" s="3">
        <v>3885809</v>
      </c>
      <c r="I15" s="2"/>
      <c r="J15" s="1" t="s">
        <v>31</v>
      </c>
      <c r="K15" s="3">
        <f>SUM(K14,K13)</f>
        <v>7170150</v>
      </c>
      <c r="L15" s="3">
        <f t="shared" ref="L15:P15" si="1">SUM(L14,L13)</f>
        <v>9873149</v>
      </c>
      <c r="M15" s="3">
        <f t="shared" si="1"/>
        <v>12475424</v>
      </c>
      <c r="N15" s="3">
        <f t="shared" si="1"/>
        <v>25008465</v>
      </c>
      <c r="O15" s="3">
        <f t="shared" si="1"/>
        <v>22219785</v>
      </c>
      <c r="P15" s="3">
        <f t="shared" si="1"/>
        <v>29545277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2"/>
      <c r="B16" s="1"/>
      <c r="C16" s="3"/>
      <c r="D16" s="3"/>
      <c r="E16" s="3"/>
      <c r="F16" s="3"/>
      <c r="G16" s="3"/>
      <c r="H16" s="3"/>
      <c r="I16" s="3"/>
      <c r="J16" s="1" t="s">
        <v>32</v>
      </c>
      <c r="K16" s="3">
        <v>8247740</v>
      </c>
      <c r="L16" s="3">
        <v>7207391</v>
      </c>
      <c r="M16" s="3">
        <v>15052940</v>
      </c>
      <c r="N16" s="3">
        <v>28603965</v>
      </c>
      <c r="O16" s="3">
        <v>34138665</v>
      </c>
      <c r="P16" s="3">
        <v>41193604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2" t="s">
        <v>33</v>
      </c>
      <c r="B17" s="2" t="s">
        <v>34</v>
      </c>
      <c r="C17" s="2" t="s">
        <v>35</v>
      </c>
      <c r="D17" s="2" t="s">
        <v>36</v>
      </c>
      <c r="E17" s="2" t="s">
        <v>37</v>
      </c>
      <c r="F17" s="2" t="s">
        <v>38</v>
      </c>
      <c r="G17" s="1"/>
      <c r="J17" s="1" t="s">
        <v>39</v>
      </c>
      <c r="K17" s="3">
        <v>1063342</v>
      </c>
      <c r="L17" s="3">
        <v>485930</v>
      </c>
      <c r="M17" s="3">
        <v>1034836</v>
      </c>
      <c r="N17" s="3">
        <v>1633562</v>
      </c>
      <c r="O17" s="3">
        <v>2112755</v>
      </c>
      <c r="P17" s="3">
        <v>1924171</v>
      </c>
      <c r="Q17" s="1"/>
      <c r="R17" s="2" t="s">
        <v>40</v>
      </c>
      <c r="S17" s="3">
        <f>SUM(K6:K10,K17:K18,K20:K22)</f>
        <v>4560959</v>
      </c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2" t="s">
        <v>8</v>
      </c>
      <c r="B18" s="3">
        <v>37511</v>
      </c>
      <c r="C18" s="3">
        <v>36303</v>
      </c>
      <c r="D18" s="3">
        <v>54962</v>
      </c>
      <c r="E18" s="3">
        <v>90894</v>
      </c>
      <c r="F18" s="3">
        <v>119200</v>
      </c>
      <c r="G18" s="1"/>
      <c r="J18" s="1" t="s">
        <v>41</v>
      </c>
      <c r="K18" s="3">
        <v>194544</v>
      </c>
      <c r="L18" s="3">
        <v>193182</v>
      </c>
      <c r="M18" s="3">
        <v>318708</v>
      </c>
      <c r="N18" s="3">
        <v>998491</v>
      </c>
      <c r="O18" s="3">
        <v>671874</v>
      </c>
      <c r="P18" s="3">
        <v>347722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2" t="s">
        <v>42</v>
      </c>
      <c r="B19" s="3">
        <v>26094</v>
      </c>
      <c r="C19" s="3">
        <v>28745</v>
      </c>
      <c r="D19" s="3">
        <v>41361</v>
      </c>
      <c r="E19" s="3">
        <v>65945</v>
      </c>
      <c r="F19" s="3">
        <v>80994</v>
      </c>
      <c r="G19" s="1"/>
      <c r="J19" s="1" t="s">
        <v>43</v>
      </c>
      <c r="K19" s="1"/>
      <c r="L19" s="1"/>
      <c r="M19" s="1"/>
      <c r="N19" s="1"/>
      <c r="O19" s="3">
        <v>21672</v>
      </c>
      <c r="P19" s="3">
        <v>59248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2" t="s">
        <v>11</v>
      </c>
      <c r="B20" s="3">
        <v>11418</v>
      </c>
      <c r="C20" s="3">
        <v>7558</v>
      </c>
      <c r="D20" s="3">
        <v>13601</v>
      </c>
      <c r="E20" s="3">
        <v>24949</v>
      </c>
      <c r="F20" s="3">
        <v>38206</v>
      </c>
      <c r="G20" s="1"/>
      <c r="J20" s="1" t="s">
        <v>44</v>
      </c>
      <c r="K20" s="3">
        <v>10441</v>
      </c>
      <c r="L20" s="3">
        <v>2239</v>
      </c>
      <c r="M20" s="3">
        <v>2131</v>
      </c>
      <c r="N20" s="3">
        <v>4570</v>
      </c>
      <c r="O20" s="3">
        <v>1623</v>
      </c>
      <c r="P20" s="3">
        <v>1497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2" t="s">
        <v>13</v>
      </c>
      <c r="B21" s="3">
        <v>4575</v>
      </c>
      <c r="C21" s="3">
        <v>3926</v>
      </c>
      <c r="D21" s="3">
        <v>5068</v>
      </c>
      <c r="E21" s="3">
        <v>7465</v>
      </c>
      <c r="F21" s="3">
        <v>9392</v>
      </c>
      <c r="G21" s="1"/>
      <c r="J21" s="1" t="s">
        <v>45</v>
      </c>
      <c r="K21" s="3">
        <v>1925439</v>
      </c>
      <c r="L21" s="3">
        <v>2408014</v>
      </c>
      <c r="M21" s="3">
        <v>4328555</v>
      </c>
      <c r="N21" s="3">
        <v>4224938</v>
      </c>
      <c r="O21" s="3">
        <v>4758814</v>
      </c>
      <c r="P21" s="3">
        <v>7128807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2" t="s">
        <v>15</v>
      </c>
      <c r="B22" s="3">
        <v>8421</v>
      </c>
      <c r="C22" s="3">
        <v>5508</v>
      </c>
      <c r="D22" s="3">
        <v>10677</v>
      </c>
      <c r="E22" s="3">
        <v>19893</v>
      </c>
      <c r="F22" s="3">
        <v>31441</v>
      </c>
      <c r="G22" s="1"/>
      <c r="J22" s="1" t="s">
        <v>46</v>
      </c>
      <c r="K22" s="3">
        <v>1207251</v>
      </c>
      <c r="L22" s="3">
        <v>125044</v>
      </c>
      <c r="M22" s="3">
        <v>500000</v>
      </c>
      <c r="N22" s="3">
        <v>500000</v>
      </c>
      <c r="O22" s="3">
        <v>500000</v>
      </c>
      <c r="P22" s="3">
        <v>500000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2" t="s">
        <v>47</v>
      </c>
      <c r="B23" s="3">
        <v>1662000</v>
      </c>
      <c r="C23" s="3">
        <v>2012000</v>
      </c>
      <c r="D23" s="3">
        <v>2339000</v>
      </c>
      <c r="E23" s="3">
        <v>2821903</v>
      </c>
      <c r="F23" s="3">
        <v>3275949</v>
      </c>
      <c r="G23" s="1"/>
      <c r="J23" s="1" t="s">
        <v>48</v>
      </c>
      <c r="K23" s="3">
        <v>1538564</v>
      </c>
      <c r="L23" s="3">
        <v>150787</v>
      </c>
      <c r="M23" s="3">
        <v>374442</v>
      </c>
      <c r="N23" s="3">
        <v>117119</v>
      </c>
      <c r="O23" s="3">
        <v>1544502</v>
      </c>
      <c r="P23" s="3">
        <v>370386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2" t="s">
        <v>20</v>
      </c>
      <c r="B24" s="3">
        <v>6759</v>
      </c>
      <c r="C24" s="9" t="s">
        <v>49</v>
      </c>
      <c r="D24" s="3">
        <v>8338</v>
      </c>
      <c r="E24" s="3">
        <v>17007</v>
      </c>
      <c r="F24" s="3">
        <v>28069</v>
      </c>
      <c r="G24" s="1"/>
      <c r="J24" s="1"/>
      <c r="K24" s="3"/>
      <c r="L24" s="3"/>
      <c r="M24" s="3"/>
      <c r="N24" s="3"/>
      <c r="O24" s="3"/>
      <c r="P24" s="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2" t="s">
        <v>22</v>
      </c>
      <c r="B25" s="1">
        <v>978</v>
      </c>
      <c r="C25" s="3">
        <v>1134</v>
      </c>
      <c r="D25" s="3">
        <v>1145</v>
      </c>
      <c r="E25" s="3">
        <v>2477</v>
      </c>
      <c r="F25" s="3">
        <v>5501</v>
      </c>
      <c r="G25" s="1"/>
      <c r="J25" s="1" t="s">
        <v>50</v>
      </c>
      <c r="K25" s="3">
        <v>21357471</v>
      </c>
      <c r="L25" s="3">
        <v>20445736</v>
      </c>
      <c r="M25" s="3">
        <v>34087036</v>
      </c>
      <c r="N25" s="3">
        <v>61091110</v>
      </c>
      <c r="O25" s="3">
        <v>65969690</v>
      </c>
      <c r="P25" s="3">
        <v>81070712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2" t="s">
        <v>51</v>
      </c>
      <c r="B26" s="3">
        <v>5345</v>
      </c>
      <c r="C26" s="3">
        <v>2116</v>
      </c>
      <c r="D26" s="3">
        <v>6873</v>
      </c>
      <c r="E26" s="3">
        <v>13423</v>
      </c>
      <c r="F26" s="3">
        <v>21584</v>
      </c>
      <c r="G26" s="1"/>
      <c r="J26" s="2" t="s">
        <v>52</v>
      </c>
      <c r="K26" s="3">
        <v>40782622</v>
      </c>
      <c r="L26" s="3">
        <v>45367329</v>
      </c>
      <c r="M26" s="3">
        <v>60694839</v>
      </c>
      <c r="N26" s="3">
        <v>96315530</v>
      </c>
      <c r="O26" s="3">
        <v>125244720</v>
      </c>
      <c r="P26" s="3">
        <v>151674177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2" t="s">
        <v>26</v>
      </c>
      <c r="B27" s="1">
        <v>226</v>
      </c>
      <c r="C27" s="1">
        <v>319</v>
      </c>
      <c r="D27" s="1">
        <v>581</v>
      </c>
      <c r="E27" s="3">
        <v>1064</v>
      </c>
      <c r="F27" s="3">
        <v>1412</v>
      </c>
      <c r="G27" s="1"/>
      <c r="J27" s="2" t="s">
        <v>53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2" t="s">
        <v>28</v>
      </c>
      <c r="B28" s="3">
        <v>5061</v>
      </c>
      <c r="C28" s="3">
        <v>1796</v>
      </c>
      <c r="D28" s="3">
        <v>6292</v>
      </c>
      <c r="E28" s="3">
        <v>12359</v>
      </c>
      <c r="F28" s="3">
        <v>20172</v>
      </c>
      <c r="G28" s="1"/>
      <c r="J28" s="2" t="s">
        <v>54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1"/>
      <c r="E29" s="1"/>
      <c r="F29" s="1"/>
      <c r="G29" s="1"/>
      <c r="J29" s="1" t="s">
        <v>55</v>
      </c>
      <c r="K29" s="3">
        <v>8721975</v>
      </c>
      <c r="L29" s="3">
        <v>8721975</v>
      </c>
      <c r="M29" s="3">
        <v>8721975</v>
      </c>
      <c r="N29" s="3">
        <v>8983635</v>
      </c>
      <c r="O29" s="3">
        <v>14014469</v>
      </c>
      <c r="P29" s="3">
        <v>14017095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1"/>
      <c r="E30" s="1"/>
      <c r="F30" s="1"/>
      <c r="G30" s="1"/>
      <c r="J30" s="1" t="s">
        <v>56</v>
      </c>
      <c r="K30" s="3">
        <v>3791602</v>
      </c>
      <c r="L30" s="3">
        <v>3791602</v>
      </c>
      <c r="M30" s="3">
        <v>3791602</v>
      </c>
      <c r="N30" s="3">
        <v>3528149</v>
      </c>
      <c r="O30" s="3">
        <v>3150573</v>
      </c>
      <c r="P30" s="3">
        <v>3158734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E31" s="1"/>
      <c r="F31" s="1"/>
      <c r="G31" s="1"/>
      <c r="J31" s="1" t="s">
        <v>57</v>
      </c>
      <c r="K31" s="3">
        <v>5366207</v>
      </c>
      <c r="L31" s="3">
        <v>4766115</v>
      </c>
      <c r="M31" s="3">
        <v>8001035</v>
      </c>
      <c r="N31" s="3">
        <v>17428486</v>
      </c>
      <c r="O31" s="3">
        <v>26641364</v>
      </c>
      <c r="P31" s="3">
        <v>36356646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J32" s="1" t="s">
        <v>58</v>
      </c>
      <c r="K32" s="3">
        <v>17879784</v>
      </c>
      <c r="L32" s="3">
        <v>17279692</v>
      </c>
      <c r="M32" s="3">
        <v>20514612</v>
      </c>
      <c r="N32" s="3">
        <v>29940270</v>
      </c>
      <c r="O32" s="3">
        <v>43806406</v>
      </c>
      <c r="P32" s="3">
        <v>53532475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J33" s="2" t="s">
        <v>59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J34" s="1" t="s">
        <v>60</v>
      </c>
      <c r="K34" s="3">
        <v>3628745</v>
      </c>
      <c r="L34" s="3">
        <v>6861130</v>
      </c>
      <c r="M34" s="3">
        <v>8213978</v>
      </c>
      <c r="N34" s="3">
        <v>14396116</v>
      </c>
      <c r="O34" s="3">
        <v>15348901</v>
      </c>
      <c r="P34" s="3">
        <v>16194813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J35" s="1" t="s">
        <v>61</v>
      </c>
      <c r="K35" s="1"/>
      <c r="L35" s="3">
        <v>102158</v>
      </c>
      <c r="M35" s="3">
        <v>152969</v>
      </c>
      <c r="N35" s="3">
        <v>93973</v>
      </c>
      <c r="O35" s="3">
        <v>57011</v>
      </c>
      <c r="P35" s="3">
        <v>190965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J36" s="1" t="s">
        <v>62</v>
      </c>
      <c r="K36" s="3">
        <v>2482623</v>
      </c>
      <c r="L36" s="3">
        <v>3140682</v>
      </c>
      <c r="M36" s="3">
        <v>3816001</v>
      </c>
      <c r="N36" s="3">
        <v>5048654</v>
      </c>
      <c r="O36" s="3">
        <v>7999204</v>
      </c>
      <c r="P36" s="3">
        <v>10786348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J37" s="1" t="s">
        <v>63</v>
      </c>
      <c r="K37" s="3">
        <v>6111368</v>
      </c>
      <c r="L37" s="3">
        <v>10103970</v>
      </c>
      <c r="M37" s="3">
        <v>12182948</v>
      </c>
      <c r="N37" s="3">
        <v>19538743</v>
      </c>
      <c r="O37" s="3">
        <v>23405116</v>
      </c>
      <c r="P37" s="3">
        <v>27172126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s="1" customFormat="1">
      <c r="K38" s="3"/>
      <c r="L38" s="3"/>
      <c r="M38" s="3"/>
      <c r="N38" s="3"/>
      <c r="O38" s="3"/>
      <c r="P38" s="3"/>
    </row>
    <row r="39" spans="1:29">
      <c r="A39" s="1"/>
      <c r="B39" s="1"/>
      <c r="C39" s="1"/>
      <c r="D39" s="1"/>
      <c r="E39" s="1"/>
      <c r="F39" s="1"/>
      <c r="G39" s="1"/>
      <c r="J39" s="2" t="s">
        <v>64</v>
      </c>
      <c r="K39" s="1"/>
      <c r="L39" s="1"/>
      <c r="M39" s="1"/>
      <c r="N39" s="1"/>
      <c r="O39" s="1"/>
      <c r="P39" s="1"/>
      <c r="Q39" s="1"/>
      <c r="R39" s="15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J40" s="1" t="s">
        <v>65</v>
      </c>
      <c r="K40" s="3">
        <v>3576861</v>
      </c>
      <c r="L40" s="3">
        <v>3031231</v>
      </c>
      <c r="M40" s="3">
        <v>5551641</v>
      </c>
      <c r="N40" s="3">
        <v>9084790</v>
      </c>
      <c r="O40" s="3">
        <v>12003908</v>
      </c>
      <c r="P40" s="3">
        <v>15536209</v>
      </c>
      <c r="Q40" s="1"/>
      <c r="R40" s="1"/>
      <c r="S40" s="3"/>
      <c r="T40" s="1"/>
      <c r="U40" s="1"/>
      <c r="V40" s="3"/>
      <c r="W40" s="3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J41" s="1" t="s">
        <v>66</v>
      </c>
      <c r="K41" s="3">
        <v>130935</v>
      </c>
      <c r="L41" s="3">
        <v>2952</v>
      </c>
      <c r="M41" s="3">
        <v>4004</v>
      </c>
      <c r="N41" s="3">
        <v>3006</v>
      </c>
      <c r="O41" s="3">
        <v>4074</v>
      </c>
      <c r="P41" s="3">
        <v>3077</v>
      </c>
      <c r="Q41" s="1"/>
      <c r="R41" s="1"/>
      <c r="S41" s="3"/>
      <c r="T41" s="3"/>
      <c r="U41" s="3"/>
      <c r="V41" s="3"/>
      <c r="W41" s="3"/>
      <c r="X41" s="3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J42" s="1" t="s">
        <v>67</v>
      </c>
      <c r="K42" s="3">
        <v>110483</v>
      </c>
      <c r="L42" s="3">
        <v>191136</v>
      </c>
      <c r="M42" s="3">
        <v>221674</v>
      </c>
      <c r="N42" s="3">
        <v>702689</v>
      </c>
      <c r="O42" s="3">
        <v>1830013</v>
      </c>
      <c r="P42" s="3">
        <v>2689232</v>
      </c>
      <c r="Q42" s="1"/>
      <c r="R42" s="1"/>
      <c r="S42" s="3"/>
      <c r="T42" s="3"/>
      <c r="U42" s="3"/>
      <c r="V42" s="3"/>
      <c r="W42" s="3"/>
      <c r="X42" s="3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J43" s="1" t="s">
        <v>68</v>
      </c>
      <c r="K43" s="3">
        <v>11726000</v>
      </c>
      <c r="L43" s="3">
        <v>14354861</v>
      </c>
      <c r="M43" s="3">
        <v>19636066</v>
      </c>
      <c r="N43" s="3">
        <v>35007908</v>
      </c>
      <c r="O43" s="3">
        <v>42148912</v>
      </c>
      <c r="P43" s="3">
        <v>49903571</v>
      </c>
      <c r="Q43" s="1"/>
      <c r="R43" s="1"/>
      <c r="S43" s="3"/>
      <c r="T43" s="3"/>
      <c r="U43" s="3"/>
      <c r="V43" s="3"/>
      <c r="W43" s="3"/>
      <c r="X43" s="3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J44" s="1" t="s">
        <v>43</v>
      </c>
      <c r="K44" s="1"/>
      <c r="L44" s="1"/>
      <c r="M44" s="1"/>
      <c r="N44" s="3">
        <v>33074</v>
      </c>
      <c r="O44" s="3">
        <v>94154</v>
      </c>
      <c r="P44" s="1"/>
      <c r="Q44" s="1"/>
      <c r="R44" s="1"/>
      <c r="S44" s="3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J45" s="1" t="s">
        <v>69</v>
      </c>
      <c r="K45" s="3">
        <v>1247191</v>
      </c>
      <c r="L45" s="3">
        <v>403487</v>
      </c>
      <c r="M45" s="3">
        <v>2550820</v>
      </c>
      <c r="N45" s="3">
        <v>1943970</v>
      </c>
      <c r="O45" s="3">
        <v>2046291</v>
      </c>
      <c r="P45" s="3">
        <v>2837487</v>
      </c>
      <c r="Q45" s="1"/>
      <c r="R45" s="1"/>
      <c r="S45" s="3"/>
      <c r="T45" s="3"/>
      <c r="U45" s="3"/>
      <c r="V45" s="3"/>
      <c r="W45" s="3"/>
      <c r="X45" s="3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J46" s="1"/>
      <c r="K46" s="3"/>
      <c r="L46" s="3"/>
      <c r="M46" s="3"/>
      <c r="N46" s="3"/>
      <c r="O46" s="3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J47" s="1" t="s">
        <v>70</v>
      </c>
      <c r="K47" s="3">
        <v>16791470</v>
      </c>
      <c r="L47" s="3">
        <v>17983667</v>
      </c>
      <c r="M47" s="3">
        <v>27997279</v>
      </c>
      <c r="N47" s="3">
        <v>46836517</v>
      </c>
      <c r="O47" s="3">
        <v>58033198</v>
      </c>
      <c r="P47" s="3">
        <v>70969576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J48" s="2" t="s">
        <v>71</v>
      </c>
      <c r="K48" s="3">
        <v>40782622</v>
      </c>
      <c r="L48" s="3">
        <v>45367329</v>
      </c>
      <c r="M48" s="3">
        <v>60694839</v>
      </c>
      <c r="N48" s="3">
        <v>96315530</v>
      </c>
      <c r="O48" s="3">
        <v>125244720</v>
      </c>
      <c r="P48" s="3">
        <v>151674177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51" spans="10:24">
      <c r="J51" s="54" t="s">
        <v>72</v>
      </c>
      <c r="K51" s="5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0:24">
      <c r="J52" s="2"/>
      <c r="K52" s="15"/>
      <c r="L52" s="2"/>
      <c r="M52" s="2"/>
      <c r="N52" s="2"/>
      <c r="O52" s="2"/>
      <c r="P52" s="2"/>
      <c r="Q52" s="1"/>
      <c r="R52" s="15" t="s">
        <v>40</v>
      </c>
      <c r="S52" s="1"/>
      <c r="T52" s="1"/>
      <c r="U52" s="1"/>
      <c r="V52" s="1"/>
      <c r="W52" s="1"/>
      <c r="X52" s="1"/>
    </row>
    <row r="53" spans="10:24">
      <c r="J53" s="2" t="s">
        <v>73</v>
      </c>
      <c r="K53" s="2" t="s">
        <v>74</v>
      </c>
      <c r="L53" s="2" t="s">
        <v>75</v>
      </c>
      <c r="M53" s="2" t="s">
        <v>76</v>
      </c>
      <c r="N53" s="2" t="s">
        <v>77</v>
      </c>
      <c r="O53" s="2" t="s">
        <v>78</v>
      </c>
      <c r="P53" s="2" t="s">
        <v>79</v>
      </c>
      <c r="Q53" s="1"/>
      <c r="R53" s="1" t="s">
        <v>16</v>
      </c>
      <c r="S53" s="1"/>
      <c r="T53" s="1"/>
      <c r="U53" s="1"/>
      <c r="V53" s="1"/>
      <c r="W53" s="1"/>
      <c r="X53" s="1"/>
    </row>
    <row r="54" spans="10:24">
      <c r="J54" s="2" t="s">
        <v>80</v>
      </c>
      <c r="K54" s="3">
        <v>8247740</v>
      </c>
      <c r="L54" s="3">
        <v>7207391</v>
      </c>
      <c r="M54" s="3">
        <v>15052940</v>
      </c>
      <c r="N54" s="3">
        <v>28603965</v>
      </c>
      <c r="O54" s="3">
        <v>34138665</v>
      </c>
      <c r="P54" s="3">
        <v>41193604</v>
      </c>
      <c r="Q54" s="1"/>
      <c r="R54" s="1" t="s">
        <v>19</v>
      </c>
      <c r="S54" s="1"/>
      <c r="T54" s="1"/>
      <c r="U54" s="1"/>
      <c r="V54" s="1"/>
      <c r="W54" s="1"/>
      <c r="X54" s="1"/>
    </row>
    <row r="55" spans="10:24">
      <c r="J55" s="2" t="s">
        <v>31</v>
      </c>
      <c r="K55" s="3">
        <v>7170150</v>
      </c>
      <c r="L55" s="3">
        <v>9873149</v>
      </c>
      <c r="M55" s="3">
        <v>12475424</v>
      </c>
      <c r="N55" s="3">
        <v>25008465</v>
      </c>
      <c r="O55" s="3">
        <v>22219785</v>
      </c>
      <c r="P55" s="3">
        <v>29545277</v>
      </c>
      <c r="Q55" s="1"/>
      <c r="R55" s="1" t="s">
        <v>21</v>
      </c>
      <c r="S55" s="1"/>
      <c r="T55" s="1"/>
      <c r="U55" s="1"/>
      <c r="V55" s="1"/>
      <c r="W55" s="1"/>
      <c r="X55" s="1"/>
    </row>
    <row r="56" spans="10:24">
      <c r="J56" s="2" t="s">
        <v>81</v>
      </c>
      <c r="K56" s="3">
        <v>18256474</v>
      </c>
      <c r="L56" s="3">
        <v>22744239</v>
      </c>
      <c r="M56" s="3">
        <v>26193029</v>
      </c>
      <c r="N56" s="3">
        <v>34730382</v>
      </c>
      <c r="O56" s="3">
        <v>58650853</v>
      </c>
      <c r="P56" s="3">
        <v>67804680</v>
      </c>
      <c r="Q56" s="1"/>
      <c r="R56" s="1" t="s">
        <v>82</v>
      </c>
      <c r="S56" s="1"/>
      <c r="T56" s="1"/>
      <c r="U56" s="1"/>
      <c r="V56" s="1"/>
      <c r="W56" s="1"/>
      <c r="X56" s="1"/>
    </row>
    <row r="57" spans="10:24">
      <c r="J57" s="2" t="s">
        <v>83</v>
      </c>
      <c r="K57" s="3">
        <v>1538564</v>
      </c>
      <c r="L57" s="3">
        <v>150787</v>
      </c>
      <c r="M57" s="3">
        <v>374442</v>
      </c>
      <c r="N57" s="3">
        <v>117119</v>
      </c>
      <c r="O57" s="3">
        <v>1544502</v>
      </c>
      <c r="P57" s="3">
        <v>370386</v>
      </c>
      <c r="Q57" s="1"/>
      <c r="R57" s="1" t="s">
        <v>84</v>
      </c>
      <c r="S57" s="1"/>
      <c r="T57" s="1"/>
      <c r="U57" s="1"/>
      <c r="V57" s="1"/>
      <c r="W57" s="1"/>
      <c r="X57" s="1"/>
    </row>
    <row r="58" spans="10:24">
      <c r="J58" s="2" t="s">
        <v>85</v>
      </c>
      <c r="K58" s="3">
        <v>3938145</v>
      </c>
      <c r="L58" s="3">
        <v>5391763</v>
      </c>
      <c r="M58" s="3">
        <v>6598004</v>
      </c>
      <c r="N58" s="3">
        <v>7631699</v>
      </c>
      <c r="O58" s="3">
        <v>9415250</v>
      </c>
      <c r="P58" s="3">
        <v>13186809</v>
      </c>
      <c r="Q58" s="1"/>
      <c r="R58" s="1" t="s">
        <v>45</v>
      </c>
      <c r="S58" s="1"/>
      <c r="T58" s="1"/>
      <c r="U58" s="1"/>
      <c r="V58" s="1"/>
      <c r="W58" s="1"/>
      <c r="X58" s="1"/>
    </row>
    <row r="59" spans="10:24">
      <c r="J59" s="2"/>
      <c r="K59" s="16"/>
      <c r="L59" s="16"/>
      <c r="M59" s="16"/>
      <c r="N59" s="16"/>
      <c r="O59" s="16"/>
      <c r="P59" s="16"/>
      <c r="Q59" s="1"/>
      <c r="R59" s="1" t="s">
        <v>86</v>
      </c>
      <c r="S59" s="1"/>
      <c r="T59" s="1"/>
      <c r="U59" s="1"/>
      <c r="V59" s="1"/>
      <c r="W59" s="1"/>
      <c r="X59" s="1"/>
    </row>
    <row r="61" spans="10:24">
      <c r="J61" s="1"/>
      <c r="K61" s="1"/>
      <c r="L61" s="1"/>
      <c r="M61" s="1"/>
      <c r="N61" s="1"/>
      <c r="O61" s="1"/>
      <c r="P61" s="1"/>
      <c r="Q61" s="1"/>
      <c r="R61" s="15" t="s">
        <v>87</v>
      </c>
      <c r="S61" s="1"/>
      <c r="T61" s="1"/>
      <c r="U61" s="1"/>
      <c r="V61" s="1"/>
      <c r="W61" s="1"/>
      <c r="X61" s="1"/>
    </row>
    <row r="62" spans="10:24">
      <c r="J62" s="2" t="s">
        <v>73</v>
      </c>
      <c r="K62" s="2" t="s">
        <v>74</v>
      </c>
      <c r="L62" s="2" t="s">
        <v>75</v>
      </c>
      <c r="M62" s="2" t="s">
        <v>76</v>
      </c>
      <c r="N62" s="2" t="s">
        <v>77</v>
      </c>
      <c r="O62" s="2" t="s">
        <v>78</v>
      </c>
      <c r="P62" s="2" t="s">
        <v>79</v>
      </c>
      <c r="Q62" s="1"/>
      <c r="R62" s="1" t="s">
        <v>68</v>
      </c>
      <c r="S62" s="3"/>
      <c r="T62" s="3"/>
      <c r="U62" s="3"/>
      <c r="V62" s="3"/>
      <c r="W62" s="3"/>
      <c r="X62" s="3"/>
    </row>
    <row r="63" spans="10:24">
      <c r="J63" s="2" t="s">
        <v>88</v>
      </c>
      <c r="K63" s="3">
        <v>3576861</v>
      </c>
      <c r="L63" s="3">
        <v>3031231</v>
      </c>
      <c r="M63" s="3">
        <v>5551641</v>
      </c>
      <c r="N63" s="3">
        <v>9084790</v>
      </c>
      <c r="O63" s="3">
        <v>12003908</v>
      </c>
      <c r="P63" s="3">
        <v>15536209</v>
      </c>
      <c r="Q63" s="1"/>
      <c r="R63" s="1" t="s">
        <v>60</v>
      </c>
      <c r="S63" s="3"/>
      <c r="T63" s="3"/>
      <c r="U63" s="3"/>
      <c r="V63" s="3"/>
      <c r="W63" s="3"/>
      <c r="X63" s="3"/>
    </row>
    <row r="64" spans="10:24">
      <c r="J64" s="2" t="s">
        <v>89</v>
      </c>
      <c r="K64" s="3">
        <v>2482623</v>
      </c>
      <c r="L64" s="3">
        <v>3140682</v>
      </c>
      <c r="M64" s="3">
        <v>3816001</v>
      </c>
      <c r="N64" s="3">
        <v>5048654</v>
      </c>
      <c r="O64" s="3">
        <v>7999204</v>
      </c>
      <c r="P64" s="3">
        <v>10786348</v>
      </c>
      <c r="Q64" s="1"/>
      <c r="R64" s="1" t="s">
        <v>69</v>
      </c>
      <c r="S64" s="3"/>
      <c r="T64" s="3"/>
      <c r="U64" s="3"/>
      <c r="V64" s="3"/>
      <c r="W64" s="3"/>
      <c r="X64" s="3"/>
    </row>
    <row r="65" spans="10:24">
      <c r="J65" s="2" t="s">
        <v>90</v>
      </c>
      <c r="K65" s="3">
        <v>16712674</v>
      </c>
      <c r="L65" s="3">
        <v>21416991</v>
      </c>
      <c r="M65" s="3">
        <v>30424884</v>
      </c>
      <c r="N65" s="3">
        <v>51150486</v>
      </c>
      <c r="O65" s="3">
        <v>59527131</v>
      </c>
      <c r="P65" s="3">
        <v>72914066</v>
      </c>
      <c r="Q65" s="1"/>
      <c r="R65" s="1" t="s">
        <v>67</v>
      </c>
      <c r="S65" s="3"/>
      <c r="T65" s="3"/>
      <c r="U65" s="3"/>
      <c r="V65" s="3"/>
      <c r="W65" s="3"/>
      <c r="X65" s="3"/>
    </row>
    <row r="66" spans="10:24">
      <c r="J66" s="2" t="s">
        <v>91</v>
      </c>
      <c r="K66" s="3">
        <v>2274938</v>
      </c>
      <c r="L66" s="3">
        <v>1395413</v>
      </c>
      <c r="M66" s="3">
        <v>1695752</v>
      </c>
      <c r="N66" s="3">
        <v>2141280</v>
      </c>
      <c r="O66" s="3">
        <v>4907078</v>
      </c>
      <c r="P66" s="3">
        <v>5735979</v>
      </c>
      <c r="Q66" s="1"/>
      <c r="R66" s="1" t="s">
        <v>61</v>
      </c>
      <c r="S66" s="1"/>
      <c r="T66" s="1"/>
      <c r="U66" s="1"/>
      <c r="V66" s="1"/>
      <c r="W66" s="1"/>
      <c r="X66" s="1"/>
    </row>
    <row r="67" spans="10:24">
      <c r="J67" s="2" t="s">
        <v>92</v>
      </c>
      <c r="K67" s="3">
        <v>14103977</v>
      </c>
      <c r="L67" s="3">
        <v>16382012</v>
      </c>
      <c r="M67" s="3">
        <v>19206561</v>
      </c>
      <c r="N67" s="3">
        <v>28666420</v>
      </c>
      <c r="O67" s="3">
        <v>41531734</v>
      </c>
      <c r="P67" s="3">
        <v>47128154</v>
      </c>
      <c r="Q67" s="1"/>
      <c r="R67" s="1"/>
      <c r="S67" s="1"/>
      <c r="T67" s="1"/>
      <c r="U67" s="1"/>
      <c r="V67" s="1"/>
      <c r="W67" s="1"/>
      <c r="X67" s="1"/>
    </row>
    <row r="68" spans="10:24">
      <c r="J68" s="2"/>
      <c r="K68" s="16"/>
      <c r="L68" s="16"/>
      <c r="M68" s="16"/>
      <c r="N68" s="16"/>
      <c r="O68" s="16"/>
      <c r="P68" s="16"/>
      <c r="Q68" s="1"/>
      <c r="R68" s="15" t="s">
        <v>93</v>
      </c>
      <c r="S68" s="1"/>
      <c r="T68" s="1"/>
      <c r="U68" s="1"/>
      <c r="V68" s="1"/>
      <c r="W68" s="1"/>
      <c r="X68" s="1"/>
    </row>
    <row r="69" spans="10:24">
      <c r="J69" s="2"/>
      <c r="K69" s="3"/>
      <c r="L69" s="3"/>
      <c r="M69" s="3"/>
      <c r="N69" s="3"/>
      <c r="O69" s="3"/>
      <c r="P69" s="3"/>
      <c r="Q69" s="1"/>
      <c r="R69" s="1" t="s">
        <v>43</v>
      </c>
      <c r="S69" s="3"/>
      <c r="T69" s="3"/>
      <c r="U69" s="3"/>
      <c r="V69" s="1"/>
      <c r="W69" s="1"/>
      <c r="X69" s="1"/>
    </row>
    <row r="70" spans="10:24">
      <c r="J70" s="2"/>
      <c r="K70" s="3"/>
      <c r="L70" s="3"/>
      <c r="M70" s="3"/>
      <c r="N70" s="3"/>
      <c r="O70" s="3"/>
      <c r="P70" s="3"/>
      <c r="Q70" s="1"/>
      <c r="R70" s="1" t="s">
        <v>66</v>
      </c>
      <c r="S70" s="1"/>
      <c r="T70" s="1"/>
      <c r="U70" s="1"/>
      <c r="V70" s="1"/>
      <c r="W70" s="1"/>
      <c r="X70" s="1"/>
    </row>
  </sheetData>
  <mergeCells count="1">
    <mergeCell ref="J51:K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BF5B-D6F8-44B6-8AEA-9AFFA444E18C}">
  <dimension ref="A1:T29"/>
  <sheetViews>
    <sheetView topLeftCell="A11" workbookViewId="0">
      <selection activeCell="J9" sqref="J9"/>
    </sheetView>
  </sheetViews>
  <sheetFormatPr defaultRowHeight="15"/>
  <cols>
    <col min="1" max="1" width="21" bestFit="1" customWidth="1"/>
    <col min="2" max="5" width="13.85546875" bestFit="1" customWidth="1"/>
    <col min="6" max="10" width="14.140625" bestFit="1" customWidth="1"/>
    <col min="11" max="11" width="14.85546875" bestFit="1" customWidth="1"/>
    <col min="12" max="12" width="10.7109375" bestFit="1" customWidth="1"/>
  </cols>
  <sheetData>
    <row r="1" spans="1:20">
      <c r="A1" s="54" t="s">
        <v>94</v>
      </c>
      <c r="B1" s="51"/>
      <c r="C1" s="5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95</v>
      </c>
      <c r="B2" s="8">
        <f>B9/'data '!H3-1</f>
        <v>0.20359159729540721</v>
      </c>
      <c r="C2" s="8">
        <f>C9/B9-1</f>
        <v>-3.1365519282467336E-2</v>
      </c>
      <c r="D2" s="8">
        <f t="shared" ref="D2:F2" si="0">D9/C9-1</f>
        <v>0.51399545169994343</v>
      </c>
      <c r="E2" s="8">
        <f t="shared" si="0"/>
        <v>0.65375369810541839</v>
      </c>
      <c r="F2" s="8">
        <f t="shared" si="0"/>
        <v>0.31142021189968117</v>
      </c>
      <c r="G2" s="12">
        <v>0.311</v>
      </c>
      <c r="H2" s="12">
        <v>0.311</v>
      </c>
      <c r="I2" s="12">
        <v>0.311</v>
      </c>
      <c r="J2" s="12">
        <v>0.311</v>
      </c>
      <c r="K2" s="12">
        <v>0.311</v>
      </c>
      <c r="L2" s="1"/>
      <c r="M2" s="1"/>
      <c r="N2" s="13"/>
      <c r="O2" s="1"/>
      <c r="P2" s="1"/>
      <c r="Q2" s="1"/>
      <c r="R2" s="1"/>
      <c r="S2" s="1"/>
      <c r="T2" s="1"/>
    </row>
    <row r="3" spans="1:20">
      <c r="A3" s="1" t="s">
        <v>96</v>
      </c>
      <c r="B3" s="8">
        <f>-B10/B9</f>
        <v>0.68102322406598736</v>
      </c>
      <c r="C3" s="8">
        <f t="shared" ref="C3:F3" si="1">-C10/C9</f>
        <v>0.78338532290379637</v>
      </c>
      <c r="D3" s="8">
        <f t="shared" si="1"/>
        <v>0.74141749798702805</v>
      </c>
      <c r="E3" s="8">
        <f t="shared" si="1"/>
        <v>0.71322469087057616</v>
      </c>
      <c r="F3" s="8">
        <f t="shared" si="1"/>
        <v>0.66550105711569019</v>
      </c>
      <c r="G3" s="12">
        <v>0.34</v>
      </c>
      <c r="H3" s="12">
        <v>0.34</v>
      </c>
      <c r="I3" s="12">
        <v>0.34</v>
      </c>
      <c r="J3" s="12">
        <v>0.34</v>
      </c>
      <c r="K3" s="12">
        <v>0.34</v>
      </c>
      <c r="L3" s="1"/>
      <c r="M3" s="1"/>
      <c r="N3" s="13"/>
      <c r="O3" s="1"/>
      <c r="P3" s="1"/>
      <c r="Q3" s="1"/>
      <c r="R3" s="1"/>
      <c r="S3" s="1"/>
      <c r="T3" s="1"/>
    </row>
    <row r="4" spans="1:20" s="1" customFormat="1">
      <c r="A4" s="1" t="s">
        <v>97</v>
      </c>
      <c r="B4" s="8">
        <f>-B12/B9</f>
        <v>0.14776606454702174</v>
      </c>
      <c r="C4" s="8">
        <f t="shared" ref="C4:F4" si="2">-C12/C9</f>
        <v>0.13307515669455083</v>
      </c>
      <c r="D4" s="8">
        <f t="shared" si="2"/>
        <v>7.7889803122196663E-2</v>
      </c>
      <c r="E4" s="8">
        <f t="shared" si="2"/>
        <v>0.11166573732456346</v>
      </c>
      <c r="F4" s="8">
        <f t="shared" si="2"/>
        <v>0.10705494658473701</v>
      </c>
      <c r="G4" s="12">
        <v>0.1</v>
      </c>
      <c r="H4" s="12">
        <v>0.1</v>
      </c>
      <c r="I4" s="12">
        <v>0.1</v>
      </c>
      <c r="J4" s="12">
        <v>0.1</v>
      </c>
      <c r="K4" s="12">
        <v>0.1</v>
      </c>
      <c r="N4" s="13"/>
    </row>
    <row r="5" spans="1:20" s="1" customFormat="1">
      <c r="A5" s="1" t="s">
        <v>98</v>
      </c>
      <c r="B5" s="8">
        <f>-B18/B17</f>
        <v>6.0180107225810811E-2</v>
      </c>
      <c r="C5" s="8" t="s">
        <v>99</v>
      </c>
      <c r="D5" s="8">
        <f t="shared" ref="C5:F5" si="3">-D18/D17</f>
        <v>9.0189321052646279E-2</v>
      </c>
      <c r="E5" s="8">
        <f t="shared" si="3"/>
        <v>0.10035989969405461</v>
      </c>
      <c r="F5" s="8">
        <f t="shared" si="3"/>
        <v>7.7125641785576127E-2</v>
      </c>
      <c r="G5" s="12">
        <v>0.09</v>
      </c>
      <c r="H5" s="12">
        <v>0.09</v>
      </c>
      <c r="I5" s="12">
        <v>0.09</v>
      </c>
      <c r="J5" s="12">
        <v>0.09</v>
      </c>
      <c r="K5" s="12">
        <v>0.09</v>
      </c>
      <c r="N5" s="13"/>
    </row>
    <row r="6" spans="1:20" s="1" customFormat="1">
      <c r="B6" s="8"/>
    </row>
    <row r="7" spans="1:20">
      <c r="A7" s="5" t="s">
        <v>100</v>
      </c>
      <c r="B7" s="5" t="s">
        <v>100</v>
      </c>
      <c r="C7" s="5" t="s">
        <v>100</v>
      </c>
      <c r="D7" s="5" t="s">
        <v>100</v>
      </c>
      <c r="E7" s="5" t="s">
        <v>100</v>
      </c>
      <c r="F7" s="1"/>
      <c r="G7" s="10" t="s">
        <v>101</v>
      </c>
      <c r="H7" s="10"/>
      <c r="I7" s="10"/>
      <c r="J7" s="10"/>
      <c r="K7" s="10"/>
      <c r="L7" s="1"/>
      <c r="M7" s="1"/>
      <c r="N7" s="1"/>
      <c r="O7" s="1"/>
      <c r="P7" s="1"/>
      <c r="Q7" s="1"/>
      <c r="R7" s="1"/>
      <c r="S7" s="1"/>
      <c r="T7" s="1"/>
    </row>
    <row r="8" spans="1:20">
      <c r="A8" s="4" t="s">
        <v>102</v>
      </c>
      <c r="B8" s="4">
        <v>2019</v>
      </c>
      <c r="C8" s="4">
        <v>2020</v>
      </c>
      <c r="D8" s="4">
        <v>2021</v>
      </c>
      <c r="E8" s="4">
        <v>2022</v>
      </c>
      <c r="F8" s="4">
        <v>2023</v>
      </c>
      <c r="G8" s="4">
        <v>2024</v>
      </c>
      <c r="H8" s="4">
        <v>2025</v>
      </c>
      <c r="I8" s="4">
        <v>2026</v>
      </c>
      <c r="J8" s="4">
        <v>2027</v>
      </c>
      <c r="K8" s="4">
        <v>2028</v>
      </c>
      <c r="L8" s="1"/>
      <c r="M8" s="1"/>
      <c r="N8" s="1"/>
      <c r="O8" s="1"/>
      <c r="P8" s="1"/>
      <c r="Q8" s="1"/>
      <c r="R8" s="1"/>
      <c r="S8" s="1"/>
      <c r="T8" s="1"/>
    </row>
    <row r="9" spans="1:20" s="1" customFormat="1">
      <c r="A9" s="5" t="s">
        <v>103</v>
      </c>
      <c r="B9" s="30">
        <f>'data '!B3</f>
        <v>37478321</v>
      </c>
      <c r="C9" s="30">
        <f>'data '!C3</f>
        <v>36302794</v>
      </c>
      <c r="D9" s="30">
        <f>'data '!D3</f>
        <v>54962265</v>
      </c>
      <c r="E9" s="30">
        <f>'data '!E3</f>
        <v>90894049</v>
      </c>
      <c r="F9" s="30">
        <f>'data '!F3</f>
        <v>119200293</v>
      </c>
      <c r="G9" s="30">
        <f>F9*(1+G2)</f>
        <v>156271584.123</v>
      </c>
      <c r="H9" s="30">
        <f t="shared" ref="H9:K9" si="4">G9*(1+H2)</f>
        <v>204872046.78525299</v>
      </c>
      <c r="I9" s="30">
        <f t="shared" si="4"/>
        <v>268587253.33546668</v>
      </c>
      <c r="J9" s="30">
        <f t="shared" si="4"/>
        <v>352117889.12279683</v>
      </c>
      <c r="K9" s="30">
        <f t="shared" si="4"/>
        <v>461626552.63998663</v>
      </c>
    </row>
    <row r="10" spans="1:20">
      <c r="A10" s="5" t="s">
        <v>104</v>
      </c>
      <c r="B10" s="30">
        <f>-'data '!B4</f>
        <v>-25523607</v>
      </c>
      <c r="C10" s="30">
        <f>-'data '!C4</f>
        <v>-28439076</v>
      </c>
      <c r="D10" s="30">
        <f>-'data '!D4</f>
        <v>-40749985</v>
      </c>
      <c r="E10" s="30">
        <f>-'data '!E4</f>
        <v>-64827880</v>
      </c>
      <c r="F10" s="30">
        <f>-'data '!F4</f>
        <v>-79327921</v>
      </c>
      <c r="G10" s="30">
        <f>-G3*G9</f>
        <v>-53132338.60182</v>
      </c>
      <c r="H10" s="30">
        <f t="shared" ref="H10:K10" si="5">-H3*H9</f>
        <v>-69656495.906986028</v>
      </c>
      <c r="I10" s="30">
        <f t="shared" si="5"/>
        <v>-91319666.134058684</v>
      </c>
      <c r="J10" s="30">
        <f t="shared" si="5"/>
        <v>-119720082.30175093</v>
      </c>
      <c r="K10" s="30">
        <f t="shared" si="5"/>
        <v>-156953027.89759547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6" t="s">
        <v>11</v>
      </c>
      <c r="B11" s="35">
        <f>SUM(B9,B10)</f>
        <v>11954714</v>
      </c>
      <c r="C11" s="35">
        <f t="shared" ref="C11:F11" si="6">SUM(C9,C10)</f>
        <v>7863718</v>
      </c>
      <c r="D11" s="35">
        <f t="shared" si="6"/>
        <v>14212280</v>
      </c>
      <c r="E11" s="35">
        <f t="shared" si="6"/>
        <v>26066169</v>
      </c>
      <c r="F11" s="35">
        <f t="shared" si="6"/>
        <v>39872372</v>
      </c>
      <c r="G11" s="35">
        <f t="shared" ref="G11" si="7">SUM(G9,G10)</f>
        <v>103139245.52118</v>
      </c>
      <c r="H11" s="35">
        <f t="shared" ref="H11" si="8">SUM(H9,H10)</f>
        <v>135215550.87826696</v>
      </c>
      <c r="I11" s="35">
        <f t="shared" ref="I11" si="9">SUM(I9,I10)</f>
        <v>177267587.201408</v>
      </c>
      <c r="J11" s="35">
        <f t="shared" ref="J11" si="10">SUM(J9,J10)</f>
        <v>232397806.82104591</v>
      </c>
      <c r="K11" s="35">
        <f t="shared" ref="K11" si="11">SUM(K9,K10)</f>
        <v>304673524.74239117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5" t="s">
        <v>105</v>
      </c>
      <c r="B12" s="30">
        <f>'data '!B6</f>
        <v>-5538024</v>
      </c>
      <c r="C12" s="30">
        <f>'data '!C6</f>
        <v>-4831000</v>
      </c>
      <c r="D12" s="30">
        <f>'data '!D6</f>
        <v>-4281000</v>
      </c>
      <c r="E12" s="30">
        <f>'data '!E6</f>
        <v>-10149751</v>
      </c>
      <c r="F12" s="30">
        <f>'data '!F6</f>
        <v>-12760981</v>
      </c>
      <c r="G12" s="30">
        <f>-G4*G9</f>
        <v>-15627158.4123</v>
      </c>
      <c r="H12" s="30">
        <f t="shared" ref="H12:K12" si="12">-H4*H9</f>
        <v>-20487204.678525299</v>
      </c>
      <c r="I12" s="30">
        <f t="shared" si="12"/>
        <v>-26858725.333546668</v>
      </c>
      <c r="J12" s="30">
        <f t="shared" si="12"/>
        <v>-35211788.912279688</v>
      </c>
      <c r="K12" s="30">
        <f t="shared" si="12"/>
        <v>-46162655.263998665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6" t="s">
        <v>15</v>
      </c>
      <c r="B13" s="35">
        <f>SUM(B11,B12)</f>
        <v>6416690</v>
      </c>
      <c r="C13" s="35">
        <f t="shared" ref="C13:F13" si="13">SUM(C11,C12)</f>
        <v>3032718</v>
      </c>
      <c r="D13" s="35">
        <f t="shared" si="13"/>
        <v>9931280</v>
      </c>
      <c r="E13" s="35">
        <f t="shared" si="13"/>
        <v>15916418</v>
      </c>
      <c r="F13" s="35">
        <f t="shared" si="13"/>
        <v>27111391</v>
      </c>
      <c r="G13" s="35">
        <f t="shared" ref="G13" si="14">SUM(G11,G12)</f>
        <v>87512087.108879998</v>
      </c>
      <c r="H13" s="35">
        <f t="shared" ref="H13" si="15">SUM(H11,H12)</f>
        <v>114728346.19974166</v>
      </c>
      <c r="I13" s="35">
        <f t="shared" ref="I13" si="16">SUM(I11,I12)</f>
        <v>150408861.86786133</v>
      </c>
      <c r="J13" s="35">
        <f t="shared" ref="J13" si="17">SUM(J11,J12)</f>
        <v>197186017.90876621</v>
      </c>
      <c r="K13" s="35">
        <f t="shared" ref="K13" si="18">SUM(K11,K12)</f>
        <v>258510869.47839251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5" t="s">
        <v>106</v>
      </c>
      <c r="B14" s="30">
        <f>'data '!B8</f>
        <v>-1662000</v>
      </c>
      <c r="C14" s="30">
        <f>'data '!C8</f>
        <v>-2012000</v>
      </c>
      <c r="D14" s="30">
        <f>'data '!D8</f>
        <v>-2339000</v>
      </c>
      <c r="E14" s="30">
        <f>'data '!E8</f>
        <v>-2821903</v>
      </c>
      <c r="F14" s="30">
        <f>'data '!F8</f>
        <v>-3275949</v>
      </c>
      <c r="G14" s="30">
        <f>'Fixed Asset Roll Forward'!G5</f>
        <v>-5132659.9221570548</v>
      </c>
      <c r="H14" s="30">
        <f>'Fixed Asset Roll Forward'!H5</f>
        <v>-6943706.0557638993</v>
      </c>
      <c r="I14" s="30">
        <f>'Fixed Asset Roll Forward'!I5</f>
        <v>-9394834.2934485544</v>
      </c>
      <c r="J14" s="30">
        <f>'Fixed Asset Roll Forward'!J5</f>
        <v>-12711210.799035897</v>
      </c>
      <c r="K14" s="30">
        <f>'Fixed Asset Roll Forward'!K5</f>
        <v>-17198268.211095572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6" t="s">
        <v>20</v>
      </c>
      <c r="B15" s="35">
        <f>SUM(B13,B14)</f>
        <v>4754690</v>
      </c>
      <c r="C15" s="35">
        <f t="shared" ref="C15:F15" si="19">SUM(C13,C14)</f>
        <v>1020718</v>
      </c>
      <c r="D15" s="35">
        <f t="shared" si="19"/>
        <v>7592280</v>
      </c>
      <c r="E15" s="35">
        <f t="shared" si="19"/>
        <v>13094515</v>
      </c>
      <c r="F15" s="35">
        <f t="shared" si="19"/>
        <v>23835442</v>
      </c>
      <c r="G15" s="35">
        <f>G13</f>
        <v>87512087.108879998</v>
      </c>
      <c r="H15" s="35">
        <f t="shared" ref="H15:K15" si="20">H13</f>
        <v>114728346.19974166</v>
      </c>
      <c r="I15" s="35">
        <f t="shared" si="20"/>
        <v>150408861.86786133</v>
      </c>
      <c r="J15" s="35">
        <f t="shared" si="20"/>
        <v>197186017.90876621</v>
      </c>
      <c r="K15" s="35">
        <f t="shared" si="20"/>
        <v>258510869.47839251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5" t="s">
        <v>107</v>
      </c>
      <c r="B16" s="30">
        <f>'data '!B10</f>
        <v>-995707</v>
      </c>
      <c r="C16" s="30">
        <f>'data '!C10</f>
        <v>-1053000</v>
      </c>
      <c r="D16" s="30">
        <f>'data '!D10</f>
        <v>-1147038</v>
      </c>
      <c r="E16" s="30">
        <f>'data '!E10</f>
        <v>-2492950</v>
      </c>
      <c r="F16" s="30">
        <f>'data '!F10</f>
        <v>-5527536</v>
      </c>
      <c r="G16" s="30">
        <f>'Financial Liabilities'!B19</f>
        <v>-6251468.7599999998</v>
      </c>
      <c r="H16" s="30">
        <f>'Financial Liabilities'!C19</f>
        <v>-5985689.8079123544</v>
      </c>
      <c r="I16" s="30">
        <f>'Financial Liabilities'!D19</f>
        <v>-5672070.6444489323</v>
      </c>
      <c r="J16" s="30">
        <f>'Financial Liabilities'!E19</f>
        <v>-6042141.2573357699</v>
      </c>
      <c r="K16" s="30">
        <f>'Financial Liabilities'!F19</f>
        <v>-5605457.9341293015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6" t="s">
        <v>51</v>
      </c>
      <c r="B17" s="35">
        <f>SUM(B15,B16)</f>
        <v>3758983</v>
      </c>
      <c r="C17" s="35">
        <f t="shared" ref="C17:F17" si="21">SUM(C15,C16)</f>
        <v>-32282</v>
      </c>
      <c r="D17" s="35">
        <f t="shared" si="21"/>
        <v>6445242</v>
      </c>
      <c r="E17" s="35">
        <f t="shared" si="21"/>
        <v>10601565</v>
      </c>
      <c r="F17" s="35">
        <f t="shared" si="21"/>
        <v>18307906</v>
      </c>
      <c r="G17" s="35">
        <f t="shared" ref="G17" si="22">SUM(G15,G16)</f>
        <v>81260618.348879993</v>
      </c>
      <c r="H17" s="35">
        <f t="shared" ref="H17" si="23">SUM(H15,H16)</f>
        <v>108742656.39182931</v>
      </c>
      <c r="I17" s="35">
        <f t="shared" ref="I17" si="24">SUM(I15,I16)</f>
        <v>144736791.22341239</v>
      </c>
      <c r="J17" s="35">
        <f t="shared" ref="J17" si="25">SUM(J15,J16)</f>
        <v>191143876.65143043</v>
      </c>
      <c r="K17" s="35">
        <f t="shared" ref="K17" si="26">SUM(K15,K16)</f>
        <v>252905411.54426321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5" t="s">
        <v>26</v>
      </c>
      <c r="B18" s="30">
        <f>'data '!B12</f>
        <v>-226216</v>
      </c>
      <c r="C18" s="30">
        <f>'data '!C12</f>
        <v>-319428</v>
      </c>
      <c r="D18" s="30">
        <f>'data '!D12</f>
        <v>-581292</v>
      </c>
      <c r="E18" s="30">
        <f>'data '!E12</f>
        <v>-1063972</v>
      </c>
      <c r="F18" s="30">
        <f>'data '!F12</f>
        <v>-1412009</v>
      </c>
      <c r="G18" s="30">
        <f>-G5*G17</f>
        <v>-7313455.6513991989</v>
      </c>
      <c r="H18" s="30">
        <f t="shared" ref="H18:J18" si="27">-H5*H17</f>
        <v>-9786839.0752646383</v>
      </c>
      <c r="I18" s="30">
        <f t="shared" si="27"/>
        <v>-13026311.210107114</v>
      </c>
      <c r="J18" s="30">
        <f t="shared" si="27"/>
        <v>-17202948.898628738</v>
      </c>
      <c r="K18" s="30">
        <f>-K5*K17</f>
        <v>-22761487.038983688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7" t="s">
        <v>28</v>
      </c>
      <c r="B19" s="32">
        <f>SUM(B17,B18)</f>
        <v>3532767</v>
      </c>
      <c r="C19" s="32">
        <f t="shared" ref="C19:F19" si="28">SUM(C17,C18)</f>
        <v>-351710</v>
      </c>
      <c r="D19" s="32">
        <f t="shared" si="28"/>
        <v>5863950</v>
      </c>
      <c r="E19" s="32">
        <f t="shared" si="28"/>
        <v>9537593</v>
      </c>
      <c r="F19" s="32">
        <f t="shared" si="28"/>
        <v>16895897</v>
      </c>
      <c r="G19" s="32">
        <f t="shared" ref="G19" si="29">SUM(G17,G18)</f>
        <v>73947162.697480798</v>
      </c>
      <c r="H19" s="32">
        <f t="shared" ref="H19" si="30">SUM(H17,H18)</f>
        <v>98955817.316564679</v>
      </c>
      <c r="I19" s="32">
        <f t="shared" ref="I19" si="31">SUM(I17,I18)</f>
        <v>131710480.01330528</v>
      </c>
      <c r="J19" s="32">
        <f t="shared" ref="J19" si="32">SUM(J17,J18)</f>
        <v>173940927.75280169</v>
      </c>
      <c r="K19" s="32">
        <f t="shared" ref="K19" si="33">SUM(K17,K18)</f>
        <v>230143924.50527954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49A8-7369-4A70-BF42-A2055FA693F0}">
  <dimension ref="A1:AF54"/>
  <sheetViews>
    <sheetView tabSelected="1" workbookViewId="0">
      <selection activeCell="A22" sqref="A22"/>
    </sheetView>
  </sheetViews>
  <sheetFormatPr defaultRowHeight="15"/>
  <cols>
    <col min="1" max="1" width="51.85546875" bestFit="1" customWidth="1"/>
    <col min="2" max="2" width="11.42578125" bestFit="1" customWidth="1"/>
    <col min="3" max="3" width="10.85546875" bestFit="1" customWidth="1"/>
    <col min="4" max="4" width="11.42578125" bestFit="1" customWidth="1"/>
    <col min="5" max="6" width="12.5703125" bestFit="1" customWidth="1"/>
    <col min="7" max="10" width="15.85546875" bestFit="1" customWidth="1"/>
    <col min="11" max="11" width="17.7109375" bestFit="1" customWidth="1"/>
    <col min="18" max="18" width="13.5703125" bestFit="1" customWidth="1"/>
    <col min="19" max="22" width="14.7109375" bestFit="1" customWidth="1"/>
    <col min="29" max="32" width="11.85546875" bestFit="1" customWidth="1"/>
  </cols>
  <sheetData>
    <row r="1" spans="1:32" s="1" customFormat="1">
      <c r="A1" s="15" t="s">
        <v>108</v>
      </c>
    </row>
    <row r="2" spans="1:32" s="1" customFormat="1">
      <c r="A2" s="17" t="s">
        <v>109</v>
      </c>
      <c r="B2" s="28">
        <f>(B9/'income statement'!B9)*360</f>
        <v>79.224103982673086</v>
      </c>
      <c r="C2" s="28">
        <f>(C9/'income statement'!C9)*360</f>
        <v>71.472756614821435</v>
      </c>
      <c r="D2" s="28">
        <f>(D9/'income statement'!D9)*360</f>
        <v>98.595980351246439</v>
      </c>
      <c r="E2" s="28">
        <f>(E9/'income statement'!E9)*360</f>
        <v>113.29044655057669</v>
      </c>
      <c r="F2" s="28">
        <f>(F9/'income statement'!F9)*360</f>
        <v>103.10309723819219</v>
      </c>
      <c r="G2" s="28">
        <f>AVERAGE(B2:F2)</f>
        <v>93.13727694750196</v>
      </c>
      <c r="H2" s="28">
        <v>93.14</v>
      </c>
      <c r="I2" s="28">
        <v>93.14</v>
      </c>
      <c r="J2" s="28">
        <v>93.14</v>
      </c>
      <c r="K2" s="19">
        <v>93</v>
      </c>
    </row>
    <row r="3" spans="1:32" s="1" customFormat="1">
      <c r="A3" s="17" t="s">
        <v>110</v>
      </c>
      <c r="B3" s="28">
        <f>-B10/'income statement'!B10*360</f>
        <v>101.1320226016644</v>
      </c>
      <c r="C3" s="28">
        <f>-C10/'income statement'!C10*360</f>
        <v>124.98063017237268</v>
      </c>
      <c r="D3" s="28">
        <f>-D10/'income statement'!D10*360</f>
        <v>110.21237529289888</v>
      </c>
      <c r="E3" s="28">
        <f>-E10/'income statement'!E10*360</f>
        <v>138.87616562503663</v>
      </c>
      <c r="F3" s="28">
        <f>-F10/'income statement'!F10*360</f>
        <v>100.83615578429189</v>
      </c>
      <c r="G3" s="28">
        <f>AVERAGE(B3:F3)</f>
        <v>115.2074698952529</v>
      </c>
      <c r="H3" s="28">
        <v>115.21</v>
      </c>
      <c r="I3" s="28">
        <v>115.21</v>
      </c>
      <c r="J3" s="28">
        <v>115.21</v>
      </c>
      <c r="K3" s="28">
        <v>115.21</v>
      </c>
    </row>
    <row r="4" spans="1:32" s="1" customFormat="1">
      <c r="A4" s="17" t="s">
        <v>111</v>
      </c>
      <c r="B4" s="19">
        <f>-B16/'income statement'!B10*360</f>
        <v>50.450156202452106</v>
      </c>
      <c r="C4" s="19">
        <f>-C16/'income statement'!C10*360</f>
        <v>38.371259319395612</v>
      </c>
      <c r="D4" s="19">
        <f>-D16/'income statement'!D10*360</f>
        <v>49.045190077984074</v>
      </c>
      <c r="E4" s="19">
        <f>-E16/'income statement'!E10*360</f>
        <v>50.449349878478209</v>
      </c>
      <c r="F4" s="19">
        <f>-F16/'income statement'!F10*360</f>
        <v>54.475231740915028</v>
      </c>
      <c r="G4" s="19">
        <f>AVERAGE(B4:F4)</f>
        <v>48.558237443845009</v>
      </c>
      <c r="H4" s="1">
        <v>48.56</v>
      </c>
      <c r="I4" s="1">
        <v>48.56</v>
      </c>
      <c r="J4" s="1">
        <v>48.56</v>
      </c>
      <c r="K4" s="1">
        <v>48.56</v>
      </c>
    </row>
    <row r="5" spans="1:32" s="1" customFormat="1">
      <c r="A5" s="17" t="s">
        <v>112</v>
      </c>
      <c r="B5" s="8">
        <f>B13/'income statement'!B9</f>
        <v>0.10507794626125327</v>
      </c>
      <c r="C5" s="8">
        <f>C13/'income statement'!C9</f>
        <v>0.14852198428583763</v>
      </c>
      <c r="D5" s="8">
        <f>D13/'income statement'!D9</f>
        <v>0.12004607160931231</v>
      </c>
      <c r="E5" s="8">
        <f>E13/'income statement'!E9</f>
        <v>8.3962581532702987E-2</v>
      </c>
      <c r="F5" s="8">
        <f>F13/'income statement'!F9</f>
        <v>7.8986802490493876E-2</v>
      </c>
      <c r="G5" s="8">
        <f>AVERAGE(B5:F5)</f>
        <v>0.10731907723592</v>
      </c>
      <c r="H5" s="18">
        <v>0.11</v>
      </c>
      <c r="I5" s="18">
        <v>0.11</v>
      </c>
      <c r="J5" s="18">
        <v>0.11</v>
      </c>
      <c r="K5" s="18">
        <v>0.11</v>
      </c>
    </row>
    <row r="6" spans="1:32" ht="14.45" customHeight="1">
      <c r="A6" s="17" t="s">
        <v>113</v>
      </c>
      <c r="B6" s="8">
        <f>B19/'income statement'!B9</f>
        <v>6.0700104468393877E-2</v>
      </c>
      <c r="C6" s="8">
        <f>C19/'income statement'!C9</f>
        <v>3.8438170902217607E-2</v>
      </c>
      <c r="D6" s="8">
        <f>D19/'income statement'!D9</f>
        <v>3.0853022523726049E-2</v>
      </c>
      <c r="E6" s="8">
        <f>E19/'income statement'!E9</f>
        <v>2.3557977926585712E-2</v>
      </c>
      <c r="F6" s="8">
        <f>F19/'income statement'!F9</f>
        <v>4.1166660555104505E-2</v>
      </c>
      <c r="G6" s="8">
        <f>AVERAGE(B6:F6)</f>
        <v>3.894318727520555E-2</v>
      </c>
      <c r="H6" s="18">
        <v>0.04</v>
      </c>
      <c r="I6" s="18">
        <v>0.04</v>
      </c>
      <c r="J6" s="18">
        <v>0.04</v>
      </c>
      <c r="K6" s="18">
        <v>0.04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s="1" customFormat="1" ht="14.45" customHeight="1">
      <c r="A7" s="17"/>
      <c r="G7" s="56" t="s">
        <v>114</v>
      </c>
      <c r="H7" s="56"/>
      <c r="I7" s="56"/>
      <c r="J7" s="56"/>
      <c r="K7" s="56"/>
    </row>
    <row r="8" spans="1:32">
      <c r="A8" s="15" t="s">
        <v>5</v>
      </c>
      <c r="B8" s="2">
        <v>2019</v>
      </c>
      <c r="C8" s="2">
        <v>2020</v>
      </c>
      <c r="D8" s="2">
        <v>2021</v>
      </c>
      <c r="E8" s="2">
        <v>2022</v>
      </c>
      <c r="F8" s="2">
        <v>2023</v>
      </c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4.45" customHeight="1">
      <c r="A9" s="5" t="s">
        <v>80</v>
      </c>
      <c r="B9" s="3">
        <f>'data '!K54</f>
        <v>8247740</v>
      </c>
      <c r="C9" s="3">
        <f>'data '!L54</f>
        <v>7207391</v>
      </c>
      <c r="D9" s="3">
        <f>'data '!M54</f>
        <v>15052940</v>
      </c>
      <c r="E9" s="3">
        <f>'data '!N54</f>
        <v>28603965</v>
      </c>
      <c r="F9" s="3">
        <f>'data '!O54</f>
        <v>34138665</v>
      </c>
      <c r="G9" s="33">
        <f>'income statement'!G9*'balance sheet'!G2/360</f>
        <v>40429749.47080195</v>
      </c>
      <c r="H9" s="33">
        <f>'income statement'!H9*'balance sheet'!H2/360</f>
        <v>53004951.215495735</v>
      </c>
      <c r="I9" s="33">
        <f>'income statement'!I9*'balance sheet'!I2/360</f>
        <v>69489491.043514907</v>
      </c>
      <c r="J9" s="33">
        <f>'income statement'!J9*'balance sheet'!J2/360</f>
        <v>91100722.758048043</v>
      </c>
      <c r="K9" s="33">
        <f>'income statement'!K9*'balance sheet'!K2/360</f>
        <v>119253526.09866323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>
      <c r="A10" s="5" t="s">
        <v>31</v>
      </c>
      <c r="B10" s="3">
        <f>'data '!K55</f>
        <v>7170150</v>
      </c>
      <c r="C10" s="3">
        <f>'data '!L55</f>
        <v>9873149</v>
      </c>
      <c r="D10" s="3">
        <f>'data '!M55</f>
        <v>12475424</v>
      </c>
      <c r="E10" s="3">
        <f>'data '!N55</f>
        <v>25008465</v>
      </c>
      <c r="F10" s="3">
        <f>'data '!O55</f>
        <v>22219785</v>
      </c>
      <c r="G10" s="33">
        <f>-G3*'income statement'!G10/360</f>
        <v>17003450.833148781</v>
      </c>
      <c r="H10" s="33">
        <f>-H3*'income statement'!H10/360</f>
        <v>22292013.592899613</v>
      </c>
      <c r="I10" s="33">
        <f>-I3*'income statement'!I10/360</f>
        <v>29224829.820291393</v>
      </c>
      <c r="J10" s="33">
        <f>-J3*'income statement'!J10/360</f>
        <v>38313751.894402012</v>
      </c>
      <c r="K10" s="33">
        <f>-K3*'income statement'!K10/360</f>
        <v>50229328.733561039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A11" s="5" t="s">
        <v>81</v>
      </c>
      <c r="B11" s="3">
        <f>'data '!K56</f>
        <v>18256474</v>
      </c>
      <c r="C11" s="3">
        <f>'data '!L56</f>
        <v>22744239</v>
      </c>
      <c r="D11" s="3">
        <f>'data '!M56</f>
        <v>26193029</v>
      </c>
      <c r="E11" s="3">
        <f>'data '!N56</f>
        <v>34730382</v>
      </c>
      <c r="F11" s="3">
        <f>'data '!O56</f>
        <v>58650853</v>
      </c>
      <c r="G11" s="33">
        <f>'Fixed Asset Roll Forward'!G7+5132660</f>
        <v>84489300.637301713</v>
      </c>
      <c r="H11" s="33">
        <f>'Fixed Asset Roll Forward'!H7+AC15</f>
        <v>119445900.78226921</v>
      </c>
      <c r="I11" s="33">
        <f>'Fixed Asset Roll Forward'!I7+AD15</f>
        <v>166742180.56041026</v>
      </c>
      <c r="J11" s="33">
        <f>'Fixed Asset Roll Forward'!J7+AE15</f>
        <v>230734047.69823509</v>
      </c>
      <c r="K11" s="33">
        <f>'Fixed Asset Roll Forward'!K7+AF15</f>
        <v>317315043.45271206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A12" s="5" t="s">
        <v>83</v>
      </c>
      <c r="B12" s="3">
        <f>'data '!K57</f>
        <v>1538564</v>
      </c>
      <c r="C12" s="3">
        <f>'data '!L57</f>
        <v>150787</v>
      </c>
      <c r="D12" s="3">
        <f>'data '!M57</f>
        <v>374442</v>
      </c>
      <c r="E12" s="3">
        <f>'data '!N57</f>
        <v>117119</v>
      </c>
      <c r="F12" s="3">
        <f>'data '!O57</f>
        <v>1544502</v>
      </c>
      <c r="G12" s="33">
        <f>F12+'cash flow'!B19</f>
        <v>-4148092.0884281695</v>
      </c>
      <c r="H12" s="33">
        <f>G12+'cash flow'!C19</f>
        <v>11229694.165018905</v>
      </c>
      <c r="I12" s="33">
        <f>H12+'cash flow'!D19</f>
        <v>31869734.19458947</v>
      </c>
      <c r="J12" s="33">
        <f>I12+'cash flow'!E19</f>
        <v>58839795.223141983</v>
      </c>
      <c r="K12" s="33">
        <f>J12+'cash flow'!F19</f>
        <v>93252190.509653658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5" t="s">
        <v>115</v>
      </c>
      <c r="B13" s="3">
        <f>'data '!K58</f>
        <v>3938145</v>
      </c>
      <c r="C13" s="3">
        <f>'data '!L58</f>
        <v>5391763</v>
      </c>
      <c r="D13" s="3">
        <f>'data '!M58</f>
        <v>6598004</v>
      </c>
      <c r="E13" s="3">
        <f>'data '!N58</f>
        <v>7631699</v>
      </c>
      <c r="F13" s="3">
        <f>'data '!O58</f>
        <v>9415250</v>
      </c>
      <c r="G13" s="33">
        <f>(G5*'income statement'!G9)</f>
        <v>16770922.206275808</v>
      </c>
      <c r="H13" s="33">
        <f>H5*'income statement'!H9</f>
        <v>22535925.146377828</v>
      </c>
      <c r="I13" s="33">
        <f>I5*'income statement'!I9</f>
        <v>29544597.866901334</v>
      </c>
      <c r="J13" s="33">
        <f>J5*'income statement'!J9</f>
        <v>38732967.803507648</v>
      </c>
      <c r="K13" s="33">
        <f>K5*'income statement'!K9</f>
        <v>50778920.790398531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7" t="s">
        <v>116</v>
      </c>
      <c r="B14" s="16">
        <f>SUM(B9:B13)</f>
        <v>39151073</v>
      </c>
      <c r="C14" s="16">
        <f t="shared" ref="C14:F14" si="0">SUM(C9:C13)</f>
        <v>45367329</v>
      </c>
      <c r="D14" s="16">
        <f t="shared" si="0"/>
        <v>60693839</v>
      </c>
      <c r="E14" s="16">
        <f t="shared" si="0"/>
        <v>96091630</v>
      </c>
      <c r="F14" s="16">
        <f t="shared" si="0"/>
        <v>125969055</v>
      </c>
      <c r="G14" s="34">
        <f>SUM(G9:G13)</f>
        <v>154545331.05910009</v>
      </c>
      <c r="H14" s="34">
        <f t="shared" ref="H14:K14" si="1">SUM(H9:H13)</f>
        <v>228508484.90206131</v>
      </c>
      <c r="I14" s="34">
        <f t="shared" si="1"/>
        <v>326870833.4857074</v>
      </c>
      <c r="J14" s="34">
        <f t="shared" si="1"/>
        <v>457721285.37733471</v>
      </c>
      <c r="K14" s="34">
        <f t="shared" si="1"/>
        <v>630829009.58498847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14" t="s">
        <v>100</v>
      </c>
      <c r="B15" s="3"/>
      <c r="C15" s="3"/>
      <c r="D15" s="3"/>
      <c r="E15" s="3"/>
      <c r="F15" s="3"/>
      <c r="G15" s="33"/>
      <c r="H15" s="33"/>
      <c r="I15" s="33"/>
      <c r="J15" s="33"/>
      <c r="K15" s="3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3">
        <v>12076366</v>
      </c>
      <c r="AD15" s="33">
        <v>21471200</v>
      </c>
      <c r="AE15" s="33">
        <v>34182411</v>
      </c>
      <c r="AF15" s="33">
        <v>51380679</v>
      </c>
    </row>
    <row r="16" spans="1:32">
      <c r="A16" s="5" t="s">
        <v>88</v>
      </c>
      <c r="B16" s="3">
        <f>'data '!K63</f>
        <v>3576861</v>
      </c>
      <c r="C16" s="3">
        <f>'data '!L63</f>
        <v>3031231</v>
      </c>
      <c r="D16" s="3">
        <f>'data '!M63</f>
        <v>5551641</v>
      </c>
      <c r="E16" s="3">
        <f>'data '!N63</f>
        <v>9084790</v>
      </c>
      <c r="F16" s="3">
        <f>'data '!O63</f>
        <v>12003908</v>
      </c>
      <c r="G16" s="33">
        <f>G4*'income statement'!G11/360</f>
        <v>13911833.260545798</v>
      </c>
      <c r="H16" s="33">
        <f>H4*'income statement'!H11/360</f>
        <v>18239075.418468453</v>
      </c>
      <c r="I16" s="33">
        <f>I4*'income statement'!I11/360</f>
        <v>23911427.873612143</v>
      </c>
      <c r="J16" s="33">
        <f>J4*'income statement'!J11/360</f>
        <v>31347881.942305528</v>
      </c>
      <c r="K16" s="33">
        <f>K4*'income statement'!K11/360</f>
        <v>41097073.226362549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22">
      <c r="A17" s="5" t="s">
        <v>117</v>
      </c>
      <c r="B17" s="3">
        <f>'data '!K64</f>
        <v>2482623</v>
      </c>
      <c r="C17" s="3">
        <f>'data '!L64</f>
        <v>3140682</v>
      </c>
      <c r="D17" s="3">
        <f>'data '!M64</f>
        <v>3816001</v>
      </c>
      <c r="E17" s="3">
        <f>'data '!N64</f>
        <v>5048654</v>
      </c>
      <c r="F17" s="3">
        <f>'data '!O64</f>
        <v>7999204</v>
      </c>
      <c r="G17" s="33">
        <f>F17</f>
        <v>7999204</v>
      </c>
      <c r="H17" s="33">
        <f t="shared" ref="H17:L17" si="2">G17</f>
        <v>7999204</v>
      </c>
      <c r="I17" s="33">
        <f t="shared" si="2"/>
        <v>7999204</v>
      </c>
      <c r="J17" s="33">
        <f t="shared" si="2"/>
        <v>7999204</v>
      </c>
      <c r="K17" s="33">
        <f t="shared" si="2"/>
        <v>7999204</v>
      </c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5" t="s">
        <v>90</v>
      </c>
      <c r="B18" s="3">
        <f>'data '!K65</f>
        <v>16712674</v>
      </c>
      <c r="C18" s="3">
        <f>'data '!L65</f>
        <v>21416991</v>
      </c>
      <c r="D18" s="3">
        <f>'data '!M65</f>
        <v>30424884</v>
      </c>
      <c r="E18" s="3">
        <f>'data '!N65</f>
        <v>51150486</v>
      </c>
      <c r="F18" s="3">
        <f>'data '!O65</f>
        <v>59527131</v>
      </c>
      <c r="G18" s="33">
        <f>'Financial Liabilities'!G9</f>
        <v>33253832.266179748</v>
      </c>
      <c r="H18" s="33">
        <f>'Financial Liabilities'!H9</f>
        <v>31511503.580271848</v>
      </c>
      <c r="I18" s="33">
        <f>'Financial Liabilities'!I9</f>
        <v>29455555.730900526</v>
      </c>
      <c r="J18" s="33">
        <f>'Financial Liabilities'!J9</f>
        <v>27769678.494416043</v>
      </c>
      <c r="K18" s="33">
        <f>'Financial Liabilities'!K9</f>
        <v>25647117.934725091</v>
      </c>
      <c r="L18" s="1"/>
      <c r="M18" s="1"/>
      <c r="N18" s="1"/>
      <c r="O18" s="1"/>
      <c r="P18" s="1"/>
      <c r="Q18" s="1"/>
      <c r="R18" s="33"/>
      <c r="S18" s="33"/>
      <c r="T18" s="33"/>
      <c r="U18" s="33"/>
      <c r="V18" s="33"/>
    </row>
    <row r="19" spans="1:22">
      <c r="A19" s="5" t="s">
        <v>118</v>
      </c>
      <c r="B19" s="3">
        <f>'data '!K66</f>
        <v>2274938</v>
      </c>
      <c r="C19" s="3">
        <f>'data '!L66</f>
        <v>1395413</v>
      </c>
      <c r="D19" s="3">
        <f>'data '!M66</f>
        <v>1695752</v>
      </c>
      <c r="E19" s="3">
        <f>'data '!N66</f>
        <v>2141280</v>
      </c>
      <c r="F19" s="3">
        <f>'data '!O66</f>
        <v>4907078</v>
      </c>
      <c r="G19" s="33">
        <f>G6*'income statement'!G9</f>
        <v>6085713.5662950268</v>
      </c>
      <c r="H19" s="33">
        <f>H6*'income statement'!H9</f>
        <v>8194881.8714101193</v>
      </c>
      <c r="I19" s="33">
        <f>I6*'income statement'!I9</f>
        <v>10743490.133418668</v>
      </c>
      <c r="J19" s="33">
        <f>J6*'income statement'!J9</f>
        <v>14084715.564911874</v>
      </c>
      <c r="K19" s="33">
        <f>K6*'income statement'!K9</f>
        <v>18465062.105599467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5" t="s">
        <v>54</v>
      </c>
      <c r="B20" s="3">
        <f>'data '!K67</f>
        <v>14103977</v>
      </c>
      <c r="C20" s="3">
        <f>'data '!L67</f>
        <v>16382012</v>
      </c>
      <c r="D20" s="3">
        <f>'data '!M67</f>
        <v>19206561</v>
      </c>
      <c r="E20" s="3">
        <f>'data '!N67</f>
        <v>28666420</v>
      </c>
      <c r="F20" s="3">
        <f>'data '!O67</f>
        <v>41531734</v>
      </c>
      <c r="G20" s="33">
        <f>'equity schedule'!H10</f>
        <v>93294747.888236552</v>
      </c>
      <c r="H20" s="33">
        <f>'equity schedule'!I10</f>
        <v>162563820.00983182</v>
      </c>
      <c r="I20" s="33">
        <f>'equity schedule'!J10</f>
        <v>254761156.01914552</v>
      </c>
      <c r="J20" s="33">
        <f>'equity schedule'!K10</f>
        <v>376519805.44610667</v>
      </c>
      <c r="K20" s="33">
        <f>'equity schedule'!L10</f>
        <v>537620552.59980237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7" t="s">
        <v>119</v>
      </c>
      <c r="B21" s="16">
        <f>SUM(B16:B20)</f>
        <v>39151073</v>
      </c>
      <c r="C21" s="16">
        <f t="shared" ref="C21:F21" si="3">SUM(C16:C20)</f>
        <v>45366329</v>
      </c>
      <c r="D21" s="16">
        <f t="shared" si="3"/>
        <v>60694839</v>
      </c>
      <c r="E21" s="16">
        <f t="shared" si="3"/>
        <v>96091630</v>
      </c>
      <c r="F21" s="16">
        <f t="shared" si="3"/>
        <v>125969055</v>
      </c>
      <c r="G21" s="34">
        <f t="shared" ref="G21" si="4">SUM(G16:G20)</f>
        <v>154545330.98125714</v>
      </c>
      <c r="H21" s="34">
        <f t="shared" ref="H21" si="5">SUM(H16:H20)</f>
        <v>228508484.87998223</v>
      </c>
      <c r="I21" s="34">
        <f t="shared" ref="I21" si="6">SUM(I16:I20)</f>
        <v>326870833.75707686</v>
      </c>
      <c r="J21" s="34">
        <f t="shared" ref="J21" si="7">SUM(J16:J20)</f>
        <v>457721285.44774008</v>
      </c>
      <c r="K21" s="34">
        <f t="shared" ref="K21" si="8">SUM(K16:K20)</f>
        <v>630829009.86648941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/>
      <c r="B22" s="3"/>
      <c r="C22" s="3"/>
      <c r="D22" s="3"/>
      <c r="E22" s="3"/>
      <c r="F22" s="3"/>
      <c r="G22" s="33"/>
      <c r="H22" s="33"/>
      <c r="I22" s="33"/>
      <c r="J22" s="33"/>
      <c r="K22" s="3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/>
      <c r="B23" s="3"/>
      <c r="C23" s="3"/>
      <c r="D23" s="3"/>
      <c r="E23" s="3"/>
      <c r="F23" s="3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/>
      <c r="B24" s="1"/>
      <c r="C24" s="1"/>
      <c r="D24" s="1"/>
      <c r="E24" s="1"/>
      <c r="F24" s="3"/>
      <c r="G24" s="3"/>
      <c r="H24" s="3"/>
      <c r="I24" s="3"/>
      <c r="J24" s="3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/>
      <c r="B25" s="3"/>
      <c r="C25" s="3"/>
      <c r="D25" s="3"/>
      <c r="E25" s="3"/>
      <c r="F25" s="3"/>
      <c r="G25" s="3"/>
      <c r="H25" s="33"/>
      <c r="I25" s="33"/>
      <c r="J25" s="33"/>
      <c r="K25" s="3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45" customHeight="1">
      <c r="A26" s="1"/>
      <c r="B26" s="3"/>
      <c r="C26" s="3"/>
      <c r="D26" s="3"/>
      <c r="E26" s="3"/>
      <c r="F26" s="3"/>
      <c r="G26" s="3"/>
      <c r="H26" s="1"/>
      <c r="I26" s="1"/>
      <c r="J26" s="33"/>
      <c r="K26" s="3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3"/>
      <c r="C27" s="3"/>
      <c r="D27" s="3"/>
      <c r="E27" s="3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3"/>
      <c r="C28" s="3"/>
      <c r="D28" s="3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3"/>
      <c r="C29" s="3"/>
      <c r="D29" s="3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2"/>
      <c r="B30" s="3"/>
      <c r="C30" s="3"/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11">
      <c r="A33" s="1"/>
      <c r="B33" s="3"/>
      <c r="C33" s="3"/>
      <c r="D33" s="3"/>
      <c r="E33" s="3"/>
      <c r="F33" s="3"/>
      <c r="G33" s="3"/>
      <c r="H33" s="1"/>
      <c r="I33" s="1"/>
      <c r="J33" s="1"/>
      <c r="K33" s="1"/>
    </row>
    <row r="34" spans="1:11">
      <c r="A34" s="1"/>
      <c r="B34" s="3"/>
      <c r="C34" s="3"/>
      <c r="D34" s="3"/>
      <c r="E34" s="3"/>
      <c r="F34" s="3"/>
      <c r="G34" s="3"/>
      <c r="H34" s="1"/>
      <c r="I34" s="1"/>
      <c r="J34" s="1"/>
      <c r="K34" s="1"/>
    </row>
    <row r="35" spans="1:11">
      <c r="A35" s="1"/>
      <c r="B35" s="3"/>
      <c r="C35" s="3"/>
      <c r="D35" s="3"/>
      <c r="E35" s="3"/>
      <c r="F35" s="3"/>
      <c r="G35" s="3"/>
      <c r="H35" s="1"/>
      <c r="I35" s="1"/>
      <c r="J35" s="1"/>
      <c r="K35" s="1"/>
    </row>
    <row r="36" spans="1:11">
      <c r="A36" s="1"/>
      <c r="B36" s="3"/>
      <c r="C36" s="3"/>
      <c r="D36" s="3"/>
      <c r="E36" s="3"/>
      <c r="F36" s="3"/>
      <c r="G36" s="3"/>
      <c r="H36" s="1"/>
      <c r="I36" s="1"/>
      <c r="J36" s="1"/>
      <c r="K36" s="1"/>
    </row>
    <row r="37" spans="1:11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3"/>
      <c r="C38" s="3"/>
      <c r="D38" s="3"/>
      <c r="E38" s="3"/>
      <c r="F38" s="3"/>
      <c r="G38" s="3"/>
      <c r="H38" s="1"/>
      <c r="I38" s="1"/>
      <c r="J38" s="1"/>
      <c r="K38" s="1"/>
    </row>
    <row r="39" spans="1:11">
      <c r="A39" s="1"/>
      <c r="B39" s="1"/>
      <c r="C39" s="3"/>
      <c r="D39" s="3"/>
      <c r="E39" s="3"/>
      <c r="F39" s="3"/>
      <c r="G39" s="3"/>
      <c r="H39" s="1"/>
      <c r="I39" s="1"/>
      <c r="J39" s="1"/>
      <c r="K39" s="1"/>
    </row>
    <row r="40" spans="1:11">
      <c r="A40" s="1"/>
      <c r="B40" s="3"/>
      <c r="C40" s="3"/>
      <c r="D40" s="3"/>
      <c r="E40" s="3"/>
      <c r="F40" s="3"/>
      <c r="G40" s="3"/>
      <c r="H40" s="1"/>
      <c r="I40" s="1"/>
      <c r="J40" s="1"/>
      <c r="K40" s="1"/>
    </row>
    <row r="41" spans="1:11">
      <c r="A41" s="1"/>
      <c r="B41" s="3"/>
      <c r="C41" s="3"/>
      <c r="D41" s="3"/>
      <c r="E41" s="3"/>
      <c r="F41" s="3"/>
      <c r="G41" s="3"/>
      <c r="H41" s="1"/>
      <c r="I41" s="1"/>
      <c r="J41" s="1"/>
      <c r="K41" s="1"/>
    </row>
    <row r="42" spans="1:11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3"/>
      <c r="C43" s="3"/>
      <c r="D43" s="3"/>
      <c r="E43" s="3"/>
      <c r="F43" s="3"/>
      <c r="G43" s="3"/>
      <c r="H43" s="1"/>
      <c r="I43" s="1"/>
      <c r="J43" s="1"/>
      <c r="K43" s="1"/>
    </row>
    <row r="44" spans="1:11">
      <c r="A44" s="1"/>
      <c r="B44" s="3"/>
      <c r="C44" s="3"/>
      <c r="D44" s="3"/>
      <c r="E44" s="3"/>
      <c r="F44" s="3"/>
      <c r="G44" s="3"/>
      <c r="H44" s="1"/>
      <c r="I44" s="1"/>
      <c r="J44" s="1"/>
      <c r="K44" s="1"/>
    </row>
    <row r="45" spans="1:11">
      <c r="A45" s="1"/>
      <c r="B45" s="3"/>
      <c r="C45" s="3"/>
      <c r="D45" s="3"/>
      <c r="E45" s="3"/>
      <c r="F45" s="3"/>
      <c r="G45" s="3"/>
      <c r="H45" s="1"/>
      <c r="I45" s="1"/>
      <c r="J45" s="1"/>
      <c r="K45" s="1"/>
    </row>
    <row r="46" spans="1:11">
      <c r="A46" s="1"/>
      <c r="B46" s="3"/>
      <c r="C46" s="3"/>
      <c r="D46" s="3"/>
      <c r="E46" s="3"/>
      <c r="F46" s="3"/>
      <c r="G46" s="3"/>
      <c r="H46" s="1"/>
      <c r="I46" s="1"/>
      <c r="J46" s="1"/>
      <c r="K46" s="1"/>
    </row>
    <row r="47" spans="1:11">
      <c r="A47" s="1"/>
      <c r="B47" s="1"/>
      <c r="C47" s="1"/>
      <c r="D47" s="1"/>
      <c r="E47" s="3"/>
      <c r="F47" s="3"/>
      <c r="G47" s="1"/>
      <c r="H47" s="1"/>
      <c r="I47" s="1"/>
      <c r="J47" s="1"/>
      <c r="K47" s="1"/>
    </row>
    <row r="48" spans="1:11">
      <c r="A48" s="1"/>
      <c r="B48" s="3"/>
      <c r="C48" s="3"/>
      <c r="D48" s="3"/>
      <c r="E48" s="3"/>
      <c r="F48" s="3"/>
      <c r="G48" s="3"/>
      <c r="H48" s="1"/>
      <c r="I48" s="1"/>
      <c r="J48" s="1"/>
      <c r="K48" s="1"/>
    </row>
    <row r="49" spans="1:11">
      <c r="A49" s="1"/>
      <c r="B49" s="3"/>
      <c r="C49" s="3"/>
      <c r="D49" s="3"/>
      <c r="E49" s="3"/>
      <c r="F49" s="3"/>
      <c r="G49" s="3"/>
      <c r="H49" s="1"/>
      <c r="I49" s="1"/>
      <c r="J49" s="1"/>
      <c r="K49" s="1"/>
    </row>
    <row r="50" spans="1:11">
      <c r="A50" s="2"/>
      <c r="B50" s="3"/>
      <c r="C50" s="3"/>
      <c r="D50" s="3"/>
      <c r="E50" s="3"/>
      <c r="F50" s="3"/>
      <c r="G50" s="3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</sheetData>
  <mergeCells count="1">
    <mergeCell ref="G7:K7"/>
  </mergeCells>
  <phoneticPr fontId="1" type="noConversion"/>
  <pageMargins left="0.7" right="0.7" top="0.75" bottom="0.75" header="0.3" footer="0.3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3F6C-976C-4E67-9842-CEEBEFDA73EF}">
  <dimension ref="A2:L10"/>
  <sheetViews>
    <sheetView topLeftCell="G5" workbookViewId="0">
      <selection activeCell="G5" sqref="G5"/>
    </sheetView>
  </sheetViews>
  <sheetFormatPr defaultRowHeight="15"/>
  <cols>
    <col min="1" max="1" width="27.42578125" bestFit="1" customWidth="1"/>
    <col min="2" max="2" width="9.28515625" bestFit="1" customWidth="1"/>
    <col min="3" max="7" width="13" bestFit="1" customWidth="1"/>
    <col min="8" max="11" width="14.140625" bestFit="1" customWidth="1"/>
  </cols>
  <sheetData>
    <row r="2" spans="1:12">
      <c r="A2" s="5" t="s">
        <v>100</v>
      </c>
      <c r="B2" s="5" t="s">
        <v>100</v>
      </c>
      <c r="C2" s="5" t="s">
        <v>100</v>
      </c>
      <c r="D2" s="5" t="s">
        <v>100</v>
      </c>
      <c r="E2" s="1"/>
      <c r="F2" s="1"/>
      <c r="G2" s="10" t="s">
        <v>101</v>
      </c>
      <c r="H2" s="10"/>
      <c r="I2" s="10"/>
      <c r="J2" s="10"/>
      <c r="K2" s="10"/>
      <c r="L2" s="1"/>
    </row>
    <row r="3" spans="1:12">
      <c r="A3" s="4" t="s">
        <v>102</v>
      </c>
      <c r="B3" s="23">
        <v>2019</v>
      </c>
      <c r="C3" s="23">
        <v>2020</v>
      </c>
      <c r="D3" s="23">
        <v>2021</v>
      </c>
      <c r="E3" s="23">
        <v>2022</v>
      </c>
      <c r="F3" s="23">
        <v>2023</v>
      </c>
      <c r="G3" s="23">
        <v>2024</v>
      </c>
      <c r="H3" s="23">
        <v>2025</v>
      </c>
      <c r="I3" s="23">
        <v>2026</v>
      </c>
      <c r="J3" s="23">
        <v>2027</v>
      </c>
      <c r="K3" s="23">
        <v>2028</v>
      </c>
      <c r="L3" s="1"/>
    </row>
    <row r="4" spans="1:12">
      <c r="A4" s="5" t="s">
        <v>120</v>
      </c>
      <c r="B4" s="20" t="s">
        <v>100</v>
      </c>
      <c r="C4" s="30">
        <f>B7</f>
        <v>18256474</v>
      </c>
      <c r="D4" s="30">
        <f>C7</f>
        <v>22744239</v>
      </c>
      <c r="E4" s="30">
        <f t="shared" ref="E4:K4" si="0">D7</f>
        <v>26193029</v>
      </c>
      <c r="F4" s="30">
        <f t="shared" si="0"/>
        <v>34730382</v>
      </c>
      <c r="G4" s="30">
        <f t="shared" si="0"/>
        <v>58650853</v>
      </c>
      <c r="H4" s="30">
        <f t="shared" si="0"/>
        <v>79356640.637301713</v>
      </c>
      <c r="I4" s="30">
        <f t="shared" si="0"/>
        <v>107369534.78226921</v>
      </c>
      <c r="J4" s="30">
        <f t="shared" si="0"/>
        <v>145270980.56041026</v>
      </c>
      <c r="K4" s="30">
        <f t="shared" si="0"/>
        <v>196551636.69823509</v>
      </c>
      <c r="L4" s="1"/>
    </row>
    <row r="5" spans="1:12">
      <c r="A5" s="5" t="s">
        <v>106</v>
      </c>
      <c r="B5" s="20" t="s">
        <v>100</v>
      </c>
      <c r="C5" s="30">
        <f>'income statement'!B14</f>
        <v>-1662000</v>
      </c>
      <c r="D5" s="30">
        <f>'income statement'!C14</f>
        <v>-2012000</v>
      </c>
      <c r="E5" s="30">
        <f>'income statement'!D14</f>
        <v>-2339000</v>
      </c>
      <c r="F5" s="30">
        <f>'income statement'!E14</f>
        <v>-2821903</v>
      </c>
      <c r="G5" s="30">
        <f>G9*G4</f>
        <v>-5132659.9221570548</v>
      </c>
      <c r="H5" s="30">
        <f>H9*H4</f>
        <v>-6943706.0557638993</v>
      </c>
      <c r="I5" s="30">
        <f t="shared" ref="I5:K5" si="1">I9*I4</f>
        <v>-9394834.2934485544</v>
      </c>
      <c r="J5" s="30">
        <f t="shared" si="1"/>
        <v>-12711210.799035897</v>
      </c>
      <c r="K5" s="30">
        <f t="shared" si="1"/>
        <v>-17198268.211095572</v>
      </c>
      <c r="L5" s="1"/>
    </row>
    <row r="6" spans="1:12">
      <c r="A6" s="5" t="s">
        <v>121</v>
      </c>
      <c r="B6" s="20" t="s">
        <v>100</v>
      </c>
      <c r="C6" s="30">
        <f>C7-C4-C5</f>
        <v>6149765</v>
      </c>
      <c r="D6" s="30">
        <f t="shared" ref="D6:F6" si="2">D7-D4-D5</f>
        <v>5460790</v>
      </c>
      <c r="E6" s="30">
        <f t="shared" si="2"/>
        <v>10876353</v>
      </c>
      <c r="F6" s="30">
        <f t="shared" si="2"/>
        <v>26742374</v>
      </c>
      <c r="G6" s="30">
        <f>G10*G4</f>
        <v>25838447.559458766</v>
      </c>
      <c r="H6" s="30">
        <f t="shared" ref="H6:K6" si="3">H10*H4</f>
        <v>34956600.200731404</v>
      </c>
      <c r="I6" s="30">
        <f t="shared" si="3"/>
        <v>47296280.071589589</v>
      </c>
      <c r="J6" s="30">
        <f t="shared" si="3"/>
        <v>63991866.936860718</v>
      </c>
      <c r="K6" s="30">
        <f t="shared" si="3"/>
        <v>86580995.965572566</v>
      </c>
      <c r="L6" s="1"/>
    </row>
    <row r="7" spans="1:12">
      <c r="A7" s="7" t="s">
        <v>122</v>
      </c>
      <c r="B7" s="11">
        <f>'balance sheet'!B11</f>
        <v>18256474</v>
      </c>
      <c r="C7" s="32">
        <f>'balance sheet'!C11</f>
        <v>22744239</v>
      </c>
      <c r="D7" s="32">
        <f>'balance sheet'!D11</f>
        <v>26193029</v>
      </c>
      <c r="E7" s="32">
        <f>'balance sheet'!E11</f>
        <v>34730382</v>
      </c>
      <c r="F7" s="32">
        <f>'balance sheet'!F11</f>
        <v>58650853</v>
      </c>
      <c r="G7" s="32">
        <f>SUM(G4:G6)</f>
        <v>79356640.637301713</v>
      </c>
      <c r="H7" s="32">
        <f t="shared" ref="H7:K7" si="4">SUM(H4:H6)</f>
        <v>107369534.78226921</v>
      </c>
      <c r="I7" s="32">
        <f t="shared" si="4"/>
        <v>145270980.56041026</v>
      </c>
      <c r="J7" s="32">
        <f t="shared" si="4"/>
        <v>196551636.69823509</v>
      </c>
      <c r="K7" s="32">
        <f t="shared" si="4"/>
        <v>265934364.45271209</v>
      </c>
      <c r="L7" s="1"/>
    </row>
    <row r="8" spans="1:12">
      <c r="A8" s="5" t="s">
        <v>100</v>
      </c>
      <c r="B8" s="5" t="s">
        <v>100</v>
      </c>
      <c r="C8" s="5" t="s">
        <v>100</v>
      </c>
      <c r="D8" s="5" t="s">
        <v>100</v>
      </c>
      <c r="E8" s="5" t="s">
        <v>100</v>
      </c>
      <c r="F8" s="5" t="s">
        <v>100</v>
      </c>
      <c r="G8" s="5" t="s">
        <v>100</v>
      </c>
      <c r="H8" s="5" t="s">
        <v>100</v>
      </c>
      <c r="I8" s="5" t="s">
        <v>100</v>
      </c>
      <c r="J8" s="1"/>
      <c r="K8" s="1"/>
      <c r="L8" s="1"/>
    </row>
    <row r="9" spans="1:12">
      <c r="A9" s="21" t="s">
        <v>123</v>
      </c>
      <c r="B9" s="21" t="s">
        <v>100</v>
      </c>
      <c r="C9" s="22">
        <f>C5/C4</f>
        <v>-9.1036198994395079E-2</v>
      </c>
      <c r="D9" s="22">
        <f t="shared" ref="D9:F9" si="5">D5/D4</f>
        <v>-8.8461961730177036E-2</v>
      </c>
      <c r="E9" s="22">
        <f t="shared" si="5"/>
        <v>-8.9298568714599597E-2</v>
      </c>
      <c r="F9" s="22">
        <f t="shared" si="5"/>
        <v>-8.1251712117649616E-2</v>
      </c>
      <c r="G9" s="22">
        <f>AVERAGE(C9:F9)</f>
        <v>-8.7512110389205339E-2</v>
      </c>
      <c r="H9" s="22">
        <v>-8.7499999999999994E-2</v>
      </c>
      <c r="I9" s="22">
        <v>-8.7499999999999994E-2</v>
      </c>
      <c r="J9" s="22">
        <v>-8.7499999999999994E-2</v>
      </c>
      <c r="K9" s="22">
        <v>-8.7499999999999994E-2</v>
      </c>
      <c r="L9" s="1"/>
    </row>
    <row r="10" spans="1:12">
      <c r="A10" s="21" t="s">
        <v>124</v>
      </c>
      <c r="B10" s="21" t="s">
        <v>100</v>
      </c>
      <c r="C10" s="22">
        <f>C6/C4</f>
        <v>0.3368539291869832</v>
      </c>
      <c r="D10" s="22">
        <f t="shared" ref="D10:F10" si="6">D6/D4</f>
        <v>0.24009552484917168</v>
      </c>
      <c r="E10" s="22">
        <f t="shared" si="6"/>
        <v>0.41523845905717893</v>
      </c>
      <c r="F10" s="22">
        <f t="shared" si="6"/>
        <v>0.76999942010427647</v>
      </c>
      <c r="G10" s="22">
        <f>AVERAGE(C10:F10)</f>
        <v>0.44054683329940258</v>
      </c>
      <c r="H10" s="22">
        <v>0.4405</v>
      </c>
      <c r="I10" s="22">
        <v>0.4405</v>
      </c>
      <c r="J10" s="22">
        <v>0.4405</v>
      </c>
      <c r="K10" s="22">
        <v>0.4405</v>
      </c>
      <c r="L1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6622-D1DE-4C7D-807C-3482EC8151C5}">
  <dimension ref="A1:L22"/>
  <sheetViews>
    <sheetView topLeftCell="A4" workbookViewId="0">
      <selection activeCell="B13" sqref="B13"/>
    </sheetView>
  </sheetViews>
  <sheetFormatPr defaultRowHeight="15"/>
  <cols>
    <col min="1" max="1" width="22.85546875" bestFit="1" customWidth="1"/>
    <col min="2" max="2" width="15.28515625" bestFit="1" customWidth="1"/>
    <col min="3" max="11" width="13.7109375" bestFit="1" customWidth="1"/>
  </cols>
  <sheetData>
    <row r="1" spans="1:11" ht="15.75">
      <c r="A1" s="24" t="s">
        <v>90</v>
      </c>
      <c r="B1" s="5" t="s">
        <v>100</v>
      </c>
      <c r="C1" s="5" t="s">
        <v>100</v>
      </c>
      <c r="D1" s="5" t="s">
        <v>100</v>
      </c>
      <c r="E1" s="5" t="s">
        <v>100</v>
      </c>
      <c r="F1" s="5" t="s">
        <v>100</v>
      </c>
      <c r="G1" s="5" t="s">
        <v>100</v>
      </c>
      <c r="H1" s="5" t="s">
        <v>100</v>
      </c>
      <c r="I1" s="5" t="s">
        <v>100</v>
      </c>
      <c r="J1" s="5" t="s">
        <v>100</v>
      </c>
      <c r="K1" s="5" t="s">
        <v>100</v>
      </c>
    </row>
    <row r="2" spans="1:11">
      <c r="A2" s="5" t="s">
        <v>100</v>
      </c>
      <c r="B2" s="5" t="s">
        <v>100</v>
      </c>
      <c r="C2" s="5" t="s">
        <v>100</v>
      </c>
      <c r="D2" s="5" t="s">
        <v>100</v>
      </c>
      <c r="E2" s="5" t="s">
        <v>100</v>
      </c>
      <c r="F2" s="5" t="s">
        <v>100</v>
      </c>
      <c r="G2" s="5" t="s">
        <v>100</v>
      </c>
      <c r="H2" s="5" t="s">
        <v>100</v>
      </c>
      <c r="I2" s="5" t="s">
        <v>100</v>
      </c>
      <c r="J2" s="5" t="s">
        <v>100</v>
      </c>
      <c r="K2" s="5" t="s">
        <v>100</v>
      </c>
    </row>
    <row r="3" spans="1:11">
      <c r="A3" s="5" t="s">
        <v>100</v>
      </c>
      <c r="B3" s="5" t="s">
        <v>100</v>
      </c>
      <c r="C3" s="5" t="s">
        <v>100</v>
      </c>
      <c r="D3" s="5" t="s">
        <v>100</v>
      </c>
      <c r="E3" s="5" t="s">
        <v>100</v>
      </c>
      <c r="F3" s="5" t="s">
        <v>100</v>
      </c>
      <c r="G3" s="5" t="s">
        <v>100</v>
      </c>
      <c r="H3" s="5" t="s">
        <v>100</v>
      </c>
      <c r="I3" s="5" t="s">
        <v>100</v>
      </c>
      <c r="J3" s="5" t="s">
        <v>100</v>
      </c>
      <c r="K3" s="5" t="s">
        <v>100</v>
      </c>
    </row>
    <row r="4" spans="1:11">
      <c r="A4" s="5" t="s">
        <v>100</v>
      </c>
      <c r="B4" s="5" t="s">
        <v>100</v>
      </c>
      <c r="C4" s="5" t="s">
        <v>100</v>
      </c>
      <c r="D4" s="5" t="s">
        <v>100</v>
      </c>
      <c r="E4" s="1"/>
      <c r="F4" s="1"/>
      <c r="G4" s="10" t="s">
        <v>101</v>
      </c>
      <c r="H4" s="10"/>
      <c r="I4" s="10"/>
      <c r="J4" s="10"/>
      <c r="K4" s="10"/>
    </row>
    <row r="5" spans="1:11">
      <c r="A5" s="4" t="s">
        <v>102</v>
      </c>
      <c r="B5" s="23">
        <v>2019</v>
      </c>
      <c r="C5" s="23">
        <v>2020</v>
      </c>
      <c r="D5" s="23">
        <v>2021</v>
      </c>
      <c r="E5" s="23">
        <v>2022</v>
      </c>
      <c r="F5" s="23">
        <v>2023</v>
      </c>
      <c r="G5" s="23">
        <v>2024</v>
      </c>
      <c r="H5" s="23">
        <v>2025</v>
      </c>
      <c r="I5" s="23">
        <v>2026</v>
      </c>
      <c r="J5" s="23">
        <v>2027</v>
      </c>
      <c r="K5" s="23">
        <v>2028</v>
      </c>
    </row>
    <row r="6" spans="1:11">
      <c r="A6" s="5" t="s">
        <v>125</v>
      </c>
      <c r="B6" s="20" t="s">
        <v>100</v>
      </c>
      <c r="C6" s="30">
        <f>B9</f>
        <v>16712674</v>
      </c>
      <c r="D6" s="30">
        <f>C9</f>
        <v>18256474</v>
      </c>
      <c r="E6" s="30">
        <f>D9</f>
        <v>22744239</v>
      </c>
      <c r="F6" s="30">
        <f>E9</f>
        <v>26193029</v>
      </c>
      <c r="G6" s="30">
        <f>F9</f>
        <v>34730382</v>
      </c>
      <c r="H6" s="30">
        <f t="shared" ref="H6:K6" si="0">G9</f>
        <v>33253832.266179748</v>
      </c>
      <c r="I6" s="30">
        <f t="shared" si="0"/>
        <v>31511503.580271848</v>
      </c>
      <c r="J6" s="30">
        <f t="shared" si="0"/>
        <v>29455555.730900526</v>
      </c>
      <c r="K6" s="30">
        <f t="shared" si="0"/>
        <v>27769678.494416043</v>
      </c>
    </row>
    <row r="7" spans="1:11">
      <c r="A7" s="5" t="s">
        <v>126</v>
      </c>
      <c r="B7" s="20" t="s">
        <v>100</v>
      </c>
      <c r="C7" s="30">
        <f>IF(C9&gt;C6,C9-C6)</f>
        <v>1543800</v>
      </c>
      <c r="D7" s="30">
        <f>IF(D9&gt;D6,D9-D6)</f>
        <v>4487765</v>
      </c>
      <c r="E7" s="30">
        <f t="shared" ref="E7:F7" si="1">IF(E9&gt;E6,E9-E6)</f>
        <v>3448790</v>
      </c>
      <c r="F7" s="30">
        <f t="shared" si="1"/>
        <v>8537353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</row>
    <row r="8" spans="1:11">
      <c r="A8" s="5" t="s">
        <v>127</v>
      </c>
      <c r="B8" s="20" t="s">
        <v>100</v>
      </c>
      <c r="C8" s="30">
        <f>IF(C6&gt;C9,C6-C9,0)</f>
        <v>0</v>
      </c>
      <c r="D8" s="30">
        <f>IF(D6&gt;D9,D6-D9,0)</f>
        <v>0</v>
      </c>
      <c r="E8" s="30">
        <f t="shared" ref="E8:F8" si="2">IF(E6&gt;E9,E6-E9,0)</f>
        <v>0</v>
      </c>
      <c r="F8" s="30">
        <f t="shared" si="2"/>
        <v>0</v>
      </c>
      <c r="G8" s="30">
        <f>B20</f>
        <v>-1476549.733820254</v>
      </c>
      <c r="H8" s="30">
        <f t="shared" ref="H8:K8" si="3">C20</f>
        <v>-1742328.6859078994</v>
      </c>
      <c r="I8" s="30">
        <f t="shared" si="3"/>
        <v>-2055947.8493713215</v>
      </c>
      <c r="J8" s="30">
        <f t="shared" si="3"/>
        <v>-1685877.2364844838</v>
      </c>
      <c r="K8" s="30">
        <f t="shared" si="3"/>
        <v>-2122560.5596909523</v>
      </c>
    </row>
    <row r="9" spans="1:11">
      <c r="A9" s="7" t="s">
        <v>128</v>
      </c>
      <c r="B9" s="11">
        <f>'balance sheet'!B18</f>
        <v>16712674</v>
      </c>
      <c r="C9" s="32">
        <f>'balance sheet'!B11</f>
        <v>18256474</v>
      </c>
      <c r="D9" s="32">
        <f>'balance sheet'!C11</f>
        <v>22744239</v>
      </c>
      <c r="E9" s="32">
        <f>'balance sheet'!D11</f>
        <v>26193029</v>
      </c>
      <c r="F9" s="32">
        <f>'balance sheet'!E11</f>
        <v>34730382</v>
      </c>
      <c r="G9" s="32">
        <f>SUM(G6:G8)</f>
        <v>33253832.266179748</v>
      </c>
      <c r="H9" s="32">
        <f t="shared" ref="H9:K9" si="4">SUM(H6:H8)</f>
        <v>31511503.580271848</v>
      </c>
      <c r="I9" s="32">
        <f t="shared" si="4"/>
        <v>29455555.730900526</v>
      </c>
      <c r="J9" s="32">
        <f t="shared" si="4"/>
        <v>27769678.494416043</v>
      </c>
      <c r="K9" s="32">
        <f t="shared" si="4"/>
        <v>25647117.934725091</v>
      </c>
    </row>
    <row r="10" spans="1:11">
      <c r="A10" s="5" t="s">
        <v>100</v>
      </c>
      <c r="B10" s="5" t="s">
        <v>100</v>
      </c>
      <c r="C10" s="5" t="s">
        <v>100</v>
      </c>
      <c r="D10" s="5" t="s">
        <v>100</v>
      </c>
      <c r="E10" s="5" t="s">
        <v>100</v>
      </c>
      <c r="F10" s="5" t="s">
        <v>100</v>
      </c>
      <c r="G10" s="5" t="s">
        <v>100</v>
      </c>
      <c r="H10" s="5" t="s">
        <v>100</v>
      </c>
      <c r="I10" s="5" t="s">
        <v>100</v>
      </c>
      <c r="J10" s="5" t="s">
        <v>100</v>
      </c>
      <c r="K10" s="5" t="s">
        <v>100</v>
      </c>
    </row>
    <row r="11" spans="1:11">
      <c r="A11" s="5" t="s">
        <v>100</v>
      </c>
      <c r="B11" s="5" t="s">
        <v>100</v>
      </c>
      <c r="C11" s="5" t="s">
        <v>100</v>
      </c>
      <c r="D11" s="5" t="s">
        <v>100</v>
      </c>
      <c r="E11" s="5" t="s">
        <v>100</v>
      </c>
      <c r="F11" s="5" t="s">
        <v>100</v>
      </c>
      <c r="G11" s="5" t="s">
        <v>100</v>
      </c>
      <c r="H11" s="5" t="s">
        <v>100</v>
      </c>
      <c r="I11" s="5" t="s">
        <v>100</v>
      </c>
      <c r="J11" s="5" t="s">
        <v>100</v>
      </c>
      <c r="K11" s="5" t="s">
        <v>100</v>
      </c>
    </row>
    <row r="12" spans="1:11">
      <c r="A12" s="5" t="s">
        <v>129</v>
      </c>
      <c r="B12" s="25">
        <v>0.18</v>
      </c>
      <c r="C12" s="5" t="s">
        <v>100</v>
      </c>
      <c r="D12" s="5" t="s">
        <v>100</v>
      </c>
      <c r="E12" s="5" t="s">
        <v>100</v>
      </c>
      <c r="F12" s="5" t="s">
        <v>100</v>
      </c>
      <c r="G12" s="5" t="s">
        <v>100</v>
      </c>
      <c r="H12" s="5" t="s">
        <v>100</v>
      </c>
      <c r="I12" s="5" t="s">
        <v>100</v>
      </c>
      <c r="J12" s="5" t="s">
        <v>100</v>
      </c>
      <c r="K12" s="5" t="s">
        <v>100</v>
      </c>
    </row>
    <row r="13" spans="1:11">
      <c r="A13" s="5" t="s">
        <v>130</v>
      </c>
      <c r="B13" s="5">
        <v>10</v>
      </c>
      <c r="C13" s="5" t="s">
        <v>100</v>
      </c>
      <c r="D13" s="5" t="s">
        <v>100</v>
      </c>
      <c r="E13" s="5" t="s">
        <v>100</v>
      </c>
      <c r="F13" s="5" t="s">
        <v>100</v>
      </c>
      <c r="G13" s="5" t="s">
        <v>100</v>
      </c>
      <c r="H13" s="5" t="s">
        <v>100</v>
      </c>
      <c r="I13" s="5" t="s">
        <v>100</v>
      </c>
      <c r="J13" s="5" t="s">
        <v>100</v>
      </c>
      <c r="K13" s="5" t="s">
        <v>100</v>
      </c>
    </row>
    <row r="14" spans="1:11">
      <c r="A14" s="14" t="s">
        <v>131</v>
      </c>
      <c r="B14" s="29">
        <f>PMT(B12,B13,F9)</f>
        <v>-7728018.4938202538</v>
      </c>
      <c r="C14" s="5" t="s">
        <v>100</v>
      </c>
      <c r="D14" s="5" t="s">
        <v>100</v>
      </c>
      <c r="E14" s="5" t="s">
        <v>100</v>
      </c>
      <c r="F14" s="5" t="s">
        <v>100</v>
      </c>
      <c r="G14" s="5" t="s">
        <v>100</v>
      </c>
      <c r="H14" s="5" t="s">
        <v>100</v>
      </c>
      <c r="I14" s="5" t="s">
        <v>100</v>
      </c>
      <c r="J14" s="5" t="s">
        <v>100</v>
      </c>
      <c r="K14" s="5" t="s">
        <v>100</v>
      </c>
    </row>
    <row r="15" spans="1:11">
      <c r="A15" s="5" t="s">
        <v>100</v>
      </c>
      <c r="B15" s="27" t="s">
        <v>100</v>
      </c>
      <c r="C15" s="5" t="s">
        <v>100</v>
      </c>
      <c r="D15" s="5" t="s">
        <v>100</v>
      </c>
      <c r="E15" s="5" t="s">
        <v>100</v>
      </c>
      <c r="F15" s="5" t="s">
        <v>100</v>
      </c>
      <c r="G15" s="5" t="s">
        <v>100</v>
      </c>
      <c r="H15" s="5" t="s">
        <v>100</v>
      </c>
      <c r="I15" s="5" t="s">
        <v>100</v>
      </c>
      <c r="J15" s="5" t="s">
        <v>100</v>
      </c>
      <c r="K15" s="5" t="s">
        <v>100</v>
      </c>
    </row>
    <row r="16" spans="1:11">
      <c r="A16" s="5" t="s">
        <v>100</v>
      </c>
      <c r="B16" s="5" t="s">
        <v>100</v>
      </c>
      <c r="C16" s="5" t="s">
        <v>100</v>
      </c>
      <c r="D16" s="5" t="s">
        <v>100</v>
      </c>
      <c r="E16" s="5" t="s">
        <v>100</v>
      </c>
      <c r="F16" s="5" t="s">
        <v>100</v>
      </c>
      <c r="G16" s="5" t="s">
        <v>100</v>
      </c>
      <c r="H16" s="5" t="s">
        <v>100</v>
      </c>
      <c r="I16" s="5" t="s">
        <v>100</v>
      </c>
      <c r="J16" s="5" t="s">
        <v>100</v>
      </c>
      <c r="K16" s="5" t="s">
        <v>100</v>
      </c>
    </row>
    <row r="17" spans="1:12">
      <c r="A17" s="26" t="s">
        <v>132</v>
      </c>
      <c r="B17" s="26">
        <v>1</v>
      </c>
      <c r="C17" s="26">
        <v>2</v>
      </c>
      <c r="D17" s="26">
        <v>3</v>
      </c>
      <c r="E17" s="26">
        <v>4</v>
      </c>
      <c r="F17" s="26">
        <v>5</v>
      </c>
      <c r="G17" s="26">
        <v>6</v>
      </c>
      <c r="H17" s="26">
        <v>7</v>
      </c>
      <c r="I17" s="26">
        <v>8</v>
      </c>
      <c r="J17" s="26">
        <v>9</v>
      </c>
      <c r="K17" s="26">
        <v>10</v>
      </c>
      <c r="L17" s="1"/>
    </row>
    <row r="18" spans="1:12">
      <c r="A18" s="5" t="s">
        <v>133</v>
      </c>
      <c r="B18" s="30">
        <f>B14</f>
        <v>-7728018.4938202538</v>
      </c>
      <c r="C18" s="30">
        <f>B18</f>
        <v>-7728018.4938202538</v>
      </c>
      <c r="D18" s="30">
        <f>C18</f>
        <v>-7728018.4938202538</v>
      </c>
      <c r="E18" s="30">
        <f t="shared" ref="E18:K18" si="5">D18</f>
        <v>-7728018.4938202538</v>
      </c>
      <c r="F18" s="30">
        <f t="shared" si="5"/>
        <v>-7728018.4938202538</v>
      </c>
      <c r="G18" s="30">
        <f t="shared" si="5"/>
        <v>-7728018.4938202538</v>
      </c>
      <c r="H18" s="30">
        <f t="shared" si="5"/>
        <v>-7728018.4938202538</v>
      </c>
      <c r="I18" s="30">
        <f t="shared" si="5"/>
        <v>-7728018.4938202538</v>
      </c>
      <c r="J18" s="30">
        <f t="shared" si="5"/>
        <v>-7728018.4938202538</v>
      </c>
      <c r="K18" s="30">
        <f t="shared" si="5"/>
        <v>-7728018.4938202538</v>
      </c>
      <c r="L18" s="1"/>
    </row>
    <row r="19" spans="1:12">
      <c r="A19" s="5" t="s">
        <v>134</v>
      </c>
      <c r="B19" s="30">
        <f>-F9*B12</f>
        <v>-6251468.7599999998</v>
      </c>
      <c r="C19" s="30">
        <f>-B21*$B12</f>
        <v>-5985689.8079123544</v>
      </c>
      <c r="D19" s="30">
        <f>-C21*$B12</f>
        <v>-5672070.6444489323</v>
      </c>
      <c r="E19" s="30">
        <f t="shared" ref="E19:K19" si="6">-D21*$B12</f>
        <v>-6042141.2573357699</v>
      </c>
      <c r="F19" s="30">
        <f t="shared" si="6"/>
        <v>-5605457.9341293015</v>
      </c>
      <c r="G19" s="30">
        <f t="shared" si="6"/>
        <v>-5380603.0297392588</v>
      </c>
      <c r="H19" s="30">
        <f t="shared" si="6"/>
        <v>-5039016.0117850956</v>
      </c>
      <c r="I19" s="30">
        <f t="shared" si="6"/>
        <v>-484020.44676632847</v>
      </c>
      <c r="J19" s="30">
        <f t="shared" si="6"/>
        <v>-1303919.6484697065</v>
      </c>
      <c r="K19" s="30">
        <f t="shared" si="6"/>
        <v>-1156337.7921630985</v>
      </c>
      <c r="L19" s="1"/>
    </row>
    <row r="20" spans="1:12">
      <c r="A20" s="5" t="s">
        <v>127</v>
      </c>
      <c r="B20" s="30">
        <f>B18-B19</f>
        <v>-1476549.733820254</v>
      </c>
      <c r="C20" s="30">
        <f t="shared" ref="C20:K20" si="7">C18-C19</f>
        <v>-1742328.6859078994</v>
      </c>
      <c r="D20" s="30">
        <f t="shared" si="7"/>
        <v>-2055947.8493713215</v>
      </c>
      <c r="E20" s="30">
        <f t="shared" si="7"/>
        <v>-1685877.2364844838</v>
      </c>
      <c r="F20" s="30">
        <f t="shared" si="7"/>
        <v>-2122560.5596909523</v>
      </c>
      <c r="G20" s="30">
        <f t="shared" si="7"/>
        <v>-2347415.4640809949</v>
      </c>
      <c r="H20" s="30">
        <f t="shared" si="7"/>
        <v>-2689002.4820351582</v>
      </c>
      <c r="I20" s="30">
        <f t="shared" si="7"/>
        <v>-7243998.0470539257</v>
      </c>
      <c r="J20" s="30">
        <f t="shared" si="7"/>
        <v>-6424098.8453505468</v>
      </c>
      <c r="K20" s="30">
        <f t="shared" si="7"/>
        <v>-6571680.7016571555</v>
      </c>
      <c r="L20" s="1"/>
    </row>
    <row r="21" spans="1:12">
      <c r="A21" s="5" t="s">
        <v>135</v>
      </c>
      <c r="B21" s="30">
        <f>B20+F9</f>
        <v>33253832.266179748</v>
      </c>
      <c r="C21" s="30">
        <f>C20+G9</f>
        <v>31511503.580271848</v>
      </c>
      <c r="D21" s="30">
        <f t="shared" ref="D21:K21" si="8">-D20+H9</f>
        <v>33567451.429643169</v>
      </c>
      <c r="E21" s="30">
        <f t="shared" si="8"/>
        <v>31141432.967385009</v>
      </c>
      <c r="F21" s="30">
        <f t="shared" si="8"/>
        <v>29892239.054106995</v>
      </c>
      <c r="G21" s="30">
        <f t="shared" si="8"/>
        <v>27994533.398806088</v>
      </c>
      <c r="H21" s="30">
        <f t="shared" si="8"/>
        <v>2689002.4820351582</v>
      </c>
      <c r="I21" s="30">
        <f t="shared" si="8"/>
        <v>7243998.0470539257</v>
      </c>
      <c r="J21" s="30">
        <f t="shared" si="8"/>
        <v>6424098.8453505468</v>
      </c>
      <c r="K21" s="30">
        <f t="shared" si="8"/>
        <v>6571680.7016571555</v>
      </c>
      <c r="L21" s="1"/>
    </row>
    <row r="22" spans="1:12">
      <c r="A22" s="5" t="s">
        <v>100</v>
      </c>
      <c r="B22" s="30"/>
      <c r="C22" s="30" t="s">
        <v>100</v>
      </c>
      <c r="D22" s="30" t="s">
        <v>100</v>
      </c>
      <c r="E22" s="30" t="s">
        <v>100</v>
      </c>
      <c r="F22" s="30" t="s">
        <v>100</v>
      </c>
      <c r="G22" s="30" t="s">
        <v>100</v>
      </c>
      <c r="H22" s="30" t="s">
        <v>100</v>
      </c>
      <c r="I22" s="30" t="s">
        <v>100</v>
      </c>
      <c r="J22" s="30" t="s">
        <v>100</v>
      </c>
      <c r="K22" s="30" t="s">
        <v>100</v>
      </c>
      <c r="L2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C021-AEFD-471E-8C18-22BE7F7F7740}">
  <dimension ref="A1:L12"/>
  <sheetViews>
    <sheetView workbookViewId="0">
      <selection activeCell="H12" sqref="H12:L12"/>
    </sheetView>
  </sheetViews>
  <sheetFormatPr defaultRowHeight="15"/>
  <cols>
    <col min="2" max="2" width="26.140625" bestFit="1" customWidth="1"/>
    <col min="7" max="7" width="9.7109375" bestFit="1" customWidth="1"/>
    <col min="8" max="8" width="13.85546875" bestFit="1" customWidth="1"/>
    <col min="9" max="11" width="14.140625" bestFit="1" customWidth="1"/>
    <col min="12" max="12" width="14.85546875" bestFit="1" customWidth="1"/>
  </cols>
  <sheetData>
    <row r="1" spans="1:12" ht="15.75">
      <c r="A1" s="5" t="s">
        <v>100</v>
      </c>
      <c r="B1" s="24" t="s">
        <v>136</v>
      </c>
      <c r="C1" s="5" t="s">
        <v>100</v>
      </c>
      <c r="D1" s="5" t="s">
        <v>100</v>
      </c>
      <c r="E1" s="5" t="s">
        <v>100</v>
      </c>
      <c r="F1" s="5" t="s">
        <v>100</v>
      </c>
      <c r="G1" s="5" t="s">
        <v>100</v>
      </c>
      <c r="H1" s="5" t="s">
        <v>100</v>
      </c>
      <c r="I1" s="5" t="s">
        <v>100</v>
      </c>
      <c r="J1" s="5" t="s">
        <v>100</v>
      </c>
      <c r="K1" s="5" t="s">
        <v>100</v>
      </c>
      <c r="L1" s="1"/>
    </row>
    <row r="2" spans="1:12">
      <c r="A2" s="5" t="s">
        <v>100</v>
      </c>
      <c r="B2" s="5" t="s">
        <v>100</v>
      </c>
      <c r="C2" s="5" t="s">
        <v>100</v>
      </c>
      <c r="D2" s="5" t="s">
        <v>100</v>
      </c>
      <c r="E2" s="5" t="s">
        <v>100</v>
      </c>
      <c r="F2" s="5" t="s">
        <v>100</v>
      </c>
      <c r="G2" s="5" t="s">
        <v>100</v>
      </c>
      <c r="H2" s="5" t="s">
        <v>100</v>
      </c>
      <c r="I2" s="5" t="s">
        <v>100</v>
      </c>
      <c r="J2" s="5" t="s">
        <v>100</v>
      </c>
      <c r="K2" s="5" t="s">
        <v>100</v>
      </c>
      <c r="L2" s="1"/>
    </row>
    <row r="3" spans="1:12">
      <c r="A3" s="5" t="s">
        <v>100</v>
      </c>
      <c r="B3" s="5" t="s">
        <v>100</v>
      </c>
      <c r="C3" s="5" t="s">
        <v>100</v>
      </c>
      <c r="D3" s="5" t="s">
        <v>100</v>
      </c>
      <c r="E3" s="5" t="s">
        <v>100</v>
      </c>
      <c r="F3" s="5" t="s">
        <v>100</v>
      </c>
      <c r="G3" s="5" t="s">
        <v>100</v>
      </c>
      <c r="H3" s="5" t="s">
        <v>100</v>
      </c>
      <c r="I3" s="5" t="s">
        <v>100</v>
      </c>
      <c r="J3" s="5" t="s">
        <v>100</v>
      </c>
      <c r="K3" s="5" t="s">
        <v>100</v>
      </c>
      <c r="L3" s="1"/>
    </row>
    <row r="4" spans="1:12">
      <c r="A4" s="5" t="s">
        <v>100</v>
      </c>
      <c r="B4" s="5" t="s">
        <v>100</v>
      </c>
      <c r="C4" s="5" t="s">
        <v>100</v>
      </c>
      <c r="D4" s="5" t="s">
        <v>100</v>
      </c>
      <c r="E4" s="5" t="s">
        <v>100</v>
      </c>
      <c r="F4" s="1"/>
      <c r="G4" s="1"/>
      <c r="H4" s="10" t="s">
        <v>101</v>
      </c>
      <c r="I4" s="10"/>
      <c r="J4" s="10"/>
      <c r="K4" s="10"/>
      <c r="L4" s="10"/>
    </row>
    <row r="5" spans="1:12">
      <c r="A5" s="5" t="s">
        <v>100</v>
      </c>
      <c r="B5" s="4" t="s">
        <v>102</v>
      </c>
      <c r="C5" s="23">
        <v>2019</v>
      </c>
      <c r="D5" s="23">
        <v>2020</v>
      </c>
      <c r="E5" s="23">
        <v>2021</v>
      </c>
      <c r="F5" s="23">
        <v>2022</v>
      </c>
      <c r="G5" s="23">
        <v>2023</v>
      </c>
      <c r="H5" s="23">
        <v>2024</v>
      </c>
      <c r="I5" s="23">
        <v>2025</v>
      </c>
      <c r="J5" s="23">
        <v>2026</v>
      </c>
      <c r="K5" s="23">
        <v>2027</v>
      </c>
      <c r="L5" s="23">
        <v>2028</v>
      </c>
    </row>
    <row r="6" spans="1:12">
      <c r="A6" s="5" t="s">
        <v>100</v>
      </c>
      <c r="B6" s="5" t="s">
        <v>137</v>
      </c>
      <c r="C6" s="20" t="s">
        <v>100</v>
      </c>
      <c r="D6" s="20" t="s">
        <v>100</v>
      </c>
      <c r="E6" s="20" t="s">
        <v>100</v>
      </c>
      <c r="F6" s="20" t="s">
        <v>100</v>
      </c>
      <c r="G6" s="20" t="s">
        <v>100</v>
      </c>
      <c r="H6" s="30">
        <f>G10</f>
        <v>41531734</v>
      </c>
      <c r="I6" s="30">
        <f>H10</f>
        <v>93294747.888236552</v>
      </c>
      <c r="J6" s="30">
        <f t="shared" ref="J6:L6" si="0">I10</f>
        <v>162563820.00983182</v>
      </c>
      <c r="K6" s="30">
        <f t="shared" si="0"/>
        <v>254761156.01914552</v>
      </c>
      <c r="L6" s="30">
        <f t="shared" si="0"/>
        <v>376519805.44610667</v>
      </c>
    </row>
    <row r="7" spans="1:12">
      <c r="A7" s="5" t="s">
        <v>100</v>
      </c>
      <c r="B7" s="5" t="s">
        <v>138</v>
      </c>
      <c r="C7" s="20" t="s">
        <v>100</v>
      </c>
      <c r="D7" s="20" t="s">
        <v>100</v>
      </c>
      <c r="E7" s="20" t="s">
        <v>100</v>
      </c>
      <c r="F7" s="20" t="s">
        <v>100</v>
      </c>
      <c r="G7" s="20" t="s">
        <v>100</v>
      </c>
      <c r="H7" s="30" t="s">
        <v>139</v>
      </c>
      <c r="I7" s="30" t="s">
        <v>139</v>
      </c>
      <c r="J7" s="30" t="s">
        <v>139</v>
      </c>
      <c r="K7" s="30" t="s">
        <v>139</v>
      </c>
      <c r="L7" s="30" t="s">
        <v>139</v>
      </c>
    </row>
    <row r="8" spans="1:12">
      <c r="A8" s="5" t="s">
        <v>100</v>
      </c>
      <c r="B8" s="5" t="s">
        <v>140</v>
      </c>
      <c r="C8" s="20" t="s">
        <v>100</v>
      </c>
      <c r="D8" s="20" t="s">
        <v>100</v>
      </c>
      <c r="E8" s="20" t="s">
        <v>100</v>
      </c>
      <c r="F8" s="20" t="s">
        <v>100</v>
      </c>
      <c r="G8" s="20" t="s">
        <v>100</v>
      </c>
      <c r="H8" s="30">
        <f>'income statement'!G19</f>
        <v>73947162.697480798</v>
      </c>
      <c r="I8" s="30">
        <f>'income statement'!H19</f>
        <v>98955817.316564679</v>
      </c>
      <c r="J8" s="30">
        <f>'income statement'!I19</f>
        <v>131710480.01330528</v>
      </c>
      <c r="K8" s="30">
        <f>'income statement'!J19</f>
        <v>173940927.75280169</v>
      </c>
      <c r="L8" s="30">
        <f>'income statement'!K19</f>
        <v>230143924.50527954</v>
      </c>
    </row>
    <row r="9" spans="1:12">
      <c r="A9" s="5" t="s">
        <v>100</v>
      </c>
      <c r="B9" s="5" t="s">
        <v>141</v>
      </c>
      <c r="C9" s="20" t="s">
        <v>100</v>
      </c>
      <c r="D9" s="20" t="s">
        <v>100</v>
      </c>
      <c r="E9" s="20" t="s">
        <v>100</v>
      </c>
      <c r="F9" s="20" t="s">
        <v>100</v>
      </c>
      <c r="G9" s="20" t="s">
        <v>100</v>
      </c>
      <c r="H9" s="30">
        <f>-H8*H12</f>
        <v>-22184148.809244238</v>
      </c>
      <c r="I9" s="30">
        <f t="shared" ref="I9:L9" si="1">-I8*I12</f>
        <v>-29686745.194969404</v>
      </c>
      <c r="J9" s="30">
        <f t="shared" si="1"/>
        <v>-39513144.003991581</v>
      </c>
      <c r="K9" s="30">
        <f t="shared" si="1"/>
        <v>-52182278.325840503</v>
      </c>
      <c r="L9" s="30">
        <f t="shared" si="1"/>
        <v>-69043177.351583853</v>
      </c>
    </row>
    <row r="10" spans="1:12">
      <c r="A10" s="5" t="s">
        <v>100</v>
      </c>
      <c r="B10" s="7" t="s">
        <v>142</v>
      </c>
      <c r="C10" s="7" t="s">
        <v>100</v>
      </c>
      <c r="D10" s="7" t="s">
        <v>100</v>
      </c>
      <c r="E10" s="7"/>
      <c r="F10" s="7"/>
      <c r="G10" s="11">
        <f>'balance sheet'!F20</f>
        <v>41531734</v>
      </c>
      <c r="H10" s="32">
        <f>SUM(H6:H9)</f>
        <v>93294747.888236552</v>
      </c>
      <c r="I10" s="32">
        <f t="shared" ref="I10:L10" si="2">SUM(I6:I9)</f>
        <v>162563820.00983182</v>
      </c>
      <c r="J10" s="32">
        <f t="shared" si="2"/>
        <v>254761156.01914552</v>
      </c>
      <c r="K10" s="32">
        <f t="shared" si="2"/>
        <v>376519805.44610667</v>
      </c>
      <c r="L10" s="32">
        <f t="shared" si="2"/>
        <v>537620552.59980237</v>
      </c>
    </row>
    <row r="11" spans="1:12">
      <c r="A11" s="5" t="s">
        <v>100</v>
      </c>
      <c r="B11" s="5" t="s">
        <v>100</v>
      </c>
      <c r="C11" s="5" t="s">
        <v>100</v>
      </c>
      <c r="D11" s="5" t="s">
        <v>100</v>
      </c>
      <c r="E11" s="5" t="s">
        <v>100</v>
      </c>
      <c r="F11" s="5" t="s">
        <v>100</v>
      </c>
      <c r="G11" s="5" t="s">
        <v>100</v>
      </c>
      <c r="H11" s="5" t="s">
        <v>100</v>
      </c>
      <c r="I11" s="5" t="s">
        <v>100</v>
      </c>
      <c r="J11" s="5" t="s">
        <v>100</v>
      </c>
      <c r="K11" s="5" t="s">
        <v>100</v>
      </c>
      <c r="L11" s="1"/>
    </row>
    <row r="12" spans="1:12">
      <c r="A12" s="5" t="s">
        <v>100</v>
      </c>
      <c r="B12" s="21" t="s">
        <v>143</v>
      </c>
      <c r="C12" s="21" t="s">
        <v>100</v>
      </c>
      <c r="D12" s="21" t="s">
        <v>100</v>
      </c>
      <c r="E12" s="21" t="s">
        <v>100</v>
      </c>
      <c r="F12" s="22"/>
      <c r="G12" s="22"/>
      <c r="H12" s="22">
        <v>0.3</v>
      </c>
      <c r="I12" s="22">
        <v>0.3</v>
      </c>
      <c r="J12" s="22">
        <v>0.3</v>
      </c>
      <c r="K12" s="22">
        <v>0.3</v>
      </c>
      <c r="L12" s="22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7D58-C58A-4C74-A838-807609032E3F}">
  <dimension ref="A1:G20"/>
  <sheetViews>
    <sheetView topLeftCell="A18" workbookViewId="0">
      <selection activeCell="A19" sqref="A19:F19"/>
    </sheetView>
  </sheetViews>
  <sheetFormatPr defaultRowHeight="15"/>
  <cols>
    <col min="1" max="2" width="24.28515625" bestFit="1" customWidth="1"/>
    <col min="3" max="5" width="14.140625" bestFit="1" customWidth="1"/>
    <col min="6" max="6" width="14.85546875" bestFit="1" customWidth="1"/>
  </cols>
  <sheetData>
    <row r="1" spans="1:7" ht="15.75">
      <c r="A1" s="24" t="s">
        <v>144</v>
      </c>
      <c r="B1" s="5" t="s">
        <v>100</v>
      </c>
      <c r="C1" s="5" t="s">
        <v>100</v>
      </c>
      <c r="D1" s="5" t="s">
        <v>100</v>
      </c>
      <c r="E1" s="5" t="s">
        <v>100</v>
      </c>
      <c r="F1" s="5" t="s">
        <v>100</v>
      </c>
      <c r="G1" s="1"/>
    </row>
    <row r="2" spans="1:7" ht="15.75">
      <c r="A2" s="24" t="s">
        <v>100</v>
      </c>
      <c r="B2" s="5" t="s">
        <v>100</v>
      </c>
      <c r="C2" s="5" t="s">
        <v>100</v>
      </c>
      <c r="D2" s="5" t="s">
        <v>100</v>
      </c>
      <c r="E2" s="5" t="s">
        <v>100</v>
      </c>
      <c r="F2" s="5" t="s">
        <v>100</v>
      </c>
      <c r="G2" s="1"/>
    </row>
    <row r="3" spans="1:7">
      <c r="A3" s="5" t="s">
        <v>100</v>
      </c>
      <c r="B3" s="10" t="s">
        <v>101</v>
      </c>
      <c r="C3" s="10"/>
      <c r="D3" s="10"/>
      <c r="E3" s="10"/>
      <c r="F3" s="10"/>
      <c r="G3" s="1"/>
    </row>
    <row r="4" spans="1:7">
      <c r="A4" s="4" t="s">
        <v>102</v>
      </c>
      <c r="B4" s="4">
        <v>2024</v>
      </c>
      <c r="C4" s="4">
        <v>2025</v>
      </c>
      <c r="D4" s="4">
        <v>2026</v>
      </c>
      <c r="E4" s="4">
        <v>2027</v>
      </c>
      <c r="F4" s="4">
        <v>2028</v>
      </c>
      <c r="G4" s="1"/>
    </row>
    <row r="5" spans="1:7">
      <c r="A5" s="5" t="s">
        <v>15</v>
      </c>
      <c r="B5" s="30">
        <f>'income statement'!G13</f>
        <v>87512087.108879998</v>
      </c>
      <c r="C5" s="30">
        <f>'income statement'!H13</f>
        <v>114728346.19974166</v>
      </c>
      <c r="D5" s="30">
        <f>'income statement'!I13</f>
        <v>150408861.86786133</v>
      </c>
      <c r="E5" s="30">
        <f>'income statement'!J13</f>
        <v>197186017.90876621</v>
      </c>
      <c r="F5" s="30">
        <f>'income statement'!K13</f>
        <v>258510869.47839251</v>
      </c>
      <c r="G5" s="1"/>
    </row>
    <row r="6" spans="1:7">
      <c r="A6" s="5" t="s">
        <v>107</v>
      </c>
      <c r="B6" s="30">
        <f>'income statement'!G16</f>
        <v>-6251468.7599999998</v>
      </c>
      <c r="C6" s="30">
        <f>'income statement'!H16</f>
        <v>-5985689.8079123544</v>
      </c>
      <c r="D6" s="30">
        <f>'income statement'!I16</f>
        <v>-5672070.6444489323</v>
      </c>
      <c r="E6" s="30">
        <f>'income statement'!J16</f>
        <v>-6042141.2573357699</v>
      </c>
      <c r="F6" s="30">
        <f>'income statement'!K16</f>
        <v>-5605457.9341293015</v>
      </c>
      <c r="G6" s="1"/>
    </row>
    <row r="7" spans="1:7">
      <c r="A7" s="5" t="s">
        <v>26</v>
      </c>
      <c r="B7" s="30">
        <f>'income statement'!G18</f>
        <v>-7313455.6513991989</v>
      </c>
      <c r="C7" s="30">
        <f>'income statement'!H18</f>
        <v>-9786839.0752646383</v>
      </c>
      <c r="D7" s="30">
        <f>'income statement'!I18</f>
        <v>-13026311.210107114</v>
      </c>
      <c r="E7" s="30">
        <f>'income statement'!J18</f>
        <v>-17202948.898628738</v>
      </c>
      <c r="F7" s="30">
        <f>'income statement'!K18</f>
        <v>-22761487.038983688</v>
      </c>
      <c r="G7" s="1"/>
    </row>
    <row r="8" spans="1:7">
      <c r="A8" s="5" t="s">
        <v>145</v>
      </c>
      <c r="B8" s="30">
        <f>-('balance sheet'!G9-'balance sheet'!F9)</f>
        <v>-6291084.4708019495</v>
      </c>
      <c r="C8" s="30">
        <f>-('balance sheet'!H9-'balance sheet'!G9)</f>
        <v>-12575201.744693786</v>
      </c>
      <c r="D8" s="30">
        <f>-('balance sheet'!I9-'balance sheet'!H9)</f>
        <v>-16484539.828019172</v>
      </c>
      <c r="E8" s="30">
        <f>-('balance sheet'!J9-'balance sheet'!I9)</f>
        <v>-21611231.714533135</v>
      </c>
      <c r="F8" s="30">
        <f>-('balance sheet'!K9-'balance sheet'!J9)</f>
        <v>-28152803.340615183</v>
      </c>
      <c r="G8" s="1"/>
    </row>
    <row r="9" spans="1:7">
      <c r="A9" s="5" t="s">
        <v>146</v>
      </c>
      <c r="B9" s="30">
        <f>-('balance sheet'!G10-'balance sheet'!F10)</f>
        <v>5216334.1668512188</v>
      </c>
      <c r="C9" s="30">
        <f>-('balance sheet'!H10-'balance sheet'!G10)</f>
        <v>-5288562.7597508319</v>
      </c>
      <c r="D9" s="30">
        <f>-('balance sheet'!I10-'balance sheet'!H10)</f>
        <v>-6932816.2273917794</v>
      </c>
      <c r="E9" s="30">
        <f>-('balance sheet'!J10-'balance sheet'!I10)</f>
        <v>-9088922.0741106197</v>
      </c>
      <c r="F9" s="30">
        <f>-('balance sheet'!K10-'balance sheet'!J10)</f>
        <v>-11915576.839159027</v>
      </c>
      <c r="G9" s="1"/>
    </row>
    <row r="10" spans="1:7">
      <c r="A10" s="5" t="s">
        <v>147</v>
      </c>
      <c r="B10" s="30">
        <f>'balance sheet'!G16-'balance sheet'!F16</f>
        <v>1907925.2605457976</v>
      </c>
      <c r="C10" s="30">
        <f>'balance sheet'!H16-'balance sheet'!G16</f>
        <v>4327242.1579226553</v>
      </c>
      <c r="D10" s="30">
        <f>'balance sheet'!I16-'balance sheet'!H16</f>
        <v>5672352.4551436901</v>
      </c>
      <c r="E10" s="30">
        <f>'balance sheet'!J16-'balance sheet'!I16</f>
        <v>7436454.0686933845</v>
      </c>
      <c r="F10" s="30">
        <f>'balance sheet'!K16-'balance sheet'!J16</f>
        <v>9749191.2840570211</v>
      </c>
      <c r="G10" s="1"/>
    </row>
    <row r="11" spans="1:7">
      <c r="A11" s="5" t="s">
        <v>148</v>
      </c>
      <c r="B11" s="30">
        <f>-('balance sheet'!G13-'balance sheet'!F13)</f>
        <v>-7355672.2062758077</v>
      </c>
      <c r="C11" s="30">
        <f>-('balance sheet'!H13-'balance sheet'!G13)</f>
        <v>-5765002.9401020203</v>
      </c>
      <c r="D11" s="30">
        <f>-('balance sheet'!I13-'balance sheet'!H13)</f>
        <v>-7008672.7205235064</v>
      </c>
      <c r="E11" s="30">
        <f>-('balance sheet'!J13-'balance sheet'!I13)</f>
        <v>-9188369.936606314</v>
      </c>
      <c r="F11" s="30">
        <f>-('balance sheet'!K13-'balance sheet'!J13)</f>
        <v>-12045952.986890882</v>
      </c>
      <c r="G11" s="1"/>
    </row>
    <row r="12" spans="1:7">
      <c r="A12" s="5" t="s">
        <v>149</v>
      </c>
      <c r="B12" s="30">
        <f>'balance sheet'!G19-'balance sheet'!F19</f>
        <v>1178635.5662950268</v>
      </c>
      <c r="C12" s="30">
        <f>'balance sheet'!H19-'balance sheet'!G19</f>
        <v>2109168.3051150925</v>
      </c>
      <c r="D12" s="30">
        <f>'balance sheet'!I19-'balance sheet'!H19</f>
        <v>2548608.2620085487</v>
      </c>
      <c r="E12" s="30">
        <f>'balance sheet'!J19-'balance sheet'!I19</f>
        <v>3341225.4314932059</v>
      </c>
      <c r="F12" s="30">
        <f>'balance sheet'!K19-'balance sheet'!J19</f>
        <v>4380346.5406875927</v>
      </c>
      <c r="G12" s="1"/>
    </row>
    <row r="13" spans="1:7">
      <c r="A13" s="5" t="s">
        <v>121</v>
      </c>
      <c r="B13" s="30">
        <f>-('Fixed Asset Roll Forward'!G6)</f>
        <v>-25838447.559458766</v>
      </c>
      <c r="C13" s="30">
        <f>-('Fixed Asset Roll Forward'!H6)</f>
        <v>-34956600.200731404</v>
      </c>
      <c r="D13" s="30">
        <f>-('Fixed Asset Roll Forward'!I6)</f>
        <v>-47296280.071589589</v>
      </c>
      <c r="E13" s="30">
        <f>-('Fixed Asset Roll Forward'!J6)</f>
        <v>-63991866.936860718</v>
      </c>
      <c r="F13" s="30">
        <f>-('Fixed Asset Roll Forward'!K6)</f>
        <v>-86580995.965572566</v>
      </c>
      <c r="G13" s="1"/>
    </row>
    <row r="14" spans="1:7">
      <c r="A14" s="6" t="s">
        <v>150</v>
      </c>
      <c r="B14" s="31">
        <f>SUM(B5:B13)</f>
        <v>42764853.45463632</v>
      </c>
      <c r="C14" s="31">
        <f t="shared" ref="C14:F14" si="0">SUM(C5:C13)</f>
        <v>46806860.134324379</v>
      </c>
      <c r="D14" s="31">
        <f t="shared" si="0"/>
        <v>62209131.882933468</v>
      </c>
      <c r="E14" s="31">
        <f t="shared" si="0"/>
        <v>80838216.590877503</v>
      </c>
      <c r="F14" s="31">
        <f t="shared" si="0"/>
        <v>105578133.19778648</v>
      </c>
      <c r="G14" s="1"/>
    </row>
    <row r="15" spans="1:7">
      <c r="A15" s="5" t="s">
        <v>141</v>
      </c>
      <c r="B15" s="30">
        <f>'equity schedule'!H9</f>
        <v>-22184148.809244238</v>
      </c>
      <c r="C15" s="30">
        <f>'equity schedule'!I9</f>
        <v>-29686745.194969404</v>
      </c>
      <c r="D15" s="30">
        <f>'equity schedule'!J9</f>
        <v>-39513144.003991581</v>
      </c>
      <c r="E15" s="30">
        <f>'equity schedule'!K9</f>
        <v>-52182278.325840503</v>
      </c>
      <c r="F15" s="30">
        <f>'equity schedule'!L9</f>
        <v>-69043177.351583853</v>
      </c>
      <c r="G15" s="1"/>
    </row>
    <row r="16" spans="1:7">
      <c r="A16" s="5" t="s">
        <v>151</v>
      </c>
      <c r="B16" s="30">
        <f>'balance sheet'!G18-'balance sheet'!F18</f>
        <v>-26273298.733820252</v>
      </c>
      <c r="C16" s="30">
        <f>'balance sheet'!H18-'balance sheet'!G18</f>
        <v>-1742328.6859079003</v>
      </c>
      <c r="D16" s="30">
        <f>'balance sheet'!I18-'balance sheet'!H18</f>
        <v>-2055947.8493713215</v>
      </c>
      <c r="E16" s="30">
        <f>'balance sheet'!J18-'balance sheet'!I18</f>
        <v>-1685877.2364844829</v>
      </c>
      <c r="F16" s="30">
        <f>'balance sheet'!K18-'balance sheet'!J18</f>
        <v>-2122560.5596909523</v>
      </c>
      <c r="G16" s="1"/>
    </row>
    <row r="17" spans="1:7">
      <c r="A17" s="5" t="s">
        <v>152</v>
      </c>
      <c r="B17" s="30">
        <f>'balance sheet'!G17-'balance sheet'!F17</f>
        <v>0</v>
      </c>
      <c r="C17" s="30">
        <f>'balance sheet'!H17-'balance sheet'!G17</f>
        <v>0</v>
      </c>
      <c r="D17" s="30">
        <f>'balance sheet'!I17-'balance sheet'!H17</f>
        <v>0</v>
      </c>
      <c r="E17" s="30">
        <f>'balance sheet'!J17-'balance sheet'!I17</f>
        <v>0</v>
      </c>
      <c r="F17" s="30">
        <f>'balance sheet'!K17-'balance sheet'!J17</f>
        <v>0</v>
      </c>
      <c r="G17" s="1"/>
    </row>
    <row r="18" spans="1:7">
      <c r="A18" s="5" t="s">
        <v>153</v>
      </c>
      <c r="B18" s="30">
        <f>'balance sheet'!G20-'balance sheet'!F20-'income statement'!G19-'equity schedule'!H9</f>
        <v>0</v>
      </c>
      <c r="C18" s="30">
        <f>'balance sheet'!H20-'balance sheet'!G20-'income statement'!H19-'equity schedule'!I9</f>
        <v>0</v>
      </c>
      <c r="D18" s="30">
        <f>'balance sheet'!I20-'balance sheet'!H20-'income statement'!I19-'equity schedule'!J9</f>
        <v>0</v>
      </c>
      <c r="E18" s="30">
        <f>'balance sheet'!J20-'balance sheet'!I20-'income statement'!J19-'equity schedule'!K9</f>
        <v>0</v>
      </c>
      <c r="F18" s="30">
        <f>'balance sheet'!K20-'balance sheet'!J20-'income statement'!K19-'equity schedule'!L9</f>
        <v>0</v>
      </c>
      <c r="G18" s="1"/>
    </row>
    <row r="19" spans="1:7">
      <c r="A19" s="7" t="s">
        <v>154</v>
      </c>
      <c r="B19" s="32">
        <f>SUM(B14:B18)</f>
        <v>-5692594.0884281695</v>
      </c>
      <c r="C19" s="32">
        <f t="shared" ref="C19:F19" si="1">SUM(C14:C18)</f>
        <v>15377786.253447074</v>
      </c>
      <c r="D19" s="32">
        <f t="shared" si="1"/>
        <v>20640040.029570565</v>
      </c>
      <c r="E19" s="32">
        <f t="shared" si="1"/>
        <v>26970061.028552517</v>
      </c>
      <c r="F19" s="32">
        <f t="shared" si="1"/>
        <v>34412395.286511675</v>
      </c>
      <c r="G19" s="1"/>
    </row>
    <row r="20" spans="1:7">
      <c r="A20" s="5" t="s">
        <v>100</v>
      </c>
      <c r="B20" s="5" t="s">
        <v>100</v>
      </c>
      <c r="C20" s="5" t="s">
        <v>100</v>
      </c>
      <c r="D20" s="5" t="s">
        <v>100</v>
      </c>
      <c r="E20" s="5" t="s">
        <v>100</v>
      </c>
      <c r="F20" s="5" t="s">
        <v>100</v>
      </c>
      <c r="G20" s="5" t="s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AEBC-034B-4091-A6CF-BEECF3EAE415}">
  <dimension ref="A1:K35"/>
  <sheetViews>
    <sheetView workbookViewId="0">
      <selection activeCell="E13" sqref="A1:XFD1048576"/>
    </sheetView>
  </sheetViews>
  <sheetFormatPr defaultRowHeight="15"/>
  <cols>
    <col min="1" max="1" width="20.28515625" bestFit="1" customWidth="1"/>
    <col min="2" max="2" width="21.28515625" bestFit="1" customWidth="1"/>
    <col min="3" max="6" width="15.85546875" bestFit="1" customWidth="1"/>
    <col min="7" max="8" width="14.7109375" bestFit="1" customWidth="1"/>
    <col min="9" max="11" width="12" bestFit="1" customWidth="1"/>
  </cols>
  <sheetData>
    <row r="1" spans="1:11" s="1" customFormat="1"/>
    <row r="2" spans="1:11">
      <c r="A2" s="36"/>
      <c r="B2" s="23">
        <v>2019</v>
      </c>
      <c r="C2" s="23">
        <v>2020</v>
      </c>
      <c r="D2" s="23">
        <v>2021</v>
      </c>
      <c r="E2" s="23">
        <v>2022</v>
      </c>
      <c r="F2" s="23">
        <v>2023</v>
      </c>
      <c r="G2" s="23">
        <v>2024</v>
      </c>
      <c r="H2" s="23">
        <v>2025</v>
      </c>
      <c r="I2" s="23">
        <v>2026</v>
      </c>
      <c r="J2" s="23">
        <v>2027</v>
      </c>
      <c r="K2" s="23">
        <v>2028</v>
      </c>
    </row>
    <row r="3" spans="1:11">
      <c r="A3" s="36" t="s">
        <v>155</v>
      </c>
      <c r="B3" s="41">
        <f>'balance sheet'!B18</f>
        <v>16712674</v>
      </c>
      <c r="C3" s="41">
        <f>'balance sheet'!C18</f>
        <v>21416991</v>
      </c>
      <c r="D3" s="41">
        <f>'balance sheet'!D18</f>
        <v>30424884</v>
      </c>
      <c r="E3" s="41">
        <f>'balance sheet'!E18</f>
        <v>51150486</v>
      </c>
      <c r="F3" s="41">
        <f>'balance sheet'!F18</f>
        <v>59527131</v>
      </c>
      <c r="G3" s="41">
        <f>'balance sheet'!G18</f>
        <v>33253832.266179748</v>
      </c>
      <c r="H3" s="41">
        <f>'balance sheet'!H18</f>
        <v>31511503.580271848</v>
      </c>
      <c r="I3" s="41">
        <f>'balance sheet'!I18</f>
        <v>29455555.730900526</v>
      </c>
      <c r="J3" s="41">
        <f>'balance sheet'!J18</f>
        <v>27769678.494416043</v>
      </c>
      <c r="K3" s="41">
        <f>'balance sheet'!K18</f>
        <v>25647117.934725091</v>
      </c>
    </row>
    <row r="4" spans="1:11">
      <c r="A4" s="36" t="s">
        <v>54</v>
      </c>
      <c r="B4" s="41">
        <f>'balance sheet'!B20</f>
        <v>14103977</v>
      </c>
      <c r="C4" s="41">
        <f>'balance sheet'!C20</f>
        <v>16382012</v>
      </c>
      <c r="D4" s="41">
        <f>'balance sheet'!D20</f>
        <v>19206561</v>
      </c>
      <c r="E4" s="41">
        <f>'balance sheet'!E20</f>
        <v>28666420</v>
      </c>
      <c r="F4" s="41">
        <f>'balance sheet'!F20</f>
        <v>41531734</v>
      </c>
      <c r="G4" s="41">
        <f>'balance sheet'!G20</f>
        <v>93294747.888236552</v>
      </c>
      <c r="H4" s="41">
        <f>'balance sheet'!H20</f>
        <v>162563820.00983182</v>
      </c>
      <c r="I4" s="41">
        <f>'balance sheet'!I20</f>
        <v>254761156.01914552</v>
      </c>
      <c r="J4" s="41">
        <f>'balance sheet'!J20</f>
        <v>376519805.44610667</v>
      </c>
      <c r="K4" s="41">
        <f>'balance sheet'!K20</f>
        <v>537620552.59980237</v>
      </c>
    </row>
    <row r="5" spans="1:11">
      <c r="A5" s="36"/>
      <c r="B5" s="36"/>
      <c r="C5" s="36"/>
      <c r="D5" s="36"/>
      <c r="E5" s="36"/>
      <c r="F5" s="36"/>
      <c r="G5" s="36"/>
      <c r="H5" s="36"/>
      <c r="I5" s="36"/>
      <c r="J5" s="1"/>
      <c r="K5" s="1"/>
    </row>
    <row r="6" spans="1:11">
      <c r="A6" s="36" t="s">
        <v>156</v>
      </c>
      <c r="B6" s="37">
        <f>B3/B8</f>
        <v>0.54232609507113538</v>
      </c>
      <c r="C6" s="37">
        <f t="shared" ref="C6:K6" si="0">C3/C8</f>
        <v>0.56660200799476113</v>
      </c>
      <c r="D6" s="37">
        <f t="shared" si="0"/>
        <v>0.61301628433345035</v>
      </c>
      <c r="E6" s="37">
        <f t="shared" si="0"/>
        <v>0.64084776726374237</v>
      </c>
      <c r="F6" s="37">
        <f t="shared" si="0"/>
        <v>0.58903423267221533</v>
      </c>
      <c r="G6" s="37">
        <f t="shared" si="0"/>
        <v>0.26277523007846448</v>
      </c>
      <c r="H6" s="37">
        <f t="shared" si="0"/>
        <v>0.16236738910107731</v>
      </c>
      <c r="I6" s="37">
        <f t="shared" si="0"/>
        <v>0.10363766278741966</v>
      </c>
      <c r="J6" s="37">
        <f t="shared" si="0"/>
        <v>6.868761023351623E-2</v>
      </c>
      <c r="K6" s="37">
        <f t="shared" si="0"/>
        <v>4.5532735635948347E-2</v>
      </c>
    </row>
    <row r="7" spans="1:11">
      <c r="A7" s="36" t="s">
        <v>157</v>
      </c>
      <c r="B7" s="38">
        <f>B4/B8</f>
        <v>0.45767390492886462</v>
      </c>
      <c r="C7" s="38">
        <f t="shared" ref="C7:K7" si="1">C4/C8</f>
        <v>0.43339799200523887</v>
      </c>
      <c r="D7" s="38">
        <f t="shared" si="1"/>
        <v>0.38698371566654971</v>
      </c>
      <c r="E7" s="38">
        <f t="shared" si="1"/>
        <v>0.35915223273625768</v>
      </c>
      <c r="F7" s="38">
        <f t="shared" si="1"/>
        <v>0.41096576732778467</v>
      </c>
      <c r="G7" s="38">
        <f t="shared" si="1"/>
        <v>0.73722476992153552</v>
      </c>
      <c r="H7" s="38">
        <f t="shared" si="1"/>
        <v>0.83763261089892271</v>
      </c>
      <c r="I7" s="38">
        <f t="shared" si="1"/>
        <v>0.89636233721258041</v>
      </c>
      <c r="J7" s="38">
        <f t="shared" si="1"/>
        <v>0.93131238976648378</v>
      </c>
      <c r="K7" s="38">
        <f t="shared" si="1"/>
        <v>0.95446726436405172</v>
      </c>
    </row>
    <row r="8" spans="1:11">
      <c r="A8" s="36" t="s">
        <v>158</v>
      </c>
      <c r="B8" s="41">
        <f>B3+B4</f>
        <v>30816651</v>
      </c>
      <c r="C8" s="41">
        <f t="shared" ref="C8:I8" si="2">C3+C4</f>
        <v>37799003</v>
      </c>
      <c r="D8" s="41">
        <f t="shared" si="2"/>
        <v>49631445</v>
      </c>
      <c r="E8" s="41">
        <f t="shared" si="2"/>
        <v>79816906</v>
      </c>
      <c r="F8" s="41">
        <f t="shared" si="2"/>
        <v>101058865</v>
      </c>
      <c r="G8" s="41">
        <f t="shared" si="2"/>
        <v>126548580.15441629</v>
      </c>
      <c r="H8" s="41">
        <f t="shared" si="2"/>
        <v>194075323.59010366</v>
      </c>
      <c r="I8" s="41">
        <f t="shared" si="2"/>
        <v>284216711.75004601</v>
      </c>
      <c r="J8" s="41">
        <f>J3+J4</f>
        <v>404289483.94052273</v>
      </c>
      <c r="K8" s="41">
        <f>K3+K4</f>
        <v>563267670.53452742</v>
      </c>
    </row>
    <row r="9" spans="1:11">
      <c r="A9" s="36"/>
      <c r="B9" s="36"/>
      <c r="C9" s="36"/>
      <c r="D9" s="36"/>
      <c r="E9" s="36"/>
      <c r="F9" s="36"/>
      <c r="G9" s="36"/>
      <c r="H9" s="36"/>
      <c r="I9" s="36"/>
      <c r="J9" s="1"/>
      <c r="K9" s="1"/>
    </row>
    <row r="10" spans="1:11">
      <c r="A10" s="36" t="s">
        <v>159</v>
      </c>
      <c r="B10" s="39">
        <f>'Financial Liabilities'!B12</f>
        <v>0.18</v>
      </c>
      <c r="C10" s="36"/>
      <c r="D10" s="36"/>
      <c r="E10" s="36"/>
      <c r="F10" s="36"/>
      <c r="G10" s="36"/>
      <c r="H10" s="36"/>
      <c r="I10" s="36"/>
      <c r="J10" s="1"/>
      <c r="K10" s="1"/>
    </row>
    <row r="11" spans="1:11">
      <c r="A11" s="36" t="s">
        <v>160</v>
      </c>
      <c r="B11" s="40">
        <v>0.498</v>
      </c>
      <c r="C11" s="36"/>
      <c r="D11" s="36"/>
      <c r="E11" s="36"/>
      <c r="F11" s="36"/>
      <c r="G11" s="36"/>
      <c r="H11" s="36"/>
      <c r="I11" s="36"/>
      <c r="J11" s="1"/>
      <c r="K11" s="1"/>
    </row>
    <row r="12" spans="1:11">
      <c r="A12" s="36"/>
      <c r="B12" s="36"/>
      <c r="C12" s="36"/>
      <c r="D12" s="36"/>
      <c r="E12" s="36"/>
      <c r="F12" s="36"/>
      <c r="G12" s="36"/>
      <c r="H12" s="36"/>
      <c r="I12" s="36"/>
      <c r="J12" s="1"/>
      <c r="K12" s="1"/>
    </row>
    <row r="13" spans="1:11">
      <c r="A13" s="36" t="s">
        <v>161</v>
      </c>
      <c r="B13" s="40">
        <f>B15+((B14-B15)*B16)</f>
        <v>0.49635999999999991</v>
      </c>
      <c r="C13" s="36"/>
      <c r="D13" s="36"/>
      <c r="E13" s="36"/>
      <c r="F13" s="36"/>
      <c r="G13" s="36"/>
      <c r="H13" s="36"/>
      <c r="I13" s="36"/>
      <c r="J13" s="1"/>
      <c r="K13" s="1"/>
    </row>
    <row r="14" spans="1:11">
      <c r="A14" s="36" t="s">
        <v>162</v>
      </c>
      <c r="B14" s="39">
        <v>0.56799999999999995</v>
      </c>
      <c r="C14" s="36"/>
      <c r="D14" s="36"/>
      <c r="E14" s="36"/>
      <c r="F14" s="36"/>
      <c r="G14" s="36"/>
      <c r="H14" s="36"/>
      <c r="I14" s="36"/>
      <c r="J14" s="1"/>
      <c r="K14" s="1"/>
    </row>
    <row r="15" spans="1:11">
      <c r="A15" s="36" t="s">
        <v>163</v>
      </c>
      <c r="B15" s="39">
        <v>0.17</v>
      </c>
      <c r="C15" s="36"/>
      <c r="D15" s="36"/>
      <c r="E15" s="36"/>
      <c r="F15" s="36"/>
      <c r="G15" s="36"/>
      <c r="H15" s="36"/>
      <c r="I15" s="36"/>
      <c r="J15" s="1"/>
      <c r="K15" s="1"/>
    </row>
    <row r="16" spans="1:11">
      <c r="A16" s="36" t="s">
        <v>164</v>
      </c>
      <c r="B16" s="36">
        <v>0.82</v>
      </c>
      <c r="C16" s="36"/>
      <c r="D16" s="36"/>
      <c r="E16" s="36"/>
      <c r="F16" s="36"/>
      <c r="G16" s="36"/>
      <c r="H16" s="36"/>
      <c r="I16" s="36"/>
      <c r="J16" s="1"/>
      <c r="K16" s="1"/>
    </row>
    <row r="17" spans="1:11">
      <c r="A17" s="36"/>
      <c r="B17" s="36"/>
      <c r="C17" s="36"/>
      <c r="D17" s="36"/>
      <c r="E17" s="36"/>
      <c r="F17" s="36"/>
      <c r="G17" s="36"/>
      <c r="H17" s="36"/>
      <c r="I17" s="36"/>
      <c r="J17" s="1"/>
      <c r="K17" s="1"/>
    </row>
    <row r="18" spans="1:11">
      <c r="A18" s="36" t="s">
        <v>165</v>
      </c>
      <c r="B18" s="36"/>
      <c r="C18" s="36"/>
      <c r="D18" s="36"/>
      <c r="E18" s="36"/>
      <c r="F18" s="36"/>
      <c r="G18" s="36"/>
      <c r="H18" s="36"/>
      <c r="I18" s="36"/>
      <c r="J18" s="1"/>
      <c r="K18" s="1"/>
    </row>
    <row r="19" spans="1:11">
      <c r="A19" s="36"/>
      <c r="B19" s="36"/>
      <c r="C19" s="36"/>
      <c r="D19" s="36"/>
      <c r="E19" s="36"/>
      <c r="F19" s="36"/>
      <c r="G19" s="36"/>
      <c r="H19" s="36"/>
      <c r="I19" s="36"/>
      <c r="J19" s="1"/>
      <c r="K19" s="1"/>
    </row>
    <row r="20" spans="1:11">
      <c r="A20" s="36"/>
      <c r="B20" s="36"/>
      <c r="C20" s="36"/>
      <c r="D20" s="36"/>
      <c r="E20" s="36"/>
      <c r="F20" s="36"/>
      <c r="G20" s="36"/>
      <c r="H20" s="36"/>
      <c r="I20" s="36"/>
      <c r="J20" s="1"/>
      <c r="K20" s="1"/>
    </row>
    <row r="21" spans="1:11">
      <c r="A21" s="36"/>
      <c r="B21" s="42">
        <v>2024</v>
      </c>
      <c r="C21" s="42">
        <v>2025</v>
      </c>
      <c r="D21" s="42">
        <v>2026</v>
      </c>
      <c r="E21" s="42">
        <v>2027</v>
      </c>
      <c r="F21" s="42">
        <v>2028</v>
      </c>
      <c r="G21" s="42"/>
      <c r="H21" s="42"/>
      <c r="I21" s="42"/>
      <c r="J21" s="42"/>
      <c r="K21" s="42"/>
    </row>
    <row r="22" spans="1:11">
      <c r="A22" s="36" t="s">
        <v>166</v>
      </c>
      <c r="B22" s="43">
        <f>'cash flow'!B19</f>
        <v>-5692594.0884281695</v>
      </c>
      <c r="C22" s="43">
        <f>'cash flow'!C19</f>
        <v>15377786.253447074</v>
      </c>
      <c r="D22" s="43">
        <f>'cash flow'!D19</f>
        <v>20640040.029570565</v>
      </c>
      <c r="E22" s="43">
        <f>'cash flow'!E19</f>
        <v>26970061.028552517</v>
      </c>
      <c r="F22" s="43">
        <f>'cash flow'!F19</f>
        <v>34412395.286511675</v>
      </c>
      <c r="G22" s="44">
        <f>F22*(1+0.05)</f>
        <v>36133015.050837263</v>
      </c>
      <c r="H22" s="44"/>
      <c r="I22" s="36"/>
      <c r="J22" s="1"/>
      <c r="K22" s="1"/>
    </row>
    <row r="23" spans="1:11">
      <c r="A23" s="36" t="s">
        <v>165</v>
      </c>
      <c r="B23" s="40">
        <f>((G6*$B$49)*(1-0.35))+(G7*$B$13)</f>
        <v>0.36592888679825331</v>
      </c>
      <c r="C23" s="40">
        <f t="shared" ref="C23:F23" si="3">((H6*$B$49)*(1-0.35))+(H7*$B$13)</f>
        <v>0.4157673227457892</v>
      </c>
      <c r="D23" s="40">
        <f t="shared" si="3"/>
        <v>0.44491840969883634</v>
      </c>
      <c r="E23" s="40">
        <f t="shared" si="3"/>
        <v>0.46226621778449178</v>
      </c>
      <c r="F23" s="40">
        <f t="shared" si="3"/>
        <v>0.47375937133974061</v>
      </c>
      <c r="G23" s="36"/>
      <c r="H23" s="36"/>
      <c r="I23" s="36"/>
      <c r="J23" s="1"/>
      <c r="K23" s="1"/>
    </row>
    <row r="24" spans="1:11">
      <c r="A24" s="36" t="s">
        <v>167</v>
      </c>
      <c r="B24" s="36"/>
      <c r="C24" s="36"/>
      <c r="D24" s="36"/>
      <c r="E24" s="36"/>
      <c r="F24" s="36"/>
      <c r="G24" s="44">
        <f>G22/F23</f>
        <v>76268707.78019014</v>
      </c>
      <c r="H24" s="36"/>
      <c r="I24" s="36"/>
      <c r="J24" s="1"/>
      <c r="K24" s="1"/>
    </row>
    <row r="25" spans="1:11">
      <c r="A25" s="36" t="s">
        <v>168</v>
      </c>
      <c r="B25" s="46">
        <f t="shared" ref="B25:D25" si="4">PV(B23,1,0,-C25)</f>
        <v>12665725.26695838</v>
      </c>
      <c r="C25" s="46">
        <f t="shared" si="4"/>
        <v>17300480.014388971</v>
      </c>
      <c r="D25" s="46">
        <f>PV(D23,1,0,-E25)</f>
        <v>24493454.272188507</v>
      </c>
      <c r="E25" s="46">
        <f>PV(E23,1,0,-F25)</f>
        <v>35391042.995001785</v>
      </c>
      <c r="F25" s="46">
        <f>PV(F23,1,0,-G24)</f>
        <v>51751126.5837496</v>
      </c>
      <c r="G25" s="36"/>
      <c r="H25" s="36"/>
      <c r="I25" s="36"/>
      <c r="J25" s="1"/>
      <c r="K25" s="1"/>
    </row>
    <row r="26" spans="1:11">
      <c r="A26" s="36"/>
      <c r="B26" s="46">
        <f>PV(C22,1,0,-C23)</f>
        <v>2.703687571517099E-8</v>
      </c>
      <c r="C26" s="36"/>
      <c r="D26" s="36"/>
      <c r="E26" s="36"/>
      <c r="F26" s="36"/>
      <c r="G26" s="36"/>
      <c r="H26" s="36"/>
      <c r="I26" s="36"/>
      <c r="J26" s="1"/>
      <c r="K26" s="1"/>
    </row>
    <row r="27" spans="1:11">
      <c r="A27" s="36"/>
      <c r="B27" s="46">
        <f>PV(D22,1,0,-D23)</f>
        <v>2.1556081650293757E-8</v>
      </c>
      <c r="C27" s="36"/>
      <c r="D27" s="36"/>
      <c r="E27" s="36"/>
      <c r="F27" s="36"/>
      <c r="G27" s="36"/>
      <c r="H27" s="36"/>
      <c r="I27" s="36"/>
      <c r="J27" s="1"/>
      <c r="K27" s="1"/>
    </row>
    <row r="28" spans="1:11">
      <c r="A28" s="36"/>
      <c r="B28" s="46">
        <f>PV(E22,1,0,-E23)</f>
        <v>1.7139976070322061E-8</v>
      </c>
      <c r="C28" s="36"/>
      <c r="D28" s="36"/>
      <c r="E28" s="36"/>
      <c r="F28" s="36"/>
      <c r="G28" s="36"/>
      <c r="H28" s="36"/>
      <c r="I28" s="36"/>
      <c r="J28" s="1"/>
      <c r="K28" s="1"/>
    </row>
    <row r="29" spans="1:11">
      <c r="A29" s="36"/>
      <c r="B29" s="46">
        <f>PV(F22,1,0,-F23)</f>
        <v>1.3767113670181577E-8</v>
      </c>
      <c r="C29" s="36"/>
      <c r="D29" s="36"/>
      <c r="E29" s="36"/>
      <c r="F29" s="36"/>
      <c r="G29" s="36"/>
      <c r="H29" s="36"/>
      <c r="I29" s="36"/>
      <c r="J29" s="1"/>
      <c r="K29" s="1"/>
    </row>
    <row r="30" spans="1:11">
      <c r="A30" s="36"/>
      <c r="B30" s="36"/>
      <c r="C30" s="36"/>
      <c r="D30" s="36"/>
      <c r="E30" s="36"/>
      <c r="F30" s="36"/>
      <c r="G30" s="36"/>
      <c r="H30" s="36"/>
      <c r="I30" s="36"/>
      <c r="J30" s="1"/>
      <c r="K30" s="1"/>
    </row>
    <row r="31" spans="1:11">
      <c r="A31" s="36" t="s">
        <v>169</v>
      </c>
      <c r="B31" s="46">
        <f>SUM(B25:B29)</f>
        <v>12665725.26695846</v>
      </c>
      <c r="C31" s="36"/>
      <c r="D31" s="36"/>
      <c r="E31" s="36"/>
      <c r="F31" s="36"/>
      <c r="G31" s="36"/>
      <c r="H31" s="36"/>
      <c r="I31" s="36"/>
      <c r="J31" s="1"/>
      <c r="K31" s="1"/>
    </row>
    <row r="32" spans="1:11" ht="15.75">
      <c r="A32" s="36" t="s">
        <v>170</v>
      </c>
      <c r="B32" s="47">
        <v>1401709468</v>
      </c>
      <c r="C32" s="36"/>
      <c r="D32" s="36"/>
      <c r="E32" s="36"/>
      <c r="F32" s="36"/>
      <c r="G32" s="36"/>
      <c r="H32" s="36"/>
      <c r="I32" s="36"/>
      <c r="J32" s="1"/>
      <c r="K32" s="1"/>
    </row>
    <row r="33" spans="1:11">
      <c r="A33" s="36" t="s">
        <v>171</v>
      </c>
      <c r="B33" s="48">
        <f>B32/B31</f>
        <v>110.6694988605738</v>
      </c>
      <c r="C33" s="36"/>
      <c r="D33" s="36"/>
      <c r="E33" s="36"/>
      <c r="F33" s="36"/>
      <c r="G33" s="36"/>
      <c r="H33" s="36"/>
      <c r="I33" s="36"/>
      <c r="J33" s="1"/>
      <c r="K33" s="1"/>
    </row>
    <row r="34" spans="1:11">
      <c r="A34" s="36"/>
      <c r="B34" s="36"/>
      <c r="C34" s="36"/>
      <c r="D34" s="36"/>
      <c r="E34" s="36"/>
      <c r="F34" s="36"/>
      <c r="G34" s="36"/>
      <c r="H34" s="36"/>
      <c r="I34" s="36"/>
      <c r="J34" s="1"/>
      <c r="K34" s="1"/>
    </row>
    <row r="35" spans="1:11">
      <c r="A35" s="36"/>
      <c r="B35" s="36"/>
      <c r="C35" s="36"/>
      <c r="D35" s="36"/>
      <c r="E35" s="36"/>
      <c r="F35" s="36"/>
      <c r="G35" s="36"/>
      <c r="H35" s="36"/>
      <c r="I35" s="36"/>
      <c r="J35" s="1"/>
      <c r="K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Ilma Ihjas</dc:creator>
  <cp:keywords/>
  <dc:description/>
  <cp:lastModifiedBy/>
  <cp:revision/>
  <dcterms:created xsi:type="dcterms:W3CDTF">2024-10-07T13:14:12Z</dcterms:created>
  <dcterms:modified xsi:type="dcterms:W3CDTF">2025-06-29T15:54:43Z</dcterms:modified>
  <cp:category/>
  <cp:contentStatus/>
</cp:coreProperties>
</file>