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9B6D0DE-0C50-4681-883E-A59ACD0A0C67}" xr6:coauthVersionLast="40" xr6:coauthVersionMax="40" xr10:uidLastSave="{00000000-0000-0000-0000-000000000000}"/>
  <bookViews>
    <workbookView xWindow="0" yWindow="0" windowWidth="22260" windowHeight="12645" firstSheet="1" activeTab="3" xr2:uid="{00000000-000D-0000-FFFF-FFFF00000000}"/>
  </bookViews>
  <sheets>
    <sheet name="option_prices_for_various_K" sheetId="1" r:id="rId1"/>
    <sheet name="stock_prices_of_last_one_year" sheetId="2" r:id="rId2"/>
    <sheet name="explanation_of_various_variable" sheetId="3" r:id="rId3"/>
    <sheet name="comparison_with_actual_prices" sheetId="4" r:id="rId4"/>
  </sheets>
  <definedNames>
    <definedName name="call_d">option_prices_for_various_K!$A$18</definedName>
    <definedName name="call_u">option_prices_for_various_K!$A$14</definedName>
    <definedName name="d">option_prices_for_various_K!$B$7</definedName>
    <definedName name="interest_rate">option_prices_for_various_K!$B$3</definedName>
    <definedName name="K">option_prices_for_various_K!$B$2</definedName>
    <definedName name="K_1">option_prices_for_various_K!$C$2</definedName>
    <definedName name="K_2">option_prices_for_various_K!$D$2</definedName>
    <definedName name="K_3">option_prices_for_various_K!$E$2</definedName>
    <definedName name="K_4">option_prices_for_various_K!$F$2</definedName>
    <definedName name="K_5">option_prices_for_various_K!$G$2</definedName>
    <definedName name="K_6">option_prices_for_various_K!$H$2</definedName>
    <definedName name="K_7">option_prices_for_various_K!$I$2</definedName>
    <definedName name="K_8">option_prices_for_various_K!$J$2</definedName>
    <definedName name="K_9">option_prices_for_various_K!$K$2</definedName>
    <definedName name="p">option_prices_for_various_K!$B$18</definedName>
    <definedName name="put_d">option_prices_for_various_K!$A$17</definedName>
    <definedName name="put_u">option_prices_for_various_K!$A$16</definedName>
    <definedName name="S">option_prices_for_various_K!$B$1</definedName>
    <definedName name="S_d">option_prices_for_various_K!$B$13</definedName>
    <definedName name="S_u">option_prices_for_various_K!$B$12</definedName>
    <definedName name="Sigma">option_prices_for_various_K!$B$4</definedName>
    <definedName name="T">option_prices_for_various_K!$B$11</definedName>
    <definedName name="u">option_prices_for_various_K!$B$6</definedName>
    <definedName name="uptick_prob">option_prices_for_various_K!$A$18</definedName>
    <definedName name="volatality">option_prices_for_various_K!$B$5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E10" i="4"/>
  <c r="E9" i="4"/>
  <c r="E8" i="4"/>
  <c r="E7" i="4"/>
  <c r="E6" i="4"/>
  <c r="E5" i="4"/>
  <c r="E4" i="4"/>
  <c r="E3" i="4"/>
  <c r="E2" i="4"/>
  <c r="D11" i="1" l="1"/>
  <c r="E11" i="1"/>
  <c r="F11" i="1"/>
  <c r="G11" i="1"/>
  <c r="H11" i="1"/>
  <c r="I11" i="1"/>
  <c r="J11" i="1"/>
  <c r="K11" i="1"/>
  <c r="C11" i="1"/>
  <c r="B11" i="1"/>
  <c r="K4" i="1"/>
  <c r="J4" i="1"/>
  <c r="I4" i="1"/>
  <c r="H4" i="1"/>
  <c r="G4" i="1"/>
  <c r="F4" i="1"/>
  <c r="E4" i="1"/>
  <c r="D4" i="1"/>
  <c r="C4" i="1"/>
  <c r="B4" i="1"/>
  <c r="D5" i="1" s="1"/>
  <c r="G2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K5" i="1" l="1"/>
  <c r="F5" i="1"/>
  <c r="B5" i="1"/>
  <c r="I5" i="1"/>
  <c r="E5" i="1"/>
  <c r="G5" i="1"/>
  <c r="J5" i="1"/>
  <c r="C5" i="1"/>
  <c r="H5" i="1"/>
  <c r="E7" i="1" l="1"/>
  <c r="I7" i="1"/>
  <c r="C6" i="1"/>
  <c r="G6" i="1"/>
  <c r="K6" i="1"/>
  <c r="C7" i="1"/>
  <c r="G7" i="1"/>
  <c r="E6" i="1"/>
  <c r="D7" i="1"/>
  <c r="B7" i="1"/>
  <c r="J6" i="1"/>
  <c r="F7" i="1"/>
  <c r="J7" i="1"/>
  <c r="D6" i="1"/>
  <c r="H6" i="1"/>
  <c r="B6" i="1"/>
  <c r="K7" i="1"/>
  <c r="I6" i="1"/>
  <c r="H7" i="1"/>
  <c r="F6" i="1"/>
  <c r="E13" i="1" l="1"/>
  <c r="I13" i="1"/>
  <c r="B13" i="1"/>
  <c r="C13" i="1"/>
  <c r="K13" i="1"/>
  <c r="D13" i="1"/>
  <c r="F13" i="1"/>
  <c r="J13" i="1"/>
  <c r="G13" i="1"/>
  <c r="H13" i="1"/>
  <c r="C18" i="1"/>
  <c r="I18" i="1"/>
  <c r="B18" i="1"/>
  <c r="J18" i="1"/>
  <c r="H18" i="1"/>
  <c r="K18" i="1"/>
  <c r="F18" i="1"/>
  <c r="D18" i="1"/>
  <c r="E18" i="1"/>
  <c r="G18" i="1"/>
  <c r="F12" i="1"/>
  <c r="J12" i="1"/>
  <c r="H12" i="1"/>
  <c r="E12" i="1"/>
  <c r="D12" i="1"/>
  <c r="G12" i="1"/>
  <c r="K12" i="1"/>
  <c r="B12" i="1"/>
  <c r="C12" i="1"/>
  <c r="I12" i="1"/>
  <c r="I16" i="1" l="1"/>
  <c r="E16" i="1"/>
  <c r="F16" i="1"/>
  <c r="H16" i="1"/>
  <c r="H21" i="1" s="1"/>
  <c r="D16" i="1"/>
  <c r="K16" i="1"/>
  <c r="G16" i="1"/>
  <c r="C16" i="1"/>
  <c r="C21" i="1" s="1"/>
  <c r="J16" i="1"/>
  <c r="B16" i="1"/>
  <c r="K17" i="1"/>
  <c r="G17" i="1"/>
  <c r="C17" i="1"/>
  <c r="J17" i="1"/>
  <c r="F17" i="1"/>
  <c r="B17" i="1"/>
  <c r="I17" i="1"/>
  <c r="E17" i="1"/>
  <c r="H17" i="1"/>
  <c r="D17" i="1"/>
  <c r="I15" i="1"/>
  <c r="E15" i="1"/>
  <c r="K15" i="1"/>
  <c r="C15" i="1"/>
  <c r="H15" i="1"/>
  <c r="D15" i="1"/>
  <c r="B15" i="1"/>
  <c r="G15" i="1"/>
  <c r="J15" i="1"/>
  <c r="F15" i="1"/>
  <c r="J14" i="1"/>
  <c r="J20" i="1" s="1"/>
  <c r="B10" i="4" s="1"/>
  <c r="F14" i="1"/>
  <c r="F20" i="1" s="1"/>
  <c r="B6" i="4" s="1"/>
  <c r="B14" i="1"/>
  <c r="B20" i="1" s="1"/>
  <c r="B2" i="4" s="1"/>
  <c r="H14" i="1"/>
  <c r="H20" i="1" s="1"/>
  <c r="B8" i="4" s="1"/>
  <c r="G14" i="1"/>
  <c r="I14" i="1"/>
  <c r="I20" i="1" s="1"/>
  <c r="B9" i="4" s="1"/>
  <c r="E14" i="1"/>
  <c r="E20" i="1" s="1"/>
  <c r="B5" i="4" s="1"/>
  <c r="D14" i="1"/>
  <c r="D20" i="1" s="1"/>
  <c r="B4" i="4" s="1"/>
  <c r="K14" i="1"/>
  <c r="K20" i="1" s="1"/>
  <c r="B11" i="4" s="1"/>
  <c r="C14" i="1"/>
  <c r="C20" i="1" s="1"/>
  <c r="B3" i="4" s="1"/>
  <c r="G20" i="1" l="1"/>
  <c r="B7" i="4" s="1"/>
  <c r="G21" i="1"/>
  <c r="F21" i="1"/>
  <c r="B21" i="1"/>
  <c r="K21" i="1"/>
  <c r="E21" i="1"/>
  <c r="J21" i="1"/>
  <c r="D21" i="1"/>
  <c r="I21" i="1"/>
</calcChain>
</file>

<file path=xl/sharedStrings.xml><?xml version="1.0" encoding="utf-8"?>
<sst xmlns="http://schemas.openxmlformats.org/spreadsheetml/2006/main" count="49" uniqueCount="39">
  <si>
    <t>Date</t>
  </si>
  <si>
    <t>Adj. close**</t>
  </si>
  <si>
    <t>Fractional Change</t>
  </si>
  <si>
    <t>sigma=</t>
  </si>
  <si>
    <t>S=</t>
  </si>
  <si>
    <t>K=</t>
  </si>
  <si>
    <t>r=</t>
  </si>
  <si>
    <t>u=</t>
  </si>
  <si>
    <t>annual volatality=</t>
  </si>
  <si>
    <t>d=</t>
  </si>
  <si>
    <t>Expiration Date=</t>
  </si>
  <si>
    <t>Present Date=</t>
  </si>
  <si>
    <t>TTM=</t>
  </si>
  <si>
    <t>T=</t>
  </si>
  <si>
    <t>S_u=</t>
  </si>
  <si>
    <t>S_d=</t>
  </si>
  <si>
    <t>41 Days</t>
  </si>
  <si>
    <t>p=</t>
  </si>
  <si>
    <t>c_u=</t>
  </si>
  <si>
    <t>c_d=</t>
  </si>
  <si>
    <t>p_u=</t>
  </si>
  <si>
    <t>p_d=</t>
  </si>
  <si>
    <t>Call Option Price=</t>
  </si>
  <si>
    <t>Put Option Price=</t>
  </si>
  <si>
    <r>
      <rPr>
        <b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is called the spot price.It is the current market price at which an asset is bought or sold for immediate payment or delivery.</t>
    </r>
  </si>
  <si>
    <r>
      <rPr>
        <b/>
        <sz val="11"/>
        <color theme="1"/>
        <rFont val="Calibri"/>
        <family val="2"/>
        <scheme val="minor"/>
      </rPr>
      <t xml:space="preserve">K </t>
    </r>
    <r>
      <rPr>
        <sz val="11"/>
        <color theme="1"/>
        <rFont val="Calibri"/>
        <family val="2"/>
        <scheme val="minor"/>
      </rPr>
      <t>is called the strike price.It is the price at which a put or call option can be exercised.</t>
    </r>
  </si>
  <si>
    <r>
      <t xml:space="preserve">sigma </t>
    </r>
    <r>
      <rPr>
        <sz val="11"/>
        <color theme="1"/>
        <rFont val="Calibri"/>
        <family val="2"/>
        <scheme val="minor"/>
      </rPr>
      <t>is the standard deviation of daily fractional change in the price of the underlying asset over the past year.</t>
    </r>
  </si>
  <si>
    <r>
      <rPr>
        <b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>is the risk-free interest rate.It is the rate of return of a hypothetical investment with no risk of financial loss over a given period of time.We take it as the 10-year treasury bond rate.</t>
    </r>
  </si>
  <si>
    <r>
      <t xml:space="preserve">T </t>
    </r>
    <r>
      <rPr>
        <sz val="11"/>
        <color theme="1"/>
        <rFont val="Calibri"/>
        <family val="2"/>
        <scheme val="minor"/>
      </rPr>
      <t>is the time period of maturity of the option in terms of an year.</t>
    </r>
  </si>
  <si>
    <r>
      <t xml:space="preserve">p </t>
    </r>
    <r>
      <rPr>
        <sz val="11"/>
        <color theme="1"/>
        <rFont val="Calibri"/>
        <family val="2"/>
        <scheme val="minor"/>
      </rPr>
      <t>is the probability that the price of the underlying asset will go up.</t>
    </r>
  </si>
  <si>
    <r>
      <rPr>
        <b/>
        <sz val="11"/>
        <color theme="1"/>
        <rFont val="Calibri"/>
        <family val="2"/>
        <scheme val="minor"/>
      </rPr>
      <t xml:space="preserve">u </t>
    </r>
    <r>
      <rPr>
        <sz val="11"/>
        <color theme="1"/>
        <rFont val="Calibri"/>
        <family val="2"/>
        <scheme val="minor"/>
      </rPr>
      <t>is the uptick value.If the price of underlying asset goes up, it goes up by a factor of u.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</si>
  <si>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is the downtick value.If the price of the underlying asset goes down,it goes down by a factor of d.</t>
    </r>
  </si>
  <si>
    <t>Strike Price</t>
  </si>
  <si>
    <t>Calculated Call Price</t>
  </si>
  <si>
    <t>Bid Call Price</t>
  </si>
  <si>
    <t>Offer Call Price</t>
  </si>
  <si>
    <t>Calculated Put Price</t>
  </si>
  <si>
    <t>Bid Put Price</t>
  </si>
  <si>
    <t>Offer Put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</si>
</sst>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4E9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5" fontId="2" fillId="2" borderId="1" xfId="0" applyNumberFormat="1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0" fontId="0" fillId="0" borderId="0" xfId="0" applyNumberFormat="1"/>
    <xf numFmtId="15" fontId="0" fillId="0" borderId="0" xfId="0" applyNumberFormat="1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C22" sqref="C22"/>
    </sheetView>
  </sheetViews>
  <sheetFormatPr defaultRowHeight="15" x14ac:dyDescent="0.25"/>
  <cols>
    <col min="1" max="1" width="18.85546875" customWidth="1"/>
    <col min="2" max="10" width="15.7109375" customWidth="1"/>
    <col min="11" max="11" width="15.85546875" customWidth="1"/>
  </cols>
  <sheetData>
    <row r="1" spans="1:11" x14ac:dyDescent="0.25">
      <c r="A1" s="6" t="s">
        <v>4</v>
      </c>
      <c r="B1">
        <v>1098</v>
      </c>
      <c r="C1">
        <v>1098</v>
      </c>
      <c r="D1">
        <v>1098</v>
      </c>
      <c r="E1">
        <v>1098</v>
      </c>
      <c r="F1">
        <v>1098</v>
      </c>
      <c r="G1">
        <v>1098</v>
      </c>
      <c r="H1">
        <v>1098</v>
      </c>
      <c r="I1">
        <v>1098</v>
      </c>
      <c r="J1">
        <v>1098</v>
      </c>
      <c r="K1">
        <v>1098</v>
      </c>
    </row>
    <row r="2" spans="1:11" x14ac:dyDescent="0.25">
      <c r="A2" s="6" t="s">
        <v>5</v>
      </c>
      <c r="B2">
        <v>920</v>
      </c>
      <c r="C2">
        <v>940</v>
      </c>
      <c r="D2">
        <v>980</v>
      </c>
      <c r="E2">
        <v>1020</v>
      </c>
      <c r="F2">
        <v>1060</v>
      </c>
      <c r="G2">
        <v>1100</v>
      </c>
      <c r="H2">
        <v>1140</v>
      </c>
      <c r="I2">
        <v>1180</v>
      </c>
      <c r="J2">
        <v>1200</v>
      </c>
      <c r="K2">
        <v>1240</v>
      </c>
    </row>
    <row r="3" spans="1:11" x14ac:dyDescent="0.25">
      <c r="A3" s="6" t="s">
        <v>6</v>
      </c>
      <c r="B3" s="4">
        <v>7.1999999999999995E-2</v>
      </c>
      <c r="C3" s="4">
        <v>7.1999999999999995E-2</v>
      </c>
      <c r="D3" s="4">
        <v>7.1999999999999995E-2</v>
      </c>
      <c r="E3" s="4">
        <v>7.1999999999999995E-2</v>
      </c>
      <c r="F3" s="4">
        <v>7.1999999999999995E-2</v>
      </c>
      <c r="G3" s="4">
        <v>7.1999999999999995E-2</v>
      </c>
      <c r="H3" s="4">
        <v>7.1999999999999995E-2</v>
      </c>
      <c r="I3" s="4">
        <v>7.1999999999999995E-2</v>
      </c>
      <c r="J3" s="4">
        <v>7.1999999999999995E-2</v>
      </c>
      <c r="K3" s="4">
        <v>7.1999999999999995E-2</v>
      </c>
    </row>
    <row r="4" spans="1:11" x14ac:dyDescent="0.25">
      <c r="A4" s="6" t="s">
        <v>3</v>
      </c>
      <c r="B4">
        <f>stock_prices_of_last_one_year!G2</f>
        <v>1.6754503673398691E-2</v>
      </c>
      <c r="C4">
        <f>stock_prices_of_last_one_year!G2</f>
        <v>1.6754503673398691E-2</v>
      </c>
      <c r="D4">
        <f>stock_prices_of_last_one_year!G2</f>
        <v>1.6754503673398691E-2</v>
      </c>
      <c r="E4">
        <f>stock_prices_of_last_one_year!G2</f>
        <v>1.6754503673398691E-2</v>
      </c>
      <c r="F4">
        <f>stock_prices_of_last_one_year!G2</f>
        <v>1.6754503673398691E-2</v>
      </c>
      <c r="G4">
        <f>stock_prices_of_last_one_year!G2</f>
        <v>1.6754503673398691E-2</v>
      </c>
      <c r="H4">
        <f>stock_prices_of_last_one_year!G2</f>
        <v>1.6754503673398691E-2</v>
      </c>
      <c r="I4">
        <f>stock_prices_of_last_one_year!G2</f>
        <v>1.6754503673398691E-2</v>
      </c>
      <c r="J4">
        <f>stock_prices_of_last_one_year!G2</f>
        <v>1.6754503673398691E-2</v>
      </c>
      <c r="K4">
        <f>stock_prices_of_last_one_year!G2</f>
        <v>1.6754503673398691E-2</v>
      </c>
    </row>
    <row r="5" spans="1:11" x14ac:dyDescent="0.25">
      <c r="A5" s="6" t="s">
        <v>8</v>
      </c>
      <c r="B5">
        <f t="shared" ref="B5:K5" si="0">Sigma*SQRT(245)</f>
        <v>0.26224946400092586</v>
      </c>
      <c r="C5">
        <f t="shared" si="0"/>
        <v>0.26224946400092586</v>
      </c>
      <c r="D5">
        <f t="shared" si="0"/>
        <v>0.26224946400092586</v>
      </c>
      <c r="E5">
        <f t="shared" si="0"/>
        <v>0.26224946400092586</v>
      </c>
      <c r="F5">
        <f t="shared" si="0"/>
        <v>0.26224946400092586</v>
      </c>
      <c r="G5">
        <f t="shared" si="0"/>
        <v>0.26224946400092586</v>
      </c>
      <c r="H5">
        <f t="shared" si="0"/>
        <v>0.26224946400092586</v>
      </c>
      <c r="I5">
        <f t="shared" si="0"/>
        <v>0.26224946400092586</v>
      </c>
      <c r="J5">
        <f t="shared" si="0"/>
        <v>0.26224946400092586</v>
      </c>
      <c r="K5">
        <f t="shared" si="0"/>
        <v>0.26224946400092586</v>
      </c>
    </row>
    <row r="6" spans="1:11" x14ac:dyDescent="0.25">
      <c r="A6" s="6" t="s">
        <v>7</v>
      </c>
      <c r="B6">
        <f t="shared" ref="B6:K6" si="1">EXP(volatality*SQRT(T))</f>
        <v>1.0918725709927131</v>
      </c>
      <c r="C6">
        <f t="shared" si="1"/>
        <v>1.0918725709927131</v>
      </c>
      <c r="D6">
        <f t="shared" si="1"/>
        <v>1.0918725709927131</v>
      </c>
      <c r="E6">
        <f t="shared" si="1"/>
        <v>1.0918725709927131</v>
      </c>
      <c r="F6">
        <f t="shared" si="1"/>
        <v>1.0918725709927131</v>
      </c>
      <c r="G6">
        <f t="shared" si="1"/>
        <v>1.0918725709927131</v>
      </c>
      <c r="H6">
        <f t="shared" si="1"/>
        <v>1.0918725709927131</v>
      </c>
      <c r="I6">
        <f t="shared" si="1"/>
        <v>1.0918725709927131</v>
      </c>
      <c r="J6">
        <f t="shared" si="1"/>
        <v>1.0918725709927131</v>
      </c>
      <c r="K6">
        <f t="shared" si="1"/>
        <v>1.0918725709927131</v>
      </c>
    </row>
    <row r="7" spans="1:11" x14ac:dyDescent="0.25">
      <c r="A7" s="6" t="s">
        <v>9</v>
      </c>
      <c r="B7">
        <f t="shared" ref="B7:K7" si="2">EXP(-volatality*SQRT(T))</f>
        <v>0.91585779015477609</v>
      </c>
      <c r="C7">
        <f t="shared" si="2"/>
        <v>0.91585779015477609</v>
      </c>
      <c r="D7">
        <f t="shared" si="2"/>
        <v>0.91585779015477609</v>
      </c>
      <c r="E7">
        <f t="shared" si="2"/>
        <v>0.91585779015477609</v>
      </c>
      <c r="F7">
        <f t="shared" si="2"/>
        <v>0.91585779015477609</v>
      </c>
      <c r="G7">
        <f t="shared" si="2"/>
        <v>0.91585779015477609</v>
      </c>
      <c r="H7">
        <f t="shared" si="2"/>
        <v>0.91585779015477609</v>
      </c>
      <c r="I7">
        <f t="shared" si="2"/>
        <v>0.91585779015477609</v>
      </c>
      <c r="J7">
        <f t="shared" si="2"/>
        <v>0.91585779015477609</v>
      </c>
      <c r="K7">
        <f t="shared" si="2"/>
        <v>0.91585779015477609</v>
      </c>
    </row>
    <row r="8" spans="1:11" x14ac:dyDescent="0.25">
      <c r="A8" s="6" t="s">
        <v>11</v>
      </c>
      <c r="B8" s="5">
        <v>43455</v>
      </c>
      <c r="C8" s="5">
        <v>43455</v>
      </c>
      <c r="D8" s="5">
        <v>43455</v>
      </c>
      <c r="E8" s="5">
        <v>43455</v>
      </c>
      <c r="F8" s="5">
        <v>43455</v>
      </c>
      <c r="G8" s="5">
        <v>43455</v>
      </c>
      <c r="H8" s="5">
        <v>43455</v>
      </c>
      <c r="I8" s="5">
        <v>43455</v>
      </c>
      <c r="J8" s="5">
        <v>43455</v>
      </c>
      <c r="K8" s="5">
        <v>43455</v>
      </c>
    </row>
    <row r="9" spans="1:11" x14ac:dyDescent="0.25">
      <c r="A9" s="6" t="s">
        <v>10</v>
      </c>
      <c r="B9" s="5">
        <v>43496</v>
      </c>
      <c r="C9" s="5">
        <v>43496</v>
      </c>
      <c r="D9" s="5">
        <v>43496</v>
      </c>
      <c r="E9" s="5">
        <v>43496</v>
      </c>
      <c r="F9" s="5">
        <v>43496</v>
      </c>
      <c r="G9" s="5">
        <v>43496</v>
      </c>
      <c r="H9" s="5">
        <v>43496</v>
      </c>
      <c r="I9" s="5">
        <v>43496</v>
      </c>
      <c r="J9" s="5">
        <v>43496</v>
      </c>
      <c r="K9" s="5">
        <v>43496</v>
      </c>
    </row>
    <row r="10" spans="1:11" x14ac:dyDescent="0.25">
      <c r="A10" s="6" t="s">
        <v>12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</row>
    <row r="11" spans="1:11" x14ac:dyDescent="0.25">
      <c r="A11" s="6" t="s">
        <v>13</v>
      </c>
      <c r="B11">
        <f>41/365</f>
        <v>0.11232876712328767</v>
      </c>
      <c r="C11">
        <f>41/365</f>
        <v>0.11232876712328767</v>
      </c>
      <c r="D11">
        <f t="shared" ref="D11:K11" si="3">41/365</f>
        <v>0.11232876712328767</v>
      </c>
      <c r="E11">
        <f t="shared" si="3"/>
        <v>0.11232876712328767</v>
      </c>
      <c r="F11">
        <f t="shared" si="3"/>
        <v>0.11232876712328767</v>
      </c>
      <c r="G11">
        <f t="shared" si="3"/>
        <v>0.11232876712328767</v>
      </c>
      <c r="H11">
        <f t="shared" si="3"/>
        <v>0.11232876712328767</v>
      </c>
      <c r="I11">
        <f t="shared" si="3"/>
        <v>0.11232876712328767</v>
      </c>
      <c r="J11">
        <f t="shared" si="3"/>
        <v>0.11232876712328767</v>
      </c>
      <c r="K11">
        <f t="shared" si="3"/>
        <v>0.11232876712328767</v>
      </c>
    </row>
    <row r="12" spans="1:11" x14ac:dyDescent="0.25">
      <c r="A12" s="6" t="s">
        <v>14</v>
      </c>
      <c r="B12">
        <f t="shared" ref="B12:K12" si="4">S*u</f>
        <v>1198.876082949999</v>
      </c>
      <c r="C12">
        <f t="shared" si="4"/>
        <v>1198.876082949999</v>
      </c>
      <c r="D12">
        <f t="shared" si="4"/>
        <v>1198.876082949999</v>
      </c>
      <c r="E12">
        <f t="shared" si="4"/>
        <v>1198.876082949999</v>
      </c>
      <c r="F12">
        <f t="shared" si="4"/>
        <v>1198.876082949999</v>
      </c>
      <c r="G12">
        <f t="shared" si="4"/>
        <v>1198.876082949999</v>
      </c>
      <c r="H12">
        <f t="shared" si="4"/>
        <v>1198.876082949999</v>
      </c>
      <c r="I12">
        <f t="shared" si="4"/>
        <v>1198.876082949999</v>
      </c>
      <c r="J12">
        <f t="shared" si="4"/>
        <v>1198.876082949999</v>
      </c>
      <c r="K12">
        <f t="shared" si="4"/>
        <v>1198.876082949999</v>
      </c>
    </row>
    <row r="13" spans="1:11" x14ac:dyDescent="0.25">
      <c r="A13" s="6" t="s">
        <v>15</v>
      </c>
      <c r="B13">
        <f t="shared" ref="B13:K13" si="5">S*d</f>
        <v>1005.6118535899442</v>
      </c>
      <c r="C13">
        <f t="shared" si="5"/>
        <v>1005.6118535899442</v>
      </c>
      <c r="D13">
        <f t="shared" si="5"/>
        <v>1005.6118535899442</v>
      </c>
      <c r="E13">
        <f t="shared" si="5"/>
        <v>1005.6118535899442</v>
      </c>
      <c r="F13">
        <f t="shared" si="5"/>
        <v>1005.6118535899442</v>
      </c>
      <c r="G13">
        <f t="shared" si="5"/>
        <v>1005.6118535899442</v>
      </c>
      <c r="H13">
        <f t="shared" si="5"/>
        <v>1005.6118535899442</v>
      </c>
      <c r="I13">
        <f t="shared" si="5"/>
        <v>1005.6118535899442</v>
      </c>
      <c r="J13">
        <f t="shared" si="5"/>
        <v>1005.6118535899442</v>
      </c>
      <c r="K13">
        <f t="shared" si="5"/>
        <v>1005.6118535899442</v>
      </c>
    </row>
    <row r="14" spans="1:11" x14ac:dyDescent="0.25">
      <c r="A14" s="6" t="s">
        <v>18</v>
      </c>
      <c r="B14">
        <f>MAX(S_u-K,0)</f>
        <v>278.87608294999905</v>
      </c>
      <c r="C14">
        <f>MAX(S_u-K_1,0)</f>
        <v>258.87608294999905</v>
      </c>
      <c r="D14">
        <f>MAX(S_u-K_2,0)</f>
        <v>218.87608294999905</v>
      </c>
      <c r="E14">
        <f>MAX(S_u-K_3,0)</f>
        <v>178.87608294999905</v>
      </c>
      <c r="F14">
        <f>MAX(S_u-K_4,0)</f>
        <v>138.87608294999905</v>
      </c>
      <c r="G14">
        <f>MAX(S_u-K_5,0)</f>
        <v>98.876082949999045</v>
      </c>
      <c r="H14">
        <f>MAX(S_u-K_6,0)</f>
        <v>58.876082949999045</v>
      </c>
      <c r="I14">
        <f>MAX(S_u-K_7,0)</f>
        <v>18.876082949999045</v>
      </c>
      <c r="J14">
        <f>MAX(S_u-K_8,0)</f>
        <v>0</v>
      </c>
      <c r="K14">
        <f>MAX(S_u-K_9,0)</f>
        <v>0</v>
      </c>
    </row>
    <row r="15" spans="1:11" ht="15.75" customHeight="1" x14ac:dyDescent="0.25">
      <c r="A15" s="6" t="s">
        <v>19</v>
      </c>
      <c r="B15">
        <f>MAX(S_d-K,0)</f>
        <v>85.611853589944189</v>
      </c>
      <c r="C15">
        <f>MAX(S_d-K_1,0)</f>
        <v>65.611853589944189</v>
      </c>
      <c r="D15">
        <f>MAX(S_d-K_2,0)</f>
        <v>25.611853589944189</v>
      </c>
      <c r="E15">
        <f>MAX(S_d-K_3,0)</f>
        <v>0</v>
      </c>
      <c r="F15">
        <f>MAX(S_d-K_4,0)</f>
        <v>0</v>
      </c>
      <c r="G15">
        <f>MAX(S_d-K_5,0)</f>
        <v>0</v>
      </c>
      <c r="H15">
        <f>MAX(S_d-K_6,0)</f>
        <v>0</v>
      </c>
      <c r="I15">
        <f>MAX(S_d-K_7,0)</f>
        <v>0</v>
      </c>
      <c r="J15">
        <f>MAX(S_d-K_8,0)</f>
        <v>0</v>
      </c>
      <c r="K15">
        <f>MAX(S_d-K_9,0)</f>
        <v>0</v>
      </c>
    </row>
    <row r="16" spans="1:11" ht="15.75" customHeight="1" x14ac:dyDescent="0.25">
      <c r="A16" s="6" t="s">
        <v>20</v>
      </c>
      <c r="B16">
        <f>MAX(K-S_u,0)</f>
        <v>0</v>
      </c>
      <c r="C16">
        <f>MAX(K_1-S_u,0)</f>
        <v>0</v>
      </c>
      <c r="D16">
        <f>MAX(K_2-S_u,0)</f>
        <v>0</v>
      </c>
      <c r="E16">
        <f>MAX(K_3-S_u,0)</f>
        <v>0</v>
      </c>
      <c r="F16">
        <f>MAX(K_4-S_u,0)</f>
        <v>0</v>
      </c>
      <c r="G16">
        <f>MAX(K_5-S_u,0)</f>
        <v>0</v>
      </c>
      <c r="H16">
        <f>MAX(K_6-S_u,0)</f>
        <v>0</v>
      </c>
      <c r="I16">
        <f>MAX(K_7-S_u,0)</f>
        <v>0</v>
      </c>
      <c r="J16">
        <f>MAX(K_8-S_u,0)</f>
        <v>1.123917050000955</v>
      </c>
      <c r="K16">
        <f>MAX(K_9-S_u,0)</f>
        <v>41.123917050000955</v>
      </c>
    </row>
    <row r="17" spans="1:11" ht="15.75" customHeight="1" x14ac:dyDescent="0.25">
      <c r="A17" s="6" t="s">
        <v>21</v>
      </c>
      <c r="B17">
        <f>MAX(K-S_d,0)</f>
        <v>0</v>
      </c>
      <c r="C17">
        <f>MAX(K_1-S_d,0)</f>
        <v>0</v>
      </c>
      <c r="D17">
        <f>MAX(K_2-S_d,0)</f>
        <v>0</v>
      </c>
      <c r="E17">
        <f>MAX(K_3-S_d,0)</f>
        <v>14.388146410055811</v>
      </c>
      <c r="F17">
        <f>MAX(K_4-S_d,0)</f>
        <v>54.388146410055811</v>
      </c>
      <c r="G17">
        <f>MAX(K_5-S_d,0)</f>
        <v>94.388146410055811</v>
      </c>
      <c r="H17">
        <f>MAX(K_6-S_d,0)</f>
        <v>134.38814641005581</v>
      </c>
      <c r="I17">
        <f>MAX(K_7-S_d,0)</f>
        <v>174.38814641005581</v>
      </c>
      <c r="J17">
        <f>MAX(K_8-S_d,0)</f>
        <v>194.38814641005581</v>
      </c>
      <c r="K17">
        <f>MAX(K_9-S_d,0)</f>
        <v>234.38814641005581</v>
      </c>
    </row>
    <row r="18" spans="1:11" x14ac:dyDescent="0.25">
      <c r="A18" s="6" t="s">
        <v>17</v>
      </c>
      <c r="B18">
        <f t="shared" ref="B18:K18" si="6">(EXP(interest_rate*T)-d)/(u-d)</f>
        <v>0.52417572092576881</v>
      </c>
      <c r="C18">
        <f t="shared" si="6"/>
        <v>0.52417572092576881</v>
      </c>
      <c r="D18">
        <f t="shared" si="6"/>
        <v>0.52417572092576881</v>
      </c>
      <c r="E18">
        <f t="shared" si="6"/>
        <v>0.52417572092576881</v>
      </c>
      <c r="F18">
        <f t="shared" si="6"/>
        <v>0.52417572092576881</v>
      </c>
      <c r="G18">
        <f t="shared" si="6"/>
        <v>0.52417572092576881</v>
      </c>
      <c r="H18">
        <f t="shared" si="6"/>
        <v>0.52417572092576881</v>
      </c>
      <c r="I18">
        <f t="shared" si="6"/>
        <v>0.52417572092576881</v>
      </c>
      <c r="J18">
        <f t="shared" si="6"/>
        <v>0.52417572092576881</v>
      </c>
      <c r="K18">
        <f t="shared" si="6"/>
        <v>0.52417572092576881</v>
      </c>
    </row>
    <row r="19" spans="1:11" x14ac:dyDescent="0.25">
      <c r="A19" s="6"/>
    </row>
    <row r="20" spans="1:11" x14ac:dyDescent="0.25">
      <c r="A20" s="6" t="s">
        <v>22</v>
      </c>
      <c r="B20" s="11">
        <f t="shared" ref="B20:K20" si="7">(EXP(interest_rate*T))*(p*B14+(1-p)*B15)</f>
        <v>188.43411733668498</v>
      </c>
      <c r="C20" s="11">
        <f t="shared" si="7"/>
        <v>168.27170804080313</v>
      </c>
      <c r="D20" s="11">
        <f t="shared" si="7"/>
        <v>127.9468894490394</v>
      </c>
      <c r="E20" s="11">
        <f t="shared" si="7"/>
        <v>94.523894814811328</v>
      </c>
      <c r="F20" s="11">
        <f t="shared" si="7"/>
        <v>73.386603958272744</v>
      </c>
      <c r="G20" s="11">
        <f t="shared" si="7"/>
        <v>52.249313101734153</v>
      </c>
      <c r="H20" s="11">
        <f t="shared" si="7"/>
        <v>31.112022245195561</v>
      </c>
      <c r="I20" s="11">
        <f t="shared" si="7"/>
        <v>9.97473138865697</v>
      </c>
      <c r="J20" s="11">
        <f t="shared" si="7"/>
        <v>0</v>
      </c>
      <c r="K20" s="11">
        <f t="shared" si="7"/>
        <v>0</v>
      </c>
    </row>
    <row r="21" spans="1:11" x14ac:dyDescent="0.25">
      <c r="A21" s="6" t="s">
        <v>23</v>
      </c>
      <c r="B21" s="11">
        <f t="shared" ref="B21:K21" si="8">(EXP(interest_rate*T))*(p*B16+(1-p)*B17)</f>
        <v>0</v>
      </c>
      <c r="C21" s="11">
        <f t="shared" si="8"/>
        <v>0</v>
      </c>
      <c r="D21" s="11">
        <f t="shared" si="8"/>
        <v>0</v>
      </c>
      <c r="E21" s="11">
        <f t="shared" si="8"/>
        <v>6.9018239575356422</v>
      </c>
      <c r="F21" s="11">
        <f t="shared" si="8"/>
        <v>26.089351692760768</v>
      </c>
      <c r="G21" s="11">
        <f t="shared" si="8"/>
        <v>45.276879427985889</v>
      </c>
      <c r="H21" s="11">
        <f t="shared" si="8"/>
        <v>64.464407163211021</v>
      </c>
      <c r="I21" s="11">
        <f t="shared" si="8"/>
        <v>83.651934898436139</v>
      </c>
      <c r="J21" s="11">
        <f t="shared" si="8"/>
        <v>93.839612805661034</v>
      </c>
      <c r="K21" s="11">
        <f t="shared" si="8"/>
        <v>134.16443139742475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C3A4-B139-44DD-95BA-42BEA7130FF3}">
  <dimension ref="A1:G246"/>
  <sheetViews>
    <sheetView workbookViewId="0">
      <selection activeCell="E5" sqref="E5"/>
    </sheetView>
  </sheetViews>
  <sheetFormatPr defaultRowHeight="15" x14ac:dyDescent="0.25"/>
  <cols>
    <col min="1" max="1" width="16.7109375" customWidth="1"/>
    <col min="2" max="2" width="16" customWidth="1"/>
    <col min="3" max="3" width="16.42578125" customWidth="1"/>
    <col min="6" max="7" width="11.7109375" customWidth="1"/>
  </cols>
  <sheetData>
    <row r="1" spans="1:7" ht="16.5" thickBot="1" x14ac:dyDescent="0.3">
      <c r="A1" s="9" t="s">
        <v>0</v>
      </c>
      <c r="B1" s="10" t="s">
        <v>1</v>
      </c>
      <c r="C1" s="8" t="s">
        <v>2</v>
      </c>
    </row>
    <row r="2" spans="1:7" ht="16.5" thickBot="1" x14ac:dyDescent="0.3">
      <c r="A2" s="1">
        <v>43452</v>
      </c>
      <c r="B2" s="2">
        <v>1136.4000000000001</v>
      </c>
      <c r="C2">
        <f>LN(B3/B2)</f>
        <v>-5.7362377648323181E-3</v>
      </c>
      <c r="F2" s="6" t="s">
        <v>3</v>
      </c>
      <c r="G2">
        <f>_xlfn.STDEV.P(C2:C245)</f>
        <v>1.6754503673398691E-2</v>
      </c>
    </row>
    <row r="3" spans="1:7" ht="16.5" thickBot="1" x14ac:dyDescent="0.3">
      <c r="A3" s="1">
        <v>43451</v>
      </c>
      <c r="B3" s="2">
        <v>1129.9000000000001</v>
      </c>
      <c r="C3">
        <f t="shared" ref="C3:C66" si="0">LN(B4/B3)</f>
        <v>-1.578909746173698E-2</v>
      </c>
    </row>
    <row r="4" spans="1:7" ht="16.5" thickBot="1" x14ac:dyDescent="0.3">
      <c r="A4" s="1">
        <v>43448</v>
      </c>
      <c r="B4" s="2">
        <v>1112.2</v>
      </c>
      <c r="C4">
        <f t="shared" si="0"/>
        <v>-4.6412159464925594E-3</v>
      </c>
    </row>
    <row r="5" spans="1:7" ht="16.5" thickBot="1" x14ac:dyDescent="0.3">
      <c r="A5" s="1">
        <v>43447</v>
      </c>
      <c r="B5" s="2">
        <v>1107.05</v>
      </c>
      <c r="C5">
        <f t="shared" si="0"/>
        <v>3.1115445275109667E-3</v>
      </c>
    </row>
    <row r="6" spans="1:7" ht="16.5" thickBot="1" x14ac:dyDescent="0.3">
      <c r="A6" s="1">
        <v>43446</v>
      </c>
      <c r="B6" s="2">
        <v>1110.5</v>
      </c>
      <c r="C6">
        <f t="shared" si="0"/>
        <v>-1.1729941336333472E-2</v>
      </c>
    </row>
    <row r="7" spans="1:7" ht="16.5" thickBot="1" x14ac:dyDescent="0.3">
      <c r="A7" s="1">
        <v>43445</v>
      </c>
      <c r="B7" s="2">
        <v>1097.55</v>
      </c>
      <c r="C7">
        <f t="shared" si="0"/>
        <v>-6.673395275272752E-3</v>
      </c>
    </row>
    <row r="8" spans="1:7" ht="16.5" thickBot="1" x14ac:dyDescent="0.3">
      <c r="A8" s="1">
        <v>43444</v>
      </c>
      <c r="B8" s="2">
        <v>1090.25</v>
      </c>
      <c r="C8">
        <f t="shared" si="0"/>
        <v>3.9167795167327463E-2</v>
      </c>
    </row>
    <row r="9" spans="1:7" ht="16.5" thickBot="1" x14ac:dyDescent="0.3">
      <c r="A9" s="1">
        <v>43441</v>
      </c>
      <c r="B9" s="2">
        <v>1133.8</v>
      </c>
      <c r="C9">
        <f t="shared" si="0"/>
        <v>-8.992507828201577E-3</v>
      </c>
    </row>
    <row r="10" spans="1:7" ht="16.5" thickBot="1" x14ac:dyDescent="0.3">
      <c r="A10" s="1">
        <v>43440</v>
      </c>
      <c r="B10" s="2">
        <v>1123.6500000000001</v>
      </c>
      <c r="C10">
        <f t="shared" si="0"/>
        <v>2.7647890591367089E-2</v>
      </c>
    </row>
    <row r="11" spans="1:7" ht="16.5" thickBot="1" x14ac:dyDescent="0.3">
      <c r="A11" s="1">
        <v>43439</v>
      </c>
      <c r="B11" s="2">
        <v>1155.1500000000001</v>
      </c>
      <c r="C11">
        <f t="shared" si="0"/>
        <v>-2.4702606334000643E-3</v>
      </c>
    </row>
    <row r="12" spans="1:7" ht="16.5" thickBot="1" x14ac:dyDescent="0.3">
      <c r="A12" s="1">
        <v>43438</v>
      </c>
      <c r="B12" s="2">
        <v>1152.3</v>
      </c>
      <c r="C12">
        <f t="shared" si="0"/>
        <v>3.5950228215394673E-3</v>
      </c>
    </row>
    <row r="13" spans="1:7" ht="16.5" thickBot="1" x14ac:dyDescent="0.3">
      <c r="A13" s="1">
        <v>43437</v>
      </c>
      <c r="B13" s="2">
        <v>1156.45</v>
      </c>
      <c r="C13">
        <f t="shared" si="0"/>
        <v>9.5525683369761371E-3</v>
      </c>
    </row>
    <row r="14" spans="1:7" ht="16.5" thickBot="1" x14ac:dyDescent="0.3">
      <c r="A14" s="1">
        <v>43434</v>
      </c>
      <c r="B14" s="2">
        <v>1167.55</v>
      </c>
      <c r="C14">
        <f t="shared" si="0"/>
        <v>8.1333880042850281E-4</v>
      </c>
    </row>
    <row r="15" spans="1:7" ht="16.5" thickBot="1" x14ac:dyDescent="0.3">
      <c r="A15" s="1">
        <v>43433</v>
      </c>
      <c r="B15" s="2">
        <v>1168.5</v>
      </c>
      <c r="C15">
        <f t="shared" si="0"/>
        <v>-1.3657235733307561E-2</v>
      </c>
    </row>
    <row r="16" spans="1:7" ht="16.5" thickBot="1" x14ac:dyDescent="0.3">
      <c r="A16" s="1">
        <v>43432</v>
      </c>
      <c r="B16" s="2">
        <v>1152.6500000000001</v>
      </c>
      <c r="C16">
        <f t="shared" si="0"/>
        <v>-2.1440196939729331E-2</v>
      </c>
    </row>
    <row r="17" spans="1:3" ht="16.5" thickBot="1" x14ac:dyDescent="0.3">
      <c r="A17" s="1">
        <v>43431</v>
      </c>
      <c r="B17" s="2">
        <v>1128.2</v>
      </c>
      <c r="C17">
        <f t="shared" si="0"/>
        <v>-1.648867759173115E-2</v>
      </c>
    </row>
    <row r="18" spans="1:3" ht="16.5" thickBot="1" x14ac:dyDescent="0.3">
      <c r="A18" s="1">
        <v>43430</v>
      </c>
      <c r="B18" s="2">
        <v>1109.75</v>
      </c>
      <c r="C18">
        <f t="shared" si="0"/>
        <v>-6.2370264555477728E-3</v>
      </c>
    </row>
    <row r="19" spans="1:3" ht="16.5" thickBot="1" x14ac:dyDescent="0.3">
      <c r="A19" s="1">
        <v>43426</v>
      </c>
      <c r="B19" s="2">
        <v>1102.8499999999999</v>
      </c>
      <c r="C19">
        <f t="shared" si="0"/>
        <v>9.0714827207827309E-3</v>
      </c>
    </row>
    <row r="20" spans="1:3" ht="16.5" thickBot="1" x14ac:dyDescent="0.3">
      <c r="A20" s="1">
        <v>43425</v>
      </c>
      <c r="B20" s="2">
        <v>1112.9000000000001</v>
      </c>
      <c r="C20">
        <f t="shared" si="0"/>
        <v>2.1775734893319826E-2</v>
      </c>
    </row>
    <row r="21" spans="1:3" ht="16.5" thickBot="1" x14ac:dyDescent="0.3">
      <c r="A21" s="1">
        <v>43424</v>
      </c>
      <c r="B21" s="2">
        <v>1137.4000000000001</v>
      </c>
      <c r="C21">
        <f t="shared" si="0"/>
        <v>1.1016986484596465E-2</v>
      </c>
    </row>
    <row r="22" spans="1:3" ht="16.5" thickBot="1" x14ac:dyDescent="0.3">
      <c r="A22" s="1">
        <v>43423</v>
      </c>
      <c r="B22" s="2">
        <v>1150</v>
      </c>
      <c r="C22">
        <f t="shared" si="0"/>
        <v>-1.9847845709821052E-2</v>
      </c>
    </row>
    <row r="23" spans="1:3" ht="16.5" thickBot="1" x14ac:dyDescent="0.3">
      <c r="A23" s="1">
        <v>43420</v>
      </c>
      <c r="B23" s="2">
        <v>1127.4000000000001</v>
      </c>
      <c r="C23">
        <f t="shared" si="0"/>
        <v>-2.7471661275778329E-2</v>
      </c>
    </row>
    <row r="24" spans="1:3" ht="16.5" thickBot="1" x14ac:dyDescent="0.3">
      <c r="A24" s="1">
        <v>43419</v>
      </c>
      <c r="B24" s="2">
        <v>1096.8499999999999</v>
      </c>
      <c r="C24">
        <f t="shared" si="0"/>
        <v>1.0023693203040859E-3</v>
      </c>
    </row>
    <row r="25" spans="1:3" ht="16.5" thickBot="1" x14ac:dyDescent="0.3">
      <c r="A25" s="1">
        <v>43418</v>
      </c>
      <c r="B25" s="2">
        <v>1097.95</v>
      </c>
      <c r="C25">
        <f t="shared" si="0"/>
        <v>1.3652500527791401E-3</v>
      </c>
    </row>
    <row r="26" spans="1:3" ht="16.5" thickBot="1" x14ac:dyDescent="0.3">
      <c r="A26" s="1">
        <v>43417</v>
      </c>
      <c r="B26" s="2">
        <v>1099.45</v>
      </c>
      <c r="C26">
        <f t="shared" si="0"/>
        <v>-1.7849013626514223E-2</v>
      </c>
    </row>
    <row r="27" spans="1:3" ht="16.5" thickBot="1" x14ac:dyDescent="0.3">
      <c r="A27" s="1">
        <v>43416</v>
      </c>
      <c r="B27" s="2">
        <v>1080</v>
      </c>
      <c r="C27">
        <f t="shared" si="0"/>
        <v>1.2376794216066829E-2</v>
      </c>
    </row>
    <row r="28" spans="1:3" ht="16.5" thickBot="1" x14ac:dyDescent="0.3">
      <c r="A28" s="1">
        <v>43413</v>
      </c>
      <c r="B28" s="2">
        <v>1093.45</v>
      </c>
      <c r="C28">
        <f t="shared" si="0"/>
        <v>9.692688110759155E-3</v>
      </c>
    </row>
    <row r="29" spans="1:3" ht="16.5" thickBot="1" x14ac:dyDescent="0.3">
      <c r="A29" s="1">
        <v>43410</v>
      </c>
      <c r="B29" s="2">
        <v>1104.0999999999999</v>
      </c>
      <c r="C29">
        <f t="shared" si="0"/>
        <v>-1.2577635732755173E-2</v>
      </c>
    </row>
    <row r="30" spans="1:3" ht="16.5" thickBot="1" x14ac:dyDescent="0.3">
      <c r="A30" s="1">
        <v>43409</v>
      </c>
      <c r="B30" s="2">
        <v>1090.3</v>
      </c>
      <c r="C30">
        <f t="shared" si="0"/>
        <v>-1.4225253733318143E-2</v>
      </c>
    </row>
    <row r="31" spans="1:3" ht="16.5" thickBot="1" x14ac:dyDescent="0.3">
      <c r="A31" s="1">
        <v>43406</v>
      </c>
      <c r="B31" s="2">
        <v>1074.9000000000001</v>
      </c>
      <c r="C31">
        <f t="shared" si="0"/>
        <v>-1.7502734307634292E-2</v>
      </c>
    </row>
    <row r="32" spans="1:3" ht="16.5" thickBot="1" x14ac:dyDescent="0.3">
      <c r="A32" s="1">
        <v>43405</v>
      </c>
      <c r="B32" s="2">
        <v>1056.25</v>
      </c>
      <c r="C32">
        <f t="shared" si="0"/>
        <v>4.7225589541735379E-3</v>
      </c>
    </row>
    <row r="33" spans="1:3" ht="16.5" thickBot="1" x14ac:dyDescent="0.3">
      <c r="A33" s="1">
        <v>43404</v>
      </c>
      <c r="B33" s="2">
        <v>1061.25</v>
      </c>
      <c r="C33">
        <f t="shared" si="0"/>
        <v>-4.0127517553193992E-3</v>
      </c>
    </row>
    <row r="34" spans="1:3" ht="16.5" thickBot="1" x14ac:dyDescent="0.3">
      <c r="A34" s="1">
        <v>43403</v>
      </c>
      <c r="B34" s="2">
        <v>1057</v>
      </c>
      <c r="C34">
        <f t="shared" si="0"/>
        <v>2.8722601118622751E-2</v>
      </c>
    </row>
    <row r="35" spans="1:3" ht="16.5" thickBot="1" x14ac:dyDescent="0.3">
      <c r="A35" s="1">
        <v>43402</v>
      </c>
      <c r="B35" s="2">
        <v>1087.8</v>
      </c>
      <c r="C35">
        <f t="shared" si="0"/>
        <v>-4.0236120948795029E-2</v>
      </c>
    </row>
    <row r="36" spans="1:3" ht="16.5" thickBot="1" x14ac:dyDescent="0.3">
      <c r="A36" s="1">
        <v>43399</v>
      </c>
      <c r="B36" s="2">
        <v>1044.9000000000001</v>
      </c>
      <c r="C36">
        <f t="shared" si="0"/>
        <v>-1.3585987261855377E-2</v>
      </c>
    </row>
    <row r="37" spans="1:3" ht="16.5" thickBot="1" x14ac:dyDescent="0.3">
      <c r="A37" s="1">
        <v>43398</v>
      </c>
      <c r="B37" s="2">
        <v>1030.8</v>
      </c>
      <c r="C37">
        <f t="shared" si="0"/>
        <v>1.4399131544097865E-2</v>
      </c>
    </row>
    <row r="38" spans="1:3" ht="16.5" thickBot="1" x14ac:dyDescent="0.3">
      <c r="A38" s="1">
        <v>43397</v>
      </c>
      <c r="B38" s="2">
        <v>1045.75</v>
      </c>
      <c r="C38">
        <f t="shared" si="0"/>
        <v>8.5220349602608096E-3</v>
      </c>
    </row>
    <row r="39" spans="1:3" ht="16.5" thickBot="1" x14ac:dyDescent="0.3">
      <c r="A39" s="1">
        <v>43396</v>
      </c>
      <c r="B39" s="2">
        <v>1054.7</v>
      </c>
      <c r="C39">
        <f t="shared" si="0"/>
        <v>7.5094220221315683E-3</v>
      </c>
    </row>
    <row r="40" spans="1:3" ht="16.5" thickBot="1" x14ac:dyDescent="0.3">
      <c r="A40" s="1">
        <v>43395</v>
      </c>
      <c r="B40" s="2">
        <v>1062.6500000000001</v>
      </c>
      <c r="C40">
        <f t="shared" si="0"/>
        <v>3.5725511866198247E-2</v>
      </c>
    </row>
    <row r="41" spans="1:3" ht="16.5" thickBot="1" x14ac:dyDescent="0.3">
      <c r="A41" s="1">
        <v>43392</v>
      </c>
      <c r="B41" s="2">
        <v>1101.3</v>
      </c>
      <c r="C41">
        <f t="shared" si="0"/>
        <v>4.4400438508720427E-2</v>
      </c>
    </row>
    <row r="42" spans="1:3" ht="16.5" thickBot="1" x14ac:dyDescent="0.3">
      <c r="A42" s="1">
        <v>43390</v>
      </c>
      <c r="B42" s="2">
        <v>1151.3</v>
      </c>
      <c r="C42">
        <f t="shared" si="0"/>
        <v>1.0798774542950813E-2</v>
      </c>
    </row>
    <row r="43" spans="1:3" ht="16.5" thickBot="1" x14ac:dyDescent="0.3">
      <c r="A43" s="1">
        <v>43389</v>
      </c>
      <c r="B43" s="2">
        <v>1163.8</v>
      </c>
      <c r="C43">
        <f t="shared" si="0"/>
        <v>-2.0881573129018668E-2</v>
      </c>
    </row>
    <row r="44" spans="1:3" ht="16.5" thickBot="1" x14ac:dyDescent="0.3">
      <c r="A44" s="1">
        <v>43388</v>
      </c>
      <c r="B44" s="2">
        <v>1139.75</v>
      </c>
      <c r="C44">
        <f t="shared" si="0"/>
        <v>-1.1649074942156085E-2</v>
      </c>
    </row>
    <row r="45" spans="1:3" ht="16.5" thickBot="1" x14ac:dyDescent="0.3">
      <c r="A45" s="1">
        <v>43385</v>
      </c>
      <c r="B45" s="2">
        <v>1126.55</v>
      </c>
      <c r="C45">
        <f t="shared" si="0"/>
        <v>-3.5002557162534358E-2</v>
      </c>
    </row>
    <row r="46" spans="1:3" ht="16.5" thickBot="1" x14ac:dyDescent="0.3">
      <c r="A46" s="1">
        <v>43384</v>
      </c>
      <c r="B46" s="2">
        <v>1087.8</v>
      </c>
      <c r="C46">
        <f t="shared" si="0"/>
        <v>1.3060142708635805E-2</v>
      </c>
    </row>
    <row r="47" spans="1:3" ht="16.5" thickBot="1" x14ac:dyDescent="0.3">
      <c r="A47" s="1">
        <v>43383</v>
      </c>
      <c r="B47" s="2">
        <v>1102.0999999999999</v>
      </c>
      <c r="C47">
        <f t="shared" si="0"/>
        <v>-1.0993883966741601E-2</v>
      </c>
    </row>
    <row r="48" spans="1:3" ht="16.5" thickBot="1" x14ac:dyDescent="0.3">
      <c r="A48" s="1">
        <v>43382</v>
      </c>
      <c r="B48" s="2">
        <v>1090.05</v>
      </c>
      <c r="C48">
        <f t="shared" si="0"/>
        <v>1.759576189037966E-2</v>
      </c>
    </row>
    <row r="49" spans="1:3" ht="16.5" thickBot="1" x14ac:dyDescent="0.3">
      <c r="A49" s="1">
        <v>43381</v>
      </c>
      <c r="B49" s="2">
        <v>1109.4000000000001</v>
      </c>
      <c r="C49">
        <f t="shared" si="0"/>
        <v>-5.6125002776335704E-2</v>
      </c>
    </row>
    <row r="50" spans="1:3" ht="16.5" thickBot="1" x14ac:dyDescent="0.3">
      <c r="A50" s="1">
        <v>43378</v>
      </c>
      <c r="B50" s="2">
        <v>1048.8499999999999</v>
      </c>
      <c r="C50">
        <f t="shared" si="0"/>
        <v>6.7641272817242984E-2</v>
      </c>
    </row>
    <row r="51" spans="1:3" ht="16.5" thickBot="1" x14ac:dyDescent="0.3">
      <c r="A51" s="1">
        <v>43377</v>
      </c>
      <c r="B51" s="2">
        <v>1122.25</v>
      </c>
      <c r="C51">
        <f t="shared" si="0"/>
        <v>7.1226952371304622E-2</v>
      </c>
    </row>
    <row r="52" spans="1:3" ht="16.5" thickBot="1" x14ac:dyDescent="0.3">
      <c r="A52" s="1">
        <v>43376</v>
      </c>
      <c r="B52" s="2">
        <v>1205.0999999999999</v>
      </c>
      <c r="C52">
        <f t="shared" si="0"/>
        <v>2.1832777914092428E-2</v>
      </c>
    </row>
    <row r="53" spans="1:3" ht="16.5" thickBot="1" x14ac:dyDescent="0.3">
      <c r="A53" s="1">
        <v>43374</v>
      </c>
      <c r="B53" s="2">
        <v>1231.7</v>
      </c>
      <c r="C53">
        <f t="shared" si="0"/>
        <v>2.1088082895088019E-2</v>
      </c>
    </row>
    <row r="54" spans="1:3" ht="16.5" thickBot="1" x14ac:dyDescent="0.3">
      <c r="A54" s="1">
        <v>43371</v>
      </c>
      <c r="B54" s="2">
        <v>1257.95</v>
      </c>
      <c r="C54">
        <f t="shared" si="0"/>
        <v>-3.3443515663812741E-3</v>
      </c>
    </row>
    <row r="55" spans="1:3" ht="16.5" thickBot="1" x14ac:dyDescent="0.3">
      <c r="A55" s="1">
        <v>43370</v>
      </c>
      <c r="B55" s="2">
        <v>1253.75</v>
      </c>
      <c r="C55">
        <f t="shared" si="0"/>
        <v>-1.8761357118820847E-3</v>
      </c>
    </row>
    <row r="56" spans="1:3" ht="16.5" thickBot="1" x14ac:dyDescent="0.3">
      <c r="A56" s="1">
        <v>43369</v>
      </c>
      <c r="B56" s="2">
        <v>1251.4000000000001</v>
      </c>
      <c r="C56">
        <f t="shared" si="0"/>
        <v>-1.6761069257873389E-2</v>
      </c>
    </row>
    <row r="57" spans="1:3" ht="16.5" thickBot="1" x14ac:dyDescent="0.3">
      <c r="A57" s="1">
        <v>43368</v>
      </c>
      <c r="B57" s="2">
        <v>1230.5999999999999</v>
      </c>
      <c r="C57">
        <f t="shared" si="0"/>
        <v>1.1775933791345137E-3</v>
      </c>
    </row>
    <row r="58" spans="1:3" ht="16.5" thickBot="1" x14ac:dyDescent="0.3">
      <c r="A58" s="1">
        <v>43367</v>
      </c>
      <c r="B58" s="2">
        <v>1232.05</v>
      </c>
      <c r="C58">
        <f t="shared" si="0"/>
        <v>-1.1879872728779446E-2</v>
      </c>
    </row>
    <row r="59" spans="1:3" ht="16.5" thickBot="1" x14ac:dyDescent="0.3">
      <c r="A59" s="1">
        <v>43364</v>
      </c>
      <c r="B59" s="2">
        <v>1217.5</v>
      </c>
      <c r="C59">
        <f t="shared" si="0"/>
        <v>-5.5595736734063619E-3</v>
      </c>
    </row>
    <row r="60" spans="1:3" ht="16.5" thickBot="1" x14ac:dyDescent="0.3">
      <c r="A60" s="1">
        <v>43362</v>
      </c>
      <c r="B60" s="2">
        <v>1210.75</v>
      </c>
      <c r="C60">
        <f t="shared" si="0"/>
        <v>5.2720580120907412E-3</v>
      </c>
    </row>
    <row r="61" spans="1:3" ht="16.5" thickBot="1" x14ac:dyDescent="0.3">
      <c r="A61" s="1">
        <v>43361</v>
      </c>
      <c r="B61" s="2">
        <v>1217.1500000000001</v>
      </c>
      <c r="C61">
        <f t="shared" si="0"/>
        <v>7.1632078055193669E-3</v>
      </c>
    </row>
    <row r="62" spans="1:3" ht="16.5" thickBot="1" x14ac:dyDescent="0.3">
      <c r="A62" s="1">
        <v>43360</v>
      </c>
      <c r="B62" s="2">
        <v>1225.9000000000001</v>
      </c>
      <c r="C62">
        <f t="shared" si="0"/>
        <v>2.1985113319672654E-2</v>
      </c>
    </row>
    <row r="63" spans="1:3" ht="16.5" thickBot="1" x14ac:dyDescent="0.3">
      <c r="A63" s="1">
        <v>43357</v>
      </c>
      <c r="B63" s="2">
        <v>1253.1500000000001</v>
      </c>
      <c r="C63">
        <f t="shared" si="0"/>
        <v>-5.1882746160135786E-4</v>
      </c>
    </row>
    <row r="64" spans="1:3" ht="16.5" thickBot="1" x14ac:dyDescent="0.3">
      <c r="A64" s="1">
        <v>43355</v>
      </c>
      <c r="B64" s="2">
        <v>1252.5</v>
      </c>
      <c r="C64">
        <f t="shared" si="0"/>
        <v>-1.1886735413043139E-2</v>
      </c>
    </row>
    <row r="65" spans="1:3" ht="16.5" thickBot="1" x14ac:dyDescent="0.3">
      <c r="A65" s="1">
        <v>43354</v>
      </c>
      <c r="B65" s="2">
        <v>1237.7</v>
      </c>
      <c r="C65">
        <f t="shared" si="0"/>
        <v>1.4557815598632558E-2</v>
      </c>
    </row>
    <row r="66" spans="1:3" ht="16.5" thickBot="1" x14ac:dyDescent="0.3">
      <c r="A66" s="1">
        <v>43353</v>
      </c>
      <c r="B66" s="2">
        <v>1255.8499999999999</v>
      </c>
      <c r="C66">
        <f t="shared" si="0"/>
        <v>1.7953095188017215E-2</v>
      </c>
    </row>
    <row r="67" spans="1:3" ht="16.5" thickBot="1" x14ac:dyDescent="0.3">
      <c r="A67" s="1">
        <v>43350</v>
      </c>
      <c r="B67" s="2">
        <v>1278.5999999999999</v>
      </c>
      <c r="C67">
        <f t="shared" ref="C67:C130" si="1">LN(B68/B67)</f>
        <v>-1.3543514103075456E-2</v>
      </c>
    </row>
    <row r="68" spans="1:3" ht="16.5" thickBot="1" x14ac:dyDescent="0.3">
      <c r="A68" s="1">
        <v>43349</v>
      </c>
      <c r="B68" s="2">
        <v>1261.4000000000001</v>
      </c>
      <c r="C68">
        <f t="shared" si="1"/>
        <v>-2.7650049518639488E-2</v>
      </c>
    </row>
    <row r="69" spans="1:3" ht="16.5" thickBot="1" x14ac:dyDescent="0.3">
      <c r="A69" s="1">
        <v>43348</v>
      </c>
      <c r="B69" s="2">
        <v>1227</v>
      </c>
      <c r="C69">
        <f t="shared" si="1"/>
        <v>1.2110559323198442E-2</v>
      </c>
    </row>
    <row r="70" spans="1:3" ht="16.5" thickBot="1" x14ac:dyDescent="0.3">
      <c r="A70" s="1">
        <v>43347</v>
      </c>
      <c r="B70" s="2">
        <v>1241.95</v>
      </c>
      <c r="C70">
        <f t="shared" si="1"/>
        <v>-1.035985146810664E-2</v>
      </c>
    </row>
    <row r="71" spans="1:3" ht="16.5" thickBot="1" x14ac:dyDescent="0.3">
      <c r="A71" s="1">
        <v>43346</v>
      </c>
      <c r="B71" s="2">
        <v>1229.1500000000001</v>
      </c>
      <c r="C71">
        <f t="shared" si="1"/>
        <v>1.0118266670668114E-2</v>
      </c>
    </row>
    <row r="72" spans="1:3" ht="16.5" thickBot="1" x14ac:dyDescent="0.3">
      <c r="A72" s="1">
        <v>43343</v>
      </c>
      <c r="B72" s="2">
        <v>1241.6500000000001</v>
      </c>
      <c r="C72">
        <f t="shared" si="1"/>
        <v>2.6073572738931849E-2</v>
      </c>
    </row>
    <row r="73" spans="1:3" ht="16.5" thickBot="1" x14ac:dyDescent="0.3">
      <c r="A73" s="1">
        <v>43342</v>
      </c>
      <c r="B73" s="2">
        <v>1274.45</v>
      </c>
      <c r="C73">
        <f t="shared" si="1"/>
        <v>1.5378030647562326E-2</v>
      </c>
    </row>
    <row r="74" spans="1:3" ht="16.5" thickBot="1" x14ac:dyDescent="0.3">
      <c r="A74" s="1">
        <v>43341</v>
      </c>
      <c r="B74" s="2">
        <v>1294.2</v>
      </c>
      <c r="C74">
        <f t="shared" si="1"/>
        <v>1.8981130094148976E-2</v>
      </c>
    </row>
    <row r="75" spans="1:3" ht="16.5" thickBot="1" x14ac:dyDescent="0.3">
      <c r="A75" s="1">
        <v>43340</v>
      </c>
      <c r="B75" s="2">
        <v>1319</v>
      </c>
      <c r="C75">
        <f t="shared" si="1"/>
        <v>-2.106954018141936E-2</v>
      </c>
    </row>
    <row r="76" spans="1:3" ht="16.5" thickBot="1" x14ac:dyDescent="0.3">
      <c r="A76" s="1">
        <v>43339</v>
      </c>
      <c r="B76" s="2">
        <v>1291.5</v>
      </c>
      <c r="C76">
        <f t="shared" si="1"/>
        <v>-1.0899290458035631E-2</v>
      </c>
    </row>
    <row r="77" spans="1:3" ht="16.5" thickBot="1" x14ac:dyDescent="0.3">
      <c r="A77" s="1">
        <v>43336</v>
      </c>
      <c r="B77" s="2">
        <v>1277.5</v>
      </c>
      <c r="C77">
        <f t="shared" si="1"/>
        <v>-6.3213072936347857E-3</v>
      </c>
    </row>
    <row r="78" spans="1:3" ht="16.5" thickBot="1" x14ac:dyDescent="0.3">
      <c r="A78" s="1">
        <v>43335</v>
      </c>
      <c r="B78" s="2">
        <v>1269.45</v>
      </c>
      <c r="C78">
        <f t="shared" si="1"/>
        <v>-1.768269704065787E-2</v>
      </c>
    </row>
    <row r="79" spans="1:3" ht="16.5" thickBot="1" x14ac:dyDescent="0.3">
      <c r="A79" s="1">
        <v>43333</v>
      </c>
      <c r="B79" s="2">
        <v>1247.2</v>
      </c>
      <c r="C79">
        <f t="shared" si="1"/>
        <v>-9.9110436197899585E-3</v>
      </c>
    </row>
    <row r="80" spans="1:3" ht="16.5" thickBot="1" x14ac:dyDescent="0.3">
      <c r="A80" s="1">
        <v>43332</v>
      </c>
      <c r="B80" s="2">
        <v>1234.9000000000001</v>
      </c>
      <c r="C80">
        <f t="shared" si="1"/>
        <v>-2.5548311011441491E-2</v>
      </c>
    </row>
    <row r="81" spans="1:3" ht="16.5" thickBot="1" x14ac:dyDescent="0.3">
      <c r="A81" s="1">
        <v>43329</v>
      </c>
      <c r="B81" s="2">
        <v>1203.75</v>
      </c>
      <c r="C81">
        <f t="shared" si="1"/>
        <v>-2.4536827930831551E-3</v>
      </c>
    </row>
    <row r="82" spans="1:3" ht="16.5" thickBot="1" x14ac:dyDescent="0.3">
      <c r="A82" s="1">
        <v>43328</v>
      </c>
      <c r="B82" s="2">
        <v>1200.8</v>
      </c>
      <c r="C82">
        <f t="shared" si="1"/>
        <v>8.1281031383346365E-3</v>
      </c>
    </row>
    <row r="83" spans="1:3" ht="16.5" thickBot="1" x14ac:dyDescent="0.3">
      <c r="A83" s="1">
        <v>43326</v>
      </c>
      <c r="B83" s="2">
        <v>1210.5999999999999</v>
      </c>
      <c r="C83">
        <f t="shared" si="1"/>
        <v>-1.9097440677392139E-2</v>
      </c>
    </row>
    <row r="84" spans="1:3" ht="16.5" thickBot="1" x14ac:dyDescent="0.3">
      <c r="A84" s="1">
        <v>43325</v>
      </c>
      <c r="B84" s="2">
        <v>1187.7</v>
      </c>
      <c r="C84">
        <f t="shared" si="1"/>
        <v>1.3796782250152814E-2</v>
      </c>
    </row>
    <row r="85" spans="1:3" ht="16.5" thickBot="1" x14ac:dyDescent="0.3">
      <c r="A85" s="1">
        <v>43322</v>
      </c>
      <c r="B85" s="2">
        <v>1204.2</v>
      </c>
      <c r="C85">
        <f t="shared" si="1"/>
        <v>1.1353671493763555E-2</v>
      </c>
    </row>
    <row r="86" spans="1:3" ht="16.5" thickBot="1" x14ac:dyDescent="0.3">
      <c r="A86" s="1">
        <v>43321</v>
      </c>
      <c r="B86" s="2">
        <v>1217.95</v>
      </c>
      <c r="C86">
        <f t="shared" si="1"/>
        <v>-2.0528401114929296E-4</v>
      </c>
    </row>
    <row r="87" spans="1:3" ht="16.5" thickBot="1" x14ac:dyDescent="0.3">
      <c r="A87" s="1">
        <v>43320</v>
      </c>
      <c r="B87" s="2">
        <v>1217.7</v>
      </c>
      <c r="C87">
        <f t="shared" si="1"/>
        <v>-2.7896392415286041E-2</v>
      </c>
    </row>
    <row r="88" spans="1:3" ht="16.5" thickBot="1" x14ac:dyDescent="0.3">
      <c r="A88" s="1">
        <v>43319</v>
      </c>
      <c r="B88" s="2">
        <v>1184.2</v>
      </c>
      <c r="C88">
        <f t="shared" si="1"/>
        <v>7.0683565913297044E-3</v>
      </c>
    </row>
    <row r="89" spans="1:3" ht="16.5" thickBot="1" x14ac:dyDescent="0.3">
      <c r="A89" s="1">
        <v>43318</v>
      </c>
      <c r="B89" s="2">
        <v>1192.5999999999999</v>
      </c>
      <c r="C89">
        <f t="shared" si="1"/>
        <v>-1.3209451214669338E-2</v>
      </c>
    </row>
    <row r="90" spans="1:3" ht="16.5" thickBot="1" x14ac:dyDescent="0.3">
      <c r="A90" s="1">
        <v>43315</v>
      </c>
      <c r="B90" s="2">
        <v>1176.95</v>
      </c>
      <c r="C90">
        <f t="shared" si="1"/>
        <v>-7.3338494402689705E-3</v>
      </c>
    </row>
    <row r="91" spans="1:3" ht="16.5" thickBot="1" x14ac:dyDescent="0.3">
      <c r="A91" s="1">
        <v>43314</v>
      </c>
      <c r="B91" s="2">
        <v>1168.3499999999999</v>
      </c>
      <c r="C91">
        <f t="shared" si="1"/>
        <v>2.0333652653164107E-2</v>
      </c>
    </row>
    <row r="92" spans="1:3" ht="16.5" thickBot="1" x14ac:dyDescent="0.3">
      <c r="A92" s="1">
        <v>43313</v>
      </c>
      <c r="B92" s="2">
        <v>1192.3499999999999</v>
      </c>
      <c r="C92">
        <f t="shared" si="1"/>
        <v>-5.3398491295605496E-3</v>
      </c>
    </row>
    <row r="93" spans="1:3" ht="16.5" thickBot="1" x14ac:dyDescent="0.3">
      <c r="A93" s="1">
        <v>43312</v>
      </c>
      <c r="B93" s="2">
        <v>1186</v>
      </c>
      <c r="C93">
        <f t="shared" si="1"/>
        <v>-2.9607707315961417E-2</v>
      </c>
    </row>
    <row r="94" spans="1:3" ht="16.5" thickBot="1" x14ac:dyDescent="0.3">
      <c r="A94" s="1">
        <v>43311</v>
      </c>
      <c r="B94" s="2">
        <v>1151.4000000000001</v>
      </c>
      <c r="C94">
        <f t="shared" si="1"/>
        <v>-1.8893712709334938E-2</v>
      </c>
    </row>
    <row r="95" spans="1:3" ht="16.5" thickBot="1" x14ac:dyDescent="0.3">
      <c r="A95" s="1">
        <v>43308</v>
      </c>
      <c r="B95" s="2">
        <v>1129.8499999999999</v>
      </c>
      <c r="C95">
        <f t="shared" si="1"/>
        <v>-1.7139451028742848E-2</v>
      </c>
    </row>
    <row r="96" spans="1:3" ht="16.5" thickBot="1" x14ac:dyDescent="0.3">
      <c r="A96" s="1">
        <v>43307</v>
      </c>
      <c r="B96" s="2">
        <v>1110.6500000000001</v>
      </c>
      <c r="C96">
        <f t="shared" si="1"/>
        <v>4.0434954903354262E-3</v>
      </c>
    </row>
    <row r="97" spans="1:3" ht="16.5" thickBot="1" x14ac:dyDescent="0.3">
      <c r="A97" s="1">
        <v>43306</v>
      </c>
      <c r="B97" s="2">
        <v>1115.1500000000001</v>
      </c>
      <c r="C97">
        <f t="shared" si="1"/>
        <v>-3.7734198675198182E-3</v>
      </c>
    </row>
    <row r="98" spans="1:3" ht="16.5" thickBot="1" x14ac:dyDescent="0.3">
      <c r="A98" s="1">
        <v>43305</v>
      </c>
      <c r="B98" s="2">
        <v>1110.95</v>
      </c>
      <c r="C98">
        <f t="shared" si="1"/>
        <v>8.3810014382304371E-3</v>
      </c>
    </row>
    <row r="99" spans="1:3" ht="16.5" thickBot="1" x14ac:dyDescent="0.3">
      <c r="A99" s="1">
        <v>43304</v>
      </c>
      <c r="B99" s="2">
        <v>1120.3</v>
      </c>
      <c r="C99">
        <f t="shared" si="1"/>
        <v>7.4257216649092263E-3</v>
      </c>
    </row>
    <row r="100" spans="1:3" ht="16.5" thickBot="1" x14ac:dyDescent="0.3">
      <c r="A100" s="1">
        <v>43301</v>
      </c>
      <c r="B100" s="2">
        <v>1128.6500000000001</v>
      </c>
      <c r="C100">
        <f t="shared" si="1"/>
        <v>-2.1312649098473042E-2</v>
      </c>
    </row>
    <row r="101" spans="1:3" ht="16.5" thickBot="1" x14ac:dyDescent="0.3">
      <c r="A101" s="1">
        <v>43300</v>
      </c>
      <c r="B101" s="2">
        <v>1104.8499999999999</v>
      </c>
      <c r="C101">
        <f t="shared" si="1"/>
        <v>-1.1195165618238011E-2</v>
      </c>
    </row>
    <row r="102" spans="1:3" ht="16.5" thickBot="1" x14ac:dyDescent="0.3">
      <c r="A102" s="1">
        <v>43299</v>
      </c>
      <c r="B102" s="2">
        <v>1092.55</v>
      </c>
      <c r="C102">
        <f t="shared" si="1"/>
        <v>-1.8307474077413209E-4</v>
      </c>
    </row>
    <row r="103" spans="1:3" ht="16.5" thickBot="1" x14ac:dyDescent="0.3">
      <c r="A103" s="1">
        <v>43298</v>
      </c>
      <c r="B103" s="2">
        <v>1092.3499999999999</v>
      </c>
      <c r="C103">
        <f t="shared" si="1"/>
        <v>-1.4895020716782375E-2</v>
      </c>
    </row>
    <row r="104" spans="1:3" ht="16.5" thickBot="1" x14ac:dyDescent="0.3">
      <c r="A104" s="1">
        <v>43297</v>
      </c>
      <c r="B104" s="2">
        <v>1076.2</v>
      </c>
      <c r="C104">
        <f t="shared" si="1"/>
        <v>2.1692027018395024E-2</v>
      </c>
    </row>
    <row r="105" spans="1:3" ht="16.5" thickBot="1" x14ac:dyDescent="0.3">
      <c r="A105" s="1">
        <v>43294</v>
      </c>
      <c r="B105" s="2">
        <v>1099.8</v>
      </c>
      <c r="C105">
        <f t="shared" si="1"/>
        <v>-1.5993741927849876E-2</v>
      </c>
    </row>
    <row r="106" spans="1:3" ht="16.5" thickBot="1" x14ac:dyDescent="0.3">
      <c r="A106" s="1">
        <v>43293</v>
      </c>
      <c r="B106" s="2">
        <v>1082.3499999999999</v>
      </c>
      <c r="C106">
        <f t="shared" si="1"/>
        <v>-4.1068402357271036E-2</v>
      </c>
    </row>
    <row r="107" spans="1:3" ht="16.5" thickBot="1" x14ac:dyDescent="0.3">
      <c r="A107" s="1">
        <v>43292</v>
      </c>
      <c r="B107" s="2">
        <v>1038.8</v>
      </c>
      <c r="C107">
        <f t="shared" si="1"/>
        <v>-1.2690894475227999E-2</v>
      </c>
    </row>
    <row r="108" spans="1:3" ht="16.5" thickBot="1" x14ac:dyDescent="0.3">
      <c r="A108" s="1">
        <v>43291</v>
      </c>
      <c r="B108" s="2">
        <v>1025.7</v>
      </c>
      <c r="C108">
        <f t="shared" si="1"/>
        <v>-2.827951947861811E-2</v>
      </c>
    </row>
    <row r="109" spans="1:3" ht="16.5" thickBot="1" x14ac:dyDescent="0.3">
      <c r="A109" s="1">
        <v>43290</v>
      </c>
      <c r="B109" s="3">
        <v>997.1</v>
      </c>
      <c r="C109">
        <f t="shared" si="1"/>
        <v>-1.9801624388248281E-2</v>
      </c>
    </row>
    <row r="110" spans="1:3" ht="16.5" thickBot="1" x14ac:dyDescent="0.3">
      <c r="A110" s="1">
        <v>43287</v>
      </c>
      <c r="B110" s="3">
        <v>977.55</v>
      </c>
      <c r="C110">
        <f t="shared" si="1"/>
        <v>-1.3439609100715223E-2</v>
      </c>
    </row>
    <row r="111" spans="1:3" ht="16.5" thickBot="1" x14ac:dyDescent="0.3">
      <c r="A111" s="1">
        <v>43286</v>
      </c>
      <c r="B111" s="3">
        <v>964.5</v>
      </c>
      <c r="C111">
        <f t="shared" si="1"/>
        <v>2.6196115782685134E-2</v>
      </c>
    </row>
    <row r="112" spans="1:3" ht="16.5" thickBot="1" x14ac:dyDescent="0.3">
      <c r="A112" s="1">
        <v>43285</v>
      </c>
      <c r="B112" s="3">
        <v>990.1</v>
      </c>
      <c r="C112">
        <f t="shared" si="1"/>
        <v>-1.9170567720184148E-2</v>
      </c>
    </row>
    <row r="113" spans="1:3" ht="16.5" thickBot="1" x14ac:dyDescent="0.3">
      <c r="A113" s="1">
        <v>43284</v>
      </c>
      <c r="B113" s="3">
        <v>971.3</v>
      </c>
      <c r="C113">
        <f t="shared" si="1"/>
        <v>-1.1077291177560775E-2</v>
      </c>
    </row>
    <row r="114" spans="1:3" ht="16.5" thickBot="1" x14ac:dyDescent="0.3">
      <c r="A114" s="1">
        <v>43283</v>
      </c>
      <c r="B114" s="3">
        <v>960.6</v>
      </c>
      <c r="C114">
        <f t="shared" si="1"/>
        <v>1.2260571058390389E-2</v>
      </c>
    </row>
    <row r="115" spans="1:3" ht="16.5" thickBot="1" x14ac:dyDescent="0.3">
      <c r="A115" s="1">
        <v>43280</v>
      </c>
      <c r="B115" s="3">
        <v>972.45</v>
      </c>
      <c r="C115">
        <f t="shared" si="1"/>
        <v>-2.8686644248067883E-2</v>
      </c>
    </row>
    <row r="116" spans="1:3" ht="16.5" thickBot="1" x14ac:dyDescent="0.3">
      <c r="A116" s="1">
        <v>43279</v>
      </c>
      <c r="B116" s="3">
        <v>944.95</v>
      </c>
      <c r="C116">
        <f t="shared" si="1"/>
        <v>2.1876526611255675E-2</v>
      </c>
    </row>
    <row r="117" spans="1:3" ht="16.5" thickBot="1" x14ac:dyDescent="0.3">
      <c r="A117" s="1">
        <v>43278</v>
      </c>
      <c r="B117" s="3">
        <v>965.85</v>
      </c>
      <c r="C117">
        <f t="shared" si="1"/>
        <v>7.3241507518626127E-3</v>
      </c>
    </row>
    <row r="118" spans="1:3" ht="16.5" thickBot="1" x14ac:dyDescent="0.3">
      <c r="A118" s="1">
        <v>43277</v>
      </c>
      <c r="B118" s="3">
        <v>972.95</v>
      </c>
      <c r="C118">
        <f t="shared" si="1"/>
        <v>2.5711121859094691E-2</v>
      </c>
    </row>
    <row r="119" spans="1:3" ht="16.5" thickBot="1" x14ac:dyDescent="0.3">
      <c r="A119" s="1">
        <v>43276</v>
      </c>
      <c r="B119" s="3">
        <v>998.29</v>
      </c>
      <c r="C119">
        <f t="shared" si="1"/>
        <v>7.981764232236602E-3</v>
      </c>
    </row>
    <row r="120" spans="1:3" ht="16.5" thickBot="1" x14ac:dyDescent="0.3">
      <c r="A120" s="1">
        <v>43273</v>
      </c>
      <c r="B120" s="2">
        <v>1006.29</v>
      </c>
      <c r="C120">
        <f t="shared" si="1"/>
        <v>1.9036757413149249E-2</v>
      </c>
    </row>
    <row r="121" spans="1:3" ht="16.5" thickBot="1" x14ac:dyDescent="0.3">
      <c r="A121" s="1">
        <v>43272</v>
      </c>
      <c r="B121" s="2">
        <v>1025.6300000000001</v>
      </c>
      <c r="C121">
        <f t="shared" si="1"/>
        <v>-1.2390832659961992E-2</v>
      </c>
    </row>
    <row r="122" spans="1:3" ht="16.5" thickBot="1" x14ac:dyDescent="0.3">
      <c r="A122" s="1">
        <v>43271</v>
      </c>
      <c r="B122" s="2">
        <v>1013</v>
      </c>
      <c r="C122">
        <f t="shared" si="1"/>
        <v>-2.3017067445975817E-2</v>
      </c>
    </row>
    <row r="123" spans="1:3" ht="16.5" thickBot="1" x14ac:dyDescent="0.3">
      <c r="A123" s="1">
        <v>43270</v>
      </c>
      <c r="B123" s="3">
        <v>989.95</v>
      </c>
      <c r="C123">
        <f t="shared" si="1"/>
        <v>1.9387586571161373E-2</v>
      </c>
    </row>
    <row r="124" spans="1:3" ht="16.5" thickBot="1" x14ac:dyDescent="0.3">
      <c r="A124" s="1">
        <v>43269</v>
      </c>
      <c r="B124" s="2">
        <v>1009.33</v>
      </c>
      <c r="C124">
        <f t="shared" si="1"/>
        <v>-1.3384162092368809E-3</v>
      </c>
    </row>
    <row r="125" spans="1:3" ht="16.5" thickBot="1" x14ac:dyDescent="0.3">
      <c r="A125" s="1">
        <v>43266</v>
      </c>
      <c r="B125" s="2">
        <v>1007.98</v>
      </c>
      <c r="C125">
        <f t="shared" si="1"/>
        <v>-6.179892786534337E-3</v>
      </c>
    </row>
    <row r="126" spans="1:3" ht="16.5" thickBot="1" x14ac:dyDescent="0.3">
      <c r="A126" s="1">
        <v>43265</v>
      </c>
      <c r="B126" s="2">
        <v>1001.77</v>
      </c>
      <c r="C126">
        <f t="shared" si="1"/>
        <v>-5.4150763161581695E-3</v>
      </c>
    </row>
    <row r="127" spans="1:3" ht="16.5" thickBot="1" x14ac:dyDescent="0.3">
      <c r="A127" s="1">
        <v>43264</v>
      </c>
      <c r="B127" s="3">
        <v>996.36</v>
      </c>
      <c r="C127">
        <f t="shared" si="1"/>
        <v>-5.3537412771016745E-3</v>
      </c>
    </row>
    <row r="128" spans="1:3" ht="16.5" thickBot="1" x14ac:dyDescent="0.3">
      <c r="A128" s="1">
        <v>43263</v>
      </c>
      <c r="B128" s="3">
        <v>991.04</v>
      </c>
      <c r="C128">
        <f t="shared" si="1"/>
        <v>-1.464702680869405E-2</v>
      </c>
    </row>
    <row r="129" spans="1:3" ht="16.5" thickBot="1" x14ac:dyDescent="0.3">
      <c r="A129" s="1">
        <v>43262</v>
      </c>
      <c r="B129" s="3">
        <v>976.63</v>
      </c>
      <c r="C129">
        <f t="shared" si="1"/>
        <v>1.7289449049706844E-3</v>
      </c>
    </row>
    <row r="130" spans="1:3" ht="16.5" thickBot="1" x14ac:dyDescent="0.3">
      <c r="A130" s="1">
        <v>43259</v>
      </c>
      <c r="B130" s="3">
        <v>978.32</v>
      </c>
      <c r="C130">
        <f t="shared" si="1"/>
        <v>-1.3294291654721947E-2</v>
      </c>
    </row>
    <row r="131" spans="1:3" ht="16.5" thickBot="1" x14ac:dyDescent="0.3">
      <c r="A131" s="1">
        <v>43258</v>
      </c>
      <c r="B131" s="3">
        <v>965.4</v>
      </c>
      <c r="C131">
        <f t="shared" ref="C131:C194" si="2">LN(B132/B131)</f>
        <v>-1.7608020427838125E-2</v>
      </c>
    </row>
    <row r="132" spans="1:3" ht="16.5" thickBot="1" x14ac:dyDescent="0.3">
      <c r="A132" s="1">
        <v>43257</v>
      </c>
      <c r="B132" s="3">
        <v>948.55</v>
      </c>
      <c r="C132">
        <f t="shared" si="2"/>
        <v>-7.0990940286129126E-3</v>
      </c>
    </row>
    <row r="133" spans="1:3" ht="16.5" thickBot="1" x14ac:dyDescent="0.3">
      <c r="A133" s="1">
        <v>43256</v>
      </c>
      <c r="B133" s="3">
        <v>941.84</v>
      </c>
      <c r="C133">
        <f t="shared" si="2"/>
        <v>-7.2033216441043015E-3</v>
      </c>
    </row>
    <row r="134" spans="1:3" ht="16.5" thickBot="1" x14ac:dyDescent="0.3">
      <c r="A134" s="1">
        <v>43255</v>
      </c>
      <c r="B134" s="3">
        <v>935.08</v>
      </c>
      <c r="C134">
        <f t="shared" si="2"/>
        <v>-1.1000524925279137E-2</v>
      </c>
    </row>
    <row r="135" spans="1:3" ht="16.5" thickBot="1" x14ac:dyDescent="0.3">
      <c r="A135" s="1">
        <v>43252</v>
      </c>
      <c r="B135" s="3">
        <v>924.85</v>
      </c>
      <c r="C135">
        <f t="shared" si="2"/>
        <v>-9.9427620868715212E-3</v>
      </c>
    </row>
    <row r="136" spans="1:3" ht="16.5" thickBot="1" x14ac:dyDescent="0.3">
      <c r="A136" s="1">
        <v>43251</v>
      </c>
      <c r="B136" s="3">
        <v>915.7</v>
      </c>
      <c r="C136">
        <f t="shared" si="2"/>
        <v>-5.7058839827237506E-3</v>
      </c>
    </row>
    <row r="137" spans="1:3" ht="16.5" thickBot="1" x14ac:dyDescent="0.3">
      <c r="A137" s="1">
        <v>43250</v>
      </c>
      <c r="B137" s="3">
        <v>910.49</v>
      </c>
      <c r="C137">
        <f t="shared" si="2"/>
        <v>1.4706530593034208E-3</v>
      </c>
    </row>
    <row r="138" spans="1:3" ht="16.5" thickBot="1" x14ac:dyDescent="0.3">
      <c r="A138" s="1">
        <v>43249</v>
      </c>
      <c r="B138" s="3">
        <v>911.83</v>
      </c>
      <c r="C138">
        <f t="shared" si="2"/>
        <v>3.208166597916404E-3</v>
      </c>
    </row>
    <row r="139" spans="1:3" ht="16.5" thickBot="1" x14ac:dyDescent="0.3">
      <c r="A139" s="1">
        <v>43248</v>
      </c>
      <c r="B139" s="3">
        <v>914.76</v>
      </c>
      <c r="C139">
        <f t="shared" si="2"/>
        <v>4.3717758849655603E-4</v>
      </c>
    </row>
    <row r="140" spans="1:3" ht="16.5" thickBot="1" x14ac:dyDescent="0.3">
      <c r="A140" s="1">
        <v>43245</v>
      </c>
      <c r="B140" s="3">
        <v>915.16</v>
      </c>
      <c r="C140">
        <f t="shared" si="2"/>
        <v>-5.3906123743419606E-3</v>
      </c>
    </row>
    <row r="141" spans="1:3" ht="16.5" thickBot="1" x14ac:dyDescent="0.3">
      <c r="A141" s="1">
        <v>43244</v>
      </c>
      <c r="B141" s="3">
        <v>910.24</v>
      </c>
      <c r="C141">
        <f t="shared" si="2"/>
        <v>-3.9407833486135224E-3</v>
      </c>
    </row>
    <row r="142" spans="1:3" ht="16.5" thickBot="1" x14ac:dyDescent="0.3">
      <c r="A142" s="1">
        <v>43243</v>
      </c>
      <c r="B142" s="3">
        <v>906.66</v>
      </c>
      <c r="C142">
        <f t="shared" si="2"/>
        <v>1.5768520056504771E-2</v>
      </c>
    </row>
    <row r="143" spans="1:3" ht="16.5" thickBot="1" x14ac:dyDescent="0.3">
      <c r="A143" s="1">
        <v>43242</v>
      </c>
      <c r="B143" s="3">
        <v>921.07</v>
      </c>
      <c r="C143">
        <f t="shared" si="2"/>
        <v>4.9493524472426021E-3</v>
      </c>
    </row>
    <row r="144" spans="1:3" ht="16.5" thickBot="1" x14ac:dyDescent="0.3">
      <c r="A144" s="1">
        <v>43241</v>
      </c>
      <c r="B144" s="3">
        <v>925.64</v>
      </c>
      <c r="C144">
        <f t="shared" si="2"/>
        <v>2.6864190244698253E-3</v>
      </c>
    </row>
    <row r="145" spans="1:3" ht="16.5" thickBot="1" x14ac:dyDescent="0.3">
      <c r="A145" s="1">
        <v>43238</v>
      </c>
      <c r="B145" s="3">
        <v>928.13</v>
      </c>
      <c r="C145">
        <f t="shared" si="2"/>
        <v>1.2239871389694101E-2</v>
      </c>
    </row>
    <row r="146" spans="1:3" ht="16.5" thickBot="1" x14ac:dyDescent="0.3">
      <c r="A146" s="1">
        <v>43237</v>
      </c>
      <c r="B146" s="3">
        <v>939.56</v>
      </c>
      <c r="C146">
        <f t="shared" si="2"/>
        <v>1.1355520597528507E-2</v>
      </c>
    </row>
    <row r="147" spans="1:3" ht="16.5" thickBot="1" x14ac:dyDescent="0.3">
      <c r="A147" s="1">
        <v>43236</v>
      </c>
      <c r="B147" s="3">
        <v>950.29</v>
      </c>
      <c r="C147">
        <f t="shared" si="2"/>
        <v>2.3565492235001519E-2</v>
      </c>
    </row>
    <row r="148" spans="1:3" ht="16.5" thickBot="1" x14ac:dyDescent="0.3">
      <c r="A148" s="1">
        <v>43235</v>
      </c>
      <c r="B148" s="3">
        <v>972.95</v>
      </c>
      <c r="C148">
        <f t="shared" si="2"/>
        <v>7.7809453226833193E-3</v>
      </c>
    </row>
    <row r="149" spans="1:3" ht="16.5" thickBot="1" x14ac:dyDescent="0.3">
      <c r="A149" s="1">
        <v>43234</v>
      </c>
      <c r="B149" s="3">
        <v>980.55</v>
      </c>
      <c r="C149">
        <f t="shared" si="2"/>
        <v>2.6887486026266412E-3</v>
      </c>
    </row>
    <row r="150" spans="1:3" ht="16.5" thickBot="1" x14ac:dyDescent="0.3">
      <c r="A150" s="1">
        <v>43231</v>
      </c>
      <c r="B150" s="3">
        <v>983.19</v>
      </c>
      <c r="C150">
        <f t="shared" si="2"/>
        <v>-8.2213368960585322E-3</v>
      </c>
    </row>
    <row r="151" spans="1:3" ht="16.5" thickBot="1" x14ac:dyDescent="0.3">
      <c r="A151" s="1">
        <v>43230</v>
      </c>
      <c r="B151" s="3">
        <v>975.14</v>
      </c>
      <c r="C151">
        <f t="shared" si="2"/>
        <v>-4.5532879242692597E-3</v>
      </c>
    </row>
    <row r="152" spans="1:3" ht="16.5" thickBot="1" x14ac:dyDescent="0.3">
      <c r="A152" s="1">
        <v>43229</v>
      </c>
      <c r="B152" s="3">
        <v>970.71</v>
      </c>
      <c r="C152">
        <f t="shared" si="2"/>
        <v>-9.8764701201734788E-3</v>
      </c>
    </row>
    <row r="153" spans="1:3" ht="16.5" thickBot="1" x14ac:dyDescent="0.3">
      <c r="A153" s="1">
        <v>43228</v>
      </c>
      <c r="B153" s="3">
        <v>961.17</v>
      </c>
      <c r="C153">
        <f t="shared" si="2"/>
        <v>4.0286210792431724E-3</v>
      </c>
    </row>
    <row r="154" spans="1:3" ht="16.5" thickBot="1" x14ac:dyDescent="0.3">
      <c r="A154" s="1">
        <v>43227</v>
      </c>
      <c r="B154" s="3">
        <v>965.05</v>
      </c>
      <c r="C154">
        <f t="shared" si="2"/>
        <v>-1.771993154430343E-2</v>
      </c>
    </row>
    <row r="155" spans="1:3" ht="16.5" thickBot="1" x14ac:dyDescent="0.3">
      <c r="A155" s="1">
        <v>43224</v>
      </c>
      <c r="B155" s="3">
        <v>948.1</v>
      </c>
      <c r="C155">
        <f t="shared" si="2"/>
        <v>7.9945378280601234E-3</v>
      </c>
    </row>
    <row r="156" spans="1:3" ht="16.5" thickBot="1" x14ac:dyDescent="0.3">
      <c r="A156" s="1">
        <v>43223</v>
      </c>
      <c r="B156" s="3">
        <v>955.71</v>
      </c>
      <c r="C156">
        <f t="shared" si="2"/>
        <v>1.1475066746066347E-2</v>
      </c>
    </row>
    <row r="157" spans="1:3" ht="16.5" thickBot="1" x14ac:dyDescent="0.3">
      <c r="A157" s="1">
        <v>43222</v>
      </c>
      <c r="B157" s="3">
        <v>966.74</v>
      </c>
      <c r="C157">
        <f t="shared" si="2"/>
        <v>-9.7083095396313952E-3</v>
      </c>
    </row>
    <row r="158" spans="1:3" ht="16.5" thickBot="1" x14ac:dyDescent="0.3">
      <c r="A158" s="1">
        <v>43220</v>
      </c>
      <c r="B158" s="3">
        <v>957.4</v>
      </c>
      <c r="C158">
        <f t="shared" si="2"/>
        <v>3.3675566948014005E-2</v>
      </c>
    </row>
    <row r="159" spans="1:3" ht="16.5" thickBot="1" x14ac:dyDescent="0.3">
      <c r="A159" s="1">
        <v>43217</v>
      </c>
      <c r="B159" s="3">
        <v>990.19</v>
      </c>
      <c r="C159">
        <f t="shared" si="2"/>
        <v>-2.125046795152654E-2</v>
      </c>
    </row>
    <row r="160" spans="1:3" ht="16.5" thickBot="1" x14ac:dyDescent="0.3">
      <c r="A160" s="1">
        <v>43216</v>
      </c>
      <c r="B160" s="3">
        <v>969.37</v>
      </c>
      <c r="C160">
        <f t="shared" si="2"/>
        <v>-4.9847046209979262E-3</v>
      </c>
    </row>
    <row r="161" spans="1:3" ht="16.5" thickBot="1" x14ac:dyDescent="0.3">
      <c r="A161" s="1">
        <v>43215</v>
      </c>
      <c r="B161" s="3">
        <v>964.55</v>
      </c>
      <c r="C161">
        <f t="shared" si="2"/>
        <v>-4.6664766356359567E-4</v>
      </c>
    </row>
    <row r="162" spans="1:3" ht="16.5" thickBot="1" x14ac:dyDescent="0.3">
      <c r="A162" s="1">
        <v>43214</v>
      </c>
      <c r="B162" s="3">
        <v>964.1</v>
      </c>
      <c r="C162">
        <f t="shared" si="2"/>
        <v>-3.5730906702940247E-2</v>
      </c>
    </row>
    <row r="163" spans="1:3" ht="16.5" thickBot="1" x14ac:dyDescent="0.3">
      <c r="A163" s="1">
        <v>43213</v>
      </c>
      <c r="B163" s="3">
        <v>930.26</v>
      </c>
      <c r="C163">
        <f t="shared" si="2"/>
        <v>-8.6911536187946944E-3</v>
      </c>
    </row>
    <row r="164" spans="1:3" ht="16.5" thickBot="1" x14ac:dyDescent="0.3">
      <c r="A164" s="1">
        <v>43210</v>
      </c>
      <c r="B164" s="3">
        <v>922.21</v>
      </c>
      <c r="C164">
        <f t="shared" si="2"/>
        <v>1.5397914420692244E-2</v>
      </c>
    </row>
    <row r="165" spans="1:3" ht="16.5" thickBot="1" x14ac:dyDescent="0.3">
      <c r="A165" s="1">
        <v>43209</v>
      </c>
      <c r="B165" s="3">
        <v>936.52</v>
      </c>
      <c r="C165">
        <f t="shared" si="2"/>
        <v>-4.5698587103618592E-3</v>
      </c>
    </row>
    <row r="166" spans="1:3" ht="16.5" thickBot="1" x14ac:dyDescent="0.3">
      <c r="A166" s="1">
        <v>43208</v>
      </c>
      <c r="B166" s="3">
        <v>932.25</v>
      </c>
      <c r="C166">
        <f t="shared" si="2"/>
        <v>6.6392148552750201E-3</v>
      </c>
    </row>
    <row r="167" spans="1:3" ht="16.5" thickBot="1" x14ac:dyDescent="0.3">
      <c r="A167" s="1">
        <v>43207</v>
      </c>
      <c r="B167" s="3">
        <v>938.46</v>
      </c>
      <c r="C167">
        <f t="shared" si="2"/>
        <v>-7.6480367657276813E-3</v>
      </c>
    </row>
    <row r="168" spans="1:3" ht="16.5" thickBot="1" x14ac:dyDescent="0.3">
      <c r="A168" s="1">
        <v>43206</v>
      </c>
      <c r="B168" s="3">
        <v>931.31</v>
      </c>
      <c r="C168">
        <f t="shared" si="2"/>
        <v>1.9201790914987126E-3</v>
      </c>
    </row>
    <row r="169" spans="1:3" ht="16.5" thickBot="1" x14ac:dyDescent="0.3">
      <c r="A169" s="1">
        <v>43203</v>
      </c>
      <c r="B169" s="3">
        <v>933.1</v>
      </c>
      <c r="C169">
        <f t="shared" si="2"/>
        <v>-1.0872307559627715E-2</v>
      </c>
    </row>
    <row r="170" spans="1:3" ht="16.5" thickBot="1" x14ac:dyDescent="0.3">
      <c r="A170" s="1">
        <v>43202</v>
      </c>
      <c r="B170" s="3">
        <v>923.01</v>
      </c>
      <c r="C170">
        <f t="shared" si="2"/>
        <v>2.3050087309677701E-3</v>
      </c>
    </row>
    <row r="171" spans="1:3" ht="16.5" thickBot="1" x14ac:dyDescent="0.3">
      <c r="A171" s="1">
        <v>43201</v>
      </c>
      <c r="B171" s="3">
        <v>925.14</v>
      </c>
      <c r="C171">
        <f t="shared" si="2"/>
        <v>-1.4930282730903317E-2</v>
      </c>
    </row>
    <row r="172" spans="1:3" ht="16.5" thickBot="1" x14ac:dyDescent="0.3">
      <c r="A172" s="1">
        <v>43200</v>
      </c>
      <c r="B172" s="3">
        <v>911.43</v>
      </c>
      <c r="C172">
        <f t="shared" si="2"/>
        <v>-1.1417155514499135E-3</v>
      </c>
    </row>
    <row r="173" spans="1:3" ht="16.5" thickBot="1" x14ac:dyDescent="0.3">
      <c r="A173" s="1">
        <v>43199</v>
      </c>
      <c r="B173" s="3">
        <v>910.39</v>
      </c>
      <c r="C173">
        <f t="shared" si="2"/>
        <v>-5.474154686960918E-3</v>
      </c>
    </row>
    <row r="174" spans="1:3" ht="16.5" thickBot="1" x14ac:dyDescent="0.3">
      <c r="A174" s="1">
        <v>43196</v>
      </c>
      <c r="B174" s="3">
        <v>905.42</v>
      </c>
      <c r="C174">
        <f t="shared" si="2"/>
        <v>-3.0862002870237276E-3</v>
      </c>
    </row>
    <row r="175" spans="1:3" ht="16.5" thickBot="1" x14ac:dyDescent="0.3">
      <c r="A175" s="1">
        <v>43195</v>
      </c>
      <c r="B175" s="3">
        <v>902.63</v>
      </c>
      <c r="C175">
        <f t="shared" si="2"/>
        <v>-1.474315926127809E-2</v>
      </c>
    </row>
    <row r="176" spans="1:3" ht="16.5" thickBot="1" x14ac:dyDescent="0.3">
      <c r="A176" s="1">
        <v>43194</v>
      </c>
      <c r="B176" s="3">
        <v>889.42</v>
      </c>
      <c r="C176">
        <f t="shared" si="2"/>
        <v>5.1809520081940903E-3</v>
      </c>
    </row>
    <row r="177" spans="1:3" ht="16.5" thickBot="1" x14ac:dyDescent="0.3">
      <c r="A177" s="1">
        <v>43193</v>
      </c>
      <c r="B177" s="3">
        <v>894.04</v>
      </c>
      <c r="C177">
        <f t="shared" si="2"/>
        <v>-7.36453101751293E-3</v>
      </c>
    </row>
    <row r="178" spans="1:3" ht="16.5" thickBot="1" x14ac:dyDescent="0.3">
      <c r="A178" s="1">
        <v>43192</v>
      </c>
      <c r="B178" s="3">
        <v>887.48</v>
      </c>
      <c r="C178">
        <f t="shared" si="2"/>
        <v>-1.1548375424377757E-2</v>
      </c>
    </row>
    <row r="179" spans="1:3" ht="16.5" thickBot="1" x14ac:dyDescent="0.3">
      <c r="A179" s="1">
        <v>43187</v>
      </c>
      <c r="B179" s="3">
        <v>877.29</v>
      </c>
      <c r="C179">
        <f t="shared" si="2"/>
        <v>1.9192496899612308E-2</v>
      </c>
    </row>
    <row r="180" spans="1:3" ht="16.5" thickBot="1" x14ac:dyDescent="0.3">
      <c r="A180" s="1">
        <v>43186</v>
      </c>
      <c r="B180" s="3">
        <v>894.29</v>
      </c>
      <c r="C180">
        <f t="shared" si="2"/>
        <v>1.4414457176888601E-3</v>
      </c>
    </row>
    <row r="181" spans="1:3" ht="16.5" thickBot="1" x14ac:dyDescent="0.3">
      <c r="A181" s="1">
        <v>43185</v>
      </c>
      <c r="B181" s="3">
        <v>895.58</v>
      </c>
      <c r="C181">
        <f t="shared" si="2"/>
        <v>-8.0269489286224766E-3</v>
      </c>
    </row>
    <row r="182" spans="1:3" ht="16.5" thickBot="1" x14ac:dyDescent="0.3">
      <c r="A182" s="1">
        <v>43182</v>
      </c>
      <c r="B182" s="3">
        <v>888.42</v>
      </c>
      <c r="C182">
        <f t="shared" si="2"/>
        <v>1.5812724789104941E-2</v>
      </c>
    </row>
    <row r="183" spans="1:3" ht="16.5" thickBot="1" x14ac:dyDescent="0.3">
      <c r="A183" s="1">
        <v>43181</v>
      </c>
      <c r="B183" s="3">
        <v>902.58</v>
      </c>
      <c r="C183">
        <f t="shared" si="2"/>
        <v>-1.246406842533204E-2</v>
      </c>
    </row>
    <row r="184" spans="1:3" ht="16.5" thickBot="1" x14ac:dyDescent="0.3">
      <c r="A184" s="1">
        <v>43180</v>
      </c>
      <c r="B184" s="3">
        <v>891.4</v>
      </c>
      <c r="C184">
        <f t="shared" si="2"/>
        <v>-7.9403486316526779E-3</v>
      </c>
    </row>
    <row r="185" spans="1:3" ht="16.5" thickBot="1" x14ac:dyDescent="0.3">
      <c r="A185" s="1">
        <v>43179</v>
      </c>
      <c r="B185" s="3">
        <v>884.35</v>
      </c>
      <c r="C185">
        <f t="shared" si="2"/>
        <v>6.3797867373161041E-3</v>
      </c>
    </row>
    <row r="186" spans="1:3" ht="16.5" thickBot="1" x14ac:dyDescent="0.3">
      <c r="A186" s="1">
        <v>43178</v>
      </c>
      <c r="B186" s="3">
        <v>890.01</v>
      </c>
      <c r="C186">
        <f t="shared" si="2"/>
        <v>5.0657420578063021E-3</v>
      </c>
    </row>
    <row r="187" spans="1:3" ht="16.5" thickBot="1" x14ac:dyDescent="0.3">
      <c r="A187" s="1">
        <v>43175</v>
      </c>
      <c r="B187" s="3">
        <v>894.53</v>
      </c>
      <c r="C187">
        <f t="shared" si="2"/>
        <v>1.2972626587817825E-2</v>
      </c>
    </row>
    <row r="188" spans="1:3" ht="16.5" thickBot="1" x14ac:dyDescent="0.3">
      <c r="A188" s="1">
        <v>43174</v>
      </c>
      <c r="B188" s="3">
        <v>906.21</v>
      </c>
      <c r="C188">
        <f t="shared" si="2"/>
        <v>1.8748123698913349E-2</v>
      </c>
    </row>
    <row r="189" spans="1:3" ht="16.5" thickBot="1" x14ac:dyDescent="0.3">
      <c r="A189" s="1">
        <v>43173</v>
      </c>
      <c r="B189" s="3">
        <v>923.36</v>
      </c>
      <c r="C189">
        <f t="shared" si="2"/>
        <v>3.0062201607511762E-3</v>
      </c>
    </row>
    <row r="190" spans="1:3" ht="16.5" thickBot="1" x14ac:dyDescent="0.3">
      <c r="A190" s="1">
        <v>43172</v>
      </c>
      <c r="B190" s="3">
        <v>926.14</v>
      </c>
      <c r="C190">
        <f t="shared" si="2"/>
        <v>-1.6641995692823859E-3</v>
      </c>
    </row>
    <row r="191" spans="1:3" ht="16.5" thickBot="1" x14ac:dyDescent="0.3">
      <c r="A191" s="1">
        <v>43171</v>
      </c>
      <c r="B191" s="3">
        <v>924.6</v>
      </c>
      <c r="C191">
        <f t="shared" si="2"/>
        <v>-1.8667645415119258E-2</v>
      </c>
    </row>
    <row r="192" spans="1:3" ht="16.5" thickBot="1" x14ac:dyDescent="0.3">
      <c r="A192" s="1">
        <v>43168</v>
      </c>
      <c r="B192" s="3">
        <v>907.5</v>
      </c>
      <c r="C192">
        <f t="shared" si="2"/>
        <v>-1.8087974226175404E-3</v>
      </c>
    </row>
    <row r="193" spans="1:3" ht="16.5" thickBot="1" x14ac:dyDescent="0.3">
      <c r="A193" s="1">
        <v>43167</v>
      </c>
      <c r="B193" s="3">
        <v>905.86</v>
      </c>
      <c r="C193">
        <f t="shared" si="2"/>
        <v>-2.4088397134698875E-2</v>
      </c>
    </row>
    <row r="194" spans="1:3" ht="16.5" thickBot="1" x14ac:dyDescent="0.3">
      <c r="A194" s="1">
        <v>43166</v>
      </c>
      <c r="B194" s="3">
        <v>884.3</v>
      </c>
      <c r="C194">
        <f t="shared" si="2"/>
        <v>2.3436870164386794E-2</v>
      </c>
    </row>
    <row r="195" spans="1:3" ht="16.5" thickBot="1" x14ac:dyDescent="0.3">
      <c r="A195" s="1">
        <v>43165</v>
      </c>
      <c r="B195" s="3">
        <v>905.27</v>
      </c>
      <c r="C195">
        <f t="shared" ref="C195:C245" si="3">LN(B196/B195)</f>
        <v>1.4443336877746142E-2</v>
      </c>
    </row>
    <row r="196" spans="1:3" ht="16.5" thickBot="1" x14ac:dyDescent="0.3">
      <c r="A196" s="1">
        <v>43164</v>
      </c>
      <c r="B196" s="3">
        <v>918.44</v>
      </c>
      <c r="C196">
        <f t="shared" si="3"/>
        <v>2.5954826855575642E-2</v>
      </c>
    </row>
    <row r="197" spans="1:3" ht="16.5" thickBot="1" x14ac:dyDescent="0.3">
      <c r="A197" s="1">
        <v>43160</v>
      </c>
      <c r="B197" s="3">
        <v>942.59</v>
      </c>
      <c r="C197">
        <f t="shared" si="3"/>
        <v>6.4612209194331053E-3</v>
      </c>
    </row>
    <row r="198" spans="1:3" ht="16.5" thickBot="1" x14ac:dyDescent="0.3">
      <c r="A198" s="1">
        <v>43159</v>
      </c>
      <c r="B198" s="3">
        <v>948.7</v>
      </c>
      <c r="C198">
        <f t="shared" si="3"/>
        <v>-4.2569662410303251E-3</v>
      </c>
    </row>
    <row r="199" spans="1:3" ht="16.5" thickBot="1" x14ac:dyDescent="0.3">
      <c r="A199" s="1">
        <v>43158</v>
      </c>
      <c r="B199" s="3">
        <v>944.67</v>
      </c>
      <c r="C199">
        <f t="shared" si="3"/>
        <v>-1.2484051314542742E-2</v>
      </c>
    </row>
    <row r="200" spans="1:3" ht="16.5" thickBot="1" x14ac:dyDescent="0.3">
      <c r="A200" s="1">
        <v>43157</v>
      </c>
      <c r="B200" s="3">
        <v>932.95</v>
      </c>
      <c r="C200">
        <f t="shared" si="3"/>
        <v>-4.7596881640119687E-3</v>
      </c>
    </row>
    <row r="201" spans="1:3" ht="16.5" thickBot="1" x14ac:dyDescent="0.3">
      <c r="A201" s="1">
        <v>43154</v>
      </c>
      <c r="B201" s="3">
        <v>928.52</v>
      </c>
      <c r="C201">
        <f t="shared" si="3"/>
        <v>-1.065406353103192E-2</v>
      </c>
    </row>
    <row r="202" spans="1:3" ht="16.5" thickBot="1" x14ac:dyDescent="0.3">
      <c r="A202" s="1">
        <v>43153</v>
      </c>
      <c r="B202" s="3">
        <v>918.68</v>
      </c>
      <c r="C202">
        <f t="shared" si="3"/>
        <v>5.3953548564321593E-3</v>
      </c>
    </row>
    <row r="203" spans="1:3" ht="16.5" thickBot="1" x14ac:dyDescent="0.3">
      <c r="A203" s="1">
        <v>43152</v>
      </c>
      <c r="B203" s="3">
        <v>923.65</v>
      </c>
      <c r="C203">
        <f t="shared" si="3"/>
        <v>-8.9174643460326608E-3</v>
      </c>
    </row>
    <row r="204" spans="1:3" ht="16.5" thickBot="1" x14ac:dyDescent="0.3">
      <c r="A204" s="1">
        <v>43151</v>
      </c>
      <c r="B204" s="3">
        <v>915.45</v>
      </c>
      <c r="C204">
        <f t="shared" si="3"/>
        <v>6.3916766760910579E-3</v>
      </c>
    </row>
    <row r="205" spans="1:3" ht="16.5" thickBot="1" x14ac:dyDescent="0.3">
      <c r="A205" s="1">
        <v>43150</v>
      </c>
      <c r="B205" s="3">
        <v>921.32</v>
      </c>
      <c r="C205">
        <f t="shared" si="3"/>
        <v>-6.1732287477471448E-3</v>
      </c>
    </row>
    <row r="206" spans="1:3" ht="16.5" thickBot="1" x14ac:dyDescent="0.3">
      <c r="A206" s="1">
        <v>43147</v>
      </c>
      <c r="B206" s="3">
        <v>915.65</v>
      </c>
      <c r="C206">
        <f t="shared" si="3"/>
        <v>1.5464365354905677E-2</v>
      </c>
    </row>
    <row r="207" spans="1:3" ht="16.5" thickBot="1" x14ac:dyDescent="0.3">
      <c r="A207" s="1">
        <v>43146</v>
      </c>
      <c r="B207" s="3">
        <v>929.92</v>
      </c>
      <c r="C207">
        <f t="shared" si="3"/>
        <v>-2.1422620352090885E-3</v>
      </c>
    </row>
    <row r="208" spans="1:3" ht="16.5" thickBot="1" x14ac:dyDescent="0.3">
      <c r="A208" s="1">
        <v>43145</v>
      </c>
      <c r="B208" s="3">
        <v>927.93</v>
      </c>
      <c r="C208">
        <f t="shared" si="3"/>
        <v>-1.963258582310734E-2</v>
      </c>
    </row>
    <row r="209" spans="1:3" ht="16.5" thickBot="1" x14ac:dyDescent="0.3">
      <c r="A209" s="1">
        <v>43143</v>
      </c>
      <c r="B209" s="3">
        <v>909.89</v>
      </c>
      <c r="C209">
        <f t="shared" si="3"/>
        <v>-1.9465280781522404E-2</v>
      </c>
    </row>
    <row r="210" spans="1:3" ht="16.5" thickBot="1" x14ac:dyDescent="0.3">
      <c r="A210" s="1">
        <v>43140</v>
      </c>
      <c r="B210" s="3">
        <v>892.35</v>
      </c>
      <c r="C210">
        <f t="shared" si="3"/>
        <v>7.4357255782534423E-3</v>
      </c>
    </row>
    <row r="211" spans="1:3" ht="16.5" thickBot="1" x14ac:dyDescent="0.3">
      <c r="A211" s="1">
        <v>43139</v>
      </c>
      <c r="B211" s="3">
        <v>899.01</v>
      </c>
      <c r="C211">
        <f t="shared" si="3"/>
        <v>-1.128691516700994E-2</v>
      </c>
    </row>
    <row r="212" spans="1:3" ht="16.5" thickBot="1" x14ac:dyDescent="0.3">
      <c r="A212" s="1">
        <v>43138</v>
      </c>
      <c r="B212" s="3">
        <v>888.92</v>
      </c>
      <c r="C212">
        <f t="shared" si="3"/>
        <v>-2.5794838441661411E-3</v>
      </c>
    </row>
    <row r="213" spans="1:3" ht="16.5" thickBot="1" x14ac:dyDescent="0.3">
      <c r="A213" s="1">
        <v>43137</v>
      </c>
      <c r="B213" s="3">
        <v>886.63</v>
      </c>
      <c r="C213">
        <f t="shared" si="3"/>
        <v>1.1204379094640251E-2</v>
      </c>
    </row>
    <row r="214" spans="1:3" ht="16.5" thickBot="1" x14ac:dyDescent="0.3">
      <c r="A214" s="1">
        <v>43136</v>
      </c>
      <c r="B214" s="3">
        <v>896.62</v>
      </c>
      <c r="C214">
        <f t="shared" si="3"/>
        <v>2.4395282312444835E-3</v>
      </c>
    </row>
    <row r="215" spans="1:3" ht="16.5" thickBot="1" x14ac:dyDescent="0.3">
      <c r="A215" s="1">
        <v>43133</v>
      </c>
      <c r="B215" s="3">
        <v>898.81</v>
      </c>
      <c r="C215">
        <f t="shared" si="3"/>
        <v>4.2752906892463784E-2</v>
      </c>
    </row>
    <row r="216" spans="1:3" ht="16.5" thickBot="1" x14ac:dyDescent="0.3">
      <c r="A216" s="1">
        <v>43132</v>
      </c>
      <c r="B216" s="3">
        <v>938.07</v>
      </c>
      <c r="C216">
        <f t="shared" si="3"/>
        <v>1.8315994633814271E-2</v>
      </c>
    </row>
    <row r="217" spans="1:3" ht="16.5" thickBot="1" x14ac:dyDescent="0.3">
      <c r="A217" s="1">
        <v>43131</v>
      </c>
      <c r="B217" s="3">
        <v>955.41</v>
      </c>
      <c r="C217">
        <f t="shared" si="3"/>
        <v>-1.1400183466671975E-2</v>
      </c>
    </row>
    <row r="218" spans="1:3" ht="16.5" thickBot="1" x14ac:dyDescent="0.3">
      <c r="A218" s="1">
        <v>43130</v>
      </c>
      <c r="B218" s="3">
        <v>944.58</v>
      </c>
      <c r="C218">
        <f t="shared" si="3"/>
        <v>1.4723070536701001E-2</v>
      </c>
    </row>
    <row r="219" spans="1:3" ht="16.5" thickBot="1" x14ac:dyDescent="0.3">
      <c r="A219" s="1">
        <v>43129</v>
      </c>
      <c r="B219" s="3">
        <v>958.59</v>
      </c>
      <c r="C219">
        <f t="shared" si="3"/>
        <v>1.4489961202379391E-3</v>
      </c>
    </row>
    <row r="220" spans="1:3" ht="16.5" thickBot="1" x14ac:dyDescent="0.3">
      <c r="A220" s="1">
        <v>43125</v>
      </c>
      <c r="B220" s="3">
        <v>959.98</v>
      </c>
      <c r="C220">
        <f t="shared" si="3"/>
        <v>4.6864993229171103E-4</v>
      </c>
    </row>
    <row r="221" spans="1:3" ht="16.5" thickBot="1" x14ac:dyDescent="0.3">
      <c r="A221" s="1">
        <v>43124</v>
      </c>
      <c r="B221" s="3">
        <v>960.43</v>
      </c>
      <c r="C221">
        <f t="shared" si="3"/>
        <v>1.7330704969701013E-2</v>
      </c>
    </row>
    <row r="222" spans="1:3" ht="16.5" thickBot="1" x14ac:dyDescent="0.3">
      <c r="A222" s="1">
        <v>43123</v>
      </c>
      <c r="B222" s="3">
        <v>977.22</v>
      </c>
      <c r="C222">
        <f t="shared" si="3"/>
        <v>-1.2013918646789983E-2</v>
      </c>
    </row>
    <row r="223" spans="1:3" ht="16.5" thickBot="1" x14ac:dyDescent="0.3">
      <c r="A223" s="1">
        <v>43122</v>
      </c>
      <c r="B223" s="3">
        <v>965.55</v>
      </c>
      <c r="C223">
        <f t="shared" si="3"/>
        <v>-4.2266515148567767E-2</v>
      </c>
    </row>
    <row r="224" spans="1:3" ht="16.5" thickBot="1" x14ac:dyDescent="0.3">
      <c r="A224" s="1">
        <v>43119</v>
      </c>
      <c r="B224" s="3">
        <v>925.59</v>
      </c>
      <c r="C224">
        <f t="shared" si="3"/>
        <v>-1.253515720436605E-2</v>
      </c>
    </row>
    <row r="225" spans="1:3" ht="16.5" thickBot="1" x14ac:dyDescent="0.3">
      <c r="A225" s="1">
        <v>43118</v>
      </c>
      <c r="B225" s="3">
        <v>914.06</v>
      </c>
      <c r="C225">
        <f t="shared" si="3"/>
        <v>5.2049067523847626E-3</v>
      </c>
    </row>
    <row r="226" spans="1:3" ht="16.5" thickBot="1" x14ac:dyDescent="0.3">
      <c r="A226" s="1">
        <v>43117</v>
      </c>
      <c r="B226" s="3">
        <v>918.83</v>
      </c>
      <c r="C226">
        <f t="shared" si="3"/>
        <v>-1.6774506689210653E-3</v>
      </c>
    </row>
    <row r="227" spans="1:3" ht="16.5" thickBot="1" x14ac:dyDescent="0.3">
      <c r="A227" s="1">
        <v>43116</v>
      </c>
      <c r="B227" s="3">
        <v>917.29</v>
      </c>
      <c r="C227">
        <f t="shared" si="3"/>
        <v>2.7992497496761418E-2</v>
      </c>
    </row>
    <row r="228" spans="1:3" ht="16.5" thickBot="1" x14ac:dyDescent="0.3">
      <c r="A228" s="1">
        <v>43115</v>
      </c>
      <c r="B228" s="3">
        <v>943.33</v>
      </c>
      <c r="C228">
        <f t="shared" si="3"/>
        <v>-1.5902380619890361E-4</v>
      </c>
    </row>
    <row r="229" spans="1:3" ht="16.5" thickBot="1" x14ac:dyDescent="0.3">
      <c r="A229" s="1">
        <v>43112</v>
      </c>
      <c r="B229" s="3">
        <v>943.18</v>
      </c>
      <c r="C229">
        <f t="shared" si="3"/>
        <v>-1.1924329902235886E-2</v>
      </c>
    </row>
    <row r="230" spans="1:3" ht="16.5" thickBot="1" x14ac:dyDescent="0.3">
      <c r="A230" s="1">
        <v>43111</v>
      </c>
      <c r="B230" s="3">
        <v>932</v>
      </c>
      <c r="C230">
        <f t="shared" si="3"/>
        <v>4.8914508013352762E-3</v>
      </c>
    </row>
    <row r="231" spans="1:3" ht="16.5" thickBot="1" x14ac:dyDescent="0.3">
      <c r="A231" s="1">
        <v>43110</v>
      </c>
      <c r="B231" s="3">
        <v>936.57</v>
      </c>
      <c r="C231">
        <f t="shared" si="3"/>
        <v>-1.4852413575762475E-3</v>
      </c>
    </row>
    <row r="232" spans="1:3" ht="16.5" thickBot="1" x14ac:dyDescent="0.3">
      <c r="A232" s="1">
        <v>43109</v>
      </c>
      <c r="B232" s="3">
        <v>935.18</v>
      </c>
      <c r="C232">
        <f t="shared" si="3"/>
        <v>-1.3261480437576264E-2</v>
      </c>
    </row>
    <row r="233" spans="1:3" ht="16.5" thickBot="1" x14ac:dyDescent="0.3">
      <c r="A233" s="1">
        <v>43108</v>
      </c>
      <c r="B233" s="3">
        <v>922.86</v>
      </c>
      <c r="C233">
        <f t="shared" si="3"/>
        <v>-5.7268759307654909E-3</v>
      </c>
    </row>
    <row r="234" spans="1:3" ht="16.5" thickBot="1" x14ac:dyDescent="0.3">
      <c r="A234" s="1">
        <v>43105</v>
      </c>
      <c r="B234" s="3">
        <v>917.59</v>
      </c>
      <c r="C234">
        <f t="shared" si="3"/>
        <v>-3.1982562396421651E-3</v>
      </c>
    </row>
    <row r="235" spans="1:3" ht="16.5" thickBot="1" x14ac:dyDescent="0.3">
      <c r="A235" s="1">
        <v>43104</v>
      </c>
      <c r="B235" s="3">
        <v>914.66</v>
      </c>
      <c r="C235">
        <f t="shared" si="3"/>
        <v>-5.9983182836224136E-3</v>
      </c>
    </row>
    <row r="236" spans="1:3" ht="16.5" thickBot="1" x14ac:dyDescent="0.3">
      <c r="A236" s="1">
        <v>43103</v>
      </c>
      <c r="B236" s="3">
        <v>909.19</v>
      </c>
      <c r="C236">
        <f t="shared" si="3"/>
        <v>-3.9895135460240073E-3</v>
      </c>
    </row>
    <row r="237" spans="1:3" ht="16.5" thickBot="1" x14ac:dyDescent="0.3">
      <c r="A237" s="1">
        <v>43102</v>
      </c>
      <c r="B237" s="3">
        <v>905.57</v>
      </c>
      <c r="C237">
        <f t="shared" si="3"/>
        <v>-1.5471838819655535E-3</v>
      </c>
    </row>
    <row r="238" spans="1:3" ht="16.5" thickBot="1" x14ac:dyDescent="0.3">
      <c r="A238" s="1">
        <v>43101</v>
      </c>
      <c r="B238" s="3">
        <v>904.17</v>
      </c>
      <c r="C238">
        <f t="shared" si="3"/>
        <v>1.2343732409787266E-2</v>
      </c>
    </row>
    <row r="239" spans="1:3" ht="16.5" thickBot="1" x14ac:dyDescent="0.3">
      <c r="A239" s="1">
        <v>43098</v>
      </c>
      <c r="B239" s="3">
        <v>915.4</v>
      </c>
      <c r="C239">
        <f t="shared" si="3"/>
        <v>3.4243247525031421E-3</v>
      </c>
    </row>
    <row r="240" spans="1:3" ht="16.5" thickBot="1" x14ac:dyDescent="0.3">
      <c r="A240" s="1">
        <v>43097</v>
      </c>
      <c r="B240" s="3">
        <v>918.54</v>
      </c>
      <c r="C240">
        <f t="shared" si="3"/>
        <v>-4.9002794139773459E-4</v>
      </c>
    </row>
    <row r="241" spans="1:3" ht="16.5" thickBot="1" x14ac:dyDescent="0.3">
      <c r="A241" s="1">
        <v>43096</v>
      </c>
      <c r="B241" s="3">
        <v>918.09</v>
      </c>
      <c r="C241">
        <f t="shared" si="3"/>
        <v>6.5248658633478788E-3</v>
      </c>
    </row>
    <row r="242" spans="1:3" ht="16.5" thickBot="1" x14ac:dyDescent="0.3">
      <c r="A242" s="1">
        <v>43095</v>
      </c>
      <c r="B242" s="3">
        <v>924.1</v>
      </c>
      <c r="C242">
        <f t="shared" si="3"/>
        <v>-1.0158555105812029E-2</v>
      </c>
    </row>
    <row r="243" spans="1:3" ht="16.5" thickBot="1" x14ac:dyDescent="0.3">
      <c r="A243" s="1">
        <v>43091</v>
      </c>
      <c r="B243" s="3">
        <v>914.76</v>
      </c>
      <c r="C243">
        <f t="shared" si="3"/>
        <v>-8.13347256714975E-3</v>
      </c>
    </row>
    <row r="244" spans="1:3" ht="16.5" thickBot="1" x14ac:dyDescent="0.3">
      <c r="A244" s="1">
        <v>43090</v>
      </c>
      <c r="B244" s="3">
        <v>907.35</v>
      </c>
      <c r="C244">
        <f t="shared" si="3"/>
        <v>5.681739803641222E-3</v>
      </c>
    </row>
    <row r="245" spans="1:3" ht="16.5" thickBot="1" x14ac:dyDescent="0.3">
      <c r="A245" s="1">
        <v>43089</v>
      </c>
      <c r="B245" s="3">
        <v>912.52</v>
      </c>
      <c r="C245">
        <f t="shared" si="3"/>
        <v>8.4571022229605625E-3</v>
      </c>
    </row>
    <row r="246" spans="1:3" ht="15.75" x14ac:dyDescent="0.25">
      <c r="A246" s="1">
        <v>43088</v>
      </c>
      <c r="B246" s="3">
        <v>920.27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DFEA-146F-4C46-94E6-0EF59A157EA3}">
  <dimension ref="A1:A8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27</v>
      </c>
    </row>
    <row r="4" spans="1:1" x14ac:dyDescent="0.25">
      <c r="A4" s="6" t="s">
        <v>26</v>
      </c>
    </row>
    <row r="5" spans="1:1" x14ac:dyDescent="0.25">
      <c r="A5" t="s">
        <v>30</v>
      </c>
    </row>
    <row r="6" spans="1:1" x14ac:dyDescent="0.25">
      <c r="A6" s="7" t="s">
        <v>31</v>
      </c>
    </row>
    <row r="7" spans="1:1" x14ac:dyDescent="0.25">
      <c r="A7" s="6" t="s">
        <v>28</v>
      </c>
    </row>
    <row r="8" spans="1:1" x14ac:dyDescent="0.25">
      <c r="A8" s="6" t="s">
        <v>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BE53C-826B-4DA9-B9B1-A140B9704FEC}">
  <dimension ref="A1:G11"/>
  <sheetViews>
    <sheetView tabSelected="1" workbookViewId="0">
      <selection activeCell="C17" sqref="C17"/>
    </sheetView>
  </sheetViews>
  <sheetFormatPr defaultRowHeight="15" x14ac:dyDescent="0.25"/>
  <cols>
    <col min="1" max="7" width="19.7109375" customWidth="1"/>
  </cols>
  <sheetData>
    <row r="1" spans="1:7" x14ac:dyDescent="0.25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</row>
    <row r="2" spans="1:7" x14ac:dyDescent="0.25">
      <c r="A2">
        <v>920</v>
      </c>
      <c r="B2">
        <f>option_prices_for_various_K!B20</f>
        <v>188.43411733668498</v>
      </c>
      <c r="C2">
        <v>179.55</v>
      </c>
      <c r="D2">
        <v>187.35</v>
      </c>
      <c r="E2">
        <f>option_prices_for_various_K!B21</f>
        <v>0</v>
      </c>
      <c r="F2">
        <v>0.45</v>
      </c>
      <c r="G2">
        <v>3.2</v>
      </c>
    </row>
    <row r="3" spans="1:7" x14ac:dyDescent="0.25">
      <c r="A3">
        <v>940</v>
      </c>
      <c r="B3">
        <f>option_prices_for_various_K!C20</f>
        <v>168.27170804080313</v>
      </c>
      <c r="C3">
        <v>160.1</v>
      </c>
      <c r="D3">
        <v>168.45</v>
      </c>
      <c r="E3">
        <f>option_prices_for_various_K!C21</f>
        <v>0</v>
      </c>
      <c r="F3">
        <v>0.55000000000000004</v>
      </c>
      <c r="G3">
        <v>4</v>
      </c>
    </row>
    <row r="4" spans="1:7" x14ac:dyDescent="0.25">
      <c r="A4">
        <v>980</v>
      </c>
      <c r="B4">
        <f>option_prices_for_various_K!D20</f>
        <v>127.9468894490394</v>
      </c>
      <c r="C4">
        <v>124.6</v>
      </c>
      <c r="D4">
        <v>130.94999999999999</v>
      </c>
      <c r="E4">
        <f>option_prices_for_various_K!D21</f>
        <v>0</v>
      </c>
      <c r="F4">
        <v>4</v>
      </c>
      <c r="G4">
        <v>6.25</v>
      </c>
    </row>
    <row r="5" spans="1:7" x14ac:dyDescent="0.25">
      <c r="A5">
        <v>1020</v>
      </c>
      <c r="B5">
        <f>option_prices_for_various_K!E20</f>
        <v>94.523894814811328</v>
      </c>
      <c r="C5">
        <v>90.75</v>
      </c>
      <c r="D5">
        <v>97.65</v>
      </c>
      <c r="E5">
        <f>option_prices_for_various_K!E21</f>
        <v>6.9018239575356422</v>
      </c>
      <c r="F5">
        <v>10.65</v>
      </c>
      <c r="G5">
        <v>12.8</v>
      </c>
    </row>
    <row r="6" spans="1:7" x14ac:dyDescent="0.25">
      <c r="A6">
        <v>1060</v>
      </c>
      <c r="B6">
        <f>option_prices_for_various_K!F20</f>
        <v>73.386603958272744</v>
      </c>
      <c r="C6">
        <v>63.05</v>
      </c>
      <c r="D6">
        <v>67.25</v>
      </c>
      <c r="E6">
        <f>option_prices_for_various_K!F21</f>
        <v>26.089351692760768</v>
      </c>
      <c r="F6">
        <v>22</v>
      </c>
      <c r="G6">
        <v>23.8</v>
      </c>
    </row>
    <row r="7" spans="1:7" x14ac:dyDescent="0.25">
      <c r="A7">
        <v>1100</v>
      </c>
      <c r="B7">
        <f>option_prices_for_various_K!G20</f>
        <v>52.249313101734153</v>
      </c>
      <c r="C7">
        <v>43</v>
      </c>
      <c r="D7">
        <v>43.5</v>
      </c>
      <c r="E7">
        <f>option_prices_for_various_K!G21</f>
        <v>45.276879427985889</v>
      </c>
      <c r="F7">
        <v>39</v>
      </c>
      <c r="G7">
        <v>39.75</v>
      </c>
    </row>
    <row r="8" spans="1:7" x14ac:dyDescent="0.25">
      <c r="A8">
        <v>1140</v>
      </c>
      <c r="B8">
        <f>option_prices_for_various_K!H20</f>
        <v>31.112022245195561</v>
      </c>
      <c r="C8">
        <v>25.75</v>
      </c>
      <c r="D8">
        <v>26.2</v>
      </c>
      <c r="E8">
        <f>option_prices_for_various_K!H21</f>
        <v>64.464407163211021</v>
      </c>
      <c r="F8">
        <v>61.15</v>
      </c>
      <c r="G8">
        <v>64.099999999999994</v>
      </c>
    </row>
    <row r="9" spans="1:7" x14ac:dyDescent="0.25">
      <c r="A9">
        <v>1180</v>
      </c>
      <c r="B9">
        <f>option_prices_for_various_K!I20</f>
        <v>9.97473138865697</v>
      </c>
      <c r="C9">
        <v>13.2</v>
      </c>
      <c r="D9">
        <v>15</v>
      </c>
      <c r="E9">
        <f>option_prices_for_various_K!I21</f>
        <v>83.651934898436139</v>
      </c>
      <c r="F9">
        <v>88.7</v>
      </c>
      <c r="G9">
        <v>92.2</v>
      </c>
    </row>
    <row r="10" spans="1:7" x14ac:dyDescent="0.25">
      <c r="A10">
        <v>1200</v>
      </c>
      <c r="B10">
        <f>option_prices_for_various_K!J20</f>
        <v>0</v>
      </c>
      <c r="C10">
        <v>11.2</v>
      </c>
      <c r="D10">
        <v>11.65</v>
      </c>
      <c r="E10">
        <f>option_prices_for_various_K!J21</f>
        <v>93.839612805661034</v>
      </c>
      <c r="F10">
        <v>104.85</v>
      </c>
      <c r="G10">
        <v>109.2</v>
      </c>
    </row>
    <row r="11" spans="1:7" x14ac:dyDescent="0.25">
      <c r="A11">
        <v>1240</v>
      </c>
      <c r="B11">
        <f>option_prices_for_various_K!K20</f>
        <v>0</v>
      </c>
      <c r="C11">
        <v>6.15</v>
      </c>
      <c r="D11">
        <v>7.8</v>
      </c>
      <c r="E11">
        <f>option_prices_for_various_K!K21</f>
        <v>134.16443139742475</v>
      </c>
      <c r="F11">
        <v>139.6</v>
      </c>
      <c r="G11">
        <v>149.6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25</vt:i4>
      </vt:variant>
    </vt:vector>
  </HeadingPairs>
  <TitlesOfParts>
    <vt:vector size="29" baseType="lpstr">
      <vt:lpstr>option_prices_for_various_K</vt:lpstr>
      <vt:lpstr>stock_prices_of_last_one_year</vt:lpstr>
      <vt:lpstr>explanation_of_various_variable</vt:lpstr>
      <vt:lpstr>comparison_with_actual_prices</vt:lpstr>
      <vt:lpstr>call_d</vt:lpstr>
      <vt:lpstr>call_u</vt:lpstr>
      <vt:lpstr>d</vt:lpstr>
      <vt:lpstr>interest_rate</vt:lpstr>
      <vt:lpstr>K</vt:lpstr>
      <vt:lpstr>K_1</vt:lpstr>
      <vt:lpstr>K_2</vt:lpstr>
      <vt:lpstr>K_3</vt:lpstr>
      <vt:lpstr>K_4</vt:lpstr>
      <vt:lpstr>K_5</vt:lpstr>
      <vt:lpstr>K_6</vt:lpstr>
      <vt:lpstr>K_7</vt:lpstr>
      <vt:lpstr>K_8</vt:lpstr>
      <vt:lpstr>K_9</vt:lpstr>
      <vt:lpstr>p</vt:lpstr>
      <vt:lpstr>put_d</vt:lpstr>
      <vt:lpstr>put_u</vt:lpstr>
      <vt:lpstr>S</vt:lpstr>
      <vt:lpstr>S_d</vt:lpstr>
      <vt:lpstr>S_u</vt:lpstr>
      <vt:lpstr>Sigma</vt:lpstr>
      <vt:lpstr>T</vt:lpstr>
      <vt:lpstr>u</vt:lpstr>
      <vt:lpstr>uptick_prob</vt:lpstr>
      <vt:lpstr>volatality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2018-12-21T15:16:04Z</dcterms:modified>
</cp:coreProperties>
</file>