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ie.CAMPUSUNINORTE\Downloads\"/>
    </mc:Choice>
  </mc:AlternateContent>
  <xr:revisionPtr revIDLastSave="0" documentId="13_ncr:1_{5E5109A3-6462-4A04-8329-68D0F09E6BAB}" xr6:coauthVersionLast="36" xr6:coauthVersionMax="36" xr10:uidLastSave="{00000000-0000-0000-0000-000000000000}"/>
  <bookViews>
    <workbookView xWindow="0" yWindow="0" windowWidth="20490" windowHeight="8940" activeTab="4" xr2:uid="{00000000-000D-0000-FFFF-FFFF00000000}"/>
  </bookViews>
  <sheets>
    <sheet name="Hoja1" sheetId="1" r:id="rId1"/>
    <sheet name="Hoja2" sheetId="2" r:id="rId2"/>
    <sheet name="Hoja3" sheetId="3" r:id="rId3"/>
    <sheet name="Hoja3 (2)" sheetId="4" r:id="rId4"/>
    <sheet name="Hoja6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6" l="1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E17" i="6"/>
  <c r="N17" i="6" s="1"/>
  <c r="O17" i="6" s="1"/>
  <c r="F17" i="6"/>
  <c r="G17" i="6"/>
  <c r="M8" i="6"/>
  <c r="L17" i="6"/>
  <c r="G5" i="4"/>
  <c r="H5" i="4"/>
  <c r="E8" i="4"/>
  <c r="E7" i="4"/>
  <c r="E6" i="4"/>
  <c r="K5" i="4"/>
  <c r="J5" i="4"/>
  <c r="J5" i="3"/>
  <c r="I5" i="3"/>
  <c r="G5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N8" i="6" l="1"/>
  <c r="M17" i="6"/>
  <c r="P17" i="6" s="1"/>
  <c r="Q17" i="6" s="1"/>
  <c r="I5" i="4"/>
  <c r="O5" i="4" s="1"/>
  <c r="E9" i="4"/>
  <c r="F5" i="3"/>
  <c r="H5" i="3" s="1"/>
  <c r="N5" i="3" s="1"/>
  <c r="BB33" i="2"/>
  <c r="BD31" i="2"/>
  <c r="BE24" i="2"/>
  <c r="BD25" i="2"/>
  <c r="BE25" i="2" s="1"/>
  <c r="BD26" i="2"/>
  <c r="BE26" i="2" s="1"/>
  <c r="BD24" i="2"/>
  <c r="BB15" i="2"/>
  <c r="J109" i="2"/>
  <c r="J108" i="2"/>
  <c r="J106" i="2"/>
  <c r="J105" i="2"/>
  <c r="J104" i="2"/>
  <c r="BC8" i="2"/>
  <c r="BD6" i="2"/>
  <c r="BD5" i="2"/>
  <c r="BD4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3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4" i="2"/>
  <c r="AZ5" i="2"/>
  <c r="AZ6" i="2"/>
  <c r="AZ8" i="2"/>
  <c r="AZ9" i="2"/>
  <c r="AZ10" i="2"/>
  <c r="AZ12" i="2"/>
  <c r="AZ13" i="2"/>
  <c r="AZ14" i="2"/>
  <c r="AZ16" i="2"/>
  <c r="AZ17" i="2"/>
  <c r="AZ18" i="2"/>
  <c r="AZ20" i="2"/>
  <c r="AZ21" i="2"/>
  <c r="AZ22" i="2"/>
  <c r="AZ24" i="2"/>
  <c r="AZ25" i="2"/>
  <c r="AZ26" i="2"/>
  <c r="AZ28" i="2"/>
  <c r="AZ29" i="2"/>
  <c r="AZ30" i="2"/>
  <c r="AZ32" i="2"/>
  <c r="AZ33" i="2"/>
  <c r="AZ34" i="2"/>
  <c r="AZ36" i="2"/>
  <c r="AZ37" i="2"/>
  <c r="AZ38" i="2"/>
  <c r="AZ40" i="2"/>
  <c r="AZ41" i="2"/>
  <c r="AZ42" i="2"/>
  <c r="AZ44" i="2"/>
  <c r="AZ45" i="2"/>
  <c r="AZ46" i="2"/>
  <c r="AZ48" i="2"/>
  <c r="AZ49" i="2"/>
  <c r="AZ50" i="2"/>
  <c r="AZ52" i="2"/>
  <c r="AZ53" i="2"/>
  <c r="AZ54" i="2"/>
  <c r="AZ56" i="2"/>
  <c r="AZ57" i="2"/>
  <c r="AZ58" i="2"/>
  <c r="AZ60" i="2"/>
  <c r="AZ61" i="2"/>
  <c r="AZ62" i="2"/>
  <c r="AZ64" i="2"/>
  <c r="AZ65" i="2"/>
  <c r="AZ66" i="2"/>
  <c r="AZ68" i="2"/>
  <c r="AZ69" i="2"/>
  <c r="AZ70" i="2"/>
  <c r="AZ72" i="2"/>
  <c r="AZ73" i="2"/>
  <c r="AZ74" i="2"/>
  <c r="AZ76" i="2"/>
  <c r="AZ77" i="2"/>
  <c r="AZ78" i="2"/>
  <c r="AZ80" i="2"/>
  <c r="AZ81" i="2"/>
  <c r="AZ82" i="2"/>
  <c r="AZ84" i="2"/>
  <c r="AZ3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3" i="2"/>
  <c r="AW4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6" i="2"/>
  <c r="AV46" i="2"/>
  <c r="AU47" i="2"/>
  <c r="AV47" i="2"/>
  <c r="AU48" i="2"/>
  <c r="AV48" i="2"/>
  <c r="AU49" i="2"/>
  <c r="AV49" i="2"/>
  <c r="AU50" i="2"/>
  <c r="AV50" i="2"/>
  <c r="AU51" i="2"/>
  <c r="AV51" i="2"/>
  <c r="AU52" i="2"/>
  <c r="AV52" i="2"/>
  <c r="AU53" i="2"/>
  <c r="AV53" i="2"/>
  <c r="AU54" i="2"/>
  <c r="AV54" i="2"/>
  <c r="AU55" i="2"/>
  <c r="AV55" i="2"/>
  <c r="AU56" i="2"/>
  <c r="AV56" i="2"/>
  <c r="AU57" i="2"/>
  <c r="AV57" i="2"/>
  <c r="AU58" i="2"/>
  <c r="AV58" i="2"/>
  <c r="AU59" i="2"/>
  <c r="AV59" i="2"/>
  <c r="AU60" i="2"/>
  <c r="AV60" i="2"/>
  <c r="AU61" i="2"/>
  <c r="AV61" i="2"/>
  <c r="AU62" i="2"/>
  <c r="AV62" i="2"/>
  <c r="AU63" i="2"/>
  <c r="AV63" i="2"/>
  <c r="AU64" i="2"/>
  <c r="AV64" i="2"/>
  <c r="AU65" i="2"/>
  <c r="AV65" i="2"/>
  <c r="AU66" i="2"/>
  <c r="AV66" i="2"/>
  <c r="AU67" i="2"/>
  <c r="AV67" i="2"/>
  <c r="AU68" i="2"/>
  <c r="AV68" i="2"/>
  <c r="AU69" i="2"/>
  <c r="AV69" i="2"/>
  <c r="AU70" i="2"/>
  <c r="AV70" i="2"/>
  <c r="AU71" i="2"/>
  <c r="AV71" i="2"/>
  <c r="AU72" i="2"/>
  <c r="AV72" i="2"/>
  <c r="AU73" i="2"/>
  <c r="AV73" i="2"/>
  <c r="AU74" i="2"/>
  <c r="AV74" i="2"/>
  <c r="AU75" i="2"/>
  <c r="AV75" i="2"/>
  <c r="AU76" i="2"/>
  <c r="AV76" i="2"/>
  <c r="AU77" i="2"/>
  <c r="AV77" i="2"/>
  <c r="AU78" i="2"/>
  <c r="AV78" i="2"/>
  <c r="AU79" i="2"/>
  <c r="AV79" i="2"/>
  <c r="AU80" i="2"/>
  <c r="AV80" i="2"/>
  <c r="AU81" i="2"/>
  <c r="AV81" i="2"/>
  <c r="AU82" i="2"/>
  <c r="AV82" i="2"/>
  <c r="AU83" i="2"/>
  <c r="AV83" i="2"/>
  <c r="AU84" i="2"/>
  <c r="AV84" i="2"/>
  <c r="AU85" i="2"/>
  <c r="AV85" i="2"/>
  <c r="AU86" i="2"/>
  <c r="AV86" i="2"/>
  <c r="AU87" i="2"/>
  <c r="AV87" i="2"/>
  <c r="AU88" i="2"/>
  <c r="AV88" i="2"/>
  <c r="AU89" i="2"/>
  <c r="AV89" i="2"/>
  <c r="AU90" i="2"/>
  <c r="AV90" i="2"/>
  <c r="AU91" i="2"/>
  <c r="AV91" i="2"/>
  <c r="AU92" i="2"/>
  <c r="AV92" i="2"/>
  <c r="AU93" i="2"/>
  <c r="AV93" i="2"/>
  <c r="AU94" i="2"/>
  <c r="AV94" i="2"/>
  <c r="AU95" i="2"/>
  <c r="AV95" i="2"/>
  <c r="AU96" i="2"/>
  <c r="AV96" i="2"/>
  <c r="AU97" i="2"/>
  <c r="AV97" i="2"/>
  <c r="AU98" i="2"/>
  <c r="AV98" i="2"/>
  <c r="AU99" i="2"/>
  <c r="AV99" i="2"/>
  <c r="AU100" i="2"/>
  <c r="AV100" i="2"/>
  <c r="AU101" i="2"/>
  <c r="AV101" i="2"/>
  <c r="AU102" i="2"/>
  <c r="AV102" i="2"/>
  <c r="AV3" i="2"/>
  <c r="AU3" i="2"/>
  <c r="L3" i="2"/>
  <c r="AP3" i="2"/>
  <c r="AQ4" i="2" s="1"/>
  <c r="AR4" i="2" s="1"/>
  <c r="L80" i="2"/>
  <c r="L81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E5" i="2"/>
  <c r="AF5" i="2"/>
  <c r="AG5" i="2"/>
  <c r="AG4" i="2"/>
  <c r="AF4" i="2"/>
  <c r="AE4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3" i="2"/>
  <c r="AL3" i="2"/>
  <c r="AM3" i="2"/>
  <c r="T4" i="2" s="1"/>
  <c r="P4" i="2" s="1"/>
  <c r="AK3" i="2"/>
  <c r="R4" i="2" s="1"/>
  <c r="N4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3" i="2"/>
  <c r="AC3" i="2"/>
  <c r="AB3" i="2"/>
  <c r="AA3" i="2"/>
  <c r="Z3" i="2"/>
  <c r="Y3" i="2"/>
  <c r="X3" i="2"/>
  <c r="W3" i="2"/>
  <c r="Q3" i="2"/>
  <c r="V3" i="2" s="1"/>
  <c r="K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M80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M3" i="2"/>
  <c r="K3" i="2"/>
  <c r="BQ14" i="1"/>
  <c r="T17" i="6" l="1"/>
  <c r="I18" i="6" s="1"/>
  <c r="E18" i="6" s="1"/>
  <c r="K18" i="6"/>
  <c r="G18" i="6" s="1"/>
  <c r="J18" i="6"/>
  <c r="F18" i="6" s="1"/>
  <c r="E10" i="4"/>
  <c r="Q5" i="4"/>
  <c r="N5" i="4"/>
  <c r="T5" i="4"/>
  <c r="R5" i="4"/>
  <c r="P5" i="3"/>
  <c r="Q5" i="3"/>
  <c r="S5" i="3"/>
  <c r="M5" i="3"/>
  <c r="AZ83" i="2"/>
  <c r="AZ79" i="2"/>
  <c r="AZ75" i="2"/>
  <c r="AZ71" i="2"/>
  <c r="AZ67" i="2"/>
  <c r="AZ63" i="2"/>
  <c r="AZ59" i="2"/>
  <c r="AZ55" i="2"/>
  <c r="AZ51" i="2"/>
  <c r="AZ47" i="2"/>
  <c r="AZ43" i="2"/>
  <c r="AZ39" i="2"/>
  <c r="AZ35" i="2"/>
  <c r="AZ31" i="2"/>
  <c r="AZ27" i="2"/>
  <c r="AZ23" i="2"/>
  <c r="AZ19" i="2"/>
  <c r="AZ15" i="2"/>
  <c r="AZ11" i="2"/>
  <c r="AZ7" i="2"/>
  <c r="AQ3" i="2"/>
  <c r="AR3" i="2" s="1"/>
  <c r="AQ99" i="2"/>
  <c r="AR99" i="2" s="1"/>
  <c r="AQ95" i="2"/>
  <c r="AR95" i="2" s="1"/>
  <c r="AQ91" i="2"/>
  <c r="AR91" i="2" s="1"/>
  <c r="AQ87" i="2"/>
  <c r="AR87" i="2" s="1"/>
  <c r="AQ83" i="2"/>
  <c r="AR83" i="2" s="1"/>
  <c r="AQ79" i="2"/>
  <c r="AR79" i="2" s="1"/>
  <c r="AQ75" i="2"/>
  <c r="AR75" i="2" s="1"/>
  <c r="AQ71" i="2"/>
  <c r="AR71" i="2" s="1"/>
  <c r="AQ67" i="2"/>
  <c r="AR67" i="2" s="1"/>
  <c r="AQ63" i="2"/>
  <c r="AR63" i="2" s="1"/>
  <c r="AQ59" i="2"/>
  <c r="AR59" i="2" s="1"/>
  <c r="AQ55" i="2"/>
  <c r="AR55" i="2" s="1"/>
  <c r="AQ51" i="2"/>
  <c r="AR51" i="2" s="1"/>
  <c r="AQ47" i="2"/>
  <c r="AR47" i="2" s="1"/>
  <c r="AQ43" i="2"/>
  <c r="AR43" i="2" s="1"/>
  <c r="AQ39" i="2"/>
  <c r="AR39" i="2" s="1"/>
  <c r="AQ35" i="2"/>
  <c r="AR35" i="2" s="1"/>
  <c r="AQ31" i="2"/>
  <c r="AR31" i="2" s="1"/>
  <c r="AQ27" i="2"/>
  <c r="AR27" i="2" s="1"/>
  <c r="AQ23" i="2"/>
  <c r="AR23" i="2" s="1"/>
  <c r="AQ19" i="2"/>
  <c r="AR19" i="2" s="1"/>
  <c r="AQ15" i="2"/>
  <c r="AR15" i="2" s="1"/>
  <c r="AQ11" i="2"/>
  <c r="AR11" i="2" s="1"/>
  <c r="AQ7" i="2"/>
  <c r="AR7" i="2" s="1"/>
  <c r="AQ102" i="2"/>
  <c r="AR102" i="2" s="1"/>
  <c r="AQ98" i="2"/>
  <c r="AR98" i="2" s="1"/>
  <c r="AQ94" i="2"/>
  <c r="AR94" i="2" s="1"/>
  <c r="AQ90" i="2"/>
  <c r="AR90" i="2" s="1"/>
  <c r="AQ86" i="2"/>
  <c r="AR86" i="2" s="1"/>
  <c r="AQ82" i="2"/>
  <c r="AR82" i="2" s="1"/>
  <c r="AQ78" i="2"/>
  <c r="AR78" i="2" s="1"/>
  <c r="AQ74" i="2"/>
  <c r="AR74" i="2" s="1"/>
  <c r="AQ70" i="2"/>
  <c r="AR70" i="2" s="1"/>
  <c r="AQ66" i="2"/>
  <c r="AR66" i="2" s="1"/>
  <c r="AQ62" i="2"/>
  <c r="AR62" i="2" s="1"/>
  <c r="AQ58" i="2"/>
  <c r="AR58" i="2" s="1"/>
  <c r="AQ54" i="2"/>
  <c r="AR54" i="2" s="1"/>
  <c r="AQ50" i="2"/>
  <c r="AR50" i="2" s="1"/>
  <c r="AQ46" i="2"/>
  <c r="AR46" i="2" s="1"/>
  <c r="AQ42" i="2"/>
  <c r="AR42" i="2" s="1"/>
  <c r="AQ38" i="2"/>
  <c r="AR38" i="2" s="1"/>
  <c r="AQ34" i="2"/>
  <c r="AR34" i="2" s="1"/>
  <c r="AQ30" i="2"/>
  <c r="AR30" i="2" s="1"/>
  <c r="AQ26" i="2"/>
  <c r="AR26" i="2" s="1"/>
  <c r="AQ22" i="2"/>
  <c r="AR22" i="2" s="1"/>
  <c r="AQ18" i="2"/>
  <c r="AR18" i="2" s="1"/>
  <c r="AQ14" i="2"/>
  <c r="AR14" i="2" s="1"/>
  <c r="AQ10" i="2"/>
  <c r="AR10" i="2" s="1"/>
  <c r="AQ6" i="2"/>
  <c r="AR6" i="2" s="1"/>
  <c r="AQ101" i="2"/>
  <c r="AR101" i="2" s="1"/>
  <c r="AQ97" i="2"/>
  <c r="AR97" i="2" s="1"/>
  <c r="AQ93" i="2"/>
  <c r="AR93" i="2" s="1"/>
  <c r="AQ89" i="2"/>
  <c r="AR89" i="2" s="1"/>
  <c r="AQ85" i="2"/>
  <c r="AR85" i="2" s="1"/>
  <c r="AQ81" i="2"/>
  <c r="AR81" i="2" s="1"/>
  <c r="AQ77" i="2"/>
  <c r="AR77" i="2" s="1"/>
  <c r="AQ73" i="2"/>
  <c r="AR73" i="2" s="1"/>
  <c r="AQ69" i="2"/>
  <c r="AR69" i="2" s="1"/>
  <c r="AQ65" i="2"/>
  <c r="AR65" i="2" s="1"/>
  <c r="AQ61" i="2"/>
  <c r="AR61" i="2" s="1"/>
  <c r="AQ57" i="2"/>
  <c r="AR57" i="2" s="1"/>
  <c r="AQ53" i="2"/>
  <c r="AR53" i="2" s="1"/>
  <c r="AQ49" i="2"/>
  <c r="AR49" i="2" s="1"/>
  <c r="AQ45" i="2"/>
  <c r="AR45" i="2" s="1"/>
  <c r="AQ41" i="2"/>
  <c r="AR41" i="2" s="1"/>
  <c r="AQ37" i="2"/>
  <c r="AR37" i="2" s="1"/>
  <c r="AQ33" i="2"/>
  <c r="AR33" i="2" s="1"/>
  <c r="AQ29" i="2"/>
  <c r="AR29" i="2" s="1"/>
  <c r="AQ25" i="2"/>
  <c r="AR25" i="2" s="1"/>
  <c r="AQ21" i="2"/>
  <c r="AR21" i="2" s="1"/>
  <c r="AQ17" i="2"/>
  <c r="AR17" i="2" s="1"/>
  <c r="AQ13" i="2"/>
  <c r="AR13" i="2" s="1"/>
  <c r="AQ9" i="2"/>
  <c r="AR9" i="2" s="1"/>
  <c r="AQ5" i="2"/>
  <c r="AR5" i="2" s="1"/>
  <c r="AQ100" i="2"/>
  <c r="AR100" i="2" s="1"/>
  <c r="AQ96" i="2"/>
  <c r="AR96" i="2" s="1"/>
  <c r="AQ92" i="2"/>
  <c r="AR92" i="2" s="1"/>
  <c r="AQ88" i="2"/>
  <c r="AR88" i="2" s="1"/>
  <c r="AQ84" i="2"/>
  <c r="AR84" i="2" s="1"/>
  <c r="AQ80" i="2"/>
  <c r="AR80" i="2" s="1"/>
  <c r="AQ76" i="2"/>
  <c r="AR76" i="2" s="1"/>
  <c r="AQ72" i="2"/>
  <c r="AR72" i="2" s="1"/>
  <c r="AQ68" i="2"/>
  <c r="AR68" i="2" s="1"/>
  <c r="AQ64" i="2"/>
  <c r="AR64" i="2" s="1"/>
  <c r="AQ60" i="2"/>
  <c r="AR60" i="2" s="1"/>
  <c r="AQ56" i="2"/>
  <c r="AR56" i="2" s="1"/>
  <c r="AQ52" i="2"/>
  <c r="AR52" i="2" s="1"/>
  <c r="AQ48" i="2"/>
  <c r="AR48" i="2" s="1"/>
  <c r="AQ44" i="2"/>
  <c r="AR44" i="2" s="1"/>
  <c r="AQ40" i="2"/>
  <c r="AR40" i="2" s="1"/>
  <c r="AQ36" i="2"/>
  <c r="AR36" i="2" s="1"/>
  <c r="AQ32" i="2"/>
  <c r="AR32" i="2" s="1"/>
  <c r="AQ28" i="2"/>
  <c r="AR28" i="2" s="1"/>
  <c r="AQ24" i="2"/>
  <c r="AR24" i="2" s="1"/>
  <c r="AQ20" i="2"/>
  <c r="AR20" i="2" s="1"/>
  <c r="AQ16" i="2"/>
  <c r="AR16" i="2" s="1"/>
  <c r="AQ12" i="2"/>
  <c r="AR12" i="2" s="1"/>
  <c r="AQ8" i="2"/>
  <c r="AR8" i="2" s="1"/>
  <c r="AN3" i="2"/>
  <c r="AO3" i="2" s="1"/>
  <c r="S4" i="2"/>
  <c r="O4" i="2" s="1"/>
  <c r="Q4" i="2" s="1"/>
  <c r="AD3" i="2"/>
  <c r="AG3" i="2" s="1"/>
  <c r="AF3" i="2"/>
  <c r="AE3" i="2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AP13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W13" i="1"/>
  <c r="H18" i="6" l="1"/>
  <c r="L18" i="6" s="1"/>
  <c r="S5" i="4"/>
  <c r="U5" i="4" s="1"/>
  <c r="M6" i="4"/>
  <c r="K6" i="4" s="1"/>
  <c r="E11" i="4"/>
  <c r="L6" i="3"/>
  <c r="J6" i="3" s="1"/>
  <c r="R5" i="3"/>
  <c r="AA4" i="2"/>
  <c r="X4" i="2"/>
  <c r="Y4" i="2"/>
  <c r="V4" i="2"/>
  <c r="W4" i="2"/>
  <c r="Z4" i="2"/>
  <c r="AB4" i="2"/>
  <c r="AC4" i="2"/>
  <c r="AH3" i="2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J13" i="1"/>
  <c r="O13" i="1" s="1"/>
  <c r="P14" i="1" s="1"/>
  <c r="J18" i="1"/>
  <c r="J19" i="1"/>
  <c r="J20" i="1"/>
  <c r="J21" i="1"/>
  <c r="J22" i="1"/>
  <c r="J31" i="1"/>
  <c r="J32" i="1"/>
  <c r="J33" i="1"/>
  <c r="J34" i="1"/>
  <c r="J36" i="1"/>
  <c r="J54" i="1"/>
  <c r="J55" i="1"/>
  <c r="J56" i="1"/>
  <c r="J57" i="1"/>
  <c r="J58" i="1"/>
  <c r="J67" i="1"/>
  <c r="J68" i="1"/>
  <c r="J69" i="1"/>
  <c r="J70" i="1"/>
  <c r="J72" i="1"/>
  <c r="J90" i="1"/>
  <c r="J91" i="1"/>
  <c r="J92" i="1"/>
  <c r="J93" i="1"/>
  <c r="J94" i="1"/>
  <c r="J103" i="1"/>
  <c r="J104" i="1"/>
  <c r="J105" i="1"/>
  <c r="J106" i="1"/>
  <c r="J108" i="1"/>
  <c r="J14" i="1"/>
  <c r="J15" i="1"/>
  <c r="J16" i="1"/>
  <c r="J25" i="1"/>
  <c r="J26" i="1"/>
  <c r="J27" i="1"/>
  <c r="J28" i="1"/>
  <c r="J37" i="1"/>
  <c r="J38" i="1"/>
  <c r="J39" i="1"/>
  <c r="J40" i="1"/>
  <c r="J49" i="1"/>
  <c r="J50" i="1"/>
  <c r="J51" i="1"/>
  <c r="J52" i="1"/>
  <c r="J61" i="1"/>
  <c r="J62" i="1"/>
  <c r="J63" i="1"/>
  <c r="J64" i="1"/>
  <c r="J73" i="1"/>
  <c r="J74" i="1"/>
  <c r="J75" i="1"/>
  <c r="J76" i="1"/>
  <c r="J85" i="1"/>
  <c r="J86" i="1"/>
  <c r="J87" i="1"/>
  <c r="J88" i="1"/>
  <c r="J97" i="1"/>
  <c r="J98" i="1"/>
  <c r="J99" i="1"/>
  <c r="J100" i="1"/>
  <c r="J109" i="1"/>
  <c r="J110" i="1"/>
  <c r="J111" i="1"/>
  <c r="J1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J17" i="1"/>
  <c r="J23" i="1"/>
  <c r="J24" i="1"/>
  <c r="J29" i="1"/>
  <c r="J30" i="1"/>
  <c r="J35" i="1"/>
  <c r="J41" i="1"/>
  <c r="J42" i="1"/>
  <c r="J43" i="1"/>
  <c r="J44" i="1"/>
  <c r="J45" i="1"/>
  <c r="J46" i="1"/>
  <c r="J47" i="1"/>
  <c r="J48" i="1"/>
  <c r="J53" i="1"/>
  <c r="J59" i="1"/>
  <c r="J60" i="1"/>
  <c r="J65" i="1"/>
  <c r="J66" i="1"/>
  <c r="J71" i="1"/>
  <c r="J77" i="1"/>
  <c r="J78" i="1"/>
  <c r="J79" i="1"/>
  <c r="J80" i="1"/>
  <c r="J81" i="1"/>
  <c r="J82" i="1"/>
  <c r="J83" i="1"/>
  <c r="J84" i="1"/>
  <c r="J89" i="1"/>
  <c r="J95" i="1"/>
  <c r="J96" i="1"/>
  <c r="J101" i="1"/>
  <c r="J102" i="1"/>
  <c r="J107" i="1"/>
  <c r="B14" i="1"/>
  <c r="B15" i="1"/>
  <c r="B16" i="1"/>
  <c r="B17" i="1"/>
  <c r="B18" i="1"/>
  <c r="B19" i="1"/>
  <c r="B20" i="1"/>
  <c r="B21" i="1"/>
  <c r="B22" i="1"/>
  <c r="B23" i="1"/>
  <c r="B24" i="1"/>
  <c r="B25" i="1"/>
  <c r="B13" i="1"/>
  <c r="H13" i="1" s="1"/>
  <c r="N18" i="6" l="1"/>
  <c r="O18" i="6"/>
  <c r="M18" i="6"/>
  <c r="P18" i="6" s="1"/>
  <c r="L6" i="4"/>
  <c r="J6" i="4" s="1"/>
  <c r="G6" i="4" s="1"/>
  <c r="E12" i="4"/>
  <c r="T5" i="3"/>
  <c r="K6" i="3"/>
  <c r="I6" i="3" s="1"/>
  <c r="F6" i="3" s="1"/>
  <c r="AD4" i="2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8" i="1"/>
  <c r="BG26" i="1"/>
  <c r="BG34" i="1"/>
  <c r="BG42" i="1"/>
  <c r="BG58" i="1"/>
  <c r="BG66" i="1"/>
  <c r="BG74" i="1"/>
  <c r="BG90" i="1"/>
  <c r="BG98" i="1"/>
  <c r="BG50" i="1"/>
  <c r="BG82" i="1"/>
  <c r="BG106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4" i="1"/>
  <c r="BG62" i="1"/>
  <c r="BG86" i="1"/>
  <c r="BG102" i="1"/>
  <c r="BG13" i="1"/>
  <c r="BJ13" i="1" s="1"/>
  <c r="BK13" i="1" s="1"/>
  <c r="BL13" i="1" s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22" i="1"/>
  <c r="BG30" i="1"/>
  <c r="BG38" i="1"/>
  <c r="BG46" i="1"/>
  <c r="BG54" i="1"/>
  <c r="BG70" i="1"/>
  <c r="BG78" i="1"/>
  <c r="BG94" i="1"/>
  <c r="BG110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Q13" i="1"/>
  <c r="L13" i="1"/>
  <c r="N13" i="1"/>
  <c r="Q18" i="6" l="1"/>
  <c r="T18" i="6" s="1"/>
  <c r="I19" i="6" s="1"/>
  <c r="E19" i="6" s="1"/>
  <c r="H19" i="6" s="1"/>
  <c r="K19" i="6"/>
  <c r="G19" i="6" s="1"/>
  <c r="J19" i="6"/>
  <c r="F19" i="6" s="1"/>
  <c r="H6" i="4"/>
  <c r="I6" i="4" s="1"/>
  <c r="E13" i="4"/>
  <c r="G6" i="3"/>
  <c r="H6" i="3" s="1"/>
  <c r="N6" i="3" s="1"/>
  <c r="AH4" i="2"/>
  <c r="AM4" i="2"/>
  <c r="T5" i="2" s="1"/>
  <c r="P5" i="2" s="1"/>
  <c r="AL4" i="2"/>
  <c r="S5" i="2" s="1"/>
  <c r="O5" i="2" s="1"/>
  <c r="AK4" i="2"/>
  <c r="R5" i="2" s="1"/>
  <c r="N5" i="2" s="1"/>
  <c r="BM13" i="1"/>
  <c r="U13" i="1"/>
  <c r="W13" i="1" s="1"/>
  <c r="L14" i="1"/>
  <c r="O19" i="6" l="1"/>
  <c r="L19" i="6"/>
  <c r="M19" i="6"/>
  <c r="N19" i="6"/>
  <c r="R6" i="4"/>
  <c r="O6" i="4"/>
  <c r="T6" i="4" s="1"/>
  <c r="M7" i="4" s="1"/>
  <c r="K7" i="4" s="1"/>
  <c r="N6" i="4"/>
  <c r="Q6" i="4"/>
  <c r="E14" i="4"/>
  <c r="P6" i="3"/>
  <c r="Q6" i="3"/>
  <c r="M6" i="3"/>
  <c r="R6" i="3" s="1"/>
  <c r="S6" i="3"/>
  <c r="L7" i="3" s="1"/>
  <c r="AN4" i="2"/>
  <c r="AO4" i="2" s="1"/>
  <c r="Q5" i="2"/>
  <c r="X13" i="1"/>
  <c r="V13" i="1"/>
  <c r="AY13" i="1" s="1"/>
  <c r="AZ13" i="1" s="1"/>
  <c r="O14" i="1"/>
  <c r="P19" i="6" l="1"/>
  <c r="S6" i="4"/>
  <c r="E15" i="4"/>
  <c r="J7" i="3"/>
  <c r="T6" i="3"/>
  <c r="K7" i="3"/>
  <c r="I7" i="3" s="1"/>
  <c r="AB5" i="2"/>
  <c r="W5" i="2"/>
  <c r="AA5" i="2"/>
  <c r="AC5" i="2"/>
  <c r="Y5" i="2"/>
  <c r="Z5" i="2"/>
  <c r="X5" i="2"/>
  <c r="V5" i="2"/>
  <c r="AX13" i="1"/>
  <c r="BB13" i="1" s="1"/>
  <c r="Z13" i="1" s="1"/>
  <c r="AH13" i="1" s="1"/>
  <c r="AC14" i="1" s="1"/>
  <c r="BA13" i="1"/>
  <c r="P15" i="1"/>
  <c r="L15" i="1" s="1"/>
  <c r="Q14" i="1"/>
  <c r="M14" i="1"/>
  <c r="N14" i="1"/>
  <c r="Q19" i="6" l="1"/>
  <c r="T19" i="6" s="1"/>
  <c r="K20" i="6" s="1"/>
  <c r="G20" i="6" s="1"/>
  <c r="I20" i="6"/>
  <c r="E20" i="6" s="1"/>
  <c r="J20" i="6"/>
  <c r="F20" i="6" s="1"/>
  <c r="U6" i="4"/>
  <c r="L7" i="4"/>
  <c r="J7" i="4" s="1"/>
  <c r="G7" i="4" s="1"/>
  <c r="E16" i="4"/>
  <c r="G7" i="3"/>
  <c r="F7" i="3"/>
  <c r="AD5" i="2"/>
  <c r="Y13" i="1"/>
  <c r="AG13" i="1" s="1"/>
  <c r="AB14" i="1" s="1"/>
  <c r="AA13" i="1"/>
  <c r="AI13" i="1" s="1"/>
  <c r="AD14" i="1" s="1"/>
  <c r="O15" i="1"/>
  <c r="P16" i="1" s="1"/>
  <c r="L16" i="1" s="1"/>
  <c r="M15" i="1"/>
  <c r="N15" i="1"/>
  <c r="H20" i="6" l="1"/>
  <c r="H7" i="4"/>
  <c r="E17" i="4"/>
  <c r="H7" i="3"/>
  <c r="N7" i="3" s="1"/>
  <c r="AK5" i="2"/>
  <c r="AM5" i="2"/>
  <c r="T6" i="2" s="1"/>
  <c r="P6" i="2" s="1"/>
  <c r="AL5" i="2"/>
  <c r="S6" i="2" s="1"/>
  <c r="O6" i="2" s="1"/>
  <c r="AW14" i="1"/>
  <c r="AJ13" i="1"/>
  <c r="AK13" i="1" s="1"/>
  <c r="Q15" i="1"/>
  <c r="O16" i="1"/>
  <c r="P17" i="1" s="1"/>
  <c r="L17" i="1" s="1"/>
  <c r="M16" i="1"/>
  <c r="N16" i="1"/>
  <c r="O20" i="6" l="1"/>
  <c r="L20" i="6"/>
  <c r="M20" i="6"/>
  <c r="N20" i="6"/>
  <c r="I7" i="4"/>
  <c r="O7" i="4" s="1"/>
  <c r="E18" i="4"/>
  <c r="S7" i="3"/>
  <c r="L8" i="3" s="1"/>
  <c r="J8" i="3" s="1"/>
  <c r="Q7" i="3"/>
  <c r="P7" i="3"/>
  <c r="M7" i="3"/>
  <c r="R7" i="3" s="1"/>
  <c r="AN5" i="2"/>
  <c r="AO5" i="2" s="1"/>
  <c r="R6" i="2"/>
  <c r="N6" i="2" s="1"/>
  <c r="Q6" i="2" s="1"/>
  <c r="AH5" i="2"/>
  <c r="AL13" i="1"/>
  <c r="Q16" i="1"/>
  <c r="O17" i="1"/>
  <c r="P18" i="1" s="1"/>
  <c r="L18" i="1" s="1"/>
  <c r="N17" i="1"/>
  <c r="M17" i="1"/>
  <c r="P20" i="6" l="1"/>
  <c r="Q20" i="6" s="1"/>
  <c r="T20" i="6" s="1"/>
  <c r="I21" i="6" s="1"/>
  <c r="E21" i="6" s="1"/>
  <c r="R7" i="4"/>
  <c r="N7" i="4"/>
  <c r="Q7" i="4"/>
  <c r="E19" i="4"/>
  <c r="T7" i="3"/>
  <c r="K8" i="3"/>
  <c r="I8" i="3" s="1"/>
  <c r="AC6" i="2"/>
  <c r="AB6" i="2"/>
  <c r="W6" i="2"/>
  <c r="AA6" i="2"/>
  <c r="Z6" i="2"/>
  <c r="Y6" i="2"/>
  <c r="V6" i="2"/>
  <c r="X6" i="2"/>
  <c r="Q17" i="1"/>
  <c r="N18" i="1"/>
  <c r="O18" i="1"/>
  <c r="P19" i="1" s="1"/>
  <c r="L19" i="1" s="1"/>
  <c r="M18" i="1"/>
  <c r="J21" i="6" l="1"/>
  <c r="F21" i="6" s="1"/>
  <c r="H21" i="6" s="1"/>
  <c r="K21" i="6"/>
  <c r="G21" i="6" s="1"/>
  <c r="T7" i="4"/>
  <c r="M8" i="4" s="1"/>
  <c r="K8" i="4" s="1"/>
  <c r="S7" i="4"/>
  <c r="E20" i="4"/>
  <c r="G8" i="3"/>
  <c r="F8" i="3"/>
  <c r="H8" i="3" s="1"/>
  <c r="N8" i="3" s="1"/>
  <c r="AD6" i="2"/>
  <c r="Q18" i="1"/>
  <c r="O19" i="1"/>
  <c r="P20" i="1" s="1"/>
  <c r="L20" i="1" s="1"/>
  <c r="N19" i="1"/>
  <c r="M19" i="1"/>
  <c r="N21" i="6" l="1"/>
  <c r="O21" i="6"/>
  <c r="M21" i="6"/>
  <c r="L21" i="6"/>
  <c r="L8" i="4"/>
  <c r="J8" i="4" s="1"/>
  <c r="G8" i="4" s="1"/>
  <c r="U7" i="4"/>
  <c r="E21" i="4"/>
  <c r="P8" i="3"/>
  <c r="R8" i="3"/>
  <c r="K9" i="3" s="1"/>
  <c r="I9" i="3" s="1"/>
  <c r="M8" i="3"/>
  <c r="Q8" i="3"/>
  <c r="S8" i="3"/>
  <c r="AF6" i="2"/>
  <c r="AG6" i="2"/>
  <c r="AM6" i="2" s="1"/>
  <c r="T7" i="2" s="1"/>
  <c r="P7" i="2" s="1"/>
  <c r="AE6" i="2"/>
  <c r="AK6" i="2"/>
  <c r="AL6" i="2"/>
  <c r="S7" i="2" s="1"/>
  <c r="O7" i="2" s="1"/>
  <c r="Q19" i="1"/>
  <c r="M20" i="1"/>
  <c r="N20" i="1"/>
  <c r="O20" i="1"/>
  <c r="P21" i="1" s="1"/>
  <c r="L21" i="1" s="1"/>
  <c r="P21" i="6" l="1"/>
  <c r="H8" i="4"/>
  <c r="E22" i="4"/>
  <c r="T8" i="3"/>
  <c r="L9" i="3"/>
  <c r="J9" i="3" s="1"/>
  <c r="G9" i="3" s="1"/>
  <c r="AN6" i="2"/>
  <c r="AO6" i="2" s="1"/>
  <c r="R7" i="2"/>
  <c r="N7" i="2" s="1"/>
  <c r="Q7" i="2" s="1"/>
  <c r="AH6" i="2"/>
  <c r="Q20" i="1"/>
  <c r="N21" i="1"/>
  <c r="O21" i="1"/>
  <c r="P22" i="1" s="1"/>
  <c r="L22" i="1" s="1"/>
  <c r="M21" i="1"/>
  <c r="Q21" i="6" l="1"/>
  <c r="T21" i="6" s="1"/>
  <c r="J22" i="6" s="1"/>
  <c r="F22" i="6" s="1"/>
  <c r="I22" i="6"/>
  <c r="E22" i="6" s="1"/>
  <c r="K22" i="6"/>
  <c r="G22" i="6" s="1"/>
  <c r="I8" i="4"/>
  <c r="E23" i="4"/>
  <c r="F9" i="3"/>
  <c r="H9" i="3"/>
  <c r="N9" i="3" s="1"/>
  <c r="AB7" i="2"/>
  <c r="V7" i="2"/>
  <c r="Y7" i="2"/>
  <c r="AC7" i="2"/>
  <c r="W7" i="2"/>
  <c r="X7" i="2"/>
  <c r="Z7" i="2"/>
  <c r="AA7" i="2"/>
  <c r="Q21" i="1"/>
  <c r="O22" i="1"/>
  <c r="N22" i="1"/>
  <c r="M22" i="1"/>
  <c r="H22" i="6" l="1"/>
  <c r="L22" i="6"/>
  <c r="M22" i="6"/>
  <c r="N22" i="6"/>
  <c r="R8" i="4"/>
  <c r="O8" i="4"/>
  <c r="N8" i="4"/>
  <c r="T8" i="4"/>
  <c r="M9" i="4" s="1"/>
  <c r="K9" i="4" s="1"/>
  <c r="Q8" i="4"/>
  <c r="E24" i="4"/>
  <c r="P9" i="3"/>
  <c r="S9" i="3"/>
  <c r="L10" i="3" s="1"/>
  <c r="J10" i="3" s="1"/>
  <c r="Q9" i="3"/>
  <c r="M9" i="3"/>
  <c r="R9" i="3" s="1"/>
  <c r="AD7" i="2"/>
  <c r="Q22" i="1"/>
  <c r="P23" i="1"/>
  <c r="L23" i="1" s="1"/>
  <c r="O22" i="6" l="1"/>
  <c r="P22" i="6" s="1"/>
  <c r="S8" i="4"/>
  <c r="L9" i="4" s="1"/>
  <c r="J9" i="4" s="1"/>
  <c r="G9" i="4" s="1"/>
  <c r="E25" i="4"/>
  <c r="T9" i="3"/>
  <c r="K10" i="3"/>
  <c r="I10" i="3" s="1"/>
  <c r="AG7" i="2"/>
  <c r="AF7" i="2"/>
  <c r="AL7" i="2" s="1"/>
  <c r="S8" i="2" s="1"/>
  <c r="O8" i="2" s="1"/>
  <c r="AE7" i="2"/>
  <c r="AK7" i="2"/>
  <c r="AM7" i="2"/>
  <c r="T8" i="2" s="1"/>
  <c r="P8" i="2" s="1"/>
  <c r="O23" i="1"/>
  <c r="Q23" i="1" s="1"/>
  <c r="N23" i="1"/>
  <c r="M23" i="1"/>
  <c r="Q22" i="6" l="1"/>
  <c r="T22" i="6" s="1"/>
  <c r="J23" i="6" s="1"/>
  <c r="F23" i="6" s="1"/>
  <c r="K23" i="6"/>
  <c r="G23" i="6" s="1"/>
  <c r="I23" i="6"/>
  <c r="E23" i="6" s="1"/>
  <c r="U8" i="4"/>
  <c r="H9" i="4"/>
  <c r="I9" i="4" s="1"/>
  <c r="O9" i="4" s="1"/>
  <c r="E26" i="4"/>
  <c r="F10" i="3"/>
  <c r="G10" i="3"/>
  <c r="AH7" i="2"/>
  <c r="AN7" i="2"/>
  <c r="AO7" i="2" s="1"/>
  <c r="R8" i="2"/>
  <c r="N8" i="2" s="1"/>
  <c r="Q8" i="2" s="1"/>
  <c r="P24" i="1"/>
  <c r="L24" i="1" s="1"/>
  <c r="H23" i="6" l="1"/>
  <c r="R9" i="4"/>
  <c r="T9" i="4" s="1"/>
  <c r="M10" i="4" s="1"/>
  <c r="K10" i="4" s="1"/>
  <c r="N9" i="4"/>
  <c r="S9" i="4" s="1"/>
  <c r="Q9" i="4"/>
  <c r="E27" i="4"/>
  <c r="H10" i="3"/>
  <c r="N10" i="3" s="1"/>
  <c r="AA8" i="2"/>
  <c r="W8" i="2"/>
  <c r="AB8" i="2"/>
  <c r="Z8" i="2"/>
  <c r="AC8" i="2"/>
  <c r="X8" i="2"/>
  <c r="Y8" i="2"/>
  <c r="V8" i="2"/>
  <c r="N24" i="1"/>
  <c r="O24" i="1"/>
  <c r="Q24" i="1" s="1"/>
  <c r="M24" i="1"/>
  <c r="L23" i="6" l="1"/>
  <c r="O23" i="6"/>
  <c r="M23" i="6"/>
  <c r="N23" i="6"/>
  <c r="P23" i="6"/>
  <c r="U9" i="4"/>
  <c r="L10" i="4"/>
  <c r="J10" i="4" s="1"/>
  <c r="G10" i="4" s="1"/>
  <c r="E28" i="4"/>
  <c r="M10" i="3"/>
  <c r="R10" i="3" s="1"/>
  <c r="K11" i="3" s="1"/>
  <c r="I11" i="3" s="1"/>
  <c r="P10" i="3"/>
  <c r="Q10" i="3"/>
  <c r="S10" i="3" s="1"/>
  <c r="L11" i="3"/>
  <c r="J11" i="3" s="1"/>
  <c r="AD8" i="2"/>
  <c r="P25" i="1"/>
  <c r="L25" i="1" s="1"/>
  <c r="Q23" i="6" l="1"/>
  <c r="T23" i="6" s="1"/>
  <c r="K24" i="6" s="1"/>
  <c r="G24" i="6" s="1"/>
  <c r="J24" i="6"/>
  <c r="F24" i="6" s="1"/>
  <c r="I24" i="6"/>
  <c r="E24" i="6" s="1"/>
  <c r="F11" i="3"/>
  <c r="H11" i="3" s="1"/>
  <c r="N11" i="3" s="1"/>
  <c r="H10" i="4"/>
  <c r="I10" i="4" s="1"/>
  <c r="O10" i="4" s="1"/>
  <c r="E29" i="4"/>
  <c r="T10" i="3"/>
  <c r="G11" i="3"/>
  <c r="AG8" i="2"/>
  <c r="AE8" i="2"/>
  <c r="AF8" i="2"/>
  <c r="AL8" i="2"/>
  <c r="S9" i="2" s="1"/>
  <c r="O9" i="2" s="1"/>
  <c r="AM8" i="2"/>
  <c r="T9" i="2" s="1"/>
  <c r="P9" i="2" s="1"/>
  <c r="AK8" i="2"/>
  <c r="R9" i="2" s="1"/>
  <c r="N9" i="2" s="1"/>
  <c r="O25" i="1"/>
  <c r="Q25" i="1" s="1"/>
  <c r="N25" i="1"/>
  <c r="M25" i="1"/>
  <c r="H24" i="6" l="1"/>
  <c r="Q10" i="4"/>
  <c r="N10" i="4"/>
  <c r="S10" i="4" s="1"/>
  <c r="R10" i="4"/>
  <c r="S11" i="3"/>
  <c r="Q11" i="3"/>
  <c r="P11" i="3"/>
  <c r="M11" i="3"/>
  <c r="R11" i="3" s="1"/>
  <c r="AH8" i="2"/>
  <c r="AN8" i="2"/>
  <c r="AO8" i="2" s="1"/>
  <c r="Q9" i="2"/>
  <c r="AB9" i="2" s="1"/>
  <c r="P26" i="1"/>
  <c r="L26" i="1" s="1"/>
  <c r="L24" i="6" l="1"/>
  <c r="N24" i="6"/>
  <c r="O24" i="6" s="1"/>
  <c r="M24" i="6"/>
  <c r="T10" i="4"/>
  <c r="M11" i="4" s="1"/>
  <c r="K11" i="4" s="1"/>
  <c r="L11" i="4"/>
  <c r="J11" i="4" s="1"/>
  <c r="L12" i="3"/>
  <c r="J12" i="3" s="1"/>
  <c r="T11" i="3"/>
  <c r="K12" i="3"/>
  <c r="I12" i="3" s="1"/>
  <c r="X9" i="2"/>
  <c r="Z9" i="2"/>
  <c r="V9" i="2"/>
  <c r="W9" i="2"/>
  <c r="AA9" i="2"/>
  <c r="AC9" i="2"/>
  <c r="Y9" i="2"/>
  <c r="N26" i="1"/>
  <c r="O26" i="1"/>
  <c r="Q26" i="1" s="1"/>
  <c r="M26" i="1"/>
  <c r="P24" i="6" l="1"/>
  <c r="G11" i="4"/>
  <c r="U10" i="4"/>
  <c r="H11" i="4"/>
  <c r="G12" i="3"/>
  <c r="F12" i="3"/>
  <c r="AD9" i="2"/>
  <c r="P27" i="1"/>
  <c r="L27" i="1" s="1"/>
  <c r="Q24" i="6" l="1"/>
  <c r="T24" i="6" s="1"/>
  <c r="K25" i="6" s="1"/>
  <c r="G25" i="6" s="1"/>
  <c r="I25" i="6"/>
  <c r="E25" i="6" s="1"/>
  <c r="I11" i="4"/>
  <c r="O11" i="4" s="1"/>
  <c r="H12" i="3"/>
  <c r="N12" i="3" s="1"/>
  <c r="AE9" i="2"/>
  <c r="AK9" i="2" s="1"/>
  <c r="R10" i="2" s="1"/>
  <c r="N10" i="2" s="1"/>
  <c r="AF9" i="2"/>
  <c r="AG9" i="2"/>
  <c r="AL9" i="2"/>
  <c r="S10" i="2" s="1"/>
  <c r="O10" i="2" s="1"/>
  <c r="AM9" i="2"/>
  <c r="T10" i="2" s="1"/>
  <c r="P10" i="2" s="1"/>
  <c r="N27" i="1"/>
  <c r="M27" i="1"/>
  <c r="O27" i="1"/>
  <c r="Q27" i="1" s="1"/>
  <c r="J25" i="6" l="1"/>
  <c r="F25" i="6" s="1"/>
  <c r="H25" i="6" s="1"/>
  <c r="O25" i="6" s="1"/>
  <c r="R11" i="4"/>
  <c r="T11" i="4" s="1"/>
  <c r="M12" i="4" s="1"/>
  <c r="K12" i="4" s="1"/>
  <c r="Q11" i="4"/>
  <c r="N11" i="4"/>
  <c r="S11" i="4" s="1"/>
  <c r="Q12" i="3"/>
  <c r="P12" i="3"/>
  <c r="S12" i="3"/>
  <c r="L13" i="3" s="1"/>
  <c r="M12" i="3"/>
  <c r="R12" i="3" s="1"/>
  <c r="AH9" i="2"/>
  <c r="AN9" i="2"/>
  <c r="AO9" i="2" s="1"/>
  <c r="Q10" i="2"/>
  <c r="X10" i="2" s="1"/>
  <c r="P28" i="1"/>
  <c r="L28" i="1" s="1"/>
  <c r="L25" i="6" l="1"/>
  <c r="M25" i="6"/>
  <c r="N25" i="6"/>
  <c r="U11" i="4"/>
  <c r="L12" i="4"/>
  <c r="J12" i="4" s="1"/>
  <c r="G12" i="4" s="1"/>
  <c r="T12" i="3"/>
  <c r="K13" i="3"/>
  <c r="I13" i="3" s="1"/>
  <c r="J13" i="3"/>
  <c r="V10" i="2"/>
  <c r="Y10" i="2"/>
  <c r="W10" i="2"/>
  <c r="AB10" i="2"/>
  <c r="AC10" i="2"/>
  <c r="AA10" i="2"/>
  <c r="Z10" i="2"/>
  <c r="N28" i="1"/>
  <c r="M28" i="1"/>
  <c r="O28" i="1"/>
  <c r="P29" i="1" s="1"/>
  <c r="L29" i="1" s="1"/>
  <c r="P25" i="6" l="1"/>
  <c r="H12" i="4"/>
  <c r="I12" i="4" s="1"/>
  <c r="O12" i="4" s="1"/>
  <c r="F13" i="3"/>
  <c r="G13" i="3"/>
  <c r="AD10" i="2"/>
  <c r="Q28" i="1"/>
  <c r="M29" i="1"/>
  <c r="O29" i="1"/>
  <c r="P30" i="1" s="1"/>
  <c r="L30" i="1" s="1"/>
  <c r="N29" i="1"/>
  <c r="Q25" i="6" l="1"/>
  <c r="T25" i="6" s="1"/>
  <c r="K26" i="6" s="1"/>
  <c r="G26" i="6" s="1"/>
  <c r="I26" i="6"/>
  <c r="E26" i="6" s="1"/>
  <c r="J26" i="6"/>
  <c r="F26" i="6" s="1"/>
  <c r="Q12" i="4"/>
  <c r="R12" i="4"/>
  <c r="T12" i="4" s="1"/>
  <c r="M13" i="4" s="1"/>
  <c r="K13" i="4" s="1"/>
  <c r="N12" i="4"/>
  <c r="S12" i="4" s="1"/>
  <c r="H13" i="3"/>
  <c r="N13" i="3" s="1"/>
  <c r="AF10" i="2"/>
  <c r="AE10" i="2"/>
  <c r="AG10" i="2"/>
  <c r="AM10" i="2"/>
  <c r="T11" i="2" s="1"/>
  <c r="P11" i="2" s="1"/>
  <c r="AK10" i="2"/>
  <c r="R11" i="2" s="1"/>
  <c r="N11" i="2" s="1"/>
  <c r="AL10" i="2"/>
  <c r="S11" i="2" s="1"/>
  <c r="O11" i="2" s="1"/>
  <c r="Q29" i="1"/>
  <c r="O30" i="1"/>
  <c r="P31" i="1" s="1"/>
  <c r="L31" i="1" s="1"/>
  <c r="N30" i="1"/>
  <c r="M30" i="1"/>
  <c r="H26" i="6" l="1"/>
  <c r="O26" i="6" s="1"/>
  <c r="U12" i="4"/>
  <c r="L13" i="4"/>
  <c r="J13" i="4" s="1"/>
  <c r="G13" i="4" s="1"/>
  <c r="M13" i="3"/>
  <c r="S13" i="3"/>
  <c r="L14" i="3" s="1"/>
  <c r="P13" i="3"/>
  <c r="Q13" i="3"/>
  <c r="AH10" i="2"/>
  <c r="Q11" i="2"/>
  <c r="Z11" i="2" s="1"/>
  <c r="AN10" i="2"/>
  <c r="AO10" i="2" s="1"/>
  <c r="Q30" i="1"/>
  <c r="N31" i="1"/>
  <c r="O31" i="1"/>
  <c r="P32" i="1" s="1"/>
  <c r="L32" i="1" s="1"/>
  <c r="M31" i="1"/>
  <c r="N26" i="6" l="1"/>
  <c r="M26" i="6"/>
  <c r="L26" i="6"/>
  <c r="H13" i="4"/>
  <c r="I13" i="4" s="1"/>
  <c r="O13" i="4" s="1"/>
  <c r="J14" i="3"/>
  <c r="R13" i="3"/>
  <c r="T13" i="3"/>
  <c r="K14" i="3"/>
  <c r="I14" i="3" s="1"/>
  <c r="AA11" i="2"/>
  <c r="AB11" i="2"/>
  <c r="V11" i="2"/>
  <c r="W11" i="2"/>
  <c r="Y11" i="2"/>
  <c r="AC11" i="2"/>
  <c r="X11" i="2"/>
  <c r="Q31" i="1"/>
  <c r="M32" i="1"/>
  <c r="O32" i="1"/>
  <c r="P33" i="1" s="1"/>
  <c r="N32" i="1"/>
  <c r="P26" i="6" l="1"/>
  <c r="N13" i="4"/>
  <c r="Q13" i="4"/>
  <c r="R13" i="4"/>
  <c r="T13" i="4" s="1"/>
  <c r="M14" i="4" s="1"/>
  <c r="K14" i="4" s="1"/>
  <c r="G14" i="3"/>
  <c r="F14" i="3"/>
  <c r="AD11" i="2"/>
  <c r="Q32" i="1"/>
  <c r="L33" i="1"/>
  <c r="O33" i="1" s="1"/>
  <c r="P34" i="1" s="1"/>
  <c r="L34" i="1" s="1"/>
  <c r="Q26" i="6" l="1"/>
  <c r="T26" i="6" s="1"/>
  <c r="K27" i="6" s="1"/>
  <c r="G27" i="6" s="1"/>
  <c r="J27" i="6"/>
  <c r="F27" i="6" s="1"/>
  <c r="I27" i="6"/>
  <c r="E27" i="6" s="1"/>
  <c r="S13" i="4"/>
  <c r="U13" i="4" s="1"/>
  <c r="H14" i="3"/>
  <c r="N14" i="3" s="1"/>
  <c r="AG11" i="2"/>
  <c r="AF11" i="2"/>
  <c r="AE11" i="2"/>
  <c r="AM11" i="2"/>
  <c r="T12" i="2" s="1"/>
  <c r="P12" i="2" s="1"/>
  <c r="AK11" i="2"/>
  <c r="R12" i="2" s="1"/>
  <c r="N12" i="2" s="1"/>
  <c r="AL11" i="2"/>
  <c r="S12" i="2" s="1"/>
  <c r="O12" i="2" s="1"/>
  <c r="Q33" i="1"/>
  <c r="M33" i="1"/>
  <c r="M34" i="1" s="1"/>
  <c r="N33" i="1"/>
  <c r="N34" i="1"/>
  <c r="O34" i="1"/>
  <c r="P35" i="1" s="1"/>
  <c r="L35" i="1" s="1"/>
  <c r="H27" i="6" l="1"/>
  <c r="O27" i="6" s="1"/>
  <c r="L14" i="4"/>
  <c r="J14" i="4" s="1"/>
  <c r="G14" i="4" s="1"/>
  <c r="H14" i="4"/>
  <c r="I14" i="4" s="1"/>
  <c r="O14" i="4" s="1"/>
  <c r="M14" i="3"/>
  <c r="P14" i="3"/>
  <c r="Q14" i="3"/>
  <c r="S14" i="3"/>
  <c r="L15" i="3" s="1"/>
  <c r="Q12" i="2"/>
  <c r="AC12" i="2" s="1"/>
  <c r="AH11" i="2"/>
  <c r="AN11" i="2"/>
  <c r="AO11" i="2" s="1"/>
  <c r="Q34" i="1"/>
  <c r="N35" i="1"/>
  <c r="O35" i="1"/>
  <c r="P36" i="1" s="1"/>
  <c r="L36" i="1" s="1"/>
  <c r="M35" i="1"/>
  <c r="N27" i="6" l="1"/>
  <c r="L27" i="6"/>
  <c r="M27" i="6"/>
  <c r="R14" i="4"/>
  <c r="T14" i="4" s="1"/>
  <c r="M15" i="4" s="1"/>
  <c r="K15" i="4" s="1"/>
  <c r="N14" i="4"/>
  <c r="Q14" i="4"/>
  <c r="J15" i="3"/>
  <c r="R14" i="3"/>
  <c r="Y12" i="2"/>
  <c r="Z12" i="2"/>
  <c r="V12" i="2"/>
  <c r="W12" i="2"/>
  <c r="X12" i="2"/>
  <c r="AB12" i="2"/>
  <c r="AA12" i="2"/>
  <c r="Q35" i="1"/>
  <c r="M36" i="1"/>
  <c r="N36" i="1"/>
  <c r="O36" i="1"/>
  <c r="P37" i="1" s="1"/>
  <c r="L37" i="1" s="1"/>
  <c r="P27" i="6" l="1"/>
  <c r="S14" i="4"/>
  <c r="T14" i="3"/>
  <c r="K15" i="3"/>
  <c r="I15" i="3" s="1"/>
  <c r="AD12" i="2"/>
  <c r="Q36" i="1"/>
  <c r="M37" i="1"/>
  <c r="N37" i="1"/>
  <c r="O37" i="1"/>
  <c r="P38" i="1" s="1"/>
  <c r="L38" i="1" s="1"/>
  <c r="Q27" i="6" l="1"/>
  <c r="T27" i="6" s="1"/>
  <c r="I28" i="6" s="1"/>
  <c r="E28" i="6" s="1"/>
  <c r="K28" i="6"/>
  <c r="G28" i="6" s="1"/>
  <c r="J28" i="6"/>
  <c r="F28" i="6" s="1"/>
  <c r="L15" i="4"/>
  <c r="J15" i="4" s="1"/>
  <c r="G15" i="4" s="1"/>
  <c r="U14" i="4"/>
  <c r="F15" i="3"/>
  <c r="H15" i="3" s="1"/>
  <c r="N15" i="3" s="1"/>
  <c r="G15" i="3"/>
  <c r="AE12" i="2"/>
  <c r="AK12" i="2" s="1"/>
  <c r="R13" i="2" s="1"/>
  <c r="N13" i="2" s="1"/>
  <c r="AF12" i="2"/>
  <c r="AG12" i="2"/>
  <c r="AL12" i="2"/>
  <c r="S13" i="2" s="1"/>
  <c r="O13" i="2" s="1"/>
  <c r="AM12" i="2"/>
  <c r="T13" i="2" s="1"/>
  <c r="P13" i="2" s="1"/>
  <c r="Q37" i="1"/>
  <c r="N38" i="1"/>
  <c r="O38" i="1"/>
  <c r="P39" i="1" s="1"/>
  <c r="L39" i="1" s="1"/>
  <c r="M38" i="1"/>
  <c r="H28" i="6" l="1"/>
  <c r="O28" i="6" s="1"/>
  <c r="H15" i="4"/>
  <c r="P15" i="3"/>
  <c r="Q15" i="3"/>
  <c r="M15" i="3"/>
  <c r="R15" i="3" s="1"/>
  <c r="S15" i="3"/>
  <c r="L16" i="3" s="1"/>
  <c r="AH12" i="2"/>
  <c r="Q13" i="2"/>
  <c r="V13" i="2" s="1"/>
  <c r="AN12" i="2"/>
  <c r="AO12" i="2" s="1"/>
  <c r="Z13" i="2"/>
  <c r="AC13" i="2"/>
  <c r="AB13" i="2"/>
  <c r="Q38" i="1"/>
  <c r="N39" i="1"/>
  <c r="O39" i="1"/>
  <c r="P40" i="1" s="1"/>
  <c r="L40" i="1" s="1"/>
  <c r="M39" i="1"/>
  <c r="L28" i="6" l="1"/>
  <c r="M28" i="6"/>
  <c r="N28" i="6"/>
  <c r="I15" i="4"/>
  <c r="O15" i="4" s="1"/>
  <c r="T15" i="3"/>
  <c r="K16" i="3"/>
  <c r="J16" i="3"/>
  <c r="I16" i="3"/>
  <c r="X13" i="2"/>
  <c r="AA13" i="2"/>
  <c r="W13" i="2"/>
  <c r="Y13" i="2"/>
  <c r="AD13" i="2" s="1"/>
  <c r="Q39" i="1"/>
  <c r="M40" i="1"/>
  <c r="N40" i="1"/>
  <c r="O40" i="1"/>
  <c r="P41" i="1" s="1"/>
  <c r="L41" i="1" s="1"/>
  <c r="P28" i="6" l="1"/>
  <c r="N15" i="4"/>
  <c r="T15" i="4"/>
  <c r="M16" i="4" s="1"/>
  <c r="K16" i="4" s="1"/>
  <c r="Q15" i="4"/>
  <c r="R15" i="4"/>
  <c r="G16" i="3"/>
  <c r="F16" i="3"/>
  <c r="AE13" i="2"/>
  <c r="AF13" i="2"/>
  <c r="AL13" i="2" s="1"/>
  <c r="S14" i="2" s="1"/>
  <c r="O14" i="2" s="1"/>
  <c r="AG13" i="2"/>
  <c r="AM13" i="2"/>
  <c r="T14" i="2" s="1"/>
  <c r="P14" i="2" s="1"/>
  <c r="AK13" i="2"/>
  <c r="Q40" i="1"/>
  <c r="M41" i="1"/>
  <c r="N41" i="1"/>
  <c r="O41" i="1"/>
  <c r="P42" i="1" s="1"/>
  <c r="L42" i="1" s="1"/>
  <c r="Q28" i="6" l="1"/>
  <c r="T28" i="6" s="1"/>
  <c r="I29" i="6" s="1"/>
  <c r="E29" i="6" s="1"/>
  <c r="J29" i="6"/>
  <c r="F29" i="6" s="1"/>
  <c r="K29" i="6"/>
  <c r="G29" i="6" s="1"/>
  <c r="S15" i="4"/>
  <c r="U15" i="4" s="1"/>
  <c r="H16" i="3"/>
  <c r="N16" i="3" s="1"/>
  <c r="P16" i="3"/>
  <c r="S16" i="3"/>
  <c r="L17" i="3" s="1"/>
  <c r="M16" i="3"/>
  <c r="R16" i="3" s="1"/>
  <c r="AH13" i="2"/>
  <c r="R14" i="2"/>
  <c r="N14" i="2" s="1"/>
  <c r="Q14" i="2" s="1"/>
  <c r="AN13" i="2"/>
  <c r="AO13" i="2" s="1"/>
  <c r="Q41" i="1"/>
  <c r="N42" i="1"/>
  <c r="O42" i="1"/>
  <c r="P43" i="1" s="1"/>
  <c r="L43" i="1" s="1"/>
  <c r="M42" i="1"/>
  <c r="H29" i="6" l="1"/>
  <c r="L16" i="4"/>
  <c r="J16" i="4" s="1"/>
  <c r="G16" i="4" s="1"/>
  <c r="Q16" i="3"/>
  <c r="T16" i="3"/>
  <c r="K17" i="3"/>
  <c r="I17" i="3" s="1"/>
  <c r="J17" i="3"/>
  <c r="V14" i="2"/>
  <c r="AA14" i="2"/>
  <c r="AC14" i="2"/>
  <c r="X14" i="2"/>
  <c r="AB14" i="2"/>
  <c r="Y14" i="2"/>
  <c r="Z14" i="2"/>
  <c r="W14" i="2"/>
  <c r="Q42" i="1"/>
  <c r="N43" i="1"/>
  <c r="O43" i="1"/>
  <c r="P44" i="1" s="1"/>
  <c r="L44" i="1" s="1"/>
  <c r="M43" i="1"/>
  <c r="L29" i="6" l="1"/>
  <c r="P29" i="6" s="1"/>
  <c r="O29" i="6"/>
  <c r="N29" i="6"/>
  <c r="M29" i="6"/>
  <c r="H16" i="4"/>
  <c r="I16" i="4"/>
  <c r="O16" i="4" s="1"/>
  <c r="F17" i="3"/>
  <c r="H17" i="3" s="1"/>
  <c r="N17" i="3" s="1"/>
  <c r="G17" i="3"/>
  <c r="AD14" i="2"/>
  <c r="Q43" i="1"/>
  <c r="M44" i="1"/>
  <c r="N44" i="1"/>
  <c r="O44" i="1"/>
  <c r="P45" i="1" s="1"/>
  <c r="L45" i="1" s="1"/>
  <c r="Q29" i="6" l="1"/>
  <c r="T29" i="6" s="1"/>
  <c r="I30" i="6" s="1"/>
  <c r="E30" i="6" s="1"/>
  <c r="J30" i="6"/>
  <c r="F30" i="6" s="1"/>
  <c r="K30" i="6"/>
  <c r="G30" i="6" s="1"/>
  <c r="Q16" i="4"/>
  <c r="R16" i="4"/>
  <c r="T16" i="4" s="1"/>
  <c r="M17" i="4" s="1"/>
  <c r="K17" i="4" s="1"/>
  <c r="N16" i="4"/>
  <c r="R17" i="3"/>
  <c r="M17" i="3"/>
  <c r="Q17" i="3"/>
  <c r="P17" i="3"/>
  <c r="AF14" i="2"/>
  <c r="AE14" i="2"/>
  <c r="AK14" i="2" s="1"/>
  <c r="R15" i="2" s="1"/>
  <c r="N15" i="2" s="1"/>
  <c r="AG14" i="2"/>
  <c r="AM14" i="2"/>
  <c r="T15" i="2" s="1"/>
  <c r="P15" i="2" s="1"/>
  <c r="AL14" i="2"/>
  <c r="S15" i="2" s="1"/>
  <c r="O15" i="2" s="1"/>
  <c r="Q44" i="1"/>
  <c r="N45" i="1"/>
  <c r="O45" i="1"/>
  <c r="P46" i="1" s="1"/>
  <c r="L46" i="1" s="1"/>
  <c r="M45" i="1"/>
  <c r="H30" i="6" l="1"/>
  <c r="S16" i="4"/>
  <c r="U16" i="4"/>
  <c r="L17" i="4"/>
  <c r="J17" i="4" s="1"/>
  <c r="G17" i="4" s="1"/>
  <c r="S17" i="3"/>
  <c r="L18" i="3" s="1"/>
  <c r="J18" i="3" s="1"/>
  <c r="K18" i="3"/>
  <c r="I18" i="3" s="1"/>
  <c r="T17" i="3"/>
  <c r="AH14" i="2"/>
  <c r="Q15" i="2"/>
  <c r="X15" i="2" s="1"/>
  <c r="AN14" i="2"/>
  <c r="AO14" i="2" s="1"/>
  <c r="Q45" i="1"/>
  <c r="N46" i="1"/>
  <c r="O46" i="1"/>
  <c r="P47" i="1" s="1"/>
  <c r="L47" i="1" s="1"/>
  <c r="M46" i="1"/>
  <c r="O30" i="6" l="1"/>
  <c r="L30" i="6"/>
  <c r="N30" i="6"/>
  <c r="M30" i="6"/>
  <c r="H17" i="4"/>
  <c r="G18" i="3"/>
  <c r="F18" i="3"/>
  <c r="AA15" i="2"/>
  <c r="W15" i="2"/>
  <c r="V15" i="2"/>
  <c r="Z15" i="2"/>
  <c r="AC15" i="2"/>
  <c r="AB15" i="2"/>
  <c r="Y15" i="2"/>
  <c r="Q46" i="1"/>
  <c r="N47" i="1"/>
  <c r="O47" i="1"/>
  <c r="P48" i="1" s="1"/>
  <c r="L48" i="1" s="1"/>
  <c r="M47" i="1"/>
  <c r="P30" i="6" l="1"/>
  <c r="I17" i="4"/>
  <c r="H18" i="3"/>
  <c r="N18" i="3" s="1"/>
  <c r="AD15" i="2"/>
  <c r="Q47" i="1"/>
  <c r="M48" i="1"/>
  <c r="N48" i="1"/>
  <c r="O48" i="1"/>
  <c r="P49" i="1" s="1"/>
  <c r="L49" i="1" s="1"/>
  <c r="Q30" i="6" l="1"/>
  <c r="T30" i="6" s="1"/>
  <c r="J31" i="6" s="1"/>
  <c r="F31" i="6" s="1"/>
  <c r="I31" i="6"/>
  <c r="E31" i="6" s="1"/>
  <c r="R17" i="4"/>
  <c r="O17" i="4"/>
  <c r="T17" i="4" s="1"/>
  <c r="M18" i="4" s="1"/>
  <c r="K18" i="4" s="1"/>
  <c r="N17" i="4"/>
  <c r="S17" i="4" s="1"/>
  <c r="Q17" i="4"/>
  <c r="P18" i="3"/>
  <c r="M18" i="3"/>
  <c r="R18" i="3" s="1"/>
  <c r="Q18" i="3"/>
  <c r="S18" i="3"/>
  <c r="L19" i="3" s="1"/>
  <c r="AG15" i="2"/>
  <c r="AF15" i="2"/>
  <c r="AE15" i="2"/>
  <c r="AL15" i="2"/>
  <c r="S16" i="2" s="1"/>
  <c r="O16" i="2" s="1"/>
  <c r="AM15" i="2"/>
  <c r="T16" i="2" s="1"/>
  <c r="P16" i="2" s="1"/>
  <c r="AK15" i="2"/>
  <c r="R16" i="2" s="1"/>
  <c r="N16" i="2" s="1"/>
  <c r="Q48" i="1"/>
  <c r="M49" i="1"/>
  <c r="N49" i="1"/>
  <c r="O49" i="1"/>
  <c r="P50" i="1" s="1"/>
  <c r="L50" i="1" s="1"/>
  <c r="K31" i="6" l="1"/>
  <c r="G31" i="6" s="1"/>
  <c r="H31" i="6" s="1"/>
  <c r="U17" i="4"/>
  <c r="L18" i="4"/>
  <c r="J18" i="4" s="1"/>
  <c r="G18" i="4" s="1"/>
  <c r="J19" i="3"/>
  <c r="T18" i="3"/>
  <c r="K19" i="3"/>
  <c r="I19" i="3" s="1"/>
  <c r="AH15" i="2"/>
  <c r="Q16" i="2"/>
  <c r="Y16" i="2" s="1"/>
  <c r="AN15" i="2"/>
  <c r="AO15" i="2" s="1"/>
  <c r="Q49" i="1"/>
  <c r="N50" i="1"/>
  <c r="O50" i="1"/>
  <c r="P51" i="1" s="1"/>
  <c r="L51" i="1" s="1"/>
  <c r="M50" i="1"/>
  <c r="O31" i="6" l="1"/>
  <c r="N31" i="6"/>
  <c r="L31" i="6"/>
  <c r="M31" i="6"/>
  <c r="H18" i="4"/>
  <c r="I18" i="4" s="1"/>
  <c r="F19" i="3"/>
  <c r="G19" i="3"/>
  <c r="W16" i="2"/>
  <c r="AB16" i="2"/>
  <c r="V16" i="2"/>
  <c r="Z16" i="2"/>
  <c r="AC16" i="2"/>
  <c r="X16" i="2"/>
  <c r="AA16" i="2"/>
  <c r="Q50" i="1"/>
  <c r="N51" i="1"/>
  <c r="O51" i="1"/>
  <c r="P52" i="1" s="1"/>
  <c r="L52" i="1" s="1"/>
  <c r="M51" i="1"/>
  <c r="P31" i="6" l="1"/>
  <c r="I32" i="6" s="1"/>
  <c r="E32" i="6" s="1"/>
  <c r="O18" i="4"/>
  <c r="T18" i="4" s="1"/>
  <c r="M19" i="4" s="1"/>
  <c r="K19" i="4" s="1"/>
  <c r="H19" i="3"/>
  <c r="N19" i="3" s="1"/>
  <c r="Q18" i="4"/>
  <c r="R18" i="4"/>
  <c r="N18" i="4"/>
  <c r="S18" i="4" s="1"/>
  <c r="M19" i="3"/>
  <c r="R19" i="3" s="1"/>
  <c r="P19" i="3"/>
  <c r="Q19" i="3"/>
  <c r="S19" i="3" s="1"/>
  <c r="L20" i="3" s="1"/>
  <c r="AD16" i="2"/>
  <c r="Q51" i="1"/>
  <c r="M52" i="1"/>
  <c r="N52" i="1"/>
  <c r="O52" i="1"/>
  <c r="P53" i="1" s="1"/>
  <c r="L53" i="1" s="1"/>
  <c r="J32" i="6" l="1"/>
  <c r="F32" i="6" s="1"/>
  <c r="Q31" i="6"/>
  <c r="T31" i="6" s="1"/>
  <c r="K32" i="6" s="1"/>
  <c r="G32" i="6" s="1"/>
  <c r="H32" i="6" s="1"/>
  <c r="U18" i="4"/>
  <c r="L19" i="4"/>
  <c r="J19" i="4" s="1"/>
  <c r="G19" i="4" s="1"/>
  <c r="J20" i="3"/>
  <c r="T19" i="3"/>
  <c r="K20" i="3"/>
  <c r="I20" i="3" s="1"/>
  <c r="AG16" i="2"/>
  <c r="AE16" i="2"/>
  <c r="AF16" i="2"/>
  <c r="AM16" i="2"/>
  <c r="T17" i="2" s="1"/>
  <c r="P17" i="2" s="1"/>
  <c r="AK16" i="2"/>
  <c r="R17" i="2" s="1"/>
  <c r="N17" i="2" s="1"/>
  <c r="AL16" i="2"/>
  <c r="S17" i="2" s="1"/>
  <c r="O17" i="2" s="1"/>
  <c r="Q52" i="1"/>
  <c r="M53" i="1"/>
  <c r="N53" i="1"/>
  <c r="O53" i="1"/>
  <c r="P54" i="1" s="1"/>
  <c r="L54" i="1" s="1"/>
  <c r="L32" i="6" l="1"/>
  <c r="N32" i="6"/>
  <c r="O32" i="6" s="1"/>
  <c r="M32" i="6"/>
  <c r="H19" i="4"/>
  <c r="G20" i="3"/>
  <c r="F20" i="3"/>
  <c r="AN16" i="2"/>
  <c r="AO16" i="2" s="1"/>
  <c r="Q17" i="2"/>
  <c r="AB17" i="2" s="1"/>
  <c r="AH16" i="2"/>
  <c r="Q53" i="1"/>
  <c r="N54" i="1"/>
  <c r="O54" i="1"/>
  <c r="P55" i="1" s="1"/>
  <c r="L55" i="1" s="1"/>
  <c r="M54" i="1"/>
  <c r="P32" i="6" l="1"/>
  <c r="I19" i="4"/>
  <c r="O19" i="4" s="1"/>
  <c r="H20" i="3"/>
  <c r="N20" i="3" s="1"/>
  <c r="W17" i="2"/>
  <c r="Z17" i="2"/>
  <c r="V17" i="2"/>
  <c r="AC17" i="2"/>
  <c r="AA17" i="2"/>
  <c r="X17" i="2"/>
  <c r="Y17" i="2"/>
  <c r="Q54" i="1"/>
  <c r="N55" i="1"/>
  <c r="O55" i="1"/>
  <c r="P56" i="1" s="1"/>
  <c r="L56" i="1" s="1"/>
  <c r="M55" i="1"/>
  <c r="Q32" i="6" l="1"/>
  <c r="T32" i="6" s="1"/>
  <c r="J33" i="6" s="1"/>
  <c r="F33" i="6" s="1"/>
  <c r="K33" i="6"/>
  <c r="G33" i="6" s="1"/>
  <c r="I33" i="6"/>
  <c r="E33" i="6" s="1"/>
  <c r="N19" i="4"/>
  <c r="R19" i="4"/>
  <c r="T19" i="4" s="1"/>
  <c r="M20" i="4" s="1"/>
  <c r="K20" i="4" s="1"/>
  <c r="Q19" i="4"/>
  <c r="M20" i="3"/>
  <c r="S20" i="3"/>
  <c r="L21" i="3" s="1"/>
  <c r="Q20" i="3"/>
  <c r="P20" i="3"/>
  <c r="AD17" i="2"/>
  <c r="Q55" i="1"/>
  <c r="M56" i="1"/>
  <c r="N56" i="1"/>
  <c r="O56" i="1"/>
  <c r="P57" i="1" s="1"/>
  <c r="L57" i="1" s="1"/>
  <c r="H33" i="6" l="1"/>
  <c r="O33" i="6" s="1"/>
  <c r="S19" i="4"/>
  <c r="R20" i="3"/>
  <c r="T20" i="3"/>
  <c r="K21" i="3"/>
  <c r="I21" i="3" s="1"/>
  <c r="J21" i="3"/>
  <c r="AK17" i="2"/>
  <c r="R18" i="2" s="1"/>
  <c r="N18" i="2" s="1"/>
  <c r="AE17" i="2"/>
  <c r="AF17" i="2"/>
  <c r="AG17" i="2"/>
  <c r="AM17" i="2" s="1"/>
  <c r="T18" i="2" s="1"/>
  <c r="P18" i="2" s="1"/>
  <c r="AL17" i="2"/>
  <c r="S18" i="2" s="1"/>
  <c r="O18" i="2" s="1"/>
  <c r="Q56" i="1"/>
  <c r="M57" i="1"/>
  <c r="N57" i="1"/>
  <c r="O57" i="1"/>
  <c r="P58" i="1" s="1"/>
  <c r="L58" i="1" s="1"/>
  <c r="L33" i="6" l="1"/>
  <c r="P33" i="6" s="1"/>
  <c r="M33" i="6"/>
  <c r="N33" i="6"/>
  <c r="U19" i="4"/>
  <c r="L20" i="4"/>
  <c r="J20" i="4" s="1"/>
  <c r="G20" i="4" s="1"/>
  <c r="G21" i="3"/>
  <c r="F21" i="3"/>
  <c r="AH17" i="2"/>
  <c r="Q18" i="2"/>
  <c r="X18" i="2" s="1"/>
  <c r="AN17" i="2"/>
  <c r="AO17" i="2" s="1"/>
  <c r="Q57" i="1"/>
  <c r="N58" i="1"/>
  <c r="O58" i="1"/>
  <c r="P59" i="1" s="1"/>
  <c r="L59" i="1" s="1"/>
  <c r="M58" i="1"/>
  <c r="Q33" i="6" l="1"/>
  <c r="T33" i="6" s="1"/>
  <c r="J34" i="6" s="1"/>
  <c r="F34" i="6" s="1"/>
  <c r="K34" i="6"/>
  <c r="G34" i="6" s="1"/>
  <c r="H20" i="4"/>
  <c r="H21" i="3"/>
  <c r="N21" i="3" s="1"/>
  <c r="W18" i="2"/>
  <c r="AB18" i="2"/>
  <c r="AA18" i="2"/>
  <c r="Y18" i="2"/>
  <c r="V18" i="2"/>
  <c r="AC18" i="2"/>
  <c r="Z18" i="2"/>
  <c r="Q58" i="1"/>
  <c r="N59" i="1"/>
  <c r="O59" i="1"/>
  <c r="P60" i="1" s="1"/>
  <c r="L60" i="1" s="1"/>
  <c r="M59" i="1"/>
  <c r="I34" i="6" l="1"/>
  <c r="E34" i="6" s="1"/>
  <c r="H34" i="6" s="1"/>
  <c r="O34" i="6" s="1"/>
  <c r="I20" i="4"/>
  <c r="O20" i="4" s="1"/>
  <c r="Q21" i="3"/>
  <c r="S21" i="3"/>
  <c r="L22" i="3" s="1"/>
  <c r="M21" i="3"/>
  <c r="P21" i="3"/>
  <c r="AD18" i="2"/>
  <c r="Q59" i="1"/>
  <c r="M60" i="1"/>
  <c r="N60" i="1"/>
  <c r="O60" i="1"/>
  <c r="P61" i="1" s="1"/>
  <c r="L61" i="1" s="1"/>
  <c r="L34" i="6" l="1"/>
  <c r="M34" i="6"/>
  <c r="N34" i="6"/>
  <c r="R20" i="4"/>
  <c r="T20" i="4" s="1"/>
  <c r="M21" i="4" s="1"/>
  <c r="K21" i="4" s="1"/>
  <c r="Q20" i="4"/>
  <c r="N20" i="4"/>
  <c r="R21" i="3"/>
  <c r="J22" i="3"/>
  <c r="AF18" i="2"/>
  <c r="AG18" i="2"/>
  <c r="AH18" i="2" s="1"/>
  <c r="AE18" i="2"/>
  <c r="AL18" i="2"/>
  <c r="S19" i="2" s="1"/>
  <c r="O19" i="2" s="1"/>
  <c r="AK18" i="2"/>
  <c r="AN18" i="2" s="1"/>
  <c r="AO18" i="2" s="1"/>
  <c r="AM18" i="2"/>
  <c r="T19" i="2" s="1"/>
  <c r="P19" i="2" s="1"/>
  <c r="Q60" i="1"/>
  <c r="M61" i="1"/>
  <c r="N61" i="1"/>
  <c r="O61" i="1"/>
  <c r="P62" i="1" s="1"/>
  <c r="L62" i="1" s="1"/>
  <c r="P34" i="6" l="1"/>
  <c r="S20" i="4"/>
  <c r="U20" i="4" s="1"/>
  <c r="T21" i="3"/>
  <c r="K22" i="3"/>
  <c r="I22" i="3" s="1"/>
  <c r="R19" i="2"/>
  <c r="N19" i="2" s="1"/>
  <c r="Q19" i="2" s="1"/>
  <c r="Q61" i="1"/>
  <c r="N62" i="1"/>
  <c r="O62" i="1"/>
  <c r="P63" i="1" s="1"/>
  <c r="L63" i="1" s="1"/>
  <c r="M62" i="1"/>
  <c r="Q34" i="6" l="1"/>
  <c r="T34" i="6" s="1"/>
  <c r="J35" i="6" s="1"/>
  <c r="F35" i="6" s="1"/>
  <c r="K35" i="6"/>
  <c r="G35" i="6" s="1"/>
  <c r="I35" i="6"/>
  <c r="E35" i="6" s="1"/>
  <c r="L21" i="4"/>
  <c r="J21" i="4" s="1"/>
  <c r="G21" i="4" s="1"/>
  <c r="F22" i="3"/>
  <c r="G22" i="3"/>
  <c r="AC19" i="2"/>
  <c r="Z19" i="2"/>
  <c r="AB19" i="2"/>
  <c r="V19" i="2"/>
  <c r="X19" i="2"/>
  <c r="W19" i="2"/>
  <c r="AD19" i="2" s="1"/>
  <c r="AA19" i="2"/>
  <c r="Y19" i="2"/>
  <c r="Q62" i="1"/>
  <c r="N63" i="1"/>
  <c r="O63" i="1"/>
  <c r="P64" i="1" s="1"/>
  <c r="L64" i="1" s="1"/>
  <c r="M63" i="1"/>
  <c r="H35" i="6" l="1"/>
  <c r="H21" i="4"/>
  <c r="I21" i="4" s="1"/>
  <c r="O21" i="4" s="1"/>
  <c r="H22" i="3"/>
  <c r="N22" i="3" s="1"/>
  <c r="AG19" i="2"/>
  <c r="AM19" i="2" s="1"/>
  <c r="T20" i="2" s="1"/>
  <c r="P20" i="2" s="1"/>
  <c r="AF19" i="2"/>
  <c r="AE19" i="2"/>
  <c r="AK19" i="2"/>
  <c r="R20" i="2" s="1"/>
  <c r="N20" i="2" s="1"/>
  <c r="Q63" i="1"/>
  <c r="M64" i="1"/>
  <c r="N64" i="1"/>
  <c r="O64" i="1"/>
  <c r="P65" i="1" s="1"/>
  <c r="L65" i="1" s="1"/>
  <c r="L35" i="6" l="1"/>
  <c r="O35" i="6"/>
  <c r="M35" i="6"/>
  <c r="P35" i="6" s="1"/>
  <c r="N35" i="6"/>
  <c r="Q21" i="4"/>
  <c r="N21" i="4"/>
  <c r="S21" i="4" s="1"/>
  <c r="R21" i="4"/>
  <c r="T21" i="4" s="1"/>
  <c r="M22" i="4" s="1"/>
  <c r="K22" i="4" s="1"/>
  <c r="M22" i="3"/>
  <c r="S22" i="3"/>
  <c r="L23" i="3" s="1"/>
  <c r="J23" i="3" s="1"/>
  <c r="P22" i="3"/>
  <c r="Q22" i="3"/>
  <c r="AH19" i="2"/>
  <c r="AL19" i="2"/>
  <c r="S20" i="2" s="1"/>
  <c r="O20" i="2" s="1"/>
  <c r="Q20" i="2" s="1"/>
  <c r="Q64" i="1"/>
  <c r="M65" i="1"/>
  <c r="N65" i="1"/>
  <c r="O65" i="1"/>
  <c r="P66" i="1" s="1"/>
  <c r="L66" i="1" s="1"/>
  <c r="Q35" i="6" l="1"/>
  <c r="T35" i="6" s="1"/>
  <c r="K36" i="6" s="1"/>
  <c r="G36" i="6" s="1"/>
  <c r="J36" i="6"/>
  <c r="F36" i="6" s="1"/>
  <c r="I36" i="6"/>
  <c r="E36" i="6" s="1"/>
  <c r="U21" i="4"/>
  <c r="L22" i="4"/>
  <c r="J22" i="4" s="1"/>
  <c r="G22" i="4" s="1"/>
  <c r="R22" i="3"/>
  <c r="T22" i="3" s="1"/>
  <c r="AC20" i="2"/>
  <c r="V20" i="2"/>
  <c r="AA20" i="2"/>
  <c r="AN19" i="2"/>
  <c r="AO19" i="2" s="1"/>
  <c r="AB20" i="2"/>
  <c r="W20" i="2"/>
  <c r="Z20" i="2"/>
  <c r="X20" i="2"/>
  <c r="Y20" i="2"/>
  <c r="Q65" i="1"/>
  <c r="N66" i="1"/>
  <c r="O66" i="1"/>
  <c r="P67" i="1" s="1"/>
  <c r="L67" i="1" s="1"/>
  <c r="M66" i="1"/>
  <c r="H36" i="6" l="1"/>
  <c r="K23" i="3"/>
  <c r="I23" i="3" s="1"/>
  <c r="G23" i="3" s="1"/>
  <c r="H22" i="4"/>
  <c r="F23" i="3"/>
  <c r="H23" i="3" s="1"/>
  <c r="AD20" i="2"/>
  <c r="Q66" i="1"/>
  <c r="N67" i="1"/>
  <c r="O67" i="1"/>
  <c r="P68" i="1" s="1"/>
  <c r="L68" i="1" s="1"/>
  <c r="M67" i="1"/>
  <c r="L36" i="6" l="1"/>
  <c r="N36" i="6"/>
  <c r="O36" i="6" s="1"/>
  <c r="M36" i="6"/>
  <c r="P23" i="3"/>
  <c r="N23" i="3"/>
  <c r="I22" i="4"/>
  <c r="O22" i="4" s="1"/>
  <c r="S23" i="3"/>
  <c r="L24" i="3" s="1"/>
  <c r="J24" i="3" s="1"/>
  <c r="M23" i="3"/>
  <c r="R23" i="3" s="1"/>
  <c r="T23" i="3" s="1"/>
  <c r="Q23" i="3"/>
  <c r="AE20" i="2"/>
  <c r="AG20" i="2"/>
  <c r="AF20" i="2"/>
  <c r="AL20" i="2"/>
  <c r="S21" i="2" s="1"/>
  <c r="O21" i="2" s="1"/>
  <c r="AM20" i="2"/>
  <c r="T21" i="2" s="1"/>
  <c r="P21" i="2" s="1"/>
  <c r="AK20" i="2"/>
  <c r="Q67" i="1"/>
  <c r="M68" i="1"/>
  <c r="N68" i="1"/>
  <c r="O68" i="1"/>
  <c r="P69" i="1" s="1"/>
  <c r="L69" i="1" s="1"/>
  <c r="P36" i="6" l="1"/>
  <c r="Q36" i="6"/>
  <c r="T36" i="6" s="1"/>
  <c r="I37" i="6" s="1"/>
  <c r="E37" i="6" s="1"/>
  <c r="K37" i="6"/>
  <c r="G37" i="6" s="1"/>
  <c r="J37" i="6"/>
  <c r="F37" i="6" s="1"/>
  <c r="R22" i="4"/>
  <c r="T22" i="4" s="1"/>
  <c r="M23" i="4" s="1"/>
  <c r="K23" i="4" s="1"/>
  <c r="N22" i="4"/>
  <c r="S22" i="4" s="1"/>
  <c r="Q22" i="4"/>
  <c r="K24" i="3"/>
  <c r="I24" i="3" s="1"/>
  <c r="G24" i="3" s="1"/>
  <c r="AN20" i="2"/>
  <c r="AO20" i="2" s="1"/>
  <c r="AH20" i="2"/>
  <c r="R21" i="2"/>
  <c r="N21" i="2" s="1"/>
  <c r="Q21" i="2" s="1"/>
  <c r="W21" i="2" s="1"/>
  <c r="Q68" i="1"/>
  <c r="M69" i="1"/>
  <c r="N69" i="1"/>
  <c r="O69" i="1"/>
  <c r="P70" i="1" s="1"/>
  <c r="L70" i="1" s="1"/>
  <c r="H37" i="6" l="1"/>
  <c r="O37" i="6" s="1"/>
  <c r="M37" i="6"/>
  <c r="L37" i="6"/>
  <c r="N37" i="6"/>
  <c r="U22" i="4"/>
  <c r="L23" i="4"/>
  <c r="J23" i="4" s="1"/>
  <c r="G23" i="4" s="1"/>
  <c r="F24" i="3"/>
  <c r="H24" i="3" s="1"/>
  <c r="AB21" i="2"/>
  <c r="V21" i="2"/>
  <c r="Y21" i="2"/>
  <c r="AC21" i="2"/>
  <c r="Z21" i="2"/>
  <c r="X21" i="2"/>
  <c r="AA21" i="2"/>
  <c r="Q69" i="1"/>
  <c r="N70" i="1"/>
  <c r="O70" i="1"/>
  <c r="P71" i="1" s="1"/>
  <c r="L71" i="1" s="1"/>
  <c r="M70" i="1"/>
  <c r="P37" i="6" l="1"/>
  <c r="Q24" i="3"/>
  <c r="N24" i="3"/>
  <c r="H23" i="4"/>
  <c r="P24" i="3"/>
  <c r="S24" i="3"/>
  <c r="L25" i="3" s="1"/>
  <c r="J25" i="3" s="1"/>
  <c r="M24" i="3"/>
  <c r="R24" i="3" s="1"/>
  <c r="T24" i="3" s="1"/>
  <c r="AD21" i="2"/>
  <c r="AL21" i="2"/>
  <c r="S22" i="2" s="1"/>
  <c r="O22" i="2" s="1"/>
  <c r="AM21" i="2"/>
  <c r="T22" i="2" s="1"/>
  <c r="P22" i="2" s="1"/>
  <c r="Q70" i="1"/>
  <c r="Q71" i="1" s="1"/>
  <c r="N71" i="1"/>
  <c r="O71" i="1"/>
  <c r="P72" i="1" s="1"/>
  <c r="L72" i="1" s="1"/>
  <c r="M71" i="1"/>
  <c r="Q37" i="6" l="1"/>
  <c r="T37" i="6" s="1"/>
  <c r="I38" i="6" s="1"/>
  <c r="E38" i="6" s="1"/>
  <c r="K38" i="6"/>
  <c r="G38" i="6" s="1"/>
  <c r="J38" i="6"/>
  <c r="F38" i="6" s="1"/>
  <c r="K25" i="3"/>
  <c r="I25" i="3" s="1"/>
  <c r="F25" i="3" s="1"/>
  <c r="I23" i="4"/>
  <c r="O23" i="4" s="1"/>
  <c r="AE21" i="2"/>
  <c r="AK21" i="2" s="1"/>
  <c r="AF21" i="2"/>
  <c r="AG21" i="2"/>
  <c r="AH21" i="2"/>
  <c r="AN21" i="2"/>
  <c r="AO21" i="2" s="1"/>
  <c r="R22" i="2"/>
  <c r="N22" i="2" s="1"/>
  <c r="Q22" i="2" s="1"/>
  <c r="Q72" i="1"/>
  <c r="N72" i="1"/>
  <c r="H38" i="6" l="1"/>
  <c r="O38" i="6" s="1"/>
  <c r="G25" i="3"/>
  <c r="H25" i="3" s="1"/>
  <c r="Q23" i="4"/>
  <c r="N23" i="4"/>
  <c r="R23" i="4"/>
  <c r="T23" i="4"/>
  <c r="M24" i="4" s="1"/>
  <c r="K24" i="4" s="1"/>
  <c r="V22" i="2"/>
  <c r="AA22" i="2"/>
  <c r="AC22" i="2"/>
  <c r="X22" i="2"/>
  <c r="AB22" i="2"/>
  <c r="Y22" i="2"/>
  <c r="Z22" i="2"/>
  <c r="W22" i="2"/>
  <c r="O72" i="1"/>
  <c r="P73" i="1" s="1"/>
  <c r="L73" i="1" s="1"/>
  <c r="Q73" i="1" s="1"/>
  <c r="M72" i="1"/>
  <c r="M38" i="6" l="1"/>
  <c r="L38" i="6"/>
  <c r="N38" i="6"/>
  <c r="P38" i="6"/>
  <c r="N25" i="3"/>
  <c r="P25" i="3"/>
  <c r="Q25" i="3"/>
  <c r="S25" i="3"/>
  <c r="L26" i="3" s="1"/>
  <c r="J26" i="3" s="1"/>
  <c r="M25" i="3"/>
  <c r="R25" i="3" s="1"/>
  <c r="K26" i="3" s="1"/>
  <c r="I26" i="3" s="1"/>
  <c r="S23" i="4"/>
  <c r="U23" i="4" s="1"/>
  <c r="AD22" i="2"/>
  <c r="O73" i="1"/>
  <c r="P74" i="1" s="1"/>
  <c r="L74" i="1" s="1"/>
  <c r="Q74" i="1" s="1"/>
  <c r="M73" i="1"/>
  <c r="N73" i="1"/>
  <c r="Q38" i="6" l="1"/>
  <c r="T38" i="6" s="1"/>
  <c r="K39" i="6" s="1"/>
  <c r="G39" i="6" s="1"/>
  <c r="I39" i="6"/>
  <c r="E39" i="6" s="1"/>
  <c r="J39" i="6"/>
  <c r="F39" i="6" s="1"/>
  <c r="T25" i="3"/>
  <c r="L24" i="4"/>
  <c r="J24" i="4" s="1"/>
  <c r="G24" i="4" s="1"/>
  <c r="F26" i="3"/>
  <c r="G26" i="3"/>
  <c r="AF22" i="2"/>
  <c r="AG22" i="2"/>
  <c r="AM22" i="2" s="1"/>
  <c r="T23" i="2" s="1"/>
  <c r="P23" i="2" s="1"/>
  <c r="AE22" i="2"/>
  <c r="AK22" i="2"/>
  <c r="R23" i="2" s="1"/>
  <c r="N23" i="2" s="1"/>
  <c r="AL22" i="2"/>
  <c r="S23" i="2" s="1"/>
  <c r="O23" i="2" s="1"/>
  <c r="N74" i="1"/>
  <c r="O74" i="1"/>
  <c r="P75" i="1" s="1"/>
  <c r="L75" i="1" s="1"/>
  <c r="Q75" i="1" s="1"/>
  <c r="M74" i="1"/>
  <c r="H39" i="6" l="1"/>
  <c r="O39" i="6" s="1"/>
  <c r="H24" i="4"/>
  <c r="I24" i="4" s="1"/>
  <c r="O24" i="4" s="1"/>
  <c r="H26" i="3"/>
  <c r="N26" i="3" s="1"/>
  <c r="P26" i="3"/>
  <c r="Q26" i="3"/>
  <c r="M26" i="3"/>
  <c r="S26" i="3"/>
  <c r="L27" i="3" s="1"/>
  <c r="Q23" i="2"/>
  <c r="X23" i="2" s="1"/>
  <c r="AN22" i="2"/>
  <c r="AO22" i="2" s="1"/>
  <c r="AH22" i="2"/>
  <c r="N75" i="1"/>
  <c r="O75" i="1"/>
  <c r="P76" i="1" s="1"/>
  <c r="L76" i="1" s="1"/>
  <c r="Q76" i="1" s="1"/>
  <c r="M75" i="1"/>
  <c r="N39" i="6" l="1"/>
  <c r="L39" i="6"/>
  <c r="M39" i="6"/>
  <c r="N24" i="4"/>
  <c r="R24" i="4"/>
  <c r="Q24" i="4"/>
  <c r="T24" i="4"/>
  <c r="M25" i="4" s="1"/>
  <c r="K25" i="4" s="1"/>
  <c r="R26" i="3"/>
  <c r="J27" i="3"/>
  <c r="AA23" i="2"/>
  <c r="AC23" i="2"/>
  <c r="W23" i="2"/>
  <c r="V23" i="2"/>
  <c r="Y23" i="2"/>
  <c r="AB23" i="2"/>
  <c r="Z23" i="2"/>
  <c r="M76" i="1"/>
  <c r="N76" i="1"/>
  <c r="O76" i="1"/>
  <c r="P77" i="1" s="1"/>
  <c r="L77" i="1" s="1"/>
  <c r="Q77" i="1" s="1"/>
  <c r="P39" i="6" l="1"/>
  <c r="S24" i="4"/>
  <c r="T26" i="3"/>
  <c r="K27" i="3"/>
  <c r="I27" i="3" s="1"/>
  <c r="F27" i="3" s="1"/>
  <c r="AD23" i="2"/>
  <c r="M77" i="1"/>
  <c r="N77" i="1"/>
  <c r="O77" i="1"/>
  <c r="P78" i="1" s="1"/>
  <c r="L78" i="1" s="1"/>
  <c r="Q78" i="1" s="1"/>
  <c r="Q39" i="6" l="1"/>
  <c r="T39" i="6" s="1"/>
  <c r="I40" i="6" s="1"/>
  <c r="E40" i="6" s="1"/>
  <c r="K40" i="6"/>
  <c r="G40" i="6" s="1"/>
  <c r="J40" i="6"/>
  <c r="F40" i="6" s="1"/>
  <c r="U24" i="4"/>
  <c r="L25" i="4"/>
  <c r="J25" i="4" s="1"/>
  <c r="G25" i="4" s="1"/>
  <c r="G27" i="3"/>
  <c r="H27" i="3" s="1"/>
  <c r="N27" i="3" s="1"/>
  <c r="AG23" i="2"/>
  <c r="AF23" i="2"/>
  <c r="AL23" i="2" s="1"/>
  <c r="S24" i="2" s="1"/>
  <c r="O24" i="2" s="1"/>
  <c r="AE23" i="2"/>
  <c r="AK23" i="2"/>
  <c r="R24" i="2" s="1"/>
  <c r="N24" i="2" s="1"/>
  <c r="AM23" i="2"/>
  <c r="T24" i="2" s="1"/>
  <c r="P24" i="2" s="1"/>
  <c r="N78" i="1"/>
  <c r="O78" i="1"/>
  <c r="P79" i="1" s="1"/>
  <c r="L79" i="1" s="1"/>
  <c r="Q79" i="1" s="1"/>
  <c r="M78" i="1"/>
  <c r="H40" i="6" l="1"/>
  <c r="H25" i="4"/>
  <c r="Q27" i="3"/>
  <c r="M27" i="3"/>
  <c r="P27" i="3"/>
  <c r="S27" i="3"/>
  <c r="L28" i="3" s="1"/>
  <c r="R27" i="3"/>
  <c r="AN23" i="2"/>
  <c r="AO23" i="2" s="1"/>
  <c r="AH23" i="2"/>
  <c r="Q24" i="2"/>
  <c r="AC24" i="2" s="1"/>
  <c r="N79" i="1"/>
  <c r="O79" i="1"/>
  <c r="P80" i="1" s="1"/>
  <c r="L80" i="1" s="1"/>
  <c r="Q80" i="1" s="1"/>
  <c r="M79" i="1"/>
  <c r="O40" i="6" l="1"/>
  <c r="L40" i="6"/>
  <c r="M40" i="6"/>
  <c r="N40" i="6"/>
  <c r="I25" i="4"/>
  <c r="O25" i="4" s="1"/>
  <c r="T27" i="3"/>
  <c r="K28" i="3"/>
  <c r="I28" i="3" s="1"/>
  <c r="J28" i="3"/>
  <c r="Y24" i="2"/>
  <c r="V24" i="2"/>
  <c r="AA24" i="2"/>
  <c r="AB24" i="2"/>
  <c r="W24" i="2"/>
  <c r="X24" i="2"/>
  <c r="Z24" i="2"/>
  <c r="M80" i="1"/>
  <c r="N80" i="1"/>
  <c r="O80" i="1"/>
  <c r="P81" i="1" s="1"/>
  <c r="L81" i="1" s="1"/>
  <c r="Q81" i="1" s="1"/>
  <c r="P40" i="6" l="1"/>
  <c r="Q25" i="4"/>
  <c r="N25" i="4"/>
  <c r="S25" i="4" s="1"/>
  <c r="R25" i="4"/>
  <c r="T25" i="4" s="1"/>
  <c r="M26" i="4" s="1"/>
  <c r="K26" i="4" s="1"/>
  <c r="G28" i="3"/>
  <c r="F28" i="3"/>
  <c r="AD24" i="2"/>
  <c r="O81" i="1"/>
  <c r="P82" i="1" s="1"/>
  <c r="L82" i="1" s="1"/>
  <c r="Q82" i="1" s="1"/>
  <c r="M81" i="1"/>
  <c r="N81" i="1"/>
  <c r="Q40" i="6" l="1"/>
  <c r="T40" i="6" s="1"/>
  <c r="I41" i="6" s="1"/>
  <c r="E41" i="6" s="1"/>
  <c r="K41" i="6"/>
  <c r="G41" i="6" s="1"/>
  <c r="H28" i="3"/>
  <c r="N28" i="3" s="1"/>
  <c r="U25" i="4"/>
  <c r="L26" i="4"/>
  <c r="J26" i="4" s="1"/>
  <c r="G26" i="4" s="1"/>
  <c r="Q28" i="3"/>
  <c r="M28" i="3"/>
  <c r="R28" i="3" s="1"/>
  <c r="P28" i="3"/>
  <c r="AE24" i="2"/>
  <c r="AF24" i="2"/>
  <c r="AG24" i="2"/>
  <c r="AK24" i="2"/>
  <c r="R25" i="2" s="1"/>
  <c r="N25" i="2" s="1"/>
  <c r="AL24" i="2"/>
  <c r="S25" i="2" s="1"/>
  <c r="O25" i="2" s="1"/>
  <c r="AM24" i="2"/>
  <c r="T25" i="2" s="1"/>
  <c r="P25" i="2" s="1"/>
  <c r="N82" i="1"/>
  <c r="O82" i="1"/>
  <c r="P83" i="1" s="1"/>
  <c r="L83" i="1" s="1"/>
  <c r="Q83" i="1" s="1"/>
  <c r="M82" i="1"/>
  <c r="J41" i="6" l="1"/>
  <c r="F41" i="6" s="1"/>
  <c r="H41" i="6" s="1"/>
  <c r="H26" i="4"/>
  <c r="S28" i="3"/>
  <c r="L29" i="3" s="1"/>
  <c r="J29" i="3" s="1"/>
  <c r="T28" i="3"/>
  <c r="K29" i="3"/>
  <c r="I29" i="3" s="1"/>
  <c r="AH24" i="2"/>
  <c r="Q25" i="2"/>
  <c r="X25" i="2" s="1"/>
  <c r="AN24" i="2"/>
  <c r="AO24" i="2" s="1"/>
  <c r="Z25" i="2"/>
  <c r="N83" i="1"/>
  <c r="O83" i="1"/>
  <c r="P84" i="1" s="1"/>
  <c r="L84" i="1" s="1"/>
  <c r="Q84" i="1" s="1"/>
  <c r="M83" i="1"/>
  <c r="L41" i="6" l="1"/>
  <c r="N41" i="6"/>
  <c r="O41" i="6" s="1"/>
  <c r="M41" i="6"/>
  <c r="I26" i="4"/>
  <c r="O26" i="4" s="1"/>
  <c r="F29" i="3"/>
  <c r="G29" i="3"/>
  <c r="AA25" i="2"/>
  <c r="W25" i="2"/>
  <c r="AC25" i="2"/>
  <c r="V25" i="2"/>
  <c r="AB25" i="2"/>
  <c r="Y25" i="2"/>
  <c r="M84" i="1"/>
  <c r="N84" i="1"/>
  <c r="O84" i="1"/>
  <c r="P85" i="1" s="1"/>
  <c r="L85" i="1" s="1"/>
  <c r="Q85" i="1" s="1"/>
  <c r="P41" i="6" l="1"/>
  <c r="R26" i="4"/>
  <c r="T26" i="4" s="1"/>
  <c r="M27" i="4" s="1"/>
  <c r="K27" i="4" s="1"/>
  <c r="N26" i="4"/>
  <c r="Q26" i="4"/>
  <c r="H29" i="3"/>
  <c r="N29" i="3" s="1"/>
  <c r="M29" i="3"/>
  <c r="P29" i="3"/>
  <c r="P31" i="3" s="1"/>
  <c r="Q29" i="3"/>
  <c r="Q31" i="3" s="1"/>
  <c r="AD25" i="2"/>
  <c r="AM25" i="2"/>
  <c r="T26" i="2" s="1"/>
  <c r="P26" i="2" s="1"/>
  <c r="M85" i="1"/>
  <c r="N85" i="1"/>
  <c r="O85" i="1"/>
  <c r="P86" i="1" s="1"/>
  <c r="L86" i="1" s="1"/>
  <c r="Q86" i="1" s="1"/>
  <c r="Q41" i="6" l="1"/>
  <c r="T41" i="6" s="1"/>
  <c r="S29" i="3"/>
  <c r="S26" i="4"/>
  <c r="U26" i="4" s="1"/>
  <c r="R29" i="3"/>
  <c r="T29" i="3" s="1"/>
  <c r="Q32" i="3" s="1"/>
  <c r="AK25" i="2"/>
  <c r="AE25" i="2"/>
  <c r="AF25" i="2"/>
  <c r="AG25" i="2"/>
  <c r="AL25" i="2"/>
  <c r="S26" i="2" s="1"/>
  <c r="O26" i="2" s="1"/>
  <c r="R26" i="2"/>
  <c r="N26" i="2" s="1"/>
  <c r="N86" i="1"/>
  <c r="O86" i="1"/>
  <c r="P87" i="1" s="1"/>
  <c r="L87" i="1" s="1"/>
  <c r="Q87" i="1" s="1"/>
  <c r="M86" i="1"/>
  <c r="P32" i="3" l="1"/>
  <c r="L27" i="4"/>
  <c r="J27" i="4" s="1"/>
  <c r="G27" i="4" s="1"/>
  <c r="AN25" i="2"/>
  <c r="AO25" i="2" s="1"/>
  <c r="AH25" i="2"/>
  <c r="Q26" i="2"/>
  <c r="AB26" i="2" s="1"/>
  <c r="N87" i="1"/>
  <c r="O87" i="1"/>
  <c r="P88" i="1" s="1"/>
  <c r="L88" i="1" s="1"/>
  <c r="Q88" i="1" s="1"/>
  <c r="M87" i="1"/>
  <c r="H27" i="4" l="1"/>
  <c r="I27" i="4" s="1"/>
  <c r="O27" i="4" s="1"/>
  <c r="V26" i="2"/>
  <c r="AA26" i="2"/>
  <c r="AC26" i="2"/>
  <c r="X26" i="2"/>
  <c r="Y26" i="2"/>
  <c r="Z26" i="2"/>
  <c r="W26" i="2"/>
  <c r="AD26" i="2" s="1"/>
  <c r="M88" i="1"/>
  <c r="N88" i="1"/>
  <c r="O88" i="1"/>
  <c r="P89" i="1" s="1"/>
  <c r="L89" i="1" s="1"/>
  <c r="Q89" i="1" s="1"/>
  <c r="Q27" i="4" l="1"/>
  <c r="R27" i="4"/>
  <c r="N27" i="4"/>
  <c r="T27" i="4"/>
  <c r="M28" i="4" s="1"/>
  <c r="K28" i="4" s="1"/>
  <c r="AF26" i="2"/>
  <c r="AE26" i="2"/>
  <c r="AG26" i="2"/>
  <c r="AM26" i="2" s="1"/>
  <c r="T27" i="2" s="1"/>
  <c r="P27" i="2" s="1"/>
  <c r="AK26" i="2"/>
  <c r="R27" i="2" s="1"/>
  <c r="N27" i="2" s="1"/>
  <c r="AL26" i="2"/>
  <c r="S27" i="2" s="1"/>
  <c r="O27" i="2" s="1"/>
  <c r="O89" i="1"/>
  <c r="P90" i="1" s="1"/>
  <c r="L90" i="1" s="1"/>
  <c r="Q90" i="1" s="1"/>
  <c r="M89" i="1"/>
  <c r="N89" i="1"/>
  <c r="S27" i="4" l="1"/>
  <c r="L28" i="4" s="1"/>
  <c r="J28" i="4" s="1"/>
  <c r="G28" i="4" s="1"/>
  <c r="Q27" i="2"/>
  <c r="Y27" i="2" s="1"/>
  <c r="AN26" i="2"/>
  <c r="AO26" i="2" s="1"/>
  <c r="AH26" i="2"/>
  <c r="X27" i="2"/>
  <c r="N90" i="1"/>
  <c r="O90" i="1"/>
  <c r="P91" i="1" s="1"/>
  <c r="L91" i="1" s="1"/>
  <c r="Q91" i="1" s="1"/>
  <c r="M90" i="1"/>
  <c r="U27" i="4" l="1"/>
  <c r="H28" i="4"/>
  <c r="I28" i="4" s="1"/>
  <c r="O28" i="4" s="1"/>
  <c r="AC27" i="2"/>
  <c r="AB27" i="2"/>
  <c r="Z27" i="2"/>
  <c r="AA27" i="2"/>
  <c r="W27" i="2"/>
  <c r="V27" i="2"/>
  <c r="N91" i="1"/>
  <c r="O91" i="1"/>
  <c r="P92" i="1" s="1"/>
  <c r="L92" i="1" s="1"/>
  <c r="Q92" i="1" s="1"/>
  <c r="M91" i="1"/>
  <c r="N28" i="4" l="1"/>
  <c r="R28" i="4"/>
  <c r="S28" i="4"/>
  <c r="L29" i="4" s="1"/>
  <c r="J29" i="4" s="1"/>
  <c r="G29" i="4" s="1"/>
  <c r="Q28" i="4"/>
  <c r="T28" i="4"/>
  <c r="M29" i="4" s="1"/>
  <c r="K29" i="4" s="1"/>
  <c r="AD27" i="2"/>
  <c r="M92" i="1"/>
  <c r="N92" i="1"/>
  <c r="O92" i="1"/>
  <c r="P93" i="1" s="1"/>
  <c r="L93" i="1" s="1"/>
  <c r="Q93" i="1" s="1"/>
  <c r="H29" i="4" l="1"/>
  <c r="I29" i="4" s="1"/>
  <c r="O29" i="4" s="1"/>
  <c r="U28" i="4"/>
  <c r="AG27" i="2"/>
  <c r="AE27" i="2"/>
  <c r="AF27" i="2"/>
  <c r="AM27" i="2"/>
  <c r="T28" i="2" s="1"/>
  <c r="P28" i="2" s="1"/>
  <c r="AL27" i="2"/>
  <c r="S28" i="2" s="1"/>
  <c r="O28" i="2" s="1"/>
  <c r="AK27" i="2"/>
  <c r="R28" i="2" s="1"/>
  <c r="N28" i="2" s="1"/>
  <c r="M93" i="1"/>
  <c r="N93" i="1"/>
  <c r="O93" i="1"/>
  <c r="P94" i="1" s="1"/>
  <c r="L94" i="1" s="1"/>
  <c r="Q94" i="1" s="1"/>
  <c r="Q29" i="4" l="1"/>
  <c r="Q31" i="4" s="1"/>
  <c r="N29" i="4"/>
  <c r="S29" i="4" s="1"/>
  <c r="R29" i="4"/>
  <c r="R31" i="4" s="1"/>
  <c r="AH27" i="2"/>
  <c r="Q28" i="2"/>
  <c r="X28" i="2" s="1"/>
  <c r="AN27" i="2"/>
  <c r="AO27" i="2" s="1"/>
  <c r="Z28" i="2"/>
  <c r="N94" i="1"/>
  <c r="O94" i="1"/>
  <c r="P95" i="1" s="1"/>
  <c r="L95" i="1" s="1"/>
  <c r="Q95" i="1" s="1"/>
  <c r="M94" i="1"/>
  <c r="T29" i="4" l="1"/>
  <c r="U29" i="4"/>
  <c r="R32" i="4" s="1"/>
  <c r="AC28" i="2"/>
  <c r="Y28" i="2"/>
  <c r="AA28" i="2"/>
  <c r="W28" i="2"/>
  <c r="V28" i="2"/>
  <c r="AB28" i="2"/>
  <c r="AD28" i="2" s="1"/>
  <c r="N95" i="1"/>
  <c r="O95" i="1"/>
  <c r="P96" i="1" s="1"/>
  <c r="L96" i="1" s="1"/>
  <c r="Q96" i="1" s="1"/>
  <c r="M95" i="1"/>
  <c r="Q32" i="4" l="1"/>
  <c r="AE28" i="2"/>
  <c r="AG28" i="2"/>
  <c r="AM28" i="2" s="1"/>
  <c r="T29" i="2" s="1"/>
  <c r="P29" i="2" s="1"/>
  <c r="AF28" i="2"/>
  <c r="AL28" i="2"/>
  <c r="S29" i="2" s="1"/>
  <c r="O29" i="2" s="1"/>
  <c r="AK28" i="2"/>
  <c r="R29" i="2" s="1"/>
  <c r="N29" i="2" s="1"/>
  <c r="M96" i="1"/>
  <c r="N96" i="1"/>
  <c r="O96" i="1"/>
  <c r="P97" i="1" s="1"/>
  <c r="L97" i="1" s="1"/>
  <c r="Q97" i="1" s="1"/>
  <c r="Q29" i="2" l="1"/>
  <c r="AA29" i="2" s="1"/>
  <c r="AH28" i="2"/>
  <c r="AN28" i="2"/>
  <c r="AO28" i="2" s="1"/>
  <c r="O97" i="1"/>
  <c r="P98" i="1" s="1"/>
  <c r="L98" i="1" s="1"/>
  <c r="Q98" i="1" s="1"/>
  <c r="M97" i="1"/>
  <c r="N97" i="1"/>
  <c r="AB29" i="2" l="1"/>
  <c r="Z29" i="2"/>
  <c r="AC29" i="2"/>
  <c r="W29" i="2"/>
  <c r="Y29" i="2"/>
  <c r="X29" i="2"/>
  <c r="V29" i="2"/>
  <c r="N98" i="1"/>
  <c r="O98" i="1"/>
  <c r="P99" i="1" s="1"/>
  <c r="L99" i="1" s="1"/>
  <c r="Q99" i="1" s="1"/>
  <c r="M98" i="1"/>
  <c r="AD29" i="2" l="1"/>
  <c r="N99" i="1"/>
  <c r="O99" i="1"/>
  <c r="P100" i="1" s="1"/>
  <c r="L100" i="1" s="1"/>
  <c r="Q100" i="1" s="1"/>
  <c r="M99" i="1"/>
  <c r="AE29" i="2" l="1"/>
  <c r="AF29" i="2"/>
  <c r="AL29" i="2" s="1"/>
  <c r="S30" i="2" s="1"/>
  <c r="O30" i="2" s="1"/>
  <c r="AG29" i="2"/>
  <c r="AM29" i="2"/>
  <c r="T30" i="2" s="1"/>
  <c r="P30" i="2" s="1"/>
  <c r="M100" i="1"/>
  <c r="N100" i="1"/>
  <c r="O100" i="1"/>
  <c r="P101" i="1" s="1"/>
  <c r="L101" i="1" s="1"/>
  <c r="Q101" i="1" s="1"/>
  <c r="AH29" i="2" l="1"/>
  <c r="AK29" i="2"/>
  <c r="M101" i="1"/>
  <c r="N101" i="1"/>
  <c r="O101" i="1"/>
  <c r="P102" i="1" s="1"/>
  <c r="L102" i="1" s="1"/>
  <c r="Q102" i="1" s="1"/>
  <c r="R30" i="2" l="1"/>
  <c r="N30" i="2" s="1"/>
  <c r="Q30" i="2" s="1"/>
  <c r="AN29" i="2"/>
  <c r="AO29" i="2" s="1"/>
  <c r="N102" i="1"/>
  <c r="O102" i="1"/>
  <c r="P103" i="1" s="1"/>
  <c r="L103" i="1" s="1"/>
  <c r="Q103" i="1" s="1"/>
  <c r="M102" i="1"/>
  <c r="X30" i="2" l="1"/>
  <c r="AB30" i="2"/>
  <c r="AA30" i="2"/>
  <c r="Y30" i="2"/>
  <c r="W30" i="2"/>
  <c r="V30" i="2"/>
  <c r="AC30" i="2"/>
  <c r="Z30" i="2"/>
  <c r="N103" i="1"/>
  <c r="O103" i="1"/>
  <c r="P104" i="1" s="1"/>
  <c r="L104" i="1" s="1"/>
  <c r="Q104" i="1" s="1"/>
  <c r="M103" i="1"/>
  <c r="AD30" i="2" l="1"/>
  <c r="M104" i="1"/>
  <c r="N104" i="1"/>
  <c r="O104" i="1"/>
  <c r="P105" i="1" s="1"/>
  <c r="L105" i="1" s="1"/>
  <c r="Q105" i="1" s="1"/>
  <c r="AF30" i="2" l="1"/>
  <c r="AG30" i="2"/>
  <c r="AE30" i="2"/>
  <c r="AK30" i="2"/>
  <c r="AM30" i="2"/>
  <c r="T31" i="2" s="1"/>
  <c r="P31" i="2" s="1"/>
  <c r="AL30" i="2"/>
  <c r="S31" i="2" s="1"/>
  <c r="O31" i="2" s="1"/>
  <c r="O105" i="1"/>
  <c r="P106" i="1" s="1"/>
  <c r="L106" i="1" s="1"/>
  <c r="Q106" i="1" s="1"/>
  <c r="M105" i="1"/>
  <c r="N105" i="1"/>
  <c r="R31" i="2" l="1"/>
  <c r="N31" i="2" s="1"/>
  <c r="Q31" i="2" s="1"/>
  <c r="AN30" i="2"/>
  <c r="AO30" i="2" s="1"/>
  <c r="AH30" i="2"/>
  <c r="N106" i="1"/>
  <c r="O106" i="1"/>
  <c r="P107" i="1" s="1"/>
  <c r="L107" i="1" s="1"/>
  <c r="Q107" i="1" s="1"/>
  <c r="M106" i="1"/>
  <c r="AC31" i="2" l="1"/>
  <c r="V31" i="2"/>
  <c r="W31" i="2"/>
  <c r="AB31" i="2"/>
  <c r="AA31" i="2"/>
  <c r="X31" i="2"/>
  <c r="Y31" i="2"/>
  <c r="Z31" i="2"/>
  <c r="N107" i="1"/>
  <c r="O107" i="1"/>
  <c r="P108" i="1" s="1"/>
  <c r="L108" i="1" s="1"/>
  <c r="Q108" i="1" s="1"/>
  <c r="M107" i="1"/>
  <c r="AD31" i="2" l="1"/>
  <c r="M108" i="1"/>
  <c r="N108" i="1"/>
  <c r="O108" i="1"/>
  <c r="P109" i="1" s="1"/>
  <c r="L109" i="1" s="1"/>
  <c r="Q109" i="1" s="1"/>
  <c r="AG31" i="2" l="1"/>
  <c r="AF31" i="2"/>
  <c r="AE31" i="2"/>
  <c r="AM31" i="2"/>
  <c r="T32" i="2" s="1"/>
  <c r="P32" i="2" s="1"/>
  <c r="AL31" i="2"/>
  <c r="S32" i="2" s="1"/>
  <c r="O32" i="2" s="1"/>
  <c r="M109" i="1"/>
  <c r="N109" i="1"/>
  <c r="O109" i="1"/>
  <c r="P110" i="1" s="1"/>
  <c r="L110" i="1" s="1"/>
  <c r="Q110" i="1" s="1"/>
  <c r="AH31" i="2" l="1"/>
  <c r="AK31" i="2"/>
  <c r="N110" i="1"/>
  <c r="O110" i="1"/>
  <c r="P111" i="1" s="1"/>
  <c r="L111" i="1" s="1"/>
  <c r="Q111" i="1" s="1"/>
  <c r="M110" i="1"/>
  <c r="R32" i="2" l="1"/>
  <c r="N32" i="2" s="1"/>
  <c r="Q32" i="2" s="1"/>
  <c r="AN31" i="2"/>
  <c r="AO31" i="2" s="1"/>
  <c r="N111" i="1"/>
  <c r="O111" i="1"/>
  <c r="P112" i="1" s="1"/>
  <c r="L112" i="1" s="1"/>
  <c r="Q112" i="1" s="1"/>
  <c r="M111" i="1"/>
  <c r="X32" i="2" l="1"/>
  <c r="AB32" i="2"/>
  <c r="Z32" i="2"/>
  <c r="AA32" i="2"/>
  <c r="V32" i="2"/>
  <c r="Y32" i="2"/>
  <c r="W32" i="2"/>
  <c r="AC32" i="2"/>
  <c r="Q10" i="1"/>
  <c r="S14" i="1" s="1"/>
  <c r="M112" i="1"/>
  <c r="BX18" i="1" s="1"/>
  <c r="N112" i="1"/>
  <c r="N8" i="1" s="1"/>
  <c r="BX14" i="1" s="1"/>
  <c r="O112" i="1"/>
  <c r="AD32" i="2" l="1"/>
  <c r="BX15" i="1"/>
  <c r="BY15" i="1" s="1"/>
  <c r="T14" i="1"/>
  <c r="U14" i="1" s="1"/>
  <c r="V14" i="1" s="1"/>
  <c r="AP14" i="1"/>
  <c r="S15" i="1"/>
  <c r="AE32" i="2" l="1"/>
  <c r="AF32" i="2"/>
  <c r="AG32" i="2"/>
  <c r="AK32" i="2"/>
  <c r="AM32" i="2"/>
  <c r="T33" i="2" s="1"/>
  <c r="P33" i="2" s="1"/>
  <c r="AL32" i="2"/>
  <c r="S33" i="2" s="1"/>
  <c r="O33" i="2" s="1"/>
  <c r="BX16" i="1"/>
  <c r="BY16" i="1" s="1"/>
  <c r="T15" i="1"/>
  <c r="U15" i="1" s="1"/>
  <c r="AP15" i="1"/>
  <c r="W14" i="1"/>
  <c r="AY14" i="1" s="1"/>
  <c r="AZ14" i="1" s="1"/>
  <c r="X14" i="1"/>
  <c r="BA14" i="1"/>
  <c r="S16" i="1"/>
  <c r="AN32" i="2" l="1"/>
  <c r="AO32" i="2" s="1"/>
  <c r="R33" i="2"/>
  <c r="N33" i="2" s="1"/>
  <c r="Q33" i="2" s="1"/>
  <c r="AH32" i="2"/>
  <c r="AX14" i="1"/>
  <c r="BB14" i="1" s="1"/>
  <c r="BX17" i="1"/>
  <c r="BY17" i="1" s="1"/>
  <c r="BW22" i="1" s="1"/>
  <c r="T16" i="1"/>
  <c r="U16" i="1" s="1"/>
  <c r="AP16" i="1"/>
  <c r="S17" i="1"/>
  <c r="AB33" i="2" l="1"/>
  <c r="Y33" i="2"/>
  <c r="Z33" i="2"/>
  <c r="W33" i="2"/>
  <c r="X33" i="2"/>
  <c r="AA33" i="2"/>
  <c r="AC33" i="2"/>
  <c r="V33" i="2"/>
  <c r="T17" i="1"/>
  <c r="U17" i="1" s="1"/>
  <c r="AP17" i="1"/>
  <c r="Z14" i="1"/>
  <c r="AH14" i="1" s="1"/>
  <c r="AC15" i="1" s="1"/>
  <c r="W15" i="1" s="1"/>
  <c r="AA14" i="1"/>
  <c r="AI14" i="1" s="1"/>
  <c r="AD15" i="1" s="1"/>
  <c r="X15" i="1" s="1"/>
  <c r="Y14" i="1"/>
  <c r="AG14" i="1" s="1"/>
  <c r="S18" i="1"/>
  <c r="AD33" i="2" l="1"/>
  <c r="T18" i="1"/>
  <c r="U18" i="1" s="1"/>
  <c r="AP18" i="1"/>
  <c r="AB15" i="1"/>
  <c r="V15" i="1" s="1"/>
  <c r="BA15" i="1" s="1"/>
  <c r="AJ14" i="1"/>
  <c r="S19" i="1"/>
  <c r="AE33" i="2" l="1"/>
  <c r="AF33" i="2"/>
  <c r="AG33" i="2"/>
  <c r="AM33" i="2" s="1"/>
  <c r="T34" i="2" s="1"/>
  <c r="P34" i="2" s="1"/>
  <c r="AK33" i="2"/>
  <c r="AL33" i="2"/>
  <c r="S34" i="2" s="1"/>
  <c r="O34" i="2" s="1"/>
  <c r="AK14" i="1"/>
  <c r="T19" i="1"/>
  <c r="U19" i="1" s="1"/>
  <c r="AP19" i="1"/>
  <c r="AW15" i="1"/>
  <c r="AY15" i="1"/>
  <c r="AZ15" i="1" s="1"/>
  <c r="AX15" i="1"/>
  <c r="S20" i="1"/>
  <c r="AN33" i="2" l="1"/>
  <c r="AO33" i="2" s="1"/>
  <c r="R34" i="2"/>
  <c r="N34" i="2" s="1"/>
  <c r="Q34" i="2" s="1"/>
  <c r="AH33" i="2"/>
  <c r="AL14" i="1"/>
  <c r="T20" i="1"/>
  <c r="U20" i="1" s="1"/>
  <c r="AP20" i="1"/>
  <c r="BB15" i="1"/>
  <c r="AA15" i="1" s="1"/>
  <c r="AI15" i="1" s="1"/>
  <c r="AD16" i="1" s="1"/>
  <c r="X16" i="1" s="1"/>
  <c r="S21" i="1"/>
  <c r="Y34" i="2" l="1"/>
  <c r="AB34" i="2"/>
  <c r="V34" i="2"/>
  <c r="X34" i="2"/>
  <c r="Z34" i="2"/>
  <c r="W34" i="2"/>
  <c r="AA34" i="2"/>
  <c r="AC34" i="2"/>
  <c r="T21" i="1"/>
  <c r="U21" i="1" s="1"/>
  <c r="AP21" i="1"/>
  <c r="Z15" i="1"/>
  <c r="AH15" i="1" s="1"/>
  <c r="AC16" i="1" s="1"/>
  <c r="W16" i="1" s="1"/>
  <c r="Y15" i="1"/>
  <c r="AG15" i="1" s="1"/>
  <c r="S22" i="1"/>
  <c r="AD34" i="2" l="1"/>
  <c r="T22" i="1"/>
  <c r="U22" i="1" s="1"/>
  <c r="AP22" i="1"/>
  <c r="AJ15" i="1"/>
  <c r="AB16" i="1"/>
  <c r="AW16" i="1" s="1"/>
  <c r="S23" i="1"/>
  <c r="AF34" i="2" l="1"/>
  <c r="AG34" i="2"/>
  <c r="AE34" i="2"/>
  <c r="AL34" i="2"/>
  <c r="S35" i="2" s="1"/>
  <c r="O35" i="2" s="1"/>
  <c r="AK34" i="2"/>
  <c r="AM34" i="2"/>
  <c r="T35" i="2" s="1"/>
  <c r="P35" i="2" s="1"/>
  <c r="AK15" i="1"/>
  <c r="T23" i="1"/>
  <c r="U23" i="1" s="1"/>
  <c r="AP23" i="1"/>
  <c r="V16" i="1"/>
  <c r="AX16" i="1" s="1"/>
  <c r="S24" i="1"/>
  <c r="AH34" i="2" l="1"/>
  <c r="AN34" i="2"/>
  <c r="AO34" i="2" s="1"/>
  <c r="R35" i="2"/>
  <c r="N35" i="2" s="1"/>
  <c r="Q35" i="2" s="1"/>
  <c r="AL15" i="1"/>
  <c r="T24" i="1"/>
  <c r="U24" i="1" s="1"/>
  <c r="AP24" i="1"/>
  <c r="BA16" i="1"/>
  <c r="BB16" i="1" s="1"/>
  <c r="AA16" i="1" s="1"/>
  <c r="AI16" i="1" s="1"/>
  <c r="AD17" i="1" s="1"/>
  <c r="X17" i="1" s="1"/>
  <c r="AY16" i="1"/>
  <c r="AZ16" i="1" s="1"/>
  <c r="S25" i="1"/>
  <c r="X35" i="2" l="1"/>
  <c r="Y35" i="2"/>
  <c r="V35" i="2"/>
  <c r="AB35" i="2"/>
  <c r="AA35" i="2"/>
  <c r="Z35" i="2"/>
  <c r="AC35" i="2"/>
  <c r="W35" i="2"/>
  <c r="T25" i="1"/>
  <c r="U25" i="1" s="1"/>
  <c r="AP25" i="1"/>
  <c r="Y16" i="1"/>
  <c r="AG16" i="1" s="1"/>
  <c r="AB17" i="1" s="1"/>
  <c r="Z16" i="1"/>
  <c r="AH16" i="1" s="1"/>
  <c r="AC17" i="1" s="1"/>
  <c r="W17" i="1" s="1"/>
  <c r="S26" i="1"/>
  <c r="AD35" i="2" l="1"/>
  <c r="T26" i="1"/>
  <c r="U26" i="1" s="1"/>
  <c r="AP26" i="1"/>
  <c r="AJ16" i="1"/>
  <c r="AW17" i="1"/>
  <c r="V17" i="1"/>
  <c r="S27" i="1"/>
  <c r="AG35" i="2" l="1"/>
  <c r="AE35" i="2"/>
  <c r="AF35" i="2"/>
  <c r="AM35" i="2"/>
  <c r="T36" i="2" s="1"/>
  <c r="P36" i="2" s="1"/>
  <c r="AL35" i="2"/>
  <c r="S36" i="2" s="1"/>
  <c r="O36" i="2" s="1"/>
  <c r="AK35" i="2"/>
  <c r="AK16" i="1"/>
  <c r="T27" i="1"/>
  <c r="U27" i="1" s="1"/>
  <c r="AP27" i="1"/>
  <c r="AY17" i="1"/>
  <c r="AZ17" i="1" s="1"/>
  <c r="BA17" i="1"/>
  <c r="AX17" i="1"/>
  <c r="BB17" i="1" s="1"/>
  <c r="S28" i="1"/>
  <c r="AN35" i="2" l="1"/>
  <c r="AO35" i="2" s="1"/>
  <c r="R36" i="2"/>
  <c r="N36" i="2" s="1"/>
  <c r="Q36" i="2" s="1"/>
  <c r="AH35" i="2"/>
  <c r="AL16" i="1"/>
  <c r="T28" i="1"/>
  <c r="U28" i="1" s="1"/>
  <c r="AP28" i="1"/>
  <c r="AA17" i="1"/>
  <c r="AI17" i="1" s="1"/>
  <c r="AD18" i="1" s="1"/>
  <c r="X18" i="1" s="1"/>
  <c r="Y17" i="1"/>
  <c r="AG17" i="1" s="1"/>
  <c r="Z17" i="1"/>
  <c r="AH17" i="1" s="1"/>
  <c r="AC18" i="1" s="1"/>
  <c r="W18" i="1" s="1"/>
  <c r="S29" i="1"/>
  <c r="X36" i="2" l="1"/>
  <c r="W36" i="2"/>
  <c r="V36" i="2"/>
  <c r="Y36" i="2"/>
  <c r="AA36" i="2"/>
  <c r="AB36" i="2"/>
  <c r="Z36" i="2"/>
  <c r="AC36" i="2"/>
  <c r="T29" i="1"/>
  <c r="U29" i="1" s="1"/>
  <c r="AP29" i="1"/>
  <c r="AB18" i="1"/>
  <c r="AJ17" i="1"/>
  <c r="S30" i="1"/>
  <c r="AD36" i="2" l="1"/>
  <c r="AK17" i="1"/>
  <c r="T30" i="1"/>
  <c r="U30" i="1" s="1"/>
  <c r="AP30" i="1"/>
  <c r="AW18" i="1"/>
  <c r="V18" i="1"/>
  <c r="S31" i="1"/>
  <c r="AG36" i="2" l="1"/>
  <c r="AE36" i="2"/>
  <c r="AF36" i="2"/>
  <c r="AK36" i="2"/>
  <c r="AM36" i="2"/>
  <c r="T37" i="2" s="1"/>
  <c r="P37" i="2" s="1"/>
  <c r="AL36" i="2"/>
  <c r="S37" i="2" s="1"/>
  <c r="O37" i="2" s="1"/>
  <c r="AL17" i="1"/>
  <c r="T31" i="1"/>
  <c r="U31" i="1" s="1"/>
  <c r="AP31" i="1"/>
  <c r="AX18" i="1"/>
  <c r="BB18" i="1" s="1"/>
  <c r="BA18" i="1"/>
  <c r="AY18" i="1"/>
  <c r="AZ18" i="1" s="1"/>
  <c r="S32" i="1"/>
  <c r="AN36" i="2" l="1"/>
  <c r="AO36" i="2" s="1"/>
  <c r="R37" i="2"/>
  <c r="N37" i="2" s="1"/>
  <c r="Q37" i="2" s="1"/>
  <c r="AH36" i="2"/>
  <c r="T32" i="1"/>
  <c r="U32" i="1" s="1"/>
  <c r="AP32" i="1"/>
  <c r="AA18" i="1"/>
  <c r="AI18" i="1" s="1"/>
  <c r="AD19" i="1" s="1"/>
  <c r="X19" i="1" s="1"/>
  <c r="Y18" i="1"/>
  <c r="AG18" i="1" s="1"/>
  <c r="Z18" i="1"/>
  <c r="AH18" i="1" s="1"/>
  <c r="AC19" i="1" s="1"/>
  <c r="W19" i="1" s="1"/>
  <c r="S33" i="1"/>
  <c r="Z37" i="2" l="1"/>
  <c r="V37" i="2"/>
  <c r="Y37" i="2"/>
  <c r="AA37" i="2"/>
  <c r="X37" i="2"/>
  <c r="W37" i="2"/>
  <c r="AB37" i="2"/>
  <c r="AC37" i="2"/>
  <c r="T33" i="1"/>
  <c r="U33" i="1" s="1"/>
  <c r="AP33" i="1"/>
  <c r="AB19" i="1"/>
  <c r="AJ18" i="1"/>
  <c r="AK18" i="1" s="1"/>
  <c r="AL18" i="1" s="1"/>
  <c r="S34" i="1"/>
  <c r="AD37" i="2" l="1"/>
  <c r="T34" i="1"/>
  <c r="U34" i="1" s="1"/>
  <c r="AP34" i="1"/>
  <c r="V19" i="1"/>
  <c r="AW19" i="1"/>
  <c r="S35" i="1"/>
  <c r="AE37" i="2" l="1"/>
  <c r="AF37" i="2"/>
  <c r="AG37" i="2"/>
  <c r="AL37" i="2"/>
  <c r="S38" i="2" s="1"/>
  <c r="O38" i="2" s="1"/>
  <c r="AM37" i="2"/>
  <c r="T38" i="2" s="1"/>
  <c r="P38" i="2" s="1"/>
  <c r="AK37" i="2"/>
  <c r="T35" i="1"/>
  <c r="U35" i="1" s="1"/>
  <c r="AP35" i="1"/>
  <c r="AX19" i="1"/>
  <c r="BB19" i="1" s="1"/>
  <c r="AY19" i="1"/>
  <c r="AZ19" i="1" s="1"/>
  <c r="BA19" i="1"/>
  <c r="S36" i="1"/>
  <c r="R38" i="2" l="1"/>
  <c r="N38" i="2" s="1"/>
  <c r="Q38" i="2" s="1"/>
  <c r="AN37" i="2"/>
  <c r="AO37" i="2" s="1"/>
  <c r="AH37" i="2"/>
  <c r="T36" i="1"/>
  <c r="U36" i="1" s="1"/>
  <c r="AP36" i="1"/>
  <c r="AA19" i="1"/>
  <c r="AI19" i="1" s="1"/>
  <c r="AD20" i="1" s="1"/>
  <c r="X20" i="1" s="1"/>
  <c r="Y19" i="1"/>
  <c r="AG19" i="1" s="1"/>
  <c r="Z19" i="1"/>
  <c r="AH19" i="1" s="1"/>
  <c r="AC20" i="1" s="1"/>
  <c r="W20" i="1" s="1"/>
  <c r="S37" i="1"/>
  <c r="AB38" i="2" l="1"/>
  <c r="Z38" i="2"/>
  <c r="W38" i="2"/>
  <c r="V38" i="2"/>
  <c r="Y38" i="2"/>
  <c r="AC38" i="2"/>
  <c r="AA38" i="2"/>
  <c r="X38" i="2"/>
  <c r="T37" i="1"/>
  <c r="U37" i="1" s="1"/>
  <c r="AP37" i="1"/>
  <c r="AJ19" i="1"/>
  <c r="AK19" i="1" s="1"/>
  <c r="AL19" i="1" s="1"/>
  <c r="AB20" i="1"/>
  <c r="S38" i="1"/>
  <c r="AD38" i="2" l="1"/>
  <c r="T38" i="1"/>
  <c r="U38" i="1" s="1"/>
  <c r="AP38" i="1"/>
  <c r="V20" i="1"/>
  <c r="AW20" i="1"/>
  <c r="S39" i="1"/>
  <c r="AF38" i="2" l="1"/>
  <c r="AG38" i="2"/>
  <c r="AE38" i="2"/>
  <c r="AL38" i="2"/>
  <c r="S39" i="2" s="1"/>
  <c r="O39" i="2" s="1"/>
  <c r="AM38" i="2"/>
  <c r="T39" i="2" s="1"/>
  <c r="P39" i="2" s="1"/>
  <c r="AK38" i="2"/>
  <c r="T39" i="1"/>
  <c r="U39" i="1" s="1"/>
  <c r="AP39" i="1"/>
  <c r="BA20" i="1"/>
  <c r="AX20" i="1"/>
  <c r="BB20" i="1" s="1"/>
  <c r="AY20" i="1"/>
  <c r="AZ20" i="1" s="1"/>
  <c r="S40" i="1"/>
  <c r="AH38" i="2" l="1"/>
  <c r="AN38" i="2"/>
  <c r="AO38" i="2" s="1"/>
  <c r="R39" i="2"/>
  <c r="N39" i="2" s="1"/>
  <c r="Q39" i="2" s="1"/>
  <c r="T40" i="1"/>
  <c r="U40" i="1" s="1"/>
  <c r="AP40" i="1"/>
  <c r="AA20" i="1"/>
  <c r="AI20" i="1" s="1"/>
  <c r="AD21" i="1" s="1"/>
  <c r="X21" i="1" s="1"/>
  <c r="Z20" i="1"/>
  <c r="AH20" i="1" s="1"/>
  <c r="AC21" i="1" s="1"/>
  <c r="W21" i="1" s="1"/>
  <c r="Y20" i="1"/>
  <c r="AG20" i="1" s="1"/>
  <c r="S41" i="1"/>
  <c r="V39" i="2" l="1"/>
  <c r="AA39" i="2"/>
  <c r="Y39" i="2"/>
  <c r="W39" i="2"/>
  <c r="AC39" i="2"/>
  <c r="Z39" i="2"/>
  <c r="X39" i="2"/>
  <c r="AB39" i="2"/>
  <c r="T41" i="1"/>
  <c r="U41" i="1" s="1"/>
  <c r="AP41" i="1"/>
  <c r="AB21" i="1"/>
  <c r="AJ20" i="1"/>
  <c r="AK20" i="1" s="1"/>
  <c r="AL20" i="1" s="1"/>
  <c r="S42" i="1"/>
  <c r="AD39" i="2" l="1"/>
  <c r="T42" i="1"/>
  <c r="U42" i="1" s="1"/>
  <c r="AP42" i="1"/>
  <c r="AW21" i="1"/>
  <c r="V21" i="1"/>
  <c r="S43" i="1"/>
  <c r="AG39" i="2" l="1"/>
  <c r="AE39" i="2"/>
  <c r="AF39" i="2"/>
  <c r="AK39" i="2"/>
  <c r="AL39" i="2"/>
  <c r="S40" i="2" s="1"/>
  <c r="O40" i="2" s="1"/>
  <c r="AM39" i="2"/>
  <c r="T40" i="2" s="1"/>
  <c r="P40" i="2" s="1"/>
  <c r="T43" i="1"/>
  <c r="U43" i="1" s="1"/>
  <c r="AP43" i="1"/>
  <c r="AX21" i="1"/>
  <c r="BB21" i="1" s="1"/>
  <c r="BA21" i="1"/>
  <c r="AY21" i="1"/>
  <c r="AZ21" i="1" s="1"/>
  <c r="S44" i="1"/>
  <c r="AH39" i="2" l="1"/>
  <c r="R40" i="2"/>
  <c r="N40" i="2" s="1"/>
  <c r="Q40" i="2" s="1"/>
  <c r="AN39" i="2"/>
  <c r="AO39" i="2" s="1"/>
  <c r="T44" i="1"/>
  <c r="U44" i="1" s="1"/>
  <c r="AP44" i="1"/>
  <c r="AA21" i="1"/>
  <c r="AI21" i="1" s="1"/>
  <c r="AD22" i="1" s="1"/>
  <c r="X22" i="1" s="1"/>
  <c r="Y21" i="1"/>
  <c r="AG21" i="1" s="1"/>
  <c r="Z21" i="1"/>
  <c r="AH21" i="1" s="1"/>
  <c r="AC22" i="1" s="1"/>
  <c r="W22" i="1" s="1"/>
  <c r="S45" i="1"/>
  <c r="V40" i="2" l="1"/>
  <c r="AB40" i="2"/>
  <c r="W40" i="2"/>
  <c r="AC40" i="2"/>
  <c r="Z40" i="2"/>
  <c r="Y40" i="2"/>
  <c r="AA40" i="2"/>
  <c r="X40" i="2"/>
  <c r="T45" i="1"/>
  <c r="U45" i="1" s="1"/>
  <c r="AP45" i="1"/>
  <c r="AB22" i="1"/>
  <c r="AJ21" i="1"/>
  <c r="AK21" i="1" s="1"/>
  <c r="AL21" i="1" s="1"/>
  <c r="S46" i="1"/>
  <c r="AD40" i="2" l="1"/>
  <c r="T46" i="1"/>
  <c r="U46" i="1" s="1"/>
  <c r="AP46" i="1"/>
  <c r="V22" i="1"/>
  <c r="AW22" i="1"/>
  <c r="S47" i="1"/>
  <c r="AG40" i="2" l="1"/>
  <c r="AE40" i="2"/>
  <c r="AF40" i="2"/>
  <c r="AL40" i="2"/>
  <c r="S41" i="2" s="1"/>
  <c r="O41" i="2" s="1"/>
  <c r="AK40" i="2"/>
  <c r="AM40" i="2"/>
  <c r="T41" i="2" s="1"/>
  <c r="P41" i="2" s="1"/>
  <c r="T47" i="1"/>
  <c r="U47" i="1" s="1"/>
  <c r="AP47" i="1"/>
  <c r="BA22" i="1"/>
  <c r="AY22" i="1"/>
  <c r="AZ22" i="1" s="1"/>
  <c r="AX22" i="1"/>
  <c r="BB22" i="1" s="1"/>
  <c r="S48" i="1"/>
  <c r="AH40" i="2" l="1"/>
  <c r="R41" i="2"/>
  <c r="N41" i="2" s="1"/>
  <c r="Q41" i="2" s="1"/>
  <c r="AN40" i="2"/>
  <c r="AO40" i="2" s="1"/>
  <c r="T48" i="1"/>
  <c r="U48" i="1" s="1"/>
  <c r="AP48" i="1"/>
  <c r="AA22" i="1"/>
  <c r="AI22" i="1" s="1"/>
  <c r="AD23" i="1" s="1"/>
  <c r="X23" i="1" s="1"/>
  <c r="Z22" i="1"/>
  <c r="AH22" i="1" s="1"/>
  <c r="AC23" i="1" s="1"/>
  <c r="W23" i="1" s="1"/>
  <c r="Y22" i="1"/>
  <c r="AG22" i="1" s="1"/>
  <c r="S49" i="1"/>
  <c r="Z41" i="2" l="1"/>
  <c r="AC41" i="2"/>
  <c r="AA41" i="2"/>
  <c r="V41" i="2"/>
  <c r="AB41" i="2"/>
  <c r="W41" i="2"/>
  <c r="Y41" i="2"/>
  <c r="X41" i="2"/>
  <c r="T49" i="1"/>
  <c r="U49" i="1" s="1"/>
  <c r="AP49" i="1"/>
  <c r="AB23" i="1"/>
  <c r="AJ22" i="1"/>
  <c r="AK22" i="1" s="1"/>
  <c r="AL22" i="1" s="1"/>
  <c r="S50" i="1"/>
  <c r="AD41" i="2" l="1"/>
  <c r="T50" i="1"/>
  <c r="U50" i="1" s="1"/>
  <c r="AP50" i="1"/>
  <c r="AW23" i="1"/>
  <c r="V23" i="1"/>
  <c r="S51" i="1"/>
  <c r="AE41" i="2" l="1"/>
  <c r="AK41" i="2" s="1"/>
  <c r="AF41" i="2"/>
  <c r="AG41" i="2"/>
  <c r="AM41" i="2"/>
  <c r="T42" i="2" s="1"/>
  <c r="P42" i="2" s="1"/>
  <c r="AL41" i="2"/>
  <c r="S42" i="2" s="1"/>
  <c r="O42" i="2" s="1"/>
  <c r="T51" i="1"/>
  <c r="U51" i="1" s="1"/>
  <c r="AP51" i="1"/>
  <c r="AX23" i="1"/>
  <c r="BB23" i="1" s="1"/>
  <c r="AY23" i="1"/>
  <c r="AZ23" i="1" s="1"/>
  <c r="BA23" i="1"/>
  <c r="S52" i="1"/>
  <c r="AN41" i="2" l="1"/>
  <c r="AO41" i="2" s="1"/>
  <c r="R42" i="2"/>
  <c r="N42" i="2" s="1"/>
  <c r="Q42" i="2" s="1"/>
  <c r="AH41" i="2"/>
  <c r="T52" i="1"/>
  <c r="U52" i="1" s="1"/>
  <c r="AP52" i="1"/>
  <c r="AA23" i="1"/>
  <c r="AI23" i="1" s="1"/>
  <c r="AD24" i="1" s="1"/>
  <c r="X24" i="1" s="1"/>
  <c r="Y23" i="1"/>
  <c r="AG23" i="1" s="1"/>
  <c r="Z23" i="1"/>
  <c r="AH23" i="1" s="1"/>
  <c r="AC24" i="1" s="1"/>
  <c r="W24" i="1" s="1"/>
  <c r="S53" i="1"/>
  <c r="V42" i="2" l="1"/>
  <c r="Y42" i="2"/>
  <c r="Z42" i="2"/>
  <c r="AA42" i="2"/>
  <c r="W42" i="2"/>
  <c r="AC42" i="2"/>
  <c r="AB42" i="2"/>
  <c r="X42" i="2"/>
  <c r="T53" i="1"/>
  <c r="U53" i="1" s="1"/>
  <c r="AP53" i="1"/>
  <c r="AB24" i="1"/>
  <c r="AJ23" i="1"/>
  <c r="AK23" i="1" s="1"/>
  <c r="AL23" i="1" s="1"/>
  <c r="S54" i="1"/>
  <c r="AD42" i="2" l="1"/>
  <c r="AM42" i="2"/>
  <c r="T43" i="2" s="1"/>
  <c r="P43" i="2" s="1"/>
  <c r="T54" i="1"/>
  <c r="U54" i="1" s="1"/>
  <c r="AP54" i="1"/>
  <c r="AW24" i="1"/>
  <c r="V24" i="1"/>
  <c r="S55" i="1"/>
  <c r="AF42" i="2" l="1"/>
  <c r="AL42" i="2" s="1"/>
  <c r="S43" i="2" s="1"/>
  <c r="O43" i="2" s="1"/>
  <c r="AG42" i="2"/>
  <c r="AE42" i="2"/>
  <c r="AK42" i="2"/>
  <c r="T55" i="1"/>
  <c r="U55" i="1" s="1"/>
  <c r="AP55" i="1"/>
  <c r="BA24" i="1"/>
  <c r="AY24" i="1"/>
  <c r="AZ24" i="1" s="1"/>
  <c r="AX24" i="1"/>
  <c r="BB24" i="1" s="1"/>
  <c r="S56" i="1"/>
  <c r="AN42" i="2" l="1"/>
  <c r="AO42" i="2" s="1"/>
  <c r="AH42" i="2"/>
  <c r="R43" i="2"/>
  <c r="N43" i="2" s="1"/>
  <c r="Q43" i="2" s="1"/>
  <c r="W43" i="2" s="1"/>
  <c r="T56" i="1"/>
  <c r="U56" i="1" s="1"/>
  <c r="AP56" i="1"/>
  <c r="AA24" i="1"/>
  <c r="AI24" i="1" s="1"/>
  <c r="AD25" i="1" s="1"/>
  <c r="X25" i="1" s="1"/>
  <c r="Z24" i="1"/>
  <c r="AH24" i="1" s="1"/>
  <c r="AC25" i="1" s="1"/>
  <c r="W25" i="1" s="1"/>
  <c r="Y24" i="1"/>
  <c r="AG24" i="1" s="1"/>
  <c r="S57" i="1"/>
  <c r="V43" i="2" l="1"/>
  <c r="Z43" i="2"/>
  <c r="AC43" i="2"/>
  <c r="X43" i="2"/>
  <c r="AA43" i="2"/>
  <c r="AB43" i="2"/>
  <c r="Y43" i="2"/>
  <c r="T57" i="1"/>
  <c r="U57" i="1" s="1"/>
  <c r="AP57" i="1"/>
  <c r="AB25" i="1"/>
  <c r="AJ24" i="1"/>
  <c r="AK24" i="1" s="1"/>
  <c r="AL24" i="1" s="1"/>
  <c r="S58" i="1"/>
  <c r="AD43" i="2" l="1"/>
  <c r="AK43" i="2" s="1"/>
  <c r="T58" i="1"/>
  <c r="U58" i="1" s="1"/>
  <c r="AP58" i="1"/>
  <c r="AW25" i="1"/>
  <c r="V25" i="1"/>
  <c r="S59" i="1"/>
  <c r="AG43" i="2" l="1"/>
  <c r="AE43" i="2"/>
  <c r="AF43" i="2"/>
  <c r="AL43" i="2"/>
  <c r="S44" i="2" s="1"/>
  <c r="O44" i="2" s="1"/>
  <c r="AM43" i="2"/>
  <c r="T44" i="2" s="1"/>
  <c r="P44" i="2" s="1"/>
  <c r="R44" i="2"/>
  <c r="N44" i="2" s="1"/>
  <c r="AH43" i="2"/>
  <c r="T59" i="1"/>
  <c r="U59" i="1" s="1"/>
  <c r="AP59" i="1"/>
  <c r="BA25" i="1"/>
  <c r="AX25" i="1"/>
  <c r="BB25" i="1" s="1"/>
  <c r="AY25" i="1"/>
  <c r="AZ25" i="1" s="1"/>
  <c r="S60" i="1"/>
  <c r="Q44" i="2" l="1"/>
  <c r="X44" i="2" s="1"/>
  <c r="AN43" i="2"/>
  <c r="AO43" i="2" s="1"/>
  <c r="Z44" i="2"/>
  <c r="W44" i="2"/>
  <c r="T60" i="1"/>
  <c r="U60" i="1" s="1"/>
  <c r="AP60" i="1"/>
  <c r="AA25" i="1"/>
  <c r="AI25" i="1" s="1"/>
  <c r="AD26" i="1" s="1"/>
  <c r="X26" i="1" s="1"/>
  <c r="Y25" i="1"/>
  <c r="AG25" i="1" s="1"/>
  <c r="Z25" i="1"/>
  <c r="AH25" i="1" s="1"/>
  <c r="AC26" i="1" s="1"/>
  <c r="W26" i="1" s="1"/>
  <c r="S61" i="1"/>
  <c r="AB44" i="2" l="1"/>
  <c r="Y44" i="2"/>
  <c r="V44" i="2"/>
  <c r="AC44" i="2"/>
  <c r="AA44" i="2"/>
  <c r="AD44" i="2" s="1"/>
  <c r="T61" i="1"/>
  <c r="U61" i="1" s="1"/>
  <c r="AP61" i="1"/>
  <c r="AB26" i="1"/>
  <c r="AJ25" i="1"/>
  <c r="AK25" i="1" s="1"/>
  <c r="AL25" i="1" s="1"/>
  <c r="S62" i="1"/>
  <c r="AG44" i="2" l="1"/>
  <c r="AE44" i="2"/>
  <c r="AF44" i="2"/>
  <c r="AL44" i="2"/>
  <c r="S45" i="2" s="1"/>
  <c r="O45" i="2" s="1"/>
  <c r="AM44" i="2"/>
  <c r="T45" i="2" s="1"/>
  <c r="P45" i="2" s="1"/>
  <c r="AK44" i="2"/>
  <c r="T62" i="1"/>
  <c r="U62" i="1" s="1"/>
  <c r="AP62" i="1"/>
  <c r="AW26" i="1"/>
  <c r="V26" i="1"/>
  <c r="S63" i="1"/>
  <c r="AN44" i="2" l="1"/>
  <c r="AO44" i="2" s="1"/>
  <c r="R45" i="2"/>
  <c r="N45" i="2" s="1"/>
  <c r="Q45" i="2" s="1"/>
  <c r="AH44" i="2"/>
  <c r="T63" i="1"/>
  <c r="U63" i="1" s="1"/>
  <c r="AP63" i="1"/>
  <c r="AX26" i="1"/>
  <c r="BB26" i="1" s="1"/>
  <c r="BA26" i="1"/>
  <c r="AY26" i="1"/>
  <c r="AZ26" i="1" s="1"/>
  <c r="S64" i="1"/>
  <c r="AA45" i="2" l="1"/>
  <c r="Y45" i="2"/>
  <c r="V45" i="2"/>
  <c r="X45" i="2"/>
  <c r="W45" i="2"/>
  <c r="AC45" i="2"/>
  <c r="AB45" i="2"/>
  <c r="Z45" i="2"/>
  <c r="T64" i="1"/>
  <c r="U64" i="1" s="1"/>
  <c r="AP64" i="1"/>
  <c r="AA26" i="1"/>
  <c r="AI26" i="1" s="1"/>
  <c r="AD27" i="1" s="1"/>
  <c r="X27" i="1" s="1"/>
  <c r="Y26" i="1"/>
  <c r="AG26" i="1" s="1"/>
  <c r="Z26" i="1"/>
  <c r="AH26" i="1" s="1"/>
  <c r="AC27" i="1" s="1"/>
  <c r="W27" i="1" s="1"/>
  <c r="S65" i="1"/>
  <c r="AD45" i="2" l="1"/>
  <c r="T65" i="1"/>
  <c r="U65" i="1" s="1"/>
  <c r="AP65" i="1"/>
  <c r="AB27" i="1"/>
  <c r="AJ26" i="1"/>
  <c r="AK26" i="1" s="1"/>
  <c r="AL26" i="1" s="1"/>
  <c r="S66" i="1"/>
  <c r="AE45" i="2" l="1"/>
  <c r="AF45" i="2"/>
  <c r="AL45" i="2" s="1"/>
  <c r="S46" i="2" s="1"/>
  <c r="O46" i="2" s="1"/>
  <c r="AG45" i="2"/>
  <c r="AM45" i="2"/>
  <c r="T46" i="2" s="1"/>
  <c r="P46" i="2" s="1"/>
  <c r="AK45" i="2"/>
  <c r="T66" i="1"/>
  <c r="U66" i="1" s="1"/>
  <c r="AP66" i="1"/>
  <c r="AW27" i="1"/>
  <c r="V27" i="1"/>
  <c r="S67" i="1"/>
  <c r="AN45" i="2" l="1"/>
  <c r="AO45" i="2" s="1"/>
  <c r="R46" i="2"/>
  <c r="N46" i="2" s="1"/>
  <c r="Q46" i="2" s="1"/>
  <c r="AH45" i="2"/>
  <c r="T67" i="1"/>
  <c r="U67" i="1" s="1"/>
  <c r="AP67" i="1"/>
  <c r="AY27" i="1"/>
  <c r="AZ27" i="1" s="1"/>
  <c r="BA27" i="1"/>
  <c r="AX27" i="1"/>
  <c r="BB27" i="1" s="1"/>
  <c r="S68" i="1"/>
  <c r="Z46" i="2" l="1"/>
  <c r="X46" i="2"/>
  <c r="V46" i="2"/>
  <c r="AB46" i="2"/>
  <c r="AA46" i="2"/>
  <c r="Y46" i="2"/>
  <c r="AC46" i="2"/>
  <c r="W46" i="2"/>
  <c r="T68" i="1"/>
  <c r="U68" i="1" s="1"/>
  <c r="AP68" i="1"/>
  <c r="AA27" i="1"/>
  <c r="AI27" i="1" s="1"/>
  <c r="AD28" i="1" s="1"/>
  <c r="X28" i="1" s="1"/>
  <c r="Y27" i="1"/>
  <c r="AG27" i="1" s="1"/>
  <c r="Z27" i="1"/>
  <c r="AH27" i="1" s="1"/>
  <c r="AC28" i="1" s="1"/>
  <c r="W28" i="1" s="1"/>
  <c r="S69" i="1"/>
  <c r="AD46" i="2" l="1"/>
  <c r="T69" i="1"/>
  <c r="U69" i="1" s="1"/>
  <c r="AP69" i="1"/>
  <c r="AB28" i="1"/>
  <c r="AJ27" i="1"/>
  <c r="AK27" i="1" s="1"/>
  <c r="AL27" i="1" s="1"/>
  <c r="S70" i="1"/>
  <c r="AL46" i="2" l="1"/>
  <c r="S47" i="2" s="1"/>
  <c r="O47" i="2" s="1"/>
  <c r="AF46" i="2"/>
  <c r="AG46" i="2"/>
  <c r="AM46" i="2" s="1"/>
  <c r="T47" i="2" s="1"/>
  <c r="P47" i="2" s="1"/>
  <c r="AE46" i="2"/>
  <c r="AK46" i="2"/>
  <c r="R47" i="2" s="1"/>
  <c r="N47" i="2" s="1"/>
  <c r="T70" i="1"/>
  <c r="U70" i="1" s="1"/>
  <c r="AP70" i="1"/>
  <c r="AW28" i="1"/>
  <c r="V28" i="1"/>
  <c r="S71" i="1"/>
  <c r="AH46" i="2" l="1"/>
  <c r="Q47" i="2"/>
  <c r="AN46" i="2"/>
  <c r="AO46" i="2" s="1"/>
  <c r="AB47" i="2"/>
  <c r="Z47" i="2"/>
  <c r="V47" i="2"/>
  <c r="W47" i="2"/>
  <c r="AC47" i="2"/>
  <c r="Y47" i="2"/>
  <c r="X47" i="2"/>
  <c r="AA47" i="2"/>
  <c r="T71" i="1"/>
  <c r="U71" i="1" s="1"/>
  <c r="AP71" i="1"/>
  <c r="AY28" i="1"/>
  <c r="AZ28" i="1" s="1"/>
  <c r="BA28" i="1"/>
  <c r="AX28" i="1"/>
  <c r="BB28" i="1" s="1"/>
  <c r="S72" i="1"/>
  <c r="AD47" i="2" l="1"/>
  <c r="T72" i="1"/>
  <c r="U72" i="1" s="1"/>
  <c r="AP72" i="1"/>
  <c r="AA28" i="1"/>
  <c r="AI28" i="1" s="1"/>
  <c r="AD29" i="1" s="1"/>
  <c r="X29" i="1" s="1"/>
  <c r="Y28" i="1"/>
  <c r="AG28" i="1" s="1"/>
  <c r="Z28" i="1"/>
  <c r="AH28" i="1" s="1"/>
  <c r="AC29" i="1" s="1"/>
  <c r="W29" i="1" s="1"/>
  <c r="S73" i="1"/>
  <c r="AG47" i="2" l="1"/>
  <c r="AE47" i="2"/>
  <c r="AF47" i="2"/>
  <c r="AL47" i="2" s="1"/>
  <c r="S48" i="2" s="1"/>
  <c r="O48" i="2" s="1"/>
  <c r="AK47" i="2"/>
  <c r="AM47" i="2"/>
  <c r="T48" i="2" s="1"/>
  <c r="P48" i="2" s="1"/>
  <c r="T73" i="1"/>
  <c r="U73" i="1" s="1"/>
  <c r="AP73" i="1"/>
  <c r="AB29" i="1"/>
  <c r="AJ28" i="1"/>
  <c r="AK28" i="1" s="1"/>
  <c r="AL28" i="1" s="1"/>
  <c r="S74" i="1"/>
  <c r="AH47" i="2" l="1"/>
  <c r="AN47" i="2"/>
  <c r="AO47" i="2" s="1"/>
  <c r="R48" i="2"/>
  <c r="N48" i="2" s="1"/>
  <c r="Q48" i="2" s="1"/>
  <c r="T74" i="1"/>
  <c r="U74" i="1" s="1"/>
  <c r="AP74" i="1"/>
  <c r="AW29" i="1"/>
  <c r="V29" i="1"/>
  <c r="S75" i="1"/>
  <c r="Y48" i="2" l="1"/>
  <c r="Z48" i="2"/>
  <c r="AC48" i="2"/>
  <c r="AA48" i="2"/>
  <c r="AB48" i="2"/>
  <c r="V48" i="2"/>
  <c r="X48" i="2"/>
  <c r="W48" i="2"/>
  <c r="T75" i="1"/>
  <c r="U75" i="1" s="1"/>
  <c r="AP75" i="1"/>
  <c r="AY29" i="1"/>
  <c r="AZ29" i="1" s="1"/>
  <c r="AX29" i="1"/>
  <c r="BB29" i="1" s="1"/>
  <c r="BA29" i="1"/>
  <c r="S76" i="1"/>
  <c r="AD48" i="2" l="1"/>
  <c r="T76" i="1"/>
  <c r="U76" i="1" s="1"/>
  <c r="AP76" i="1"/>
  <c r="AA29" i="1"/>
  <c r="AI29" i="1" s="1"/>
  <c r="AD30" i="1" s="1"/>
  <c r="X30" i="1" s="1"/>
  <c r="Y29" i="1"/>
  <c r="AG29" i="1" s="1"/>
  <c r="Z29" i="1"/>
  <c r="AH29" i="1" s="1"/>
  <c r="AC30" i="1" s="1"/>
  <c r="W30" i="1" s="1"/>
  <c r="S77" i="1"/>
  <c r="AG48" i="2" l="1"/>
  <c r="AE48" i="2"/>
  <c r="AF48" i="2"/>
  <c r="AM48" i="2"/>
  <c r="T49" i="2" s="1"/>
  <c r="P49" i="2" s="1"/>
  <c r="AK48" i="2"/>
  <c r="AL48" i="2"/>
  <c r="S49" i="2" s="1"/>
  <c r="O49" i="2" s="1"/>
  <c r="T77" i="1"/>
  <c r="U77" i="1" s="1"/>
  <c r="AP77" i="1"/>
  <c r="AB30" i="1"/>
  <c r="AJ29" i="1"/>
  <c r="AK29" i="1" s="1"/>
  <c r="AL29" i="1" s="1"/>
  <c r="S78" i="1"/>
  <c r="AN48" i="2" l="1"/>
  <c r="AO48" i="2" s="1"/>
  <c r="R49" i="2"/>
  <c r="N49" i="2" s="1"/>
  <c r="Q49" i="2" s="1"/>
  <c r="AH48" i="2"/>
  <c r="T78" i="1"/>
  <c r="U78" i="1" s="1"/>
  <c r="AP78" i="1"/>
  <c r="AW30" i="1"/>
  <c r="V30" i="1"/>
  <c r="S79" i="1"/>
  <c r="AB49" i="2" l="1"/>
  <c r="Z49" i="2"/>
  <c r="W49" i="2"/>
  <c r="AA49" i="2"/>
  <c r="AC49" i="2"/>
  <c r="Y49" i="2"/>
  <c r="V49" i="2"/>
  <c r="X49" i="2"/>
  <c r="T79" i="1"/>
  <c r="U79" i="1" s="1"/>
  <c r="AP79" i="1"/>
  <c r="AY30" i="1"/>
  <c r="AZ30" i="1" s="1"/>
  <c r="AX30" i="1"/>
  <c r="BB30" i="1" s="1"/>
  <c r="BA30" i="1"/>
  <c r="S80" i="1"/>
  <c r="AD49" i="2" l="1"/>
  <c r="T80" i="1"/>
  <c r="U80" i="1" s="1"/>
  <c r="AP80" i="1"/>
  <c r="AA30" i="1"/>
  <c r="AI30" i="1" s="1"/>
  <c r="AD31" i="1" s="1"/>
  <c r="X31" i="1" s="1"/>
  <c r="Z30" i="1"/>
  <c r="AH30" i="1" s="1"/>
  <c r="AC31" i="1" s="1"/>
  <c r="W31" i="1" s="1"/>
  <c r="Y30" i="1"/>
  <c r="AG30" i="1" s="1"/>
  <c r="S81" i="1"/>
  <c r="AE49" i="2" l="1"/>
  <c r="AF49" i="2"/>
  <c r="AL49" i="2" s="1"/>
  <c r="S50" i="2" s="1"/>
  <c r="O50" i="2" s="1"/>
  <c r="AG49" i="2"/>
  <c r="AK49" i="2"/>
  <c r="R50" i="2" s="1"/>
  <c r="N50" i="2" s="1"/>
  <c r="T81" i="1"/>
  <c r="U81" i="1" s="1"/>
  <c r="AP81" i="1"/>
  <c r="AB31" i="1"/>
  <c r="AJ30" i="1"/>
  <c r="AK30" i="1" s="1"/>
  <c r="AL30" i="1" s="1"/>
  <c r="S82" i="1"/>
  <c r="AH49" i="2" l="1"/>
  <c r="AM49" i="2"/>
  <c r="T82" i="1"/>
  <c r="U82" i="1" s="1"/>
  <c r="AP82" i="1"/>
  <c r="AW31" i="1"/>
  <c r="V31" i="1"/>
  <c r="S83" i="1"/>
  <c r="T50" i="2" l="1"/>
  <c r="P50" i="2" s="1"/>
  <c r="Q50" i="2" s="1"/>
  <c r="AN49" i="2"/>
  <c r="AO49" i="2" s="1"/>
  <c r="T83" i="1"/>
  <c r="U83" i="1" s="1"/>
  <c r="AP83" i="1"/>
  <c r="AY31" i="1"/>
  <c r="AZ31" i="1" s="1"/>
  <c r="BA31" i="1"/>
  <c r="AX31" i="1"/>
  <c r="BB31" i="1" s="1"/>
  <c r="S84" i="1"/>
  <c r="V50" i="2" l="1"/>
  <c r="Y50" i="2"/>
  <c r="W50" i="2"/>
  <c r="AB50" i="2"/>
  <c r="X50" i="2"/>
  <c r="AA50" i="2"/>
  <c r="Z50" i="2"/>
  <c r="AC50" i="2"/>
  <c r="T84" i="1"/>
  <c r="U84" i="1" s="1"/>
  <c r="AP84" i="1"/>
  <c r="Z31" i="1"/>
  <c r="AH31" i="1" s="1"/>
  <c r="AC32" i="1" s="1"/>
  <c r="W32" i="1" s="1"/>
  <c r="Y31" i="1"/>
  <c r="AG31" i="1" s="1"/>
  <c r="AA31" i="1"/>
  <c r="AI31" i="1" s="1"/>
  <c r="AD32" i="1" s="1"/>
  <c r="X32" i="1" s="1"/>
  <c r="S85" i="1"/>
  <c r="AD50" i="2" l="1"/>
  <c r="T85" i="1"/>
  <c r="U85" i="1" s="1"/>
  <c r="AP85" i="1"/>
  <c r="AB32" i="1"/>
  <c r="AJ31" i="1"/>
  <c r="AK31" i="1" s="1"/>
  <c r="AL31" i="1" s="1"/>
  <c r="S86" i="1"/>
  <c r="AF50" i="2" l="1"/>
  <c r="AG50" i="2"/>
  <c r="AM50" i="2" s="1"/>
  <c r="T51" i="2" s="1"/>
  <c r="P51" i="2" s="1"/>
  <c r="AE50" i="2"/>
  <c r="AL50" i="2"/>
  <c r="S51" i="2" s="1"/>
  <c r="O51" i="2" s="1"/>
  <c r="T86" i="1"/>
  <c r="U86" i="1" s="1"/>
  <c r="AP86" i="1"/>
  <c r="AW32" i="1"/>
  <c r="V32" i="1"/>
  <c r="S87" i="1"/>
  <c r="AK50" i="2" l="1"/>
  <c r="AH50" i="2"/>
  <c r="T87" i="1"/>
  <c r="U87" i="1" s="1"/>
  <c r="AP87" i="1"/>
  <c r="BA32" i="1"/>
  <c r="AX32" i="1"/>
  <c r="BB32" i="1" s="1"/>
  <c r="AY32" i="1"/>
  <c r="AZ32" i="1" s="1"/>
  <c r="S88" i="1"/>
  <c r="R51" i="2" l="1"/>
  <c r="N51" i="2" s="1"/>
  <c r="Q51" i="2" s="1"/>
  <c r="AN50" i="2"/>
  <c r="AO50" i="2" s="1"/>
  <c r="T88" i="1"/>
  <c r="U88" i="1" s="1"/>
  <c r="AP88" i="1"/>
  <c r="AA32" i="1"/>
  <c r="AI32" i="1" s="1"/>
  <c r="AD33" i="1" s="1"/>
  <c r="X33" i="1" s="1"/>
  <c r="Y32" i="1"/>
  <c r="AG32" i="1" s="1"/>
  <c r="Z32" i="1"/>
  <c r="AH32" i="1" s="1"/>
  <c r="AC33" i="1" s="1"/>
  <c r="W33" i="1" s="1"/>
  <c r="S89" i="1"/>
  <c r="V51" i="2" l="1"/>
  <c r="Z51" i="2"/>
  <c r="W51" i="2"/>
  <c r="AA51" i="2"/>
  <c r="AB51" i="2"/>
  <c r="Y51" i="2"/>
  <c r="X51" i="2"/>
  <c r="AC51" i="2"/>
  <c r="T89" i="1"/>
  <c r="U89" i="1" s="1"/>
  <c r="AP89" i="1"/>
  <c r="AB33" i="1"/>
  <c r="AJ32" i="1"/>
  <c r="AK32" i="1" s="1"/>
  <c r="AL32" i="1" s="1"/>
  <c r="S90" i="1"/>
  <c r="AD51" i="2" l="1"/>
  <c r="T90" i="1"/>
  <c r="U90" i="1" s="1"/>
  <c r="AP90" i="1"/>
  <c r="V33" i="1"/>
  <c r="AW33" i="1"/>
  <c r="S91" i="1"/>
  <c r="AG51" i="2" l="1"/>
  <c r="AE51" i="2"/>
  <c r="AF51" i="2"/>
  <c r="AL51" i="2" s="1"/>
  <c r="S52" i="2" s="1"/>
  <c r="O52" i="2" s="1"/>
  <c r="AK51" i="2"/>
  <c r="AM51" i="2"/>
  <c r="T52" i="2" s="1"/>
  <c r="P52" i="2" s="1"/>
  <c r="U91" i="1"/>
  <c r="AP91" i="1"/>
  <c r="AY33" i="1"/>
  <c r="AZ33" i="1" s="1"/>
  <c r="AX33" i="1"/>
  <c r="BB33" i="1" s="1"/>
  <c r="BA33" i="1"/>
  <c r="S92" i="1"/>
  <c r="AH51" i="2" l="1"/>
  <c r="AN51" i="2"/>
  <c r="AO51" i="2" s="1"/>
  <c r="R52" i="2"/>
  <c r="N52" i="2" s="1"/>
  <c r="Q52" i="2" s="1"/>
  <c r="U92" i="1"/>
  <c r="AP92" i="1"/>
  <c r="AA33" i="1"/>
  <c r="AI33" i="1" s="1"/>
  <c r="AD34" i="1" s="1"/>
  <c r="X34" i="1" s="1"/>
  <c r="Y33" i="1"/>
  <c r="AG33" i="1" s="1"/>
  <c r="Z33" i="1"/>
  <c r="AH33" i="1" s="1"/>
  <c r="AC34" i="1" s="1"/>
  <c r="W34" i="1" s="1"/>
  <c r="S93" i="1"/>
  <c r="AB52" i="2" l="1"/>
  <c r="AA52" i="2"/>
  <c r="Y52" i="2"/>
  <c r="AC52" i="2"/>
  <c r="W52" i="2"/>
  <c r="Z52" i="2"/>
  <c r="X52" i="2"/>
  <c r="V52" i="2"/>
  <c r="T93" i="1"/>
  <c r="U93" i="1" s="1"/>
  <c r="AP93" i="1"/>
  <c r="AB34" i="1"/>
  <c r="AJ33" i="1"/>
  <c r="AK33" i="1" s="1"/>
  <c r="AL33" i="1" s="1"/>
  <c r="S94" i="1"/>
  <c r="AD52" i="2" l="1"/>
  <c r="AM52" i="2" s="1"/>
  <c r="T53" i="2" s="1"/>
  <c r="P53" i="2" s="1"/>
  <c r="T94" i="1"/>
  <c r="U94" i="1" s="1"/>
  <c r="AP94" i="1"/>
  <c r="AW34" i="1"/>
  <c r="V34" i="1"/>
  <c r="S95" i="1"/>
  <c r="AL52" i="2" l="1"/>
  <c r="S53" i="2" s="1"/>
  <c r="O53" i="2" s="1"/>
  <c r="AE52" i="2"/>
  <c r="AF52" i="2"/>
  <c r="AH52" i="2" s="1"/>
  <c r="AG52" i="2"/>
  <c r="AK52" i="2"/>
  <c r="T95" i="1"/>
  <c r="U95" i="1" s="1"/>
  <c r="AP95" i="1"/>
  <c r="AY34" i="1"/>
  <c r="AZ34" i="1" s="1"/>
  <c r="BA34" i="1"/>
  <c r="AX34" i="1"/>
  <c r="BB34" i="1" s="1"/>
  <c r="S96" i="1"/>
  <c r="AN52" i="2" l="1"/>
  <c r="AO52" i="2" s="1"/>
  <c r="R53" i="2"/>
  <c r="N53" i="2" s="1"/>
  <c r="Q53" i="2" s="1"/>
  <c r="T96" i="1"/>
  <c r="U96" i="1" s="1"/>
  <c r="AP96" i="1"/>
  <c r="AA34" i="1"/>
  <c r="AI34" i="1" s="1"/>
  <c r="AD35" i="1" s="1"/>
  <c r="X35" i="1" s="1"/>
  <c r="Y34" i="1"/>
  <c r="AG34" i="1" s="1"/>
  <c r="Z34" i="1"/>
  <c r="AH34" i="1" s="1"/>
  <c r="AC35" i="1" s="1"/>
  <c r="W35" i="1" s="1"/>
  <c r="S97" i="1"/>
  <c r="X53" i="2" l="1"/>
  <c r="AA53" i="2"/>
  <c r="V53" i="2"/>
  <c r="AB53" i="2"/>
  <c r="AC53" i="2"/>
  <c r="Z53" i="2"/>
  <c r="W53" i="2"/>
  <c r="Y53" i="2"/>
  <c r="T97" i="1"/>
  <c r="U97" i="1" s="1"/>
  <c r="AP97" i="1"/>
  <c r="AB35" i="1"/>
  <c r="AJ34" i="1"/>
  <c r="AK34" i="1" s="1"/>
  <c r="AL34" i="1" s="1"/>
  <c r="S98" i="1"/>
  <c r="AD53" i="2" l="1"/>
  <c r="T98" i="1"/>
  <c r="U98" i="1" s="1"/>
  <c r="AP98" i="1"/>
  <c r="AW35" i="1"/>
  <c r="V35" i="1"/>
  <c r="S99" i="1"/>
  <c r="AE53" i="2" l="1"/>
  <c r="AF53" i="2"/>
  <c r="AL53" i="2" s="1"/>
  <c r="S54" i="2" s="1"/>
  <c r="O54" i="2" s="1"/>
  <c r="AG53" i="2"/>
  <c r="AM53" i="2"/>
  <c r="T54" i="2" s="1"/>
  <c r="P54" i="2" s="1"/>
  <c r="AK53" i="2"/>
  <c r="T99" i="1"/>
  <c r="U99" i="1" s="1"/>
  <c r="AP99" i="1"/>
  <c r="AY35" i="1"/>
  <c r="AZ35" i="1" s="1"/>
  <c r="AX35" i="1"/>
  <c r="BB35" i="1" s="1"/>
  <c r="BA35" i="1"/>
  <c r="S100" i="1"/>
  <c r="AH53" i="2" l="1"/>
  <c r="R54" i="2"/>
  <c r="N54" i="2" s="1"/>
  <c r="Q54" i="2" s="1"/>
  <c r="AN53" i="2"/>
  <c r="AO53" i="2" s="1"/>
  <c r="T100" i="1"/>
  <c r="U100" i="1" s="1"/>
  <c r="AP100" i="1"/>
  <c r="AA35" i="1"/>
  <c r="AI35" i="1" s="1"/>
  <c r="AD36" i="1" s="1"/>
  <c r="X36" i="1" s="1"/>
  <c r="Y35" i="1"/>
  <c r="AG35" i="1" s="1"/>
  <c r="Z35" i="1"/>
  <c r="AH35" i="1" s="1"/>
  <c r="AC36" i="1" s="1"/>
  <c r="W36" i="1" s="1"/>
  <c r="S101" i="1"/>
  <c r="W54" i="2" l="1"/>
  <c r="AB54" i="2"/>
  <c r="AC54" i="2"/>
  <c r="X54" i="2"/>
  <c r="V54" i="2"/>
  <c r="AA54" i="2"/>
  <c r="Z54" i="2"/>
  <c r="Y54" i="2"/>
  <c r="T101" i="1"/>
  <c r="U101" i="1" s="1"/>
  <c r="AP101" i="1"/>
  <c r="AB36" i="1"/>
  <c r="AJ35" i="1"/>
  <c r="AK35" i="1" s="1"/>
  <c r="AL35" i="1" s="1"/>
  <c r="S102" i="1"/>
  <c r="AD54" i="2" l="1"/>
  <c r="T102" i="1"/>
  <c r="U102" i="1" s="1"/>
  <c r="AP102" i="1"/>
  <c r="AW36" i="1"/>
  <c r="V36" i="1"/>
  <c r="S103" i="1"/>
  <c r="AF54" i="2" l="1"/>
  <c r="AG54" i="2"/>
  <c r="AE54" i="2"/>
  <c r="AL54" i="2"/>
  <c r="S55" i="2" s="1"/>
  <c r="O55" i="2" s="1"/>
  <c r="AK54" i="2"/>
  <c r="AM54" i="2"/>
  <c r="T55" i="2" s="1"/>
  <c r="P55" i="2" s="1"/>
  <c r="T103" i="1"/>
  <c r="U103" i="1" s="1"/>
  <c r="AP103" i="1"/>
  <c r="AX36" i="1"/>
  <c r="BB36" i="1" s="1"/>
  <c r="BA36" i="1"/>
  <c r="AY36" i="1"/>
  <c r="AZ36" i="1" s="1"/>
  <c r="S104" i="1"/>
  <c r="AH54" i="2" l="1"/>
  <c r="R55" i="2"/>
  <c r="N55" i="2" s="1"/>
  <c r="Q55" i="2" s="1"/>
  <c r="AN54" i="2"/>
  <c r="AO54" i="2" s="1"/>
  <c r="T104" i="1"/>
  <c r="U104" i="1" s="1"/>
  <c r="AP104" i="1"/>
  <c r="AA36" i="1"/>
  <c r="AI36" i="1" s="1"/>
  <c r="AD37" i="1" s="1"/>
  <c r="X37" i="1" s="1"/>
  <c r="Z36" i="1"/>
  <c r="AH36" i="1" s="1"/>
  <c r="AC37" i="1" s="1"/>
  <c r="W37" i="1" s="1"/>
  <c r="Y36" i="1"/>
  <c r="AG36" i="1" s="1"/>
  <c r="S105" i="1"/>
  <c r="W55" i="2" l="1"/>
  <c r="AA55" i="2"/>
  <c r="AC55" i="2"/>
  <c r="AB55" i="2"/>
  <c r="X55" i="2"/>
  <c r="Y55" i="2"/>
  <c r="V55" i="2"/>
  <c r="Z55" i="2"/>
  <c r="T105" i="1"/>
  <c r="U105" i="1" s="1"/>
  <c r="AP105" i="1"/>
  <c r="AB37" i="1"/>
  <c r="AJ36" i="1"/>
  <c r="AK36" i="1" s="1"/>
  <c r="AL36" i="1" s="1"/>
  <c r="S106" i="1"/>
  <c r="AD55" i="2" l="1"/>
  <c r="T106" i="1"/>
  <c r="U106" i="1" s="1"/>
  <c r="AP106" i="1"/>
  <c r="V37" i="1"/>
  <c r="AW37" i="1"/>
  <c r="S107" i="1"/>
  <c r="AG55" i="2" l="1"/>
  <c r="AE55" i="2"/>
  <c r="AF55" i="2"/>
  <c r="AL55" i="2" s="1"/>
  <c r="S56" i="2" s="1"/>
  <c r="O56" i="2" s="1"/>
  <c r="AM55" i="2"/>
  <c r="T56" i="2" s="1"/>
  <c r="P56" i="2" s="1"/>
  <c r="AK55" i="2"/>
  <c r="T107" i="1"/>
  <c r="U107" i="1" s="1"/>
  <c r="AP107" i="1"/>
  <c r="AX37" i="1"/>
  <c r="BB37" i="1" s="1"/>
  <c r="AY37" i="1"/>
  <c r="AZ37" i="1" s="1"/>
  <c r="BA37" i="1"/>
  <c r="S108" i="1"/>
  <c r="AH55" i="2" l="1"/>
  <c r="AN55" i="2"/>
  <c r="AO55" i="2" s="1"/>
  <c r="R56" i="2"/>
  <c r="N56" i="2" s="1"/>
  <c r="Q56" i="2" s="1"/>
  <c r="T108" i="1"/>
  <c r="U108" i="1" s="1"/>
  <c r="AP108" i="1"/>
  <c r="AA37" i="1"/>
  <c r="AI37" i="1" s="1"/>
  <c r="AD38" i="1" s="1"/>
  <c r="X38" i="1" s="1"/>
  <c r="Z37" i="1"/>
  <c r="AH37" i="1" s="1"/>
  <c r="AC38" i="1" s="1"/>
  <c r="W38" i="1" s="1"/>
  <c r="Y37" i="1"/>
  <c r="AG37" i="1" s="1"/>
  <c r="S109" i="1"/>
  <c r="V56" i="2" l="1"/>
  <c r="Y56" i="2"/>
  <c r="X56" i="2"/>
  <c r="AB56" i="2"/>
  <c r="AA56" i="2"/>
  <c r="W56" i="2"/>
  <c r="Z56" i="2"/>
  <c r="AC56" i="2"/>
  <c r="T109" i="1"/>
  <c r="U109" i="1" s="1"/>
  <c r="AP109" i="1"/>
  <c r="AB38" i="1"/>
  <c r="AJ37" i="1"/>
  <c r="AK37" i="1" s="1"/>
  <c r="AL37" i="1" s="1"/>
  <c r="S110" i="1"/>
  <c r="AD56" i="2" l="1"/>
  <c r="T110" i="1"/>
  <c r="U110" i="1" s="1"/>
  <c r="AP110" i="1"/>
  <c r="V38" i="1"/>
  <c r="AW38" i="1"/>
  <c r="S111" i="1"/>
  <c r="AE56" i="2" l="1"/>
  <c r="AF56" i="2"/>
  <c r="AG56" i="2"/>
  <c r="AL56" i="2"/>
  <c r="S57" i="2" s="1"/>
  <c r="O57" i="2" s="1"/>
  <c r="AM56" i="2"/>
  <c r="T57" i="2" s="1"/>
  <c r="P57" i="2" s="1"/>
  <c r="AK56" i="2"/>
  <c r="T111" i="1"/>
  <c r="U111" i="1" s="1"/>
  <c r="AP111" i="1"/>
  <c r="BA38" i="1"/>
  <c r="AX38" i="1"/>
  <c r="BB38" i="1" s="1"/>
  <c r="AY38" i="1"/>
  <c r="AZ38" i="1" s="1"/>
  <c r="S112" i="1"/>
  <c r="AN56" i="2" l="1"/>
  <c r="AO56" i="2" s="1"/>
  <c r="R57" i="2"/>
  <c r="N57" i="2" s="1"/>
  <c r="Q57" i="2" s="1"/>
  <c r="AH56" i="2"/>
  <c r="T112" i="1"/>
  <c r="U112" i="1" s="1"/>
  <c r="AP112" i="1"/>
  <c r="AA38" i="1"/>
  <c r="AI38" i="1" s="1"/>
  <c r="AD39" i="1" s="1"/>
  <c r="X39" i="1" s="1"/>
  <c r="Y38" i="1"/>
  <c r="AG38" i="1" s="1"/>
  <c r="Z38" i="1"/>
  <c r="AH38" i="1" s="1"/>
  <c r="AC39" i="1" s="1"/>
  <c r="W39" i="1" s="1"/>
  <c r="V57" i="2" l="1"/>
  <c r="X57" i="2"/>
  <c r="Z57" i="2"/>
  <c r="Y57" i="2"/>
  <c r="W57" i="2"/>
  <c r="AA57" i="2"/>
  <c r="AC57" i="2"/>
  <c r="AB57" i="2"/>
  <c r="AB39" i="1"/>
  <c r="AJ38" i="1"/>
  <c r="AK38" i="1" s="1"/>
  <c r="AL38" i="1" s="1"/>
  <c r="AD57" i="2" l="1"/>
  <c r="AW39" i="1"/>
  <c r="V39" i="1"/>
  <c r="AE57" i="2" l="1"/>
  <c r="AF57" i="2"/>
  <c r="AG57" i="2"/>
  <c r="AK57" i="2"/>
  <c r="AL57" i="2"/>
  <c r="S58" i="2" s="1"/>
  <c r="O58" i="2" s="1"/>
  <c r="AM57" i="2"/>
  <c r="T58" i="2" s="1"/>
  <c r="P58" i="2" s="1"/>
  <c r="AY39" i="1"/>
  <c r="AZ39" i="1" s="1"/>
  <c r="BA39" i="1"/>
  <c r="AX39" i="1"/>
  <c r="BB39" i="1" s="1"/>
  <c r="AN57" i="2" l="1"/>
  <c r="AO57" i="2" s="1"/>
  <c r="R58" i="2"/>
  <c r="N58" i="2" s="1"/>
  <c r="Q58" i="2" s="1"/>
  <c r="AH57" i="2"/>
  <c r="AA39" i="1"/>
  <c r="AI39" i="1" s="1"/>
  <c r="AD40" i="1" s="1"/>
  <c r="X40" i="1" s="1"/>
  <c r="Y39" i="1"/>
  <c r="AG39" i="1" s="1"/>
  <c r="Z39" i="1"/>
  <c r="AH39" i="1" s="1"/>
  <c r="AC40" i="1" s="1"/>
  <c r="W40" i="1" s="1"/>
  <c r="AC58" i="2" l="1"/>
  <c r="AA58" i="2"/>
  <c r="Z58" i="2"/>
  <c r="Y58" i="2"/>
  <c r="X58" i="2"/>
  <c r="V58" i="2"/>
  <c r="AB58" i="2"/>
  <c r="W58" i="2"/>
  <c r="AB40" i="1"/>
  <c r="AJ39" i="1"/>
  <c r="AK39" i="1" s="1"/>
  <c r="AL39" i="1" s="1"/>
  <c r="AD58" i="2" l="1"/>
  <c r="V40" i="1"/>
  <c r="AW40" i="1"/>
  <c r="AF58" i="2" l="1"/>
  <c r="AG58" i="2"/>
  <c r="AE58" i="2"/>
  <c r="AM58" i="2"/>
  <c r="T59" i="2" s="1"/>
  <c r="P59" i="2" s="1"/>
  <c r="AL58" i="2"/>
  <c r="S59" i="2" s="1"/>
  <c r="O59" i="2" s="1"/>
  <c r="BA40" i="1"/>
  <c r="AX40" i="1"/>
  <c r="BB40" i="1" s="1"/>
  <c r="AY40" i="1"/>
  <c r="AZ40" i="1" s="1"/>
  <c r="AH58" i="2" l="1"/>
  <c r="AK58" i="2"/>
  <c r="Z40" i="1"/>
  <c r="AH40" i="1" s="1"/>
  <c r="AC41" i="1" s="1"/>
  <c r="W41" i="1" s="1"/>
  <c r="AA40" i="1"/>
  <c r="AI40" i="1" s="1"/>
  <c r="AD41" i="1" s="1"/>
  <c r="X41" i="1" s="1"/>
  <c r="Y40" i="1"/>
  <c r="AG40" i="1" s="1"/>
  <c r="AN58" i="2" l="1"/>
  <c r="AO58" i="2" s="1"/>
  <c r="R59" i="2"/>
  <c r="N59" i="2" s="1"/>
  <c r="Q59" i="2" s="1"/>
  <c r="AB41" i="1"/>
  <c r="AJ40" i="1"/>
  <c r="AK40" i="1" s="1"/>
  <c r="AL40" i="1" s="1"/>
  <c r="AC59" i="2" l="1"/>
  <c r="V59" i="2"/>
  <c r="AA59" i="2"/>
  <c r="Y59" i="2"/>
  <c r="W59" i="2"/>
  <c r="Z59" i="2"/>
  <c r="AB59" i="2"/>
  <c r="X59" i="2"/>
  <c r="V41" i="1"/>
  <c r="AW41" i="1"/>
  <c r="AD59" i="2" l="1"/>
  <c r="AY41" i="1"/>
  <c r="AZ41" i="1" s="1"/>
  <c r="AX41" i="1"/>
  <c r="BB41" i="1" s="1"/>
  <c r="BA41" i="1"/>
  <c r="AG59" i="2" l="1"/>
  <c r="AE59" i="2"/>
  <c r="AF59" i="2"/>
  <c r="AM59" i="2"/>
  <c r="T60" i="2" s="1"/>
  <c r="P60" i="2" s="1"/>
  <c r="AL59" i="2"/>
  <c r="S60" i="2" s="1"/>
  <c r="O60" i="2" s="1"/>
  <c r="AA41" i="1"/>
  <c r="AI41" i="1" s="1"/>
  <c r="AD42" i="1" s="1"/>
  <c r="X42" i="1" s="1"/>
  <c r="Z41" i="1"/>
  <c r="AH41" i="1" s="1"/>
  <c r="AC42" i="1" s="1"/>
  <c r="W42" i="1" s="1"/>
  <c r="Y41" i="1"/>
  <c r="AG41" i="1" s="1"/>
  <c r="AH59" i="2" l="1"/>
  <c r="AK59" i="2"/>
  <c r="AB42" i="1"/>
  <c r="AJ41" i="1"/>
  <c r="AK41" i="1" s="1"/>
  <c r="AL41" i="1" s="1"/>
  <c r="AN59" i="2" l="1"/>
  <c r="AO59" i="2" s="1"/>
  <c r="R60" i="2"/>
  <c r="N60" i="2" s="1"/>
  <c r="Q60" i="2" s="1"/>
  <c r="V42" i="1"/>
  <c r="AW42" i="1"/>
  <c r="AB60" i="2" l="1"/>
  <c r="Z60" i="2"/>
  <c r="X60" i="2"/>
  <c r="V60" i="2"/>
  <c r="AC60" i="2"/>
  <c r="AA60" i="2"/>
  <c r="Y60" i="2"/>
  <c r="W60" i="2"/>
  <c r="BA42" i="1"/>
  <c r="AY42" i="1"/>
  <c r="AZ42" i="1" s="1"/>
  <c r="AX42" i="1"/>
  <c r="BB42" i="1" s="1"/>
  <c r="AD60" i="2" l="1"/>
  <c r="AA42" i="1"/>
  <c r="AI42" i="1" s="1"/>
  <c r="AD43" i="1" s="1"/>
  <c r="X43" i="1" s="1"/>
  <c r="Z42" i="1"/>
  <c r="AH42" i="1" s="1"/>
  <c r="AC43" i="1" s="1"/>
  <c r="W43" i="1" s="1"/>
  <c r="Y42" i="1"/>
  <c r="AG42" i="1" s="1"/>
  <c r="AE60" i="2" l="1"/>
  <c r="AF60" i="2"/>
  <c r="AG60" i="2"/>
  <c r="AM60" i="2" s="1"/>
  <c r="T61" i="2" s="1"/>
  <c r="P61" i="2" s="1"/>
  <c r="AK60" i="2"/>
  <c r="R61" i="2" s="1"/>
  <c r="N61" i="2" s="1"/>
  <c r="AL60" i="2"/>
  <c r="S61" i="2" s="1"/>
  <c r="O61" i="2" s="1"/>
  <c r="AB43" i="1"/>
  <c r="AJ42" i="1"/>
  <c r="AK42" i="1" s="1"/>
  <c r="AL42" i="1" s="1"/>
  <c r="Q61" i="2" l="1"/>
  <c r="AB61" i="2" s="1"/>
  <c r="X61" i="2"/>
  <c r="Y61" i="2"/>
  <c r="AN60" i="2"/>
  <c r="AO60" i="2" s="1"/>
  <c r="AH60" i="2"/>
  <c r="V43" i="1"/>
  <c r="AW43" i="1"/>
  <c r="Z61" i="2" l="1"/>
  <c r="AC61" i="2"/>
  <c r="AA61" i="2"/>
  <c r="W61" i="2"/>
  <c r="V61" i="2"/>
  <c r="AY43" i="1"/>
  <c r="AZ43" i="1" s="1"/>
  <c r="AX43" i="1"/>
  <c r="BB43" i="1" s="1"/>
  <c r="BA43" i="1"/>
  <c r="AD61" i="2" l="1"/>
  <c r="AM61" i="2" s="1"/>
  <c r="T62" i="2" s="1"/>
  <c r="P62" i="2" s="1"/>
  <c r="AA43" i="1"/>
  <c r="AI43" i="1" s="1"/>
  <c r="AD44" i="1" s="1"/>
  <c r="X44" i="1" s="1"/>
  <c r="Y43" i="1"/>
  <c r="AG43" i="1" s="1"/>
  <c r="Z43" i="1"/>
  <c r="AH43" i="1" s="1"/>
  <c r="AC44" i="1" s="1"/>
  <c r="W44" i="1" s="1"/>
  <c r="AK61" i="2" l="1"/>
  <c r="R62" i="2" s="1"/>
  <c r="N62" i="2" s="1"/>
  <c r="Q62" i="2" s="1"/>
  <c r="AE61" i="2"/>
  <c r="AF61" i="2"/>
  <c r="AG61" i="2"/>
  <c r="AL61" i="2"/>
  <c r="S62" i="2" s="1"/>
  <c r="O62" i="2" s="1"/>
  <c r="AH61" i="2"/>
  <c r="AB44" i="1"/>
  <c r="AJ43" i="1"/>
  <c r="AK43" i="1" s="1"/>
  <c r="AL43" i="1" s="1"/>
  <c r="AA62" i="2" l="1"/>
  <c r="W62" i="2"/>
  <c r="Z62" i="2"/>
  <c r="X62" i="2"/>
  <c r="AC62" i="2"/>
  <c r="AB62" i="2"/>
  <c r="V62" i="2"/>
  <c r="AD62" i="2" s="1"/>
  <c r="Y62" i="2"/>
  <c r="AN61" i="2"/>
  <c r="AO61" i="2" s="1"/>
  <c r="V44" i="1"/>
  <c r="AW44" i="1"/>
  <c r="AM62" i="2" l="1"/>
  <c r="T63" i="2" s="1"/>
  <c r="P63" i="2" s="1"/>
  <c r="AF62" i="2"/>
  <c r="AG62" i="2"/>
  <c r="AE62" i="2"/>
  <c r="AK62" i="2"/>
  <c r="R63" i="2" s="1"/>
  <c r="N63" i="2" s="1"/>
  <c r="AL62" i="2"/>
  <c r="S63" i="2" s="1"/>
  <c r="O63" i="2" s="1"/>
  <c r="AY44" i="1"/>
  <c r="AZ44" i="1" s="1"/>
  <c r="AX44" i="1"/>
  <c r="BB44" i="1" s="1"/>
  <c r="BA44" i="1"/>
  <c r="AH62" i="2" l="1"/>
  <c r="Q63" i="2"/>
  <c r="V63" i="2" s="1"/>
  <c r="AN62" i="2"/>
  <c r="AO62" i="2" s="1"/>
  <c r="AA63" i="2"/>
  <c r="Z63" i="2"/>
  <c r="AB63" i="2"/>
  <c r="AC63" i="2"/>
  <c r="AA44" i="1"/>
  <c r="AI44" i="1" s="1"/>
  <c r="AD45" i="1" s="1"/>
  <c r="X45" i="1" s="1"/>
  <c r="Z44" i="1"/>
  <c r="AH44" i="1" s="1"/>
  <c r="AC45" i="1" s="1"/>
  <c r="W45" i="1" s="1"/>
  <c r="Y44" i="1"/>
  <c r="AG44" i="1" s="1"/>
  <c r="Y63" i="2" l="1"/>
  <c r="X63" i="2"/>
  <c r="W63" i="2"/>
  <c r="AB45" i="1"/>
  <c r="AJ44" i="1"/>
  <c r="AK44" i="1" s="1"/>
  <c r="AL44" i="1" s="1"/>
  <c r="AD63" i="2" l="1"/>
  <c r="AW45" i="1"/>
  <c r="V45" i="1"/>
  <c r="AG63" i="2" l="1"/>
  <c r="AM63" i="2" s="1"/>
  <c r="T64" i="2" s="1"/>
  <c r="P64" i="2" s="1"/>
  <c r="AE63" i="2"/>
  <c r="AF63" i="2"/>
  <c r="AL63" i="2"/>
  <c r="S64" i="2" s="1"/>
  <c r="O64" i="2" s="1"/>
  <c r="AK63" i="2"/>
  <c r="AX45" i="1"/>
  <c r="BB45" i="1" s="1"/>
  <c r="AY45" i="1"/>
  <c r="AZ45" i="1" s="1"/>
  <c r="BA45" i="1"/>
  <c r="AN63" i="2" l="1"/>
  <c r="AO63" i="2" s="1"/>
  <c r="AH63" i="2"/>
  <c r="R64" i="2"/>
  <c r="N64" i="2" s="1"/>
  <c r="Q64" i="2" s="1"/>
  <c r="AA64" i="2" s="1"/>
  <c r="AA45" i="1"/>
  <c r="AI45" i="1" s="1"/>
  <c r="AD46" i="1" s="1"/>
  <c r="X46" i="1" s="1"/>
  <c r="Y45" i="1"/>
  <c r="AG45" i="1" s="1"/>
  <c r="Z45" i="1"/>
  <c r="AH45" i="1" s="1"/>
  <c r="AC46" i="1" s="1"/>
  <c r="W46" i="1" s="1"/>
  <c r="AC64" i="2" l="1"/>
  <c r="V64" i="2"/>
  <c r="Y64" i="2"/>
  <c r="AB64" i="2"/>
  <c r="Z64" i="2"/>
  <c r="X64" i="2"/>
  <c r="W64" i="2"/>
  <c r="AB46" i="1"/>
  <c r="AJ45" i="1"/>
  <c r="AK45" i="1" s="1"/>
  <c r="AL45" i="1" s="1"/>
  <c r="AD64" i="2" l="1"/>
  <c r="AW46" i="1"/>
  <c r="V46" i="1"/>
  <c r="AK64" i="2" l="1"/>
  <c r="AN64" i="2" s="1"/>
  <c r="AO64" i="2" s="1"/>
  <c r="AE64" i="2"/>
  <c r="AF64" i="2"/>
  <c r="AG64" i="2"/>
  <c r="AM64" i="2"/>
  <c r="T65" i="2" s="1"/>
  <c r="P65" i="2" s="1"/>
  <c r="AL64" i="2"/>
  <c r="S65" i="2" s="1"/>
  <c r="O65" i="2" s="1"/>
  <c r="AH64" i="2"/>
  <c r="BA46" i="1"/>
  <c r="AX46" i="1"/>
  <c r="BB46" i="1" s="1"/>
  <c r="AY46" i="1"/>
  <c r="AZ46" i="1" s="1"/>
  <c r="R65" i="2" l="1"/>
  <c r="N65" i="2" s="1"/>
  <c r="Q65" i="2" s="1"/>
  <c r="AC65" i="2" s="1"/>
  <c r="AA46" i="1"/>
  <c r="AI46" i="1" s="1"/>
  <c r="AD47" i="1" s="1"/>
  <c r="X47" i="1" s="1"/>
  <c r="Y46" i="1"/>
  <c r="AG46" i="1" s="1"/>
  <c r="Z46" i="1"/>
  <c r="AH46" i="1" s="1"/>
  <c r="AC47" i="1" s="1"/>
  <c r="W47" i="1" s="1"/>
  <c r="W65" i="2" l="1"/>
  <c r="X65" i="2"/>
  <c r="Z65" i="2"/>
  <c r="AB65" i="2"/>
  <c r="Y65" i="2"/>
  <c r="V65" i="2"/>
  <c r="AA65" i="2"/>
  <c r="AD65" i="2"/>
  <c r="AB47" i="1"/>
  <c r="AJ46" i="1"/>
  <c r="AK46" i="1" s="1"/>
  <c r="AL46" i="1" s="1"/>
  <c r="AE65" i="2" l="1"/>
  <c r="AF65" i="2"/>
  <c r="AG65" i="2"/>
  <c r="AM65" i="2" s="1"/>
  <c r="T66" i="2" s="1"/>
  <c r="P66" i="2" s="1"/>
  <c r="AL65" i="2"/>
  <c r="S66" i="2" s="1"/>
  <c r="O66" i="2" s="1"/>
  <c r="AK65" i="2"/>
  <c r="R66" i="2" s="1"/>
  <c r="N66" i="2" s="1"/>
  <c r="V47" i="1"/>
  <c r="AW47" i="1"/>
  <c r="Q66" i="2" l="1"/>
  <c r="AC66" i="2" s="1"/>
  <c r="AN65" i="2"/>
  <c r="AO65" i="2" s="1"/>
  <c r="AH65" i="2"/>
  <c r="AX47" i="1"/>
  <c r="BB47" i="1" s="1"/>
  <c r="BA47" i="1"/>
  <c r="AY47" i="1"/>
  <c r="AZ47" i="1" s="1"/>
  <c r="X66" i="2" l="1"/>
  <c r="W66" i="2"/>
  <c r="Z66" i="2"/>
  <c r="Y66" i="2"/>
  <c r="AA66" i="2"/>
  <c r="AB66" i="2"/>
  <c r="V66" i="2"/>
  <c r="AA47" i="1"/>
  <c r="AI47" i="1" s="1"/>
  <c r="AD48" i="1" s="1"/>
  <c r="X48" i="1" s="1"/>
  <c r="Y47" i="1"/>
  <c r="AG47" i="1" s="1"/>
  <c r="Z47" i="1"/>
  <c r="AH47" i="1" s="1"/>
  <c r="AC48" i="1" s="1"/>
  <c r="W48" i="1" s="1"/>
  <c r="AD66" i="2" l="1"/>
  <c r="AB48" i="1"/>
  <c r="AJ47" i="1"/>
  <c r="AK47" i="1" s="1"/>
  <c r="AL47" i="1" s="1"/>
  <c r="AF66" i="2" l="1"/>
  <c r="AL66" i="2" s="1"/>
  <c r="S67" i="2" s="1"/>
  <c r="O67" i="2" s="1"/>
  <c r="AG66" i="2"/>
  <c r="AE66" i="2"/>
  <c r="AK66" i="2"/>
  <c r="R67" i="2" s="1"/>
  <c r="N67" i="2" s="1"/>
  <c r="AM66" i="2"/>
  <c r="T67" i="2" s="1"/>
  <c r="P67" i="2" s="1"/>
  <c r="AW48" i="1"/>
  <c r="V48" i="1"/>
  <c r="AN66" i="2" l="1"/>
  <c r="AO66" i="2" s="1"/>
  <c r="AH66" i="2"/>
  <c r="Q67" i="2"/>
  <c r="Z67" i="2" s="1"/>
  <c r="BA48" i="1"/>
  <c r="AY48" i="1"/>
  <c r="AZ48" i="1" s="1"/>
  <c r="AX48" i="1"/>
  <c r="BB48" i="1" s="1"/>
  <c r="V67" i="2" l="1"/>
  <c r="AC67" i="2"/>
  <c r="AA67" i="2"/>
  <c r="Y67" i="2"/>
  <c r="AB67" i="2"/>
  <c r="W67" i="2"/>
  <c r="X67" i="2"/>
  <c r="AA48" i="1"/>
  <c r="AI48" i="1" s="1"/>
  <c r="AD49" i="1" s="1"/>
  <c r="X49" i="1" s="1"/>
  <c r="Y48" i="1"/>
  <c r="AG48" i="1" s="1"/>
  <c r="Z48" i="1"/>
  <c r="AH48" i="1" s="1"/>
  <c r="AC49" i="1" s="1"/>
  <c r="W49" i="1" s="1"/>
  <c r="AD67" i="2" l="1"/>
  <c r="AB49" i="1"/>
  <c r="AJ48" i="1"/>
  <c r="AK48" i="1" s="1"/>
  <c r="AL48" i="1" s="1"/>
  <c r="AG67" i="2" l="1"/>
  <c r="AE67" i="2"/>
  <c r="AF67" i="2"/>
  <c r="AL67" i="2" s="1"/>
  <c r="S68" i="2" s="1"/>
  <c r="O68" i="2" s="1"/>
  <c r="AM67" i="2"/>
  <c r="T68" i="2" s="1"/>
  <c r="P68" i="2" s="1"/>
  <c r="AK67" i="2"/>
  <c r="AW49" i="1"/>
  <c r="V49" i="1"/>
  <c r="AN67" i="2" l="1"/>
  <c r="AO67" i="2" s="1"/>
  <c r="AH67" i="2"/>
  <c r="R68" i="2"/>
  <c r="N68" i="2" s="1"/>
  <c r="Q68" i="2" s="1"/>
  <c r="Z68" i="2" s="1"/>
  <c r="BA49" i="1"/>
  <c r="AX49" i="1"/>
  <c r="BB49" i="1" s="1"/>
  <c r="AY49" i="1"/>
  <c r="AZ49" i="1" s="1"/>
  <c r="AC68" i="2" l="1"/>
  <c r="AB68" i="2"/>
  <c r="V68" i="2"/>
  <c r="AA68" i="2"/>
  <c r="X68" i="2"/>
  <c r="W68" i="2"/>
  <c r="Y68" i="2"/>
  <c r="AA49" i="1"/>
  <c r="AI49" i="1" s="1"/>
  <c r="AD50" i="1" s="1"/>
  <c r="X50" i="1" s="1"/>
  <c r="Z49" i="1"/>
  <c r="AH49" i="1" s="1"/>
  <c r="AC50" i="1" s="1"/>
  <c r="W50" i="1" s="1"/>
  <c r="Y49" i="1"/>
  <c r="AG49" i="1" s="1"/>
  <c r="AD68" i="2" l="1"/>
  <c r="AL68" i="2" s="1"/>
  <c r="S69" i="2" s="1"/>
  <c r="O69" i="2" s="1"/>
  <c r="AK68" i="2"/>
  <c r="AB50" i="1"/>
  <c r="AJ49" i="1"/>
  <c r="AK49" i="1" s="1"/>
  <c r="AL49" i="1" s="1"/>
  <c r="AM68" i="2" l="1"/>
  <c r="T69" i="2" s="1"/>
  <c r="P69" i="2" s="1"/>
  <c r="AE68" i="2"/>
  <c r="AF68" i="2"/>
  <c r="AG68" i="2"/>
  <c r="AH68" i="2"/>
  <c r="R69" i="2"/>
  <c r="N69" i="2" s="1"/>
  <c r="Q69" i="2" s="1"/>
  <c r="V50" i="1"/>
  <c r="AW50" i="1"/>
  <c r="AN68" i="2" l="1"/>
  <c r="AO68" i="2" s="1"/>
  <c r="W69" i="2"/>
  <c r="AC69" i="2"/>
  <c r="AB69" i="2"/>
  <c r="AA69" i="2"/>
  <c r="X69" i="2"/>
  <c r="Y69" i="2"/>
  <c r="V69" i="2"/>
  <c r="Z69" i="2"/>
  <c r="BA50" i="1"/>
  <c r="AY50" i="1"/>
  <c r="AZ50" i="1" s="1"/>
  <c r="AX50" i="1"/>
  <c r="BB50" i="1" s="1"/>
  <c r="AD69" i="2" l="1"/>
  <c r="AA50" i="1"/>
  <c r="AI50" i="1" s="1"/>
  <c r="AD51" i="1" s="1"/>
  <c r="X51" i="1" s="1"/>
  <c r="Z50" i="1"/>
  <c r="AH50" i="1" s="1"/>
  <c r="AC51" i="1" s="1"/>
  <c r="W51" i="1" s="1"/>
  <c r="Y50" i="1"/>
  <c r="AG50" i="1" s="1"/>
  <c r="AE69" i="2" l="1"/>
  <c r="AK69" i="2" s="1"/>
  <c r="AF69" i="2"/>
  <c r="AG69" i="2"/>
  <c r="AM69" i="2"/>
  <c r="T70" i="2" s="1"/>
  <c r="P70" i="2" s="1"/>
  <c r="AL69" i="2"/>
  <c r="S70" i="2" s="1"/>
  <c r="O70" i="2" s="1"/>
  <c r="AB51" i="1"/>
  <c r="AJ50" i="1"/>
  <c r="AK50" i="1" s="1"/>
  <c r="AL50" i="1" s="1"/>
  <c r="AH69" i="2" l="1"/>
  <c r="AN69" i="2"/>
  <c r="AO69" i="2" s="1"/>
  <c r="R70" i="2"/>
  <c r="N70" i="2" s="1"/>
  <c r="Q70" i="2" s="1"/>
  <c r="AW51" i="1"/>
  <c r="V51" i="1"/>
  <c r="AA70" i="2" l="1"/>
  <c r="Y70" i="2"/>
  <c r="X70" i="2"/>
  <c r="V70" i="2"/>
  <c r="W70" i="2"/>
  <c r="Z70" i="2"/>
  <c r="AC70" i="2"/>
  <c r="AB70" i="2"/>
  <c r="AY51" i="1"/>
  <c r="AZ51" i="1" s="1"/>
  <c r="BA51" i="1"/>
  <c r="AX51" i="1"/>
  <c r="BB51" i="1" s="1"/>
  <c r="AD70" i="2" l="1"/>
  <c r="AA51" i="1"/>
  <c r="AI51" i="1" s="1"/>
  <c r="AD52" i="1" s="1"/>
  <c r="X52" i="1" s="1"/>
  <c r="Y51" i="1"/>
  <c r="AG51" i="1" s="1"/>
  <c r="Z51" i="1"/>
  <c r="AH51" i="1" s="1"/>
  <c r="AC52" i="1" s="1"/>
  <c r="W52" i="1" s="1"/>
  <c r="AF70" i="2" l="1"/>
  <c r="AG70" i="2"/>
  <c r="AE70" i="2"/>
  <c r="AK70" i="2"/>
  <c r="AM70" i="2"/>
  <c r="T71" i="2" s="1"/>
  <c r="P71" i="2" s="1"/>
  <c r="AL70" i="2"/>
  <c r="S71" i="2" s="1"/>
  <c r="O71" i="2" s="1"/>
  <c r="AB52" i="1"/>
  <c r="AJ51" i="1"/>
  <c r="AK51" i="1" s="1"/>
  <c r="AL51" i="1" s="1"/>
  <c r="AH70" i="2" l="1"/>
  <c r="AN70" i="2"/>
  <c r="AO70" i="2" s="1"/>
  <c r="R71" i="2"/>
  <c r="N71" i="2" s="1"/>
  <c r="Q71" i="2" s="1"/>
  <c r="AW52" i="1"/>
  <c r="V52" i="1"/>
  <c r="AA71" i="2" l="1"/>
  <c r="V71" i="2"/>
  <c r="W71" i="2"/>
  <c r="Z71" i="2"/>
  <c r="X71" i="2"/>
  <c r="AC71" i="2"/>
  <c r="Y71" i="2"/>
  <c r="AB71" i="2"/>
  <c r="AY52" i="1"/>
  <c r="AZ52" i="1" s="1"/>
  <c r="AX52" i="1"/>
  <c r="BB52" i="1" s="1"/>
  <c r="BA52" i="1"/>
  <c r="AD71" i="2" l="1"/>
  <c r="AA52" i="1"/>
  <c r="AI52" i="1" s="1"/>
  <c r="AD53" i="1" s="1"/>
  <c r="X53" i="1" s="1"/>
  <c r="Y52" i="1"/>
  <c r="AG52" i="1" s="1"/>
  <c r="Z52" i="1"/>
  <c r="AH52" i="1" s="1"/>
  <c r="AC53" i="1" s="1"/>
  <c r="W53" i="1" s="1"/>
  <c r="AG71" i="2" l="1"/>
  <c r="AE71" i="2"/>
  <c r="AK71" i="2" s="1"/>
  <c r="AF71" i="2"/>
  <c r="AL71" i="2"/>
  <c r="S72" i="2" s="1"/>
  <c r="O72" i="2" s="1"/>
  <c r="AM71" i="2"/>
  <c r="T72" i="2" s="1"/>
  <c r="P72" i="2" s="1"/>
  <c r="AB53" i="1"/>
  <c r="AJ52" i="1"/>
  <c r="AK52" i="1" s="1"/>
  <c r="AL52" i="1" s="1"/>
  <c r="AH71" i="2" l="1"/>
  <c r="AN71" i="2"/>
  <c r="AO71" i="2" s="1"/>
  <c r="R72" i="2"/>
  <c r="N72" i="2" s="1"/>
  <c r="Q72" i="2" s="1"/>
  <c r="V53" i="1"/>
  <c r="AW53" i="1"/>
  <c r="AA72" i="2" l="1"/>
  <c r="Y72" i="2"/>
  <c r="AB72" i="2"/>
  <c r="X72" i="2"/>
  <c r="Z72" i="2"/>
  <c r="V72" i="2"/>
  <c r="W72" i="2"/>
  <c r="AC72" i="2"/>
  <c r="AX53" i="1"/>
  <c r="BB53" i="1" s="1"/>
  <c r="AY53" i="1"/>
  <c r="AZ53" i="1" s="1"/>
  <c r="BA53" i="1"/>
  <c r="AD72" i="2" l="1"/>
  <c r="AA53" i="1"/>
  <c r="AI53" i="1" s="1"/>
  <c r="AD54" i="1" s="1"/>
  <c r="X54" i="1" s="1"/>
  <c r="Z53" i="1"/>
  <c r="AH53" i="1" s="1"/>
  <c r="AC54" i="1" s="1"/>
  <c r="W54" i="1" s="1"/>
  <c r="Y53" i="1"/>
  <c r="AG53" i="1" s="1"/>
  <c r="AE72" i="2" l="1"/>
  <c r="AF72" i="2"/>
  <c r="AG72" i="2"/>
  <c r="AM72" i="2" s="1"/>
  <c r="T73" i="2" s="1"/>
  <c r="P73" i="2" s="1"/>
  <c r="AK72" i="2"/>
  <c r="AL72" i="2"/>
  <c r="S73" i="2" s="1"/>
  <c r="O73" i="2" s="1"/>
  <c r="AB54" i="1"/>
  <c r="AJ53" i="1"/>
  <c r="AK53" i="1" s="1"/>
  <c r="AL53" i="1" s="1"/>
  <c r="AN72" i="2" l="1"/>
  <c r="AO72" i="2" s="1"/>
  <c r="R73" i="2"/>
  <c r="N73" i="2" s="1"/>
  <c r="Q73" i="2" s="1"/>
  <c r="AH72" i="2"/>
  <c r="V54" i="1"/>
  <c r="AW54" i="1"/>
  <c r="Z73" i="2" l="1"/>
  <c r="W73" i="2"/>
  <c r="V73" i="2"/>
  <c r="AC73" i="2"/>
  <c r="AB73" i="2"/>
  <c r="AA73" i="2"/>
  <c r="Y73" i="2"/>
  <c r="X73" i="2"/>
  <c r="AY54" i="1"/>
  <c r="AZ54" i="1" s="1"/>
  <c r="BA54" i="1"/>
  <c r="AX54" i="1"/>
  <c r="BB54" i="1" s="1"/>
  <c r="AD73" i="2" l="1"/>
  <c r="AA54" i="1"/>
  <c r="AI54" i="1" s="1"/>
  <c r="AD55" i="1" s="1"/>
  <c r="X55" i="1" s="1"/>
  <c r="Y54" i="1"/>
  <c r="AG54" i="1" s="1"/>
  <c r="Z54" i="1"/>
  <c r="AH54" i="1" s="1"/>
  <c r="AC55" i="1" s="1"/>
  <c r="W55" i="1" s="1"/>
  <c r="AE73" i="2" l="1"/>
  <c r="AF73" i="2"/>
  <c r="AG73" i="2"/>
  <c r="AK73" i="2"/>
  <c r="AM73" i="2"/>
  <c r="T74" i="2" s="1"/>
  <c r="P74" i="2" s="1"/>
  <c r="AL73" i="2"/>
  <c r="S74" i="2" s="1"/>
  <c r="O74" i="2" s="1"/>
  <c r="AB55" i="1"/>
  <c r="AJ54" i="1"/>
  <c r="AK54" i="1" s="1"/>
  <c r="AL54" i="1" s="1"/>
  <c r="AH73" i="2" l="1"/>
  <c r="AN73" i="2"/>
  <c r="AO73" i="2" s="1"/>
  <c r="R74" i="2"/>
  <c r="N74" i="2" s="1"/>
  <c r="Q74" i="2" s="1"/>
  <c r="V55" i="1"/>
  <c r="AW55" i="1"/>
  <c r="W74" i="2" l="1"/>
  <c r="X74" i="2"/>
  <c r="AB74" i="2"/>
  <c r="Y74" i="2"/>
  <c r="AC74" i="2"/>
  <c r="AA74" i="2"/>
  <c r="Z74" i="2"/>
  <c r="V74" i="2"/>
  <c r="AY55" i="1"/>
  <c r="AZ55" i="1" s="1"/>
  <c r="AX55" i="1"/>
  <c r="BB55" i="1" s="1"/>
  <c r="BA55" i="1"/>
  <c r="AD74" i="2" l="1"/>
  <c r="AA55" i="1"/>
  <c r="AI55" i="1" s="1"/>
  <c r="AD56" i="1" s="1"/>
  <c r="X56" i="1" s="1"/>
  <c r="Z55" i="1"/>
  <c r="AH55" i="1" s="1"/>
  <c r="AC56" i="1" s="1"/>
  <c r="W56" i="1" s="1"/>
  <c r="Y55" i="1"/>
  <c r="AG55" i="1" s="1"/>
  <c r="AF74" i="2" l="1"/>
  <c r="AG74" i="2"/>
  <c r="AM74" i="2" s="1"/>
  <c r="T75" i="2" s="1"/>
  <c r="P75" i="2" s="1"/>
  <c r="AE74" i="2"/>
  <c r="AK74" i="2"/>
  <c r="AL74" i="2"/>
  <c r="S75" i="2" s="1"/>
  <c r="O75" i="2" s="1"/>
  <c r="AB56" i="1"/>
  <c r="AJ55" i="1"/>
  <c r="AK55" i="1" s="1"/>
  <c r="AL55" i="1" s="1"/>
  <c r="AN74" i="2" l="1"/>
  <c r="AO74" i="2" s="1"/>
  <c r="R75" i="2"/>
  <c r="N75" i="2" s="1"/>
  <c r="Q75" i="2" s="1"/>
  <c r="W75" i="2" s="1"/>
  <c r="AH74" i="2"/>
  <c r="V56" i="1"/>
  <c r="AW56" i="1"/>
  <c r="AC75" i="2" l="1"/>
  <c r="V75" i="2"/>
  <c r="X75" i="2"/>
  <c r="Y75" i="2"/>
  <c r="AB75" i="2"/>
  <c r="Z75" i="2"/>
  <c r="AA75" i="2"/>
  <c r="AX56" i="1"/>
  <c r="BB56" i="1" s="1"/>
  <c r="AY56" i="1"/>
  <c r="AZ56" i="1" s="1"/>
  <c r="BA56" i="1"/>
  <c r="AD75" i="2" l="1"/>
  <c r="AA56" i="1"/>
  <c r="AI56" i="1" s="1"/>
  <c r="AD57" i="1" s="1"/>
  <c r="X57" i="1" s="1"/>
  <c r="Y56" i="1"/>
  <c r="AG56" i="1" s="1"/>
  <c r="Z56" i="1"/>
  <c r="AH56" i="1" s="1"/>
  <c r="AC57" i="1" s="1"/>
  <c r="W57" i="1" s="1"/>
  <c r="AG75" i="2" l="1"/>
  <c r="AE75" i="2"/>
  <c r="AF75" i="2"/>
  <c r="AL75" i="2" s="1"/>
  <c r="S76" i="2" s="1"/>
  <c r="O76" i="2" s="1"/>
  <c r="AK75" i="2"/>
  <c r="R76" i="2" s="1"/>
  <c r="N76" i="2" s="1"/>
  <c r="AM75" i="2"/>
  <c r="T76" i="2" s="1"/>
  <c r="P76" i="2" s="1"/>
  <c r="AB57" i="1"/>
  <c r="AJ56" i="1"/>
  <c r="AK56" i="1" s="1"/>
  <c r="AL56" i="1" s="1"/>
  <c r="AH75" i="2" l="1"/>
  <c r="Q76" i="2"/>
  <c r="X76" i="2" s="1"/>
  <c r="AN75" i="2"/>
  <c r="AO75" i="2" s="1"/>
  <c r="AW57" i="1"/>
  <c r="V57" i="1"/>
  <c r="Y76" i="2" l="1"/>
  <c r="AB76" i="2"/>
  <c r="AA76" i="2"/>
  <c r="AC76" i="2"/>
  <c r="W76" i="2"/>
  <c r="Z76" i="2"/>
  <c r="V76" i="2"/>
  <c r="AX57" i="1"/>
  <c r="BB57" i="1" s="1"/>
  <c r="BA57" i="1"/>
  <c r="AY57" i="1"/>
  <c r="AZ57" i="1" s="1"/>
  <c r="AD76" i="2" l="1"/>
  <c r="AA57" i="1"/>
  <c r="AI57" i="1" s="1"/>
  <c r="AD58" i="1" s="1"/>
  <c r="X58" i="1" s="1"/>
  <c r="Y57" i="1"/>
  <c r="AG57" i="1" s="1"/>
  <c r="Z57" i="1"/>
  <c r="AH57" i="1" s="1"/>
  <c r="AC58" i="1" s="1"/>
  <c r="W58" i="1" s="1"/>
  <c r="AE76" i="2" l="1"/>
  <c r="AF76" i="2"/>
  <c r="AG76" i="2"/>
  <c r="AL76" i="2"/>
  <c r="S77" i="2" s="1"/>
  <c r="O77" i="2" s="1"/>
  <c r="AK76" i="2"/>
  <c r="R77" i="2" s="1"/>
  <c r="N77" i="2" s="1"/>
  <c r="AM76" i="2"/>
  <c r="T77" i="2" s="1"/>
  <c r="P77" i="2" s="1"/>
  <c r="AB58" i="1"/>
  <c r="AJ57" i="1"/>
  <c r="AK57" i="1" s="1"/>
  <c r="AL57" i="1" s="1"/>
  <c r="AH76" i="2" l="1"/>
  <c r="Q77" i="2"/>
  <c r="AA77" i="2" s="1"/>
  <c r="AN76" i="2"/>
  <c r="AO76" i="2" s="1"/>
  <c r="AB77" i="2"/>
  <c r="AW58" i="1"/>
  <c r="V58" i="1"/>
  <c r="V77" i="2" l="1"/>
  <c r="AC77" i="2"/>
  <c r="Y77" i="2"/>
  <c r="Z77" i="2"/>
  <c r="X77" i="2"/>
  <c r="W77" i="2"/>
  <c r="AX58" i="1"/>
  <c r="BB58" i="1" s="1"/>
  <c r="AY58" i="1"/>
  <c r="AZ58" i="1" s="1"/>
  <c r="BA58" i="1"/>
  <c r="AD77" i="2" l="1"/>
  <c r="AA58" i="1"/>
  <c r="AI58" i="1" s="1"/>
  <c r="AD59" i="1" s="1"/>
  <c r="X59" i="1" s="1"/>
  <c r="Y58" i="1"/>
  <c r="AG58" i="1" s="1"/>
  <c r="Z58" i="1"/>
  <c r="AH58" i="1" s="1"/>
  <c r="AC59" i="1" s="1"/>
  <c r="W59" i="1" s="1"/>
  <c r="AE77" i="2" l="1"/>
  <c r="AF77" i="2"/>
  <c r="AG77" i="2"/>
  <c r="AH77" i="2" s="1"/>
  <c r="AL77" i="2"/>
  <c r="S78" i="2" s="1"/>
  <c r="O78" i="2" s="1"/>
  <c r="AM77" i="2"/>
  <c r="T78" i="2" s="1"/>
  <c r="P78" i="2" s="1"/>
  <c r="AK77" i="2"/>
  <c r="AN77" i="2" s="1"/>
  <c r="AO77" i="2" s="1"/>
  <c r="AB59" i="1"/>
  <c r="AJ58" i="1"/>
  <c r="AK58" i="1" s="1"/>
  <c r="AL58" i="1" s="1"/>
  <c r="R78" i="2" l="1"/>
  <c r="N78" i="2" s="1"/>
  <c r="Q78" i="2" s="1"/>
  <c r="AB78" i="2" s="1"/>
  <c r="V59" i="1"/>
  <c r="AW59" i="1"/>
  <c r="W78" i="2" l="1"/>
  <c r="Y78" i="2"/>
  <c r="Z78" i="2"/>
  <c r="V78" i="2"/>
  <c r="AA78" i="2"/>
  <c r="X78" i="2"/>
  <c r="AC78" i="2"/>
  <c r="BA59" i="1"/>
  <c r="AX59" i="1"/>
  <c r="BB59" i="1" s="1"/>
  <c r="AY59" i="1"/>
  <c r="AZ59" i="1" s="1"/>
  <c r="AD78" i="2" l="1"/>
  <c r="AA59" i="1"/>
  <c r="AI59" i="1" s="1"/>
  <c r="AD60" i="1" s="1"/>
  <c r="X60" i="1" s="1"/>
  <c r="Z59" i="1"/>
  <c r="AH59" i="1" s="1"/>
  <c r="AC60" i="1" s="1"/>
  <c r="W60" i="1" s="1"/>
  <c r="Y59" i="1"/>
  <c r="AG59" i="1" s="1"/>
  <c r="AF78" i="2" l="1"/>
  <c r="AL78" i="2" s="1"/>
  <c r="S79" i="2" s="1"/>
  <c r="O79" i="2" s="1"/>
  <c r="AG78" i="2"/>
  <c r="AE78" i="2"/>
  <c r="AM78" i="2"/>
  <c r="T79" i="2" s="1"/>
  <c r="P79" i="2" s="1"/>
  <c r="AK78" i="2"/>
  <c r="AB60" i="1"/>
  <c r="AJ59" i="1"/>
  <c r="AK59" i="1" s="1"/>
  <c r="AL59" i="1" s="1"/>
  <c r="AN78" i="2" l="1"/>
  <c r="AO78" i="2" s="1"/>
  <c r="R79" i="2"/>
  <c r="N79" i="2" s="1"/>
  <c r="Q79" i="2" s="1"/>
  <c r="Z79" i="2" s="1"/>
  <c r="AH78" i="2"/>
  <c r="AW60" i="1"/>
  <c r="V60" i="1"/>
  <c r="AC79" i="2" l="1"/>
  <c r="AA79" i="2"/>
  <c r="AB79" i="2"/>
  <c r="V79" i="2"/>
  <c r="Y79" i="2"/>
  <c r="X79" i="2"/>
  <c r="W79" i="2"/>
  <c r="BA60" i="1"/>
  <c r="AX60" i="1"/>
  <c r="BB60" i="1" s="1"/>
  <c r="AY60" i="1"/>
  <c r="AZ60" i="1" s="1"/>
  <c r="AD79" i="2" l="1"/>
  <c r="AA60" i="1"/>
  <c r="AI60" i="1" s="1"/>
  <c r="AD61" i="1" s="1"/>
  <c r="X61" i="1" s="1"/>
  <c r="Z60" i="1"/>
  <c r="AH60" i="1" s="1"/>
  <c r="AC61" i="1" s="1"/>
  <c r="W61" i="1" s="1"/>
  <c r="Y60" i="1"/>
  <c r="AG60" i="1" s="1"/>
  <c r="AG79" i="2" l="1"/>
  <c r="AE79" i="2"/>
  <c r="AF79" i="2"/>
  <c r="AL79" i="2"/>
  <c r="S80" i="2" s="1"/>
  <c r="O80" i="2" s="1"/>
  <c r="AM79" i="2"/>
  <c r="T80" i="2" s="1"/>
  <c r="P80" i="2" s="1"/>
  <c r="AK79" i="2"/>
  <c r="R80" i="2" s="1"/>
  <c r="N80" i="2" s="1"/>
  <c r="AB61" i="1"/>
  <c r="AJ60" i="1"/>
  <c r="AK60" i="1" s="1"/>
  <c r="AL60" i="1" s="1"/>
  <c r="AH79" i="2" l="1"/>
  <c r="AN79" i="2"/>
  <c r="AO79" i="2" s="1"/>
  <c r="Q80" i="2"/>
  <c r="AB80" i="2" s="1"/>
  <c r="AW61" i="1"/>
  <c r="V61" i="1"/>
  <c r="Z80" i="2" l="1"/>
  <c r="W80" i="2"/>
  <c r="V80" i="2"/>
  <c r="Y80" i="2"/>
  <c r="X80" i="2"/>
  <c r="AC80" i="2"/>
  <c r="AA80" i="2"/>
  <c r="AX61" i="1"/>
  <c r="BB61" i="1" s="1"/>
  <c r="BA61" i="1"/>
  <c r="AY61" i="1"/>
  <c r="AZ61" i="1" s="1"/>
  <c r="AD80" i="2" l="1"/>
  <c r="AA61" i="1"/>
  <c r="AI61" i="1" s="1"/>
  <c r="AD62" i="1" s="1"/>
  <c r="X62" i="1" s="1"/>
  <c r="Y61" i="1"/>
  <c r="AG61" i="1" s="1"/>
  <c r="Z61" i="1"/>
  <c r="AH61" i="1" s="1"/>
  <c r="AC62" i="1" s="1"/>
  <c r="W62" i="1" s="1"/>
  <c r="AE80" i="2" l="1"/>
  <c r="AF80" i="2"/>
  <c r="AG80" i="2"/>
  <c r="AM80" i="2" s="1"/>
  <c r="T81" i="2" s="1"/>
  <c r="P81" i="2" s="1"/>
  <c r="AL80" i="2"/>
  <c r="S81" i="2" s="1"/>
  <c r="O81" i="2" s="1"/>
  <c r="AK80" i="2"/>
  <c r="R81" i="2" s="1"/>
  <c r="N81" i="2" s="1"/>
  <c r="AB62" i="1"/>
  <c r="AJ61" i="1"/>
  <c r="AK61" i="1" s="1"/>
  <c r="AL61" i="1" s="1"/>
  <c r="AH80" i="2" l="1"/>
  <c r="Q81" i="2"/>
  <c r="W81" i="2" s="1"/>
  <c r="AN80" i="2"/>
  <c r="AO80" i="2" s="1"/>
  <c r="V62" i="1"/>
  <c r="AW62" i="1"/>
  <c r="X81" i="2" l="1"/>
  <c r="AA81" i="2"/>
  <c r="AC81" i="2"/>
  <c r="AB81" i="2"/>
  <c r="V81" i="2"/>
  <c r="Z81" i="2"/>
  <c r="Y81" i="2"/>
  <c r="BA62" i="1"/>
  <c r="AY62" i="1"/>
  <c r="AZ62" i="1" s="1"/>
  <c r="AX62" i="1"/>
  <c r="BB62" i="1" s="1"/>
  <c r="AD81" i="2" l="1"/>
  <c r="AA62" i="1"/>
  <c r="AI62" i="1" s="1"/>
  <c r="AD63" i="1" s="1"/>
  <c r="X63" i="1" s="1"/>
  <c r="Y62" i="1"/>
  <c r="AG62" i="1" s="1"/>
  <c r="Z62" i="1"/>
  <c r="AH62" i="1" s="1"/>
  <c r="AC63" i="1" s="1"/>
  <c r="W63" i="1" s="1"/>
  <c r="AK81" i="2" l="1"/>
  <c r="AE81" i="2"/>
  <c r="AF81" i="2"/>
  <c r="AL81" i="2" s="1"/>
  <c r="AG81" i="2"/>
  <c r="AM81" i="2"/>
  <c r="T82" i="2" s="1"/>
  <c r="P82" i="2" s="1"/>
  <c r="R82" i="2"/>
  <c r="N82" i="2" s="1"/>
  <c r="AB63" i="1"/>
  <c r="AJ62" i="1"/>
  <c r="AK62" i="1" s="1"/>
  <c r="AL62" i="1" s="1"/>
  <c r="S82" i="2" l="1"/>
  <c r="O82" i="2" s="1"/>
  <c r="Q82" i="2" s="1"/>
  <c r="AN81" i="2"/>
  <c r="AO81" i="2" s="1"/>
  <c r="AH81" i="2"/>
  <c r="AW63" i="1"/>
  <c r="V63" i="1"/>
  <c r="Z82" i="2" l="1"/>
  <c r="V82" i="2"/>
  <c r="W82" i="2"/>
  <c r="Y82" i="2"/>
  <c r="X82" i="2"/>
  <c r="AB82" i="2"/>
  <c r="AC82" i="2"/>
  <c r="AA82" i="2"/>
  <c r="AD82" i="2"/>
  <c r="BA63" i="1"/>
  <c r="AY63" i="1"/>
  <c r="AZ63" i="1" s="1"/>
  <c r="AX63" i="1"/>
  <c r="BB63" i="1" s="1"/>
  <c r="AF82" i="2" l="1"/>
  <c r="AG82" i="2"/>
  <c r="AE82" i="2"/>
  <c r="AK82" i="2" s="1"/>
  <c r="AM82" i="2"/>
  <c r="T83" i="2" s="1"/>
  <c r="P83" i="2" s="1"/>
  <c r="AL82" i="2"/>
  <c r="S83" i="2" s="1"/>
  <c r="O83" i="2" s="1"/>
  <c r="AA63" i="1"/>
  <c r="AI63" i="1" s="1"/>
  <c r="AD64" i="1" s="1"/>
  <c r="X64" i="1" s="1"/>
  <c r="Y63" i="1"/>
  <c r="AG63" i="1" s="1"/>
  <c r="Z63" i="1"/>
  <c r="AH63" i="1" s="1"/>
  <c r="AC64" i="1" s="1"/>
  <c r="W64" i="1" s="1"/>
  <c r="AN82" i="2" l="1"/>
  <c r="AO82" i="2" s="1"/>
  <c r="R83" i="2"/>
  <c r="N83" i="2" s="1"/>
  <c r="Q83" i="2" s="1"/>
  <c r="AH82" i="2"/>
  <c r="AB64" i="1"/>
  <c r="AJ63" i="1"/>
  <c r="AK63" i="1" s="1"/>
  <c r="AL63" i="1" s="1"/>
  <c r="Z83" i="2" l="1"/>
  <c r="AC83" i="2"/>
  <c r="W83" i="2"/>
  <c r="V83" i="2"/>
  <c r="AB83" i="2"/>
  <c r="X83" i="2"/>
  <c r="AA83" i="2"/>
  <c r="Y83" i="2"/>
  <c r="AW64" i="1"/>
  <c r="V64" i="1"/>
  <c r="AD83" i="2" l="1"/>
  <c r="BA64" i="1"/>
  <c r="AY64" i="1"/>
  <c r="AZ64" i="1" s="1"/>
  <c r="AX64" i="1"/>
  <c r="BB64" i="1" s="1"/>
  <c r="AG83" i="2" l="1"/>
  <c r="AE83" i="2"/>
  <c r="AF83" i="2"/>
  <c r="AL83" i="2" s="1"/>
  <c r="S84" i="2" s="1"/>
  <c r="O84" i="2" s="1"/>
  <c r="AK83" i="2"/>
  <c r="R84" i="2" s="1"/>
  <c r="N84" i="2" s="1"/>
  <c r="AM83" i="2"/>
  <c r="AA64" i="1"/>
  <c r="AI64" i="1" s="1"/>
  <c r="AD65" i="1" s="1"/>
  <c r="X65" i="1" s="1"/>
  <c r="Y64" i="1"/>
  <c r="AG64" i="1" s="1"/>
  <c r="Z64" i="1"/>
  <c r="AH64" i="1" s="1"/>
  <c r="AC65" i="1" s="1"/>
  <c r="W65" i="1" s="1"/>
  <c r="T84" i="2" l="1"/>
  <c r="P84" i="2" s="1"/>
  <c r="Q84" i="2" s="1"/>
  <c r="AN83" i="2"/>
  <c r="AO83" i="2" s="1"/>
  <c r="AH83" i="2"/>
  <c r="AB65" i="1"/>
  <c r="AJ64" i="1"/>
  <c r="AK64" i="1" s="1"/>
  <c r="AL64" i="1" s="1"/>
  <c r="AB84" i="2" l="1"/>
  <c r="AC84" i="2"/>
  <c r="W84" i="2"/>
  <c r="X84" i="2"/>
  <c r="AA84" i="2"/>
  <c r="Z84" i="2"/>
  <c r="V84" i="2"/>
  <c r="Y84" i="2"/>
  <c r="AW65" i="1"/>
  <c r="V65" i="1"/>
  <c r="AD84" i="2" l="1"/>
  <c r="AX65" i="1"/>
  <c r="BB65" i="1" s="1"/>
  <c r="BA65" i="1"/>
  <c r="AY65" i="1"/>
  <c r="AZ65" i="1" s="1"/>
  <c r="AE84" i="2" l="1"/>
  <c r="AF84" i="2"/>
  <c r="AG84" i="2"/>
  <c r="AM84" i="2" s="1"/>
  <c r="T85" i="2" s="1"/>
  <c r="P85" i="2" s="1"/>
  <c r="AL84" i="2"/>
  <c r="S85" i="2" s="1"/>
  <c r="O85" i="2" s="1"/>
  <c r="AK84" i="2"/>
  <c r="AA65" i="1"/>
  <c r="AI65" i="1" s="1"/>
  <c r="AD66" i="1" s="1"/>
  <c r="X66" i="1" s="1"/>
  <c r="Y65" i="1"/>
  <c r="AG65" i="1" s="1"/>
  <c r="Z65" i="1"/>
  <c r="AH65" i="1" s="1"/>
  <c r="AC66" i="1" s="1"/>
  <c r="W66" i="1" s="1"/>
  <c r="AN84" i="2" l="1"/>
  <c r="AO84" i="2" s="1"/>
  <c r="R85" i="2"/>
  <c r="N85" i="2" s="1"/>
  <c r="Q85" i="2" s="1"/>
  <c r="AH84" i="2"/>
  <c r="AB66" i="1"/>
  <c r="AJ65" i="1"/>
  <c r="AK65" i="1" s="1"/>
  <c r="AL65" i="1" s="1"/>
  <c r="Y85" i="2" l="1"/>
  <c r="V85" i="2"/>
  <c r="W85" i="2"/>
  <c r="AB85" i="2"/>
  <c r="X85" i="2"/>
  <c r="AC85" i="2"/>
  <c r="AA85" i="2"/>
  <c r="Z85" i="2"/>
  <c r="V66" i="1"/>
  <c r="AW66" i="1"/>
  <c r="AD85" i="2" l="1"/>
  <c r="AY66" i="1"/>
  <c r="AZ66" i="1" s="1"/>
  <c r="BA66" i="1"/>
  <c r="AX66" i="1"/>
  <c r="BB66" i="1" s="1"/>
  <c r="AE85" i="2" l="1"/>
  <c r="AF85" i="2"/>
  <c r="AG85" i="2"/>
  <c r="AL85" i="2"/>
  <c r="S86" i="2" s="1"/>
  <c r="O86" i="2" s="1"/>
  <c r="AM85" i="2"/>
  <c r="T86" i="2" s="1"/>
  <c r="P86" i="2" s="1"/>
  <c r="AA66" i="1"/>
  <c r="AI66" i="1" s="1"/>
  <c r="AD67" i="1" s="1"/>
  <c r="X67" i="1" s="1"/>
  <c r="Z66" i="1"/>
  <c r="AH66" i="1" s="1"/>
  <c r="AC67" i="1" s="1"/>
  <c r="W67" i="1" s="1"/>
  <c r="Y66" i="1"/>
  <c r="AG66" i="1" s="1"/>
  <c r="AH85" i="2" l="1"/>
  <c r="AK85" i="2"/>
  <c r="AB67" i="1"/>
  <c r="AJ66" i="1"/>
  <c r="AK66" i="1" s="1"/>
  <c r="AL66" i="1" s="1"/>
  <c r="R86" i="2" l="1"/>
  <c r="N86" i="2" s="1"/>
  <c r="Q86" i="2" s="1"/>
  <c r="AN85" i="2"/>
  <c r="AO85" i="2" s="1"/>
  <c r="AW67" i="1"/>
  <c r="V67" i="1"/>
  <c r="W86" i="2" l="1"/>
  <c r="AC86" i="2"/>
  <c r="X86" i="2"/>
  <c r="V86" i="2"/>
  <c r="AA86" i="2"/>
  <c r="AB86" i="2"/>
  <c r="Z86" i="2"/>
  <c r="Y86" i="2"/>
  <c r="AX67" i="1"/>
  <c r="BB67" i="1" s="1"/>
  <c r="BA67" i="1"/>
  <c r="AY67" i="1"/>
  <c r="AZ67" i="1" s="1"/>
  <c r="AD86" i="2" l="1"/>
  <c r="AA67" i="1"/>
  <c r="AI67" i="1" s="1"/>
  <c r="AD68" i="1" s="1"/>
  <c r="X68" i="1" s="1"/>
  <c r="Y67" i="1"/>
  <c r="AG67" i="1" s="1"/>
  <c r="Z67" i="1"/>
  <c r="AH67" i="1" s="1"/>
  <c r="AC68" i="1" s="1"/>
  <c r="W68" i="1" s="1"/>
  <c r="AF86" i="2" l="1"/>
  <c r="AG86" i="2"/>
  <c r="AE86" i="2"/>
  <c r="AM86" i="2"/>
  <c r="T87" i="2" s="1"/>
  <c r="P87" i="2" s="1"/>
  <c r="AK86" i="2"/>
  <c r="AL86" i="2"/>
  <c r="S87" i="2" s="1"/>
  <c r="O87" i="2" s="1"/>
  <c r="AB68" i="1"/>
  <c r="AJ67" i="1"/>
  <c r="AK67" i="1" s="1"/>
  <c r="AL67" i="1" s="1"/>
  <c r="AN86" i="2" l="1"/>
  <c r="AO86" i="2" s="1"/>
  <c r="R87" i="2"/>
  <c r="N87" i="2" s="1"/>
  <c r="Q87" i="2" s="1"/>
  <c r="AH86" i="2"/>
  <c r="AW68" i="1"/>
  <c r="V68" i="1"/>
  <c r="AB87" i="2" l="1"/>
  <c r="Z87" i="2"/>
  <c r="AA87" i="2"/>
  <c r="W87" i="2"/>
  <c r="AC87" i="2"/>
  <c r="X87" i="2"/>
  <c r="Y87" i="2"/>
  <c r="V87" i="2"/>
  <c r="BA68" i="1"/>
  <c r="AX68" i="1"/>
  <c r="BB68" i="1" s="1"/>
  <c r="AY68" i="1"/>
  <c r="AZ68" i="1" s="1"/>
  <c r="AD87" i="2" l="1"/>
  <c r="AA68" i="1"/>
  <c r="AI68" i="1" s="1"/>
  <c r="AD69" i="1" s="1"/>
  <c r="X69" i="1" s="1"/>
  <c r="Z68" i="1"/>
  <c r="AH68" i="1" s="1"/>
  <c r="AC69" i="1" s="1"/>
  <c r="W69" i="1" s="1"/>
  <c r="Y68" i="1"/>
  <c r="AG68" i="1" s="1"/>
  <c r="AG87" i="2" l="1"/>
  <c r="AE87" i="2"/>
  <c r="AF87" i="2"/>
  <c r="AM87" i="2"/>
  <c r="T88" i="2" s="1"/>
  <c r="P88" i="2" s="1"/>
  <c r="AK87" i="2"/>
  <c r="R88" i="2" s="1"/>
  <c r="N88" i="2" s="1"/>
  <c r="AB69" i="1"/>
  <c r="AJ68" i="1"/>
  <c r="AK68" i="1" s="1"/>
  <c r="AL68" i="1" s="1"/>
  <c r="AH87" i="2" l="1"/>
  <c r="AL87" i="2"/>
  <c r="S88" i="2" s="1"/>
  <c r="O88" i="2" s="1"/>
  <c r="Q88" i="2" s="1"/>
  <c r="AW69" i="1"/>
  <c r="V69" i="1"/>
  <c r="Y88" i="2" l="1"/>
  <c r="W88" i="2"/>
  <c r="AB88" i="2"/>
  <c r="V88" i="2"/>
  <c r="Z88" i="2"/>
  <c r="AC88" i="2"/>
  <c r="AA88" i="2"/>
  <c r="X88" i="2"/>
  <c r="AN87" i="2"/>
  <c r="AO87" i="2" s="1"/>
  <c r="AX69" i="1"/>
  <c r="BB69" i="1" s="1"/>
  <c r="AY69" i="1"/>
  <c r="AZ69" i="1" s="1"/>
  <c r="BA69" i="1"/>
  <c r="AD88" i="2" l="1"/>
  <c r="AA69" i="1"/>
  <c r="AI69" i="1" s="1"/>
  <c r="AD70" i="1" s="1"/>
  <c r="X70" i="1" s="1"/>
  <c r="Y69" i="1"/>
  <c r="AG69" i="1" s="1"/>
  <c r="Z69" i="1"/>
  <c r="AH69" i="1" s="1"/>
  <c r="AC70" i="1" s="1"/>
  <c r="W70" i="1" s="1"/>
  <c r="AE88" i="2" l="1"/>
  <c r="AF88" i="2"/>
  <c r="AG88" i="2"/>
  <c r="AK88" i="2"/>
  <c r="R89" i="2" s="1"/>
  <c r="N89" i="2" s="1"/>
  <c r="AM88" i="2"/>
  <c r="T89" i="2" s="1"/>
  <c r="P89" i="2" s="1"/>
  <c r="AL88" i="2"/>
  <c r="S89" i="2" s="1"/>
  <c r="O89" i="2" s="1"/>
  <c r="AB70" i="1"/>
  <c r="AJ69" i="1"/>
  <c r="AK69" i="1" s="1"/>
  <c r="AL69" i="1" s="1"/>
  <c r="AH88" i="2" l="1"/>
  <c r="AN88" i="2"/>
  <c r="AO88" i="2" s="1"/>
  <c r="Q89" i="2"/>
  <c r="AA89" i="2" s="1"/>
  <c r="AW70" i="1"/>
  <c r="V70" i="1"/>
  <c r="Z89" i="2" l="1"/>
  <c r="AB89" i="2"/>
  <c r="Y89" i="2"/>
  <c r="W89" i="2"/>
  <c r="X89" i="2"/>
  <c r="V89" i="2"/>
  <c r="AC89" i="2"/>
  <c r="AX70" i="1"/>
  <c r="BB70" i="1" s="1"/>
  <c r="AY70" i="1"/>
  <c r="AZ70" i="1" s="1"/>
  <c r="BA70" i="1"/>
  <c r="AD89" i="2" l="1"/>
  <c r="AA70" i="1"/>
  <c r="AI70" i="1" s="1"/>
  <c r="AD71" i="1" s="1"/>
  <c r="X71" i="1" s="1"/>
  <c r="Y70" i="1"/>
  <c r="AG70" i="1" s="1"/>
  <c r="Z70" i="1"/>
  <c r="AH70" i="1" s="1"/>
  <c r="AC71" i="1" s="1"/>
  <c r="W71" i="1" s="1"/>
  <c r="AE89" i="2" l="1"/>
  <c r="AF89" i="2"/>
  <c r="AL89" i="2" s="1"/>
  <c r="S90" i="2" s="1"/>
  <c r="O90" i="2" s="1"/>
  <c r="AG89" i="2"/>
  <c r="AK89" i="2"/>
  <c r="R90" i="2" s="1"/>
  <c r="N90" i="2" s="1"/>
  <c r="AB71" i="1"/>
  <c r="AJ70" i="1"/>
  <c r="AK70" i="1" s="1"/>
  <c r="AL70" i="1" s="1"/>
  <c r="AH89" i="2" l="1"/>
  <c r="AM89" i="2"/>
  <c r="V71" i="1"/>
  <c r="AW71" i="1"/>
  <c r="T90" i="2" l="1"/>
  <c r="P90" i="2" s="1"/>
  <c r="Q90" i="2" s="1"/>
  <c r="AN89" i="2"/>
  <c r="AO89" i="2" s="1"/>
  <c r="AY71" i="1"/>
  <c r="AZ71" i="1" s="1"/>
  <c r="AX71" i="1"/>
  <c r="BB71" i="1" s="1"/>
  <c r="BA71" i="1"/>
  <c r="AC90" i="2" l="1"/>
  <c r="V90" i="2"/>
  <c r="Y90" i="2"/>
  <c r="AB90" i="2"/>
  <c r="Z90" i="2"/>
  <c r="W90" i="2"/>
  <c r="AA90" i="2"/>
  <c r="X90" i="2"/>
  <c r="AA71" i="1"/>
  <c r="AI71" i="1" s="1"/>
  <c r="AD72" i="1" s="1"/>
  <c r="X72" i="1" s="1"/>
  <c r="Y71" i="1"/>
  <c r="AG71" i="1" s="1"/>
  <c r="Z71" i="1"/>
  <c r="AH71" i="1" s="1"/>
  <c r="AC72" i="1" s="1"/>
  <c r="W72" i="1" s="1"/>
  <c r="AD90" i="2" l="1"/>
  <c r="AB72" i="1"/>
  <c r="AJ71" i="1"/>
  <c r="AK71" i="1" s="1"/>
  <c r="AL71" i="1" s="1"/>
  <c r="AF90" i="2" l="1"/>
  <c r="AG90" i="2"/>
  <c r="AE90" i="2"/>
  <c r="AK90" i="2"/>
  <c r="AM90" i="2"/>
  <c r="T91" i="2" s="1"/>
  <c r="P91" i="2" s="1"/>
  <c r="AL90" i="2"/>
  <c r="S91" i="2" s="1"/>
  <c r="O91" i="2" s="1"/>
  <c r="V72" i="1"/>
  <c r="AW72" i="1"/>
  <c r="AH90" i="2" l="1"/>
  <c r="R91" i="2"/>
  <c r="N91" i="2" s="1"/>
  <c r="Q91" i="2" s="1"/>
  <c r="AN90" i="2"/>
  <c r="AO90" i="2" s="1"/>
  <c r="AY72" i="1"/>
  <c r="AZ72" i="1" s="1"/>
  <c r="AX72" i="1"/>
  <c r="BB72" i="1" s="1"/>
  <c r="BA72" i="1"/>
  <c r="W91" i="2" l="1"/>
  <c r="V91" i="2"/>
  <c r="AB91" i="2"/>
  <c r="AC91" i="2"/>
  <c r="Z91" i="2"/>
  <c r="X91" i="2"/>
  <c r="Y91" i="2"/>
  <c r="AA91" i="2"/>
  <c r="AA72" i="1"/>
  <c r="AI72" i="1" s="1"/>
  <c r="AD73" i="1" s="1"/>
  <c r="X73" i="1" s="1"/>
  <c r="Z72" i="1"/>
  <c r="AH72" i="1" s="1"/>
  <c r="AC73" i="1" s="1"/>
  <c r="W73" i="1" s="1"/>
  <c r="Y72" i="1"/>
  <c r="AG72" i="1" s="1"/>
  <c r="AD91" i="2" l="1"/>
  <c r="AB73" i="1"/>
  <c r="AJ72" i="1"/>
  <c r="AK72" i="1" s="1"/>
  <c r="AL72" i="1" s="1"/>
  <c r="AG91" i="2" l="1"/>
  <c r="AM91" i="2" s="1"/>
  <c r="T92" i="2" s="1"/>
  <c r="P92" i="2" s="1"/>
  <c r="AE91" i="2"/>
  <c r="AF91" i="2"/>
  <c r="AL91" i="2"/>
  <c r="S92" i="2" s="1"/>
  <c r="O92" i="2" s="1"/>
  <c r="AK91" i="2"/>
  <c r="R92" i="2" s="1"/>
  <c r="N92" i="2" s="1"/>
  <c r="AW73" i="1"/>
  <c r="V73" i="1"/>
  <c r="AH91" i="2" l="1"/>
  <c r="Q92" i="2"/>
  <c r="AA92" i="2" s="1"/>
  <c r="AN91" i="2"/>
  <c r="AO91" i="2" s="1"/>
  <c r="BA73" i="1"/>
  <c r="AX73" i="1"/>
  <c r="BB73" i="1" s="1"/>
  <c r="AY73" i="1"/>
  <c r="AZ73" i="1" s="1"/>
  <c r="AB92" i="2" l="1"/>
  <c r="X92" i="2"/>
  <c r="Y92" i="2"/>
  <c r="Z92" i="2"/>
  <c r="W92" i="2"/>
  <c r="V92" i="2"/>
  <c r="AC92" i="2"/>
  <c r="AA73" i="1"/>
  <c r="AI73" i="1" s="1"/>
  <c r="AD74" i="1" s="1"/>
  <c r="X74" i="1" s="1"/>
  <c r="Y73" i="1"/>
  <c r="AG73" i="1" s="1"/>
  <c r="Z73" i="1"/>
  <c r="AH73" i="1" s="1"/>
  <c r="AC74" i="1" s="1"/>
  <c r="W74" i="1" s="1"/>
  <c r="AD92" i="2" l="1"/>
  <c r="AB74" i="1"/>
  <c r="AJ73" i="1"/>
  <c r="AK73" i="1" s="1"/>
  <c r="AL73" i="1" s="1"/>
  <c r="AE92" i="2" l="1"/>
  <c r="AH92" i="2" s="1"/>
  <c r="AF92" i="2"/>
  <c r="AG92" i="2"/>
  <c r="AM92" i="2"/>
  <c r="T93" i="2" s="1"/>
  <c r="P93" i="2" s="1"/>
  <c r="AL92" i="2"/>
  <c r="S93" i="2" s="1"/>
  <c r="O93" i="2" s="1"/>
  <c r="AK92" i="2"/>
  <c r="AW74" i="1"/>
  <c r="V74" i="1"/>
  <c r="AN92" i="2" l="1"/>
  <c r="AO92" i="2" s="1"/>
  <c r="R93" i="2"/>
  <c r="N93" i="2" s="1"/>
  <c r="Q93" i="2" s="1"/>
  <c r="AY74" i="1"/>
  <c r="AZ74" i="1" s="1"/>
  <c r="AX74" i="1"/>
  <c r="BB74" i="1" s="1"/>
  <c r="BA74" i="1"/>
  <c r="W93" i="2" l="1"/>
  <c r="V93" i="2"/>
  <c r="X93" i="2"/>
  <c r="AA93" i="2"/>
  <c r="AB93" i="2"/>
  <c r="AC93" i="2"/>
  <c r="Y93" i="2"/>
  <c r="Z93" i="2"/>
  <c r="AA74" i="1"/>
  <c r="AI74" i="1" s="1"/>
  <c r="AD75" i="1" s="1"/>
  <c r="X75" i="1" s="1"/>
  <c r="Z74" i="1"/>
  <c r="AH74" i="1" s="1"/>
  <c r="AC75" i="1" s="1"/>
  <c r="W75" i="1" s="1"/>
  <c r="Y74" i="1"/>
  <c r="AG74" i="1" s="1"/>
  <c r="AD93" i="2" l="1"/>
  <c r="AB75" i="1"/>
  <c r="AJ74" i="1"/>
  <c r="AK74" i="1" s="1"/>
  <c r="AL74" i="1" s="1"/>
  <c r="AE93" i="2" l="1"/>
  <c r="AH93" i="2" s="1"/>
  <c r="AF93" i="2"/>
  <c r="AG93" i="2"/>
  <c r="AM93" i="2" s="1"/>
  <c r="T94" i="2" s="1"/>
  <c r="P94" i="2" s="1"/>
  <c r="AK93" i="2"/>
  <c r="AL93" i="2"/>
  <c r="S94" i="2" s="1"/>
  <c r="O94" i="2" s="1"/>
  <c r="AW75" i="1"/>
  <c r="V75" i="1"/>
  <c r="AN93" i="2" l="1"/>
  <c r="AO93" i="2" s="1"/>
  <c r="R94" i="2"/>
  <c r="N94" i="2" s="1"/>
  <c r="Q94" i="2" s="1"/>
  <c r="BA75" i="1"/>
  <c r="AY75" i="1"/>
  <c r="AZ75" i="1" s="1"/>
  <c r="AX75" i="1"/>
  <c r="BB75" i="1" s="1"/>
  <c r="AB94" i="2" l="1"/>
  <c r="Z94" i="2"/>
  <c r="AC94" i="2"/>
  <c r="Y94" i="2"/>
  <c r="V94" i="2"/>
  <c r="X94" i="2"/>
  <c r="W94" i="2"/>
  <c r="AA94" i="2"/>
  <c r="AA75" i="1"/>
  <c r="AI75" i="1" s="1"/>
  <c r="AD76" i="1" s="1"/>
  <c r="X76" i="1" s="1"/>
  <c r="Z75" i="1"/>
  <c r="AH75" i="1" s="1"/>
  <c r="AC76" i="1" s="1"/>
  <c r="W76" i="1" s="1"/>
  <c r="Y75" i="1"/>
  <c r="AG75" i="1" s="1"/>
  <c r="AD94" i="2" l="1"/>
  <c r="AB76" i="1"/>
  <c r="AJ75" i="1"/>
  <c r="AK75" i="1" s="1"/>
  <c r="AL75" i="1" s="1"/>
  <c r="AF94" i="2" l="1"/>
  <c r="AG94" i="2"/>
  <c r="AE94" i="2"/>
  <c r="AH94" i="2" s="1"/>
  <c r="AL94" i="2"/>
  <c r="S95" i="2" s="1"/>
  <c r="O95" i="2" s="1"/>
  <c r="AM94" i="2"/>
  <c r="T95" i="2" s="1"/>
  <c r="P95" i="2" s="1"/>
  <c r="AW76" i="1"/>
  <c r="V76" i="1"/>
  <c r="AK94" i="2" l="1"/>
  <c r="AX76" i="1"/>
  <c r="BB76" i="1" s="1"/>
  <c r="AY76" i="1"/>
  <c r="AZ76" i="1" s="1"/>
  <c r="BA76" i="1"/>
  <c r="R95" i="2" l="1"/>
  <c r="N95" i="2" s="1"/>
  <c r="Q95" i="2" s="1"/>
  <c r="AN94" i="2"/>
  <c r="AO94" i="2" s="1"/>
  <c r="AA76" i="1"/>
  <c r="AI76" i="1" s="1"/>
  <c r="AD77" i="1" s="1"/>
  <c r="X77" i="1" s="1"/>
  <c r="Z76" i="1"/>
  <c r="AH76" i="1" s="1"/>
  <c r="AC77" i="1" s="1"/>
  <c r="W77" i="1" s="1"/>
  <c r="Y76" i="1"/>
  <c r="AG76" i="1" s="1"/>
  <c r="Y95" i="2" l="1"/>
  <c r="Z95" i="2"/>
  <c r="AB95" i="2"/>
  <c r="AC95" i="2"/>
  <c r="AA95" i="2"/>
  <c r="V95" i="2"/>
  <c r="W95" i="2"/>
  <c r="X95" i="2"/>
  <c r="AB77" i="1"/>
  <c r="AJ76" i="1"/>
  <c r="AK76" i="1" s="1"/>
  <c r="AL76" i="1" s="1"/>
  <c r="AD95" i="2" l="1"/>
  <c r="V77" i="1"/>
  <c r="AW77" i="1"/>
  <c r="AG95" i="2" l="1"/>
  <c r="AE95" i="2"/>
  <c r="AF95" i="2"/>
  <c r="AL95" i="2"/>
  <c r="S96" i="2" s="1"/>
  <c r="O96" i="2" s="1"/>
  <c r="AM95" i="2"/>
  <c r="T96" i="2" s="1"/>
  <c r="P96" i="2" s="1"/>
  <c r="AK95" i="2"/>
  <c r="AX77" i="1"/>
  <c r="BB77" i="1" s="1"/>
  <c r="BA77" i="1"/>
  <c r="AY77" i="1"/>
  <c r="AZ77" i="1" s="1"/>
  <c r="R96" i="2" l="1"/>
  <c r="N96" i="2" s="1"/>
  <c r="Q96" i="2" s="1"/>
  <c r="AN95" i="2"/>
  <c r="AO95" i="2" s="1"/>
  <c r="AH95" i="2"/>
  <c r="AA77" i="1"/>
  <c r="AI77" i="1" s="1"/>
  <c r="AD78" i="1" s="1"/>
  <c r="X78" i="1" s="1"/>
  <c r="Z77" i="1"/>
  <c r="AH77" i="1" s="1"/>
  <c r="AC78" i="1" s="1"/>
  <c r="W78" i="1" s="1"/>
  <c r="Y77" i="1"/>
  <c r="AG77" i="1" s="1"/>
  <c r="AC96" i="2" l="1"/>
  <c r="X96" i="2"/>
  <c r="AB96" i="2"/>
  <c r="W96" i="2"/>
  <c r="Y96" i="2"/>
  <c r="V96" i="2"/>
  <c r="AA96" i="2"/>
  <c r="Z96" i="2"/>
  <c r="AB78" i="1"/>
  <c r="AJ77" i="1"/>
  <c r="AK77" i="1" s="1"/>
  <c r="AL77" i="1" s="1"/>
  <c r="AD96" i="2" l="1"/>
  <c r="AW78" i="1"/>
  <c r="V78" i="1"/>
  <c r="AE96" i="2" l="1"/>
  <c r="AF96" i="2"/>
  <c r="AG96" i="2"/>
  <c r="AK96" i="2"/>
  <c r="AL96" i="2"/>
  <c r="S97" i="2" s="1"/>
  <c r="O97" i="2" s="1"/>
  <c r="AM96" i="2"/>
  <c r="T97" i="2" s="1"/>
  <c r="P97" i="2" s="1"/>
  <c r="AY78" i="1"/>
  <c r="AZ78" i="1" s="1"/>
  <c r="BA78" i="1"/>
  <c r="AX78" i="1"/>
  <c r="BB78" i="1" s="1"/>
  <c r="AN96" i="2" l="1"/>
  <c r="AO96" i="2" s="1"/>
  <c r="R97" i="2"/>
  <c r="N97" i="2" s="1"/>
  <c r="Q97" i="2" s="1"/>
  <c r="AH96" i="2"/>
  <c r="AA78" i="1"/>
  <c r="AI78" i="1" s="1"/>
  <c r="AD79" i="1" s="1"/>
  <c r="X79" i="1" s="1"/>
  <c r="Y78" i="1"/>
  <c r="AG78" i="1" s="1"/>
  <c r="Z78" i="1"/>
  <c r="AH78" i="1" s="1"/>
  <c r="AC79" i="1" s="1"/>
  <c r="W79" i="1" s="1"/>
  <c r="Y97" i="2" l="1"/>
  <c r="X97" i="2"/>
  <c r="W97" i="2"/>
  <c r="AC97" i="2"/>
  <c r="AB97" i="2"/>
  <c r="Z97" i="2"/>
  <c r="AA97" i="2"/>
  <c r="V97" i="2"/>
  <c r="AD97" i="2" s="1"/>
  <c r="AL97" i="2" s="1"/>
  <c r="S98" i="2" s="1"/>
  <c r="O98" i="2" s="1"/>
  <c r="AB79" i="1"/>
  <c r="AJ78" i="1"/>
  <c r="AK78" i="1" s="1"/>
  <c r="AL78" i="1" s="1"/>
  <c r="AE97" i="2" l="1"/>
  <c r="AF97" i="2"/>
  <c r="AG97" i="2"/>
  <c r="AH97" i="2" s="1"/>
  <c r="AK97" i="2"/>
  <c r="AW79" i="1"/>
  <c r="V79" i="1"/>
  <c r="AM97" i="2" l="1"/>
  <c r="T98" i="2" s="1"/>
  <c r="P98" i="2" s="1"/>
  <c r="AN97" i="2"/>
  <c r="AO97" i="2" s="1"/>
  <c r="R98" i="2"/>
  <c r="N98" i="2" s="1"/>
  <c r="Q98" i="2" s="1"/>
  <c r="BA79" i="1"/>
  <c r="AY79" i="1"/>
  <c r="AZ79" i="1" s="1"/>
  <c r="AX79" i="1"/>
  <c r="BB79" i="1" s="1"/>
  <c r="Z98" i="2" l="1"/>
  <c r="AC98" i="2"/>
  <c r="W98" i="2"/>
  <c r="AA98" i="2"/>
  <c r="V98" i="2"/>
  <c r="Y98" i="2"/>
  <c r="AB98" i="2"/>
  <c r="X98" i="2"/>
  <c r="AA79" i="1"/>
  <c r="AI79" i="1" s="1"/>
  <c r="AD80" i="1" s="1"/>
  <c r="X80" i="1" s="1"/>
  <c r="Y79" i="1"/>
  <c r="AG79" i="1" s="1"/>
  <c r="Z79" i="1"/>
  <c r="AH79" i="1" s="1"/>
  <c r="AC80" i="1" s="1"/>
  <c r="W80" i="1" s="1"/>
  <c r="AD98" i="2" l="1"/>
  <c r="AB80" i="1"/>
  <c r="AJ79" i="1"/>
  <c r="AK79" i="1" s="1"/>
  <c r="AL79" i="1" s="1"/>
  <c r="AF98" i="2" l="1"/>
  <c r="AG98" i="2"/>
  <c r="AE98" i="2"/>
  <c r="AK98" i="2"/>
  <c r="AM98" i="2"/>
  <c r="T99" i="2" s="1"/>
  <c r="P99" i="2" s="1"/>
  <c r="AL98" i="2"/>
  <c r="S99" i="2" s="1"/>
  <c r="O99" i="2" s="1"/>
  <c r="AW80" i="1"/>
  <c r="V80" i="1"/>
  <c r="AN98" i="2" l="1"/>
  <c r="AO98" i="2" s="1"/>
  <c r="R99" i="2"/>
  <c r="N99" i="2" s="1"/>
  <c r="Q99" i="2" s="1"/>
  <c r="AA99" i="2" s="1"/>
  <c r="AH98" i="2"/>
  <c r="AY80" i="1"/>
  <c r="AZ80" i="1" s="1"/>
  <c r="AX80" i="1"/>
  <c r="BB80" i="1" s="1"/>
  <c r="BA80" i="1"/>
  <c r="W99" i="2" l="1"/>
  <c r="Y99" i="2"/>
  <c r="AC99" i="2"/>
  <c r="AB99" i="2"/>
  <c r="X99" i="2"/>
  <c r="Z99" i="2"/>
  <c r="V99" i="2"/>
  <c r="AA80" i="1"/>
  <c r="AI80" i="1" s="1"/>
  <c r="AD81" i="1" s="1"/>
  <c r="X81" i="1" s="1"/>
  <c r="Y80" i="1"/>
  <c r="AG80" i="1" s="1"/>
  <c r="Z80" i="1"/>
  <c r="AH80" i="1" s="1"/>
  <c r="AC81" i="1" s="1"/>
  <c r="W81" i="1" s="1"/>
  <c r="AD99" i="2" l="1"/>
  <c r="AB81" i="1"/>
  <c r="AJ80" i="1"/>
  <c r="AK80" i="1" s="1"/>
  <c r="AL80" i="1" s="1"/>
  <c r="AG99" i="2" l="1"/>
  <c r="AE99" i="2"/>
  <c r="AF99" i="2"/>
  <c r="AL99" i="2"/>
  <c r="S100" i="2" s="1"/>
  <c r="O100" i="2" s="1"/>
  <c r="AM99" i="2"/>
  <c r="T100" i="2" s="1"/>
  <c r="P100" i="2" s="1"/>
  <c r="AK99" i="2"/>
  <c r="V81" i="1"/>
  <c r="AW81" i="1"/>
  <c r="AN99" i="2" l="1"/>
  <c r="AO99" i="2" s="1"/>
  <c r="R100" i="2"/>
  <c r="N100" i="2" s="1"/>
  <c r="Q100" i="2" s="1"/>
  <c r="AA100" i="2" s="1"/>
  <c r="AH99" i="2"/>
  <c r="AX81" i="1"/>
  <c r="BB81" i="1" s="1"/>
  <c r="BA81" i="1"/>
  <c r="AY81" i="1"/>
  <c r="AZ81" i="1" s="1"/>
  <c r="X100" i="2" l="1"/>
  <c r="AB100" i="2"/>
  <c r="AC100" i="2"/>
  <c r="W100" i="2"/>
  <c r="Y100" i="2"/>
  <c r="V100" i="2"/>
  <c r="Z100" i="2"/>
  <c r="Y81" i="1"/>
  <c r="AG81" i="1" s="1"/>
  <c r="Z81" i="1"/>
  <c r="AH81" i="1" s="1"/>
  <c r="AC82" i="1" s="1"/>
  <c r="W82" i="1" s="1"/>
  <c r="AA81" i="1"/>
  <c r="AI81" i="1" s="1"/>
  <c r="AD82" i="1" s="1"/>
  <c r="X82" i="1" s="1"/>
  <c r="AD100" i="2" l="1"/>
  <c r="AB82" i="1"/>
  <c r="AJ81" i="1"/>
  <c r="AK81" i="1" s="1"/>
  <c r="AL81" i="1" s="1"/>
  <c r="AE100" i="2" l="1"/>
  <c r="AF100" i="2"/>
  <c r="AG100" i="2"/>
  <c r="AM100" i="2"/>
  <c r="T101" i="2" s="1"/>
  <c r="P101" i="2" s="1"/>
  <c r="AL100" i="2"/>
  <c r="S101" i="2" s="1"/>
  <c r="O101" i="2" s="1"/>
  <c r="AK100" i="2"/>
  <c r="R101" i="2"/>
  <c r="N101" i="2" s="1"/>
  <c r="AW82" i="1"/>
  <c r="V82" i="1"/>
  <c r="AH100" i="2" l="1"/>
  <c r="Q101" i="2"/>
  <c r="AC101" i="2" s="1"/>
  <c r="AN100" i="2"/>
  <c r="AO100" i="2" s="1"/>
  <c r="V101" i="2"/>
  <c r="AY82" i="1"/>
  <c r="AZ82" i="1" s="1"/>
  <c r="AX82" i="1"/>
  <c r="BB82" i="1" s="1"/>
  <c r="BA82" i="1"/>
  <c r="Z101" i="2" l="1"/>
  <c r="AA101" i="2"/>
  <c r="W101" i="2"/>
  <c r="X101" i="2"/>
  <c r="Y101" i="2"/>
  <c r="AB101" i="2"/>
  <c r="AA82" i="1"/>
  <c r="AI82" i="1" s="1"/>
  <c r="AD83" i="1" s="1"/>
  <c r="X83" i="1" s="1"/>
  <c r="Z82" i="1"/>
  <c r="AH82" i="1" s="1"/>
  <c r="AC83" i="1" s="1"/>
  <c r="W83" i="1" s="1"/>
  <c r="Y82" i="1"/>
  <c r="AG82" i="1" s="1"/>
  <c r="AD101" i="2" l="1"/>
  <c r="AM101" i="2"/>
  <c r="T102" i="2" s="1"/>
  <c r="P102" i="2" s="1"/>
  <c r="AB83" i="1"/>
  <c r="AJ82" i="1"/>
  <c r="AK82" i="1" s="1"/>
  <c r="AL82" i="1" s="1"/>
  <c r="AE101" i="2" l="1"/>
  <c r="AF101" i="2"/>
  <c r="AL101" i="2" s="1"/>
  <c r="S102" i="2" s="1"/>
  <c r="O102" i="2" s="1"/>
  <c r="AG101" i="2"/>
  <c r="AH101" i="2"/>
  <c r="AK101" i="2"/>
  <c r="AW83" i="1"/>
  <c r="V83" i="1"/>
  <c r="R102" i="2" l="1"/>
  <c r="N102" i="2" s="1"/>
  <c r="Q102" i="2" s="1"/>
  <c r="AN101" i="2"/>
  <c r="AO101" i="2" s="1"/>
  <c r="AY83" i="1"/>
  <c r="AZ83" i="1" s="1"/>
  <c r="BA83" i="1"/>
  <c r="AX83" i="1"/>
  <c r="BB83" i="1" s="1"/>
  <c r="AA102" i="2" l="1"/>
  <c r="AC102" i="2"/>
  <c r="Y102" i="2"/>
  <c r="X102" i="2"/>
  <c r="W102" i="2"/>
  <c r="V102" i="2"/>
  <c r="AB102" i="2"/>
  <c r="Z102" i="2"/>
  <c r="AA83" i="1"/>
  <c r="AI83" i="1" s="1"/>
  <c r="AD84" i="1" s="1"/>
  <c r="X84" i="1" s="1"/>
  <c r="Y83" i="1"/>
  <c r="AG83" i="1" s="1"/>
  <c r="Z83" i="1"/>
  <c r="AH83" i="1" s="1"/>
  <c r="AC84" i="1" s="1"/>
  <c r="W84" i="1" s="1"/>
  <c r="AD102" i="2" l="1"/>
  <c r="AB84" i="1"/>
  <c r="AJ83" i="1"/>
  <c r="AK83" i="1" s="1"/>
  <c r="AL83" i="1" s="1"/>
  <c r="AF102" i="2" l="1"/>
  <c r="AG102" i="2"/>
  <c r="AE102" i="2"/>
  <c r="AK102" i="2" s="1"/>
  <c r="AM102" i="2"/>
  <c r="AL102" i="2"/>
  <c r="V84" i="1"/>
  <c r="AW84" i="1"/>
  <c r="AH102" i="2" l="1"/>
  <c r="AN102" i="2"/>
  <c r="AO102" i="2" s="1"/>
  <c r="AY84" i="1"/>
  <c r="AZ84" i="1" s="1"/>
  <c r="AX84" i="1"/>
  <c r="BB84" i="1" s="1"/>
  <c r="BA84" i="1"/>
  <c r="AA84" i="1" l="1"/>
  <c r="AI84" i="1" s="1"/>
  <c r="AD85" i="1" s="1"/>
  <c r="X85" i="1" s="1"/>
  <c r="Y84" i="1"/>
  <c r="AG84" i="1" s="1"/>
  <c r="Z84" i="1"/>
  <c r="AH84" i="1" s="1"/>
  <c r="AC85" i="1" s="1"/>
  <c r="W85" i="1" s="1"/>
  <c r="AB85" i="1" l="1"/>
  <c r="AJ84" i="1"/>
  <c r="AK84" i="1" s="1"/>
  <c r="AL84" i="1" s="1"/>
  <c r="AW85" i="1" l="1"/>
  <c r="V85" i="1"/>
  <c r="BA85" i="1" l="1"/>
  <c r="AX85" i="1"/>
  <c r="BB85" i="1" s="1"/>
  <c r="AY85" i="1"/>
  <c r="AZ85" i="1" s="1"/>
  <c r="AA85" i="1" l="1"/>
  <c r="AI85" i="1" s="1"/>
  <c r="AD86" i="1" s="1"/>
  <c r="X86" i="1" s="1"/>
  <c r="Y85" i="1"/>
  <c r="AG85" i="1" s="1"/>
  <c r="Z85" i="1"/>
  <c r="AH85" i="1" s="1"/>
  <c r="AC86" i="1" s="1"/>
  <c r="W86" i="1" s="1"/>
  <c r="AB86" i="1" l="1"/>
  <c r="AJ85" i="1"/>
  <c r="AK85" i="1" s="1"/>
  <c r="AL85" i="1" s="1"/>
  <c r="V86" i="1" l="1"/>
  <c r="AW86" i="1"/>
  <c r="BA86" i="1" l="1"/>
  <c r="AY86" i="1"/>
  <c r="AZ86" i="1" s="1"/>
  <c r="AX86" i="1"/>
  <c r="BB86" i="1" s="1"/>
  <c r="AA86" i="1" l="1"/>
  <c r="AI86" i="1" s="1"/>
  <c r="AD87" i="1" s="1"/>
  <c r="X87" i="1" s="1"/>
  <c r="Y86" i="1"/>
  <c r="AG86" i="1" s="1"/>
  <c r="Z86" i="1"/>
  <c r="AH86" i="1" s="1"/>
  <c r="AC87" i="1" s="1"/>
  <c r="W87" i="1" s="1"/>
  <c r="AB87" i="1" l="1"/>
  <c r="AJ86" i="1"/>
  <c r="AK86" i="1" s="1"/>
  <c r="AL86" i="1" s="1"/>
  <c r="AW87" i="1" l="1"/>
  <c r="V87" i="1"/>
  <c r="AX87" i="1" l="1"/>
  <c r="BB87" i="1" s="1"/>
  <c r="BA87" i="1"/>
  <c r="AY87" i="1"/>
  <c r="AZ87" i="1" s="1"/>
  <c r="AA87" i="1" l="1"/>
  <c r="AI87" i="1" s="1"/>
  <c r="AD88" i="1" s="1"/>
  <c r="X88" i="1" s="1"/>
  <c r="Y87" i="1"/>
  <c r="AG87" i="1" s="1"/>
  <c r="Z87" i="1"/>
  <c r="AH87" i="1" s="1"/>
  <c r="AC88" i="1" s="1"/>
  <c r="W88" i="1" s="1"/>
  <c r="AB88" i="1" l="1"/>
  <c r="AJ87" i="1"/>
  <c r="AK87" i="1" s="1"/>
  <c r="AL87" i="1" s="1"/>
  <c r="AW88" i="1" l="1"/>
  <c r="V88" i="1"/>
  <c r="AY88" i="1" l="1"/>
  <c r="AZ88" i="1" s="1"/>
  <c r="BA88" i="1"/>
  <c r="AX88" i="1"/>
  <c r="BB88" i="1" s="1"/>
  <c r="AA88" i="1" l="1"/>
  <c r="AI88" i="1" s="1"/>
  <c r="AD89" i="1" s="1"/>
  <c r="X89" i="1" s="1"/>
  <c r="Z88" i="1"/>
  <c r="AH88" i="1" s="1"/>
  <c r="AC89" i="1" s="1"/>
  <c r="W89" i="1" s="1"/>
  <c r="Y88" i="1"/>
  <c r="AG88" i="1" s="1"/>
  <c r="AB89" i="1" l="1"/>
  <c r="AJ88" i="1"/>
  <c r="AK88" i="1" s="1"/>
  <c r="AL88" i="1" s="1"/>
  <c r="AW89" i="1" l="1"/>
  <c r="V89" i="1"/>
  <c r="BA89" i="1" l="1"/>
  <c r="AY89" i="1"/>
  <c r="AZ89" i="1" s="1"/>
  <c r="AX89" i="1"/>
  <c r="BB89" i="1" s="1"/>
  <c r="AA89" i="1" l="1"/>
  <c r="AI89" i="1" s="1"/>
  <c r="AD90" i="1" s="1"/>
  <c r="X90" i="1" s="1"/>
  <c r="Y89" i="1"/>
  <c r="AG89" i="1" s="1"/>
  <c r="Z89" i="1"/>
  <c r="AH89" i="1" s="1"/>
  <c r="AC90" i="1" s="1"/>
  <c r="W90" i="1" s="1"/>
  <c r="AB90" i="1" l="1"/>
  <c r="AJ89" i="1"/>
  <c r="AK89" i="1" s="1"/>
  <c r="AL89" i="1" s="1"/>
  <c r="V90" i="1" l="1"/>
  <c r="AW90" i="1"/>
  <c r="AY90" i="1" l="1"/>
  <c r="AZ90" i="1" s="1"/>
  <c r="AX90" i="1"/>
  <c r="BB90" i="1" s="1"/>
  <c r="BA90" i="1"/>
  <c r="AA90" i="1" l="1"/>
  <c r="AI90" i="1" s="1"/>
  <c r="AD91" i="1" s="1"/>
  <c r="X91" i="1" s="1"/>
  <c r="Y90" i="1"/>
  <c r="AG90" i="1" s="1"/>
  <c r="Z90" i="1"/>
  <c r="AH90" i="1" s="1"/>
  <c r="AC91" i="1" s="1"/>
  <c r="W91" i="1" s="1"/>
  <c r="AJ90" i="1" l="1"/>
  <c r="AK90" i="1" s="1"/>
  <c r="AL90" i="1" s="1"/>
  <c r="AB91" i="1"/>
  <c r="V91" i="1" l="1"/>
  <c r="AW91" i="1"/>
  <c r="AY91" i="1" l="1"/>
  <c r="AZ91" i="1" s="1"/>
  <c r="AX91" i="1"/>
  <c r="BB91" i="1" s="1"/>
  <c r="BA91" i="1"/>
  <c r="AA91" i="1" l="1"/>
  <c r="AI91" i="1" s="1"/>
  <c r="AD92" i="1" s="1"/>
  <c r="X92" i="1" s="1"/>
  <c r="Y91" i="1"/>
  <c r="AG91" i="1" s="1"/>
  <c r="Z91" i="1"/>
  <c r="AH91" i="1" s="1"/>
  <c r="AC92" i="1" s="1"/>
  <c r="W92" i="1" s="1"/>
  <c r="AJ91" i="1" l="1"/>
  <c r="AB92" i="1"/>
  <c r="AK91" i="1"/>
  <c r="AL91" i="1" s="1"/>
  <c r="AW92" i="1" l="1"/>
  <c r="V92" i="1"/>
  <c r="AY92" i="1" l="1"/>
  <c r="AZ92" i="1" s="1"/>
  <c r="AX92" i="1"/>
  <c r="BB92" i="1" s="1"/>
  <c r="BA92" i="1"/>
  <c r="AA92" i="1" l="1"/>
  <c r="AI92" i="1" s="1"/>
  <c r="AD93" i="1" s="1"/>
  <c r="X93" i="1" s="1"/>
  <c r="Y92" i="1"/>
  <c r="AG92" i="1" s="1"/>
  <c r="Z92" i="1"/>
  <c r="AH92" i="1" s="1"/>
  <c r="AC93" i="1" s="1"/>
  <c r="W93" i="1" s="1"/>
  <c r="AB93" i="1" l="1"/>
  <c r="AJ92" i="1"/>
  <c r="AK92" i="1" s="1"/>
  <c r="AL92" i="1" s="1"/>
  <c r="V93" i="1" l="1"/>
  <c r="AW93" i="1"/>
  <c r="AY93" i="1" l="1"/>
  <c r="AZ93" i="1" s="1"/>
  <c r="BA93" i="1"/>
  <c r="AX93" i="1"/>
  <c r="BB93" i="1" s="1"/>
  <c r="AA93" i="1" l="1"/>
  <c r="AI93" i="1" s="1"/>
  <c r="AD94" i="1" s="1"/>
  <c r="X94" i="1" s="1"/>
  <c r="Y93" i="1"/>
  <c r="AG93" i="1" s="1"/>
  <c r="Z93" i="1"/>
  <c r="AH93" i="1" s="1"/>
  <c r="AC94" i="1" s="1"/>
  <c r="W94" i="1" s="1"/>
  <c r="AB94" i="1" l="1"/>
  <c r="AJ93" i="1"/>
  <c r="AK93" i="1" s="1"/>
  <c r="AL93" i="1" s="1"/>
  <c r="V94" i="1" l="1"/>
  <c r="AW94" i="1"/>
  <c r="AY94" i="1" l="1"/>
  <c r="AZ94" i="1" s="1"/>
  <c r="AX94" i="1"/>
  <c r="BB94" i="1" s="1"/>
  <c r="BA94" i="1"/>
  <c r="AA94" i="1" l="1"/>
  <c r="AI94" i="1" s="1"/>
  <c r="AD95" i="1" s="1"/>
  <c r="X95" i="1" s="1"/>
  <c r="Y94" i="1"/>
  <c r="AG94" i="1" s="1"/>
  <c r="Z94" i="1"/>
  <c r="AH94" i="1" s="1"/>
  <c r="AC95" i="1" s="1"/>
  <c r="W95" i="1" s="1"/>
  <c r="AB95" i="1" l="1"/>
  <c r="AJ94" i="1"/>
  <c r="AK94" i="1" s="1"/>
  <c r="AL94" i="1" s="1"/>
  <c r="AW95" i="1" l="1"/>
  <c r="V95" i="1"/>
  <c r="BA95" i="1" l="1"/>
  <c r="AX95" i="1"/>
  <c r="BB95" i="1" s="1"/>
  <c r="AY95" i="1"/>
  <c r="AZ95" i="1" s="1"/>
  <c r="AA95" i="1" l="1"/>
  <c r="AI95" i="1" s="1"/>
  <c r="AD96" i="1" s="1"/>
  <c r="X96" i="1" s="1"/>
  <c r="Z95" i="1"/>
  <c r="AH95" i="1" s="1"/>
  <c r="AC96" i="1" s="1"/>
  <c r="W96" i="1" s="1"/>
  <c r="Y95" i="1"/>
  <c r="AG95" i="1" s="1"/>
  <c r="AB96" i="1" l="1"/>
  <c r="AJ95" i="1"/>
  <c r="AK95" i="1" s="1"/>
  <c r="AL95" i="1" s="1"/>
  <c r="V96" i="1" l="1"/>
  <c r="AW96" i="1"/>
  <c r="BA96" i="1" l="1"/>
  <c r="AY96" i="1"/>
  <c r="AZ96" i="1" s="1"/>
  <c r="AX96" i="1"/>
  <c r="BB96" i="1" s="1"/>
  <c r="AA96" i="1" l="1"/>
  <c r="AI96" i="1" s="1"/>
  <c r="AD97" i="1" s="1"/>
  <c r="X97" i="1" s="1"/>
  <c r="Z96" i="1"/>
  <c r="AH96" i="1" s="1"/>
  <c r="AC97" i="1" s="1"/>
  <c r="W97" i="1" s="1"/>
  <c r="Y96" i="1"/>
  <c r="AG96" i="1" s="1"/>
  <c r="AB97" i="1" l="1"/>
  <c r="AJ96" i="1"/>
  <c r="AK96" i="1" s="1"/>
  <c r="AL96" i="1" s="1"/>
  <c r="V97" i="1" l="1"/>
  <c r="AW97" i="1"/>
  <c r="AX97" i="1" l="1"/>
  <c r="BB97" i="1" s="1"/>
  <c r="BA97" i="1"/>
  <c r="AY97" i="1"/>
  <c r="AZ97" i="1" s="1"/>
  <c r="AA97" i="1" l="1"/>
  <c r="AI97" i="1" s="1"/>
  <c r="AD98" i="1" s="1"/>
  <c r="X98" i="1" s="1"/>
  <c r="Y97" i="1"/>
  <c r="AG97" i="1" s="1"/>
  <c r="Z97" i="1"/>
  <c r="AH97" i="1" s="1"/>
  <c r="AC98" i="1" s="1"/>
  <c r="W98" i="1" s="1"/>
  <c r="AB98" i="1" l="1"/>
  <c r="AJ97" i="1"/>
  <c r="AK97" i="1" s="1"/>
  <c r="AL97" i="1" s="1"/>
  <c r="V98" i="1" l="1"/>
  <c r="AW98" i="1"/>
  <c r="BA98" i="1" l="1"/>
  <c r="AY98" i="1"/>
  <c r="AZ98" i="1" s="1"/>
  <c r="AX98" i="1"/>
  <c r="BB98" i="1" s="1"/>
  <c r="AA98" i="1" l="1"/>
  <c r="AI98" i="1" s="1"/>
  <c r="AD99" i="1" s="1"/>
  <c r="X99" i="1" s="1"/>
  <c r="Y98" i="1"/>
  <c r="AG98" i="1" s="1"/>
  <c r="Z98" i="1"/>
  <c r="AH98" i="1" s="1"/>
  <c r="AC99" i="1" s="1"/>
  <c r="W99" i="1" s="1"/>
  <c r="AB99" i="1" l="1"/>
  <c r="AJ98" i="1"/>
  <c r="AK98" i="1" s="1"/>
  <c r="AL98" i="1" s="1"/>
  <c r="AW99" i="1" l="1"/>
  <c r="V99" i="1"/>
  <c r="AX99" i="1" l="1"/>
  <c r="BB99" i="1" s="1"/>
  <c r="BA99" i="1"/>
  <c r="AY99" i="1"/>
  <c r="AZ99" i="1" s="1"/>
  <c r="AA99" i="1" l="1"/>
  <c r="AI99" i="1" s="1"/>
  <c r="AD100" i="1" s="1"/>
  <c r="X100" i="1" s="1"/>
  <c r="Z99" i="1"/>
  <c r="AH99" i="1" s="1"/>
  <c r="AC100" i="1" s="1"/>
  <c r="W100" i="1" s="1"/>
  <c r="Y99" i="1"/>
  <c r="AG99" i="1" s="1"/>
  <c r="AB100" i="1" l="1"/>
  <c r="AJ99" i="1"/>
  <c r="AK99" i="1" s="1"/>
  <c r="AL99" i="1" s="1"/>
  <c r="AW100" i="1" l="1"/>
  <c r="V100" i="1"/>
  <c r="AY100" i="1" l="1"/>
  <c r="AZ100" i="1" s="1"/>
  <c r="AX100" i="1"/>
  <c r="BB100" i="1" s="1"/>
  <c r="BA100" i="1"/>
  <c r="AA100" i="1" l="1"/>
  <c r="AI100" i="1" s="1"/>
  <c r="AD101" i="1" s="1"/>
  <c r="X101" i="1" s="1"/>
  <c r="Y100" i="1"/>
  <c r="AG100" i="1" s="1"/>
  <c r="Z100" i="1"/>
  <c r="AH100" i="1" s="1"/>
  <c r="AC101" i="1" s="1"/>
  <c r="W101" i="1" s="1"/>
  <c r="AB101" i="1" l="1"/>
  <c r="AJ100" i="1"/>
  <c r="AK100" i="1" s="1"/>
  <c r="AL100" i="1" s="1"/>
  <c r="V101" i="1" l="1"/>
  <c r="AW101" i="1"/>
  <c r="BA101" i="1" l="1"/>
  <c r="AX101" i="1"/>
  <c r="BB101" i="1" s="1"/>
  <c r="AY101" i="1"/>
  <c r="AZ101" i="1" s="1"/>
  <c r="AA101" i="1" l="1"/>
  <c r="AI101" i="1" s="1"/>
  <c r="AD102" i="1" s="1"/>
  <c r="X102" i="1" s="1"/>
  <c r="Z101" i="1"/>
  <c r="AH101" i="1" s="1"/>
  <c r="AC102" i="1" s="1"/>
  <c r="W102" i="1" s="1"/>
  <c r="Y101" i="1"/>
  <c r="AG101" i="1" s="1"/>
  <c r="AB102" i="1" l="1"/>
  <c r="AJ101" i="1"/>
  <c r="AK101" i="1" s="1"/>
  <c r="AL101" i="1" s="1"/>
  <c r="AW102" i="1" l="1"/>
  <c r="V102" i="1"/>
  <c r="AX102" i="1" l="1"/>
  <c r="BB102" i="1" s="1"/>
  <c r="AY102" i="1"/>
  <c r="AZ102" i="1" s="1"/>
  <c r="BA102" i="1"/>
  <c r="AA102" i="1" l="1"/>
  <c r="AI102" i="1" s="1"/>
  <c r="AD103" i="1" s="1"/>
  <c r="X103" i="1" s="1"/>
  <c r="Y102" i="1"/>
  <c r="AG102" i="1" s="1"/>
  <c r="Z102" i="1"/>
  <c r="AH102" i="1" s="1"/>
  <c r="AC103" i="1" s="1"/>
  <c r="W103" i="1" s="1"/>
  <c r="AB103" i="1" l="1"/>
  <c r="AJ102" i="1"/>
  <c r="AK102" i="1" s="1"/>
  <c r="AL102" i="1" s="1"/>
  <c r="V103" i="1" l="1"/>
  <c r="AW103" i="1"/>
  <c r="AY103" i="1" l="1"/>
  <c r="AZ103" i="1" s="1"/>
  <c r="BA103" i="1"/>
  <c r="AX103" i="1"/>
  <c r="BB103" i="1" s="1"/>
  <c r="AA103" i="1" l="1"/>
  <c r="AI103" i="1" s="1"/>
  <c r="AD104" i="1" s="1"/>
  <c r="X104" i="1" s="1"/>
  <c r="Z103" i="1"/>
  <c r="AH103" i="1" s="1"/>
  <c r="AC104" i="1" s="1"/>
  <c r="W104" i="1" s="1"/>
  <c r="Y103" i="1"/>
  <c r="AG103" i="1" s="1"/>
  <c r="AB104" i="1" l="1"/>
  <c r="AJ103" i="1"/>
  <c r="AK103" i="1" s="1"/>
  <c r="AL103" i="1" s="1"/>
  <c r="AW104" i="1" l="1"/>
  <c r="V104" i="1"/>
  <c r="AX104" i="1" l="1"/>
  <c r="BB104" i="1" s="1"/>
  <c r="BA104" i="1"/>
  <c r="AY104" i="1"/>
  <c r="AZ104" i="1" s="1"/>
  <c r="AA104" i="1" l="1"/>
  <c r="AI104" i="1" s="1"/>
  <c r="AD105" i="1" s="1"/>
  <c r="X105" i="1" s="1"/>
  <c r="Y104" i="1"/>
  <c r="AG104" i="1" s="1"/>
  <c r="Z104" i="1"/>
  <c r="AH104" i="1" s="1"/>
  <c r="AC105" i="1" s="1"/>
  <c r="W105" i="1" s="1"/>
  <c r="AB105" i="1" l="1"/>
  <c r="AJ104" i="1"/>
  <c r="AK104" i="1" s="1"/>
  <c r="AL104" i="1" s="1"/>
  <c r="V105" i="1" l="1"/>
  <c r="AW105" i="1"/>
  <c r="AX105" i="1" l="1"/>
  <c r="BB105" i="1" s="1"/>
  <c r="AY105" i="1"/>
  <c r="AZ105" i="1" s="1"/>
  <c r="BA105" i="1"/>
  <c r="AA105" i="1" l="1"/>
  <c r="AI105" i="1" s="1"/>
  <c r="AD106" i="1" s="1"/>
  <c r="X106" i="1" s="1"/>
  <c r="Y105" i="1"/>
  <c r="AG105" i="1" s="1"/>
  <c r="Z105" i="1"/>
  <c r="AH105" i="1" s="1"/>
  <c r="AC106" i="1" s="1"/>
  <c r="W106" i="1" s="1"/>
  <c r="AB106" i="1" l="1"/>
  <c r="AJ105" i="1"/>
  <c r="AK105" i="1" s="1"/>
  <c r="AL105" i="1" s="1"/>
  <c r="AW106" i="1" l="1"/>
  <c r="V106" i="1"/>
  <c r="AY106" i="1" l="1"/>
  <c r="AZ106" i="1" s="1"/>
  <c r="BA106" i="1"/>
  <c r="AX106" i="1"/>
  <c r="BB106" i="1" s="1"/>
  <c r="AA106" i="1" l="1"/>
  <c r="AI106" i="1" s="1"/>
  <c r="AD107" i="1" s="1"/>
  <c r="X107" i="1" s="1"/>
  <c r="Z106" i="1"/>
  <c r="AH106" i="1" s="1"/>
  <c r="AC107" i="1" s="1"/>
  <c r="W107" i="1" s="1"/>
  <c r="Y106" i="1"/>
  <c r="AG106" i="1" s="1"/>
  <c r="AB107" i="1" l="1"/>
  <c r="AJ106" i="1"/>
  <c r="AK106" i="1" s="1"/>
  <c r="AL106" i="1" s="1"/>
  <c r="V107" i="1" l="1"/>
  <c r="AW107" i="1"/>
  <c r="AY107" i="1" l="1"/>
  <c r="AZ107" i="1" s="1"/>
  <c r="BA107" i="1"/>
  <c r="AX107" i="1"/>
  <c r="BB107" i="1" s="1"/>
  <c r="AA107" i="1" l="1"/>
  <c r="AI107" i="1" s="1"/>
  <c r="AD108" i="1" s="1"/>
  <c r="X108" i="1" s="1"/>
  <c r="Y107" i="1"/>
  <c r="AG107" i="1" s="1"/>
  <c r="Z107" i="1"/>
  <c r="AH107" i="1" s="1"/>
  <c r="AC108" i="1" s="1"/>
  <c r="W108" i="1" s="1"/>
  <c r="AB108" i="1" l="1"/>
  <c r="AJ107" i="1"/>
  <c r="AK107" i="1" s="1"/>
  <c r="AL107" i="1" s="1"/>
  <c r="V108" i="1" l="1"/>
  <c r="AW108" i="1"/>
  <c r="AY108" i="1" l="1"/>
  <c r="AZ108" i="1" s="1"/>
  <c r="BA108" i="1"/>
  <c r="AX108" i="1"/>
  <c r="BB108" i="1" s="1"/>
  <c r="AA108" i="1" l="1"/>
  <c r="AI108" i="1" s="1"/>
  <c r="AD109" i="1" s="1"/>
  <c r="X109" i="1" s="1"/>
  <c r="Y108" i="1"/>
  <c r="AG108" i="1" s="1"/>
  <c r="Z108" i="1"/>
  <c r="AH108" i="1" s="1"/>
  <c r="AC109" i="1" s="1"/>
  <c r="W109" i="1" s="1"/>
  <c r="AB109" i="1" l="1"/>
  <c r="AJ108" i="1"/>
  <c r="AK108" i="1" s="1"/>
  <c r="AL108" i="1" s="1"/>
  <c r="AW109" i="1" l="1"/>
  <c r="V109" i="1"/>
  <c r="AY109" i="1" l="1"/>
  <c r="AZ109" i="1" s="1"/>
  <c r="BA109" i="1"/>
  <c r="AX109" i="1"/>
  <c r="BB109" i="1" s="1"/>
  <c r="AA109" i="1" l="1"/>
  <c r="AI109" i="1" s="1"/>
  <c r="AD110" i="1" s="1"/>
  <c r="X110" i="1" s="1"/>
  <c r="Y109" i="1"/>
  <c r="AG109" i="1" s="1"/>
  <c r="Z109" i="1"/>
  <c r="AH109" i="1" s="1"/>
  <c r="AC110" i="1" s="1"/>
  <c r="W110" i="1" s="1"/>
  <c r="AB110" i="1" l="1"/>
  <c r="AJ109" i="1"/>
  <c r="AK109" i="1" s="1"/>
  <c r="AL109" i="1" s="1"/>
  <c r="V110" i="1" l="1"/>
  <c r="AW110" i="1"/>
  <c r="BA110" i="1" l="1"/>
  <c r="AY110" i="1"/>
  <c r="AZ110" i="1" s="1"/>
  <c r="AX110" i="1"/>
  <c r="BB110" i="1" s="1"/>
  <c r="AA110" i="1" l="1"/>
  <c r="AI110" i="1" s="1"/>
  <c r="AD111" i="1" s="1"/>
  <c r="X111" i="1" s="1"/>
  <c r="Z110" i="1"/>
  <c r="AH110" i="1" s="1"/>
  <c r="AC111" i="1" s="1"/>
  <c r="W111" i="1" s="1"/>
  <c r="Y110" i="1"/>
  <c r="AG110" i="1" s="1"/>
  <c r="AB111" i="1" l="1"/>
  <c r="AJ110" i="1"/>
  <c r="AK110" i="1" s="1"/>
  <c r="AL110" i="1" s="1"/>
  <c r="V111" i="1" l="1"/>
  <c r="AW111" i="1"/>
  <c r="AY111" i="1" l="1"/>
  <c r="AZ111" i="1" s="1"/>
  <c r="BA111" i="1"/>
  <c r="AX111" i="1"/>
  <c r="BB111" i="1" s="1"/>
  <c r="AA111" i="1" l="1"/>
  <c r="AI111" i="1" s="1"/>
  <c r="AD112" i="1" s="1"/>
  <c r="X112" i="1" s="1"/>
  <c r="Z111" i="1"/>
  <c r="AH111" i="1" s="1"/>
  <c r="AC112" i="1" s="1"/>
  <c r="W112" i="1" s="1"/>
  <c r="Y111" i="1"/>
  <c r="AG111" i="1" s="1"/>
  <c r="AB112" i="1" l="1"/>
  <c r="AJ111" i="1"/>
  <c r="AK111" i="1" s="1"/>
  <c r="AL111" i="1" s="1"/>
  <c r="AW112" i="1" l="1"/>
  <c r="V112" i="1"/>
  <c r="BA112" i="1" l="1"/>
  <c r="AX112" i="1"/>
  <c r="BB112" i="1" s="1"/>
  <c r="AY112" i="1"/>
  <c r="AZ112" i="1" s="1"/>
  <c r="AA112" i="1" l="1"/>
  <c r="AI112" i="1" s="1"/>
  <c r="Z112" i="1"/>
  <c r="AH112" i="1" s="1"/>
  <c r="Y112" i="1"/>
  <c r="AG112" i="1" s="1"/>
  <c r="AJ112" i="1" l="1"/>
  <c r="AK112" i="1" l="1"/>
  <c r="AK114" i="1"/>
  <c r="AM111" i="1"/>
  <c r="AM103" i="1"/>
  <c r="AN103" i="1" s="1"/>
  <c r="AO103" i="1" s="1"/>
  <c r="AM102" i="1"/>
  <c r="AN102" i="1" s="1"/>
  <c r="AO102" i="1" s="1"/>
  <c r="AM104" i="1"/>
  <c r="AN104" i="1" s="1"/>
  <c r="AO104" i="1" s="1"/>
  <c r="AM105" i="1"/>
  <c r="AN105" i="1" s="1"/>
  <c r="AO105" i="1" s="1"/>
  <c r="AM98" i="1"/>
  <c r="AN98" i="1" s="1"/>
  <c r="AO98" i="1" s="1"/>
  <c r="AM96" i="1"/>
  <c r="AN96" i="1" s="1"/>
  <c r="AO96" i="1" s="1"/>
  <c r="AM108" i="1"/>
  <c r="AN108" i="1" s="1"/>
  <c r="AO108" i="1" s="1"/>
  <c r="AM107" i="1"/>
  <c r="AN107" i="1" s="1"/>
  <c r="AO107" i="1" s="1"/>
  <c r="AM112" i="1"/>
  <c r="AN112" i="1" s="1"/>
  <c r="AO112" i="1" s="1"/>
  <c r="AM110" i="1"/>
  <c r="AN110" i="1" s="1"/>
  <c r="AO110" i="1" s="1"/>
  <c r="AM97" i="1"/>
  <c r="AN97" i="1" s="1"/>
  <c r="AO97" i="1" s="1"/>
  <c r="AM100" i="1"/>
  <c r="AN100" i="1" s="1"/>
  <c r="AO100" i="1" s="1"/>
  <c r="AM109" i="1"/>
  <c r="AN109" i="1" s="1"/>
  <c r="AO109" i="1" s="1"/>
  <c r="AM99" i="1"/>
  <c r="AN99" i="1" s="1"/>
  <c r="AO99" i="1" s="1"/>
  <c r="AM101" i="1"/>
  <c r="AM95" i="1"/>
  <c r="AN95" i="1" s="1"/>
  <c r="AO95" i="1" s="1"/>
  <c r="AM106" i="1"/>
  <c r="AN106" i="1" s="1"/>
  <c r="AO106" i="1" s="1"/>
  <c r="AN101" i="1"/>
  <c r="AO101" i="1" s="1"/>
  <c r="AN111" i="1"/>
  <c r="AO111" i="1" s="1"/>
  <c r="AL112" i="1" l="1"/>
  <c r="AK115" i="1"/>
  <c r="AM28" i="1" l="1"/>
  <c r="AN28" i="1" s="1"/>
  <c r="AM50" i="1"/>
  <c r="AN50" i="1" s="1"/>
  <c r="AM24" i="1"/>
  <c r="AN24" i="1" s="1"/>
  <c r="AM14" i="1"/>
  <c r="AN14" i="1" s="1"/>
  <c r="AO14" i="1" s="1"/>
  <c r="AM41" i="1"/>
  <c r="AN41" i="1" s="1"/>
  <c r="AM45" i="1"/>
  <c r="AN45" i="1" s="1"/>
  <c r="AM61" i="1"/>
  <c r="AN61" i="1" s="1"/>
  <c r="AM60" i="1"/>
  <c r="AN60" i="1" s="1"/>
  <c r="AM19" i="1"/>
  <c r="AN19" i="1" s="1"/>
  <c r="AM85" i="1"/>
  <c r="AN85" i="1" s="1"/>
  <c r="AM47" i="1"/>
  <c r="AN47" i="1" s="1"/>
  <c r="AM46" i="1"/>
  <c r="AN46" i="1" s="1"/>
  <c r="AM53" i="1"/>
  <c r="AN53" i="1" s="1"/>
  <c r="AM57" i="1"/>
  <c r="AN57" i="1" s="1"/>
  <c r="AM26" i="1"/>
  <c r="AN26" i="1" s="1"/>
  <c r="AM51" i="1"/>
  <c r="AN51" i="1" s="1"/>
  <c r="AM86" i="1"/>
  <c r="AN86" i="1" s="1"/>
  <c r="AM49" i="1"/>
  <c r="AN49" i="1" s="1"/>
  <c r="AM36" i="1"/>
  <c r="AN36" i="1" s="1"/>
  <c r="AM33" i="1"/>
  <c r="AN33" i="1" s="1"/>
  <c r="AM65" i="1"/>
  <c r="AN65" i="1" s="1"/>
  <c r="AM29" i="1"/>
  <c r="AN29" i="1" s="1"/>
  <c r="AM87" i="1"/>
  <c r="AN87" i="1" s="1"/>
  <c r="AM22" i="1"/>
  <c r="AN22" i="1" s="1"/>
  <c r="AM13" i="1"/>
  <c r="AN13" i="1" s="1"/>
  <c r="AM52" i="1"/>
  <c r="AN52" i="1" s="1"/>
  <c r="AM39" i="1"/>
  <c r="AN39" i="1" s="1"/>
  <c r="AM81" i="1"/>
  <c r="AN81" i="1" s="1"/>
  <c r="AM74" i="1"/>
  <c r="AN74" i="1" s="1"/>
  <c r="AM66" i="1"/>
  <c r="AN66" i="1" s="1"/>
  <c r="AM68" i="1"/>
  <c r="AN68" i="1" s="1"/>
  <c r="AM88" i="1"/>
  <c r="AN88" i="1" s="1"/>
  <c r="AM55" i="1"/>
  <c r="AN55" i="1" s="1"/>
  <c r="AM25" i="1"/>
  <c r="AN25" i="1" s="1"/>
  <c r="AM43" i="1"/>
  <c r="AN43" i="1" s="1"/>
  <c r="AM76" i="1"/>
  <c r="AN76" i="1" s="1"/>
  <c r="AM78" i="1"/>
  <c r="AN78" i="1" s="1"/>
  <c r="AM38" i="1"/>
  <c r="AN38" i="1" s="1"/>
  <c r="AM73" i="1"/>
  <c r="AN73" i="1" s="1"/>
  <c r="AM89" i="1"/>
  <c r="AN89" i="1" s="1"/>
  <c r="AM35" i="1"/>
  <c r="AN35" i="1" s="1"/>
  <c r="AM91" i="1"/>
  <c r="AN91" i="1" s="1"/>
  <c r="AM34" i="1"/>
  <c r="AN34" i="1" s="1"/>
  <c r="AM42" i="1"/>
  <c r="AN42" i="1" s="1"/>
  <c r="AM21" i="1"/>
  <c r="AN21" i="1" s="1"/>
  <c r="AM40" i="1"/>
  <c r="AN40" i="1" s="1"/>
  <c r="AM90" i="1"/>
  <c r="AN90" i="1" s="1"/>
  <c r="AM77" i="1"/>
  <c r="AN77" i="1" s="1"/>
  <c r="AM62" i="1"/>
  <c r="AN62" i="1" s="1"/>
  <c r="AM69" i="1"/>
  <c r="AN69" i="1" s="1"/>
  <c r="AM48" i="1"/>
  <c r="AN48" i="1" s="1"/>
  <c r="AM23" i="1"/>
  <c r="AN23" i="1" s="1"/>
  <c r="AM31" i="1"/>
  <c r="AN31" i="1" s="1"/>
  <c r="AM71" i="1"/>
  <c r="AN71" i="1" s="1"/>
  <c r="AM44" i="1"/>
  <c r="AN44" i="1" s="1"/>
  <c r="AM15" i="1"/>
  <c r="AN15" i="1" s="1"/>
  <c r="AM75" i="1"/>
  <c r="AN75" i="1" s="1"/>
  <c r="AM70" i="1"/>
  <c r="AN70" i="1" s="1"/>
  <c r="AM72" i="1"/>
  <c r="AN72" i="1" s="1"/>
  <c r="AM94" i="1"/>
  <c r="AN94" i="1" s="1"/>
  <c r="AM63" i="1"/>
  <c r="AN63" i="1" s="1"/>
  <c r="AM18" i="1"/>
  <c r="AN18" i="1" s="1"/>
  <c r="AM79" i="1"/>
  <c r="AN79" i="1" s="1"/>
  <c r="AM27" i="1"/>
  <c r="AN27" i="1" s="1"/>
  <c r="AM82" i="1"/>
  <c r="AN82" i="1" s="1"/>
  <c r="AM64" i="1"/>
  <c r="AN64" i="1" s="1"/>
  <c r="AM92" i="1"/>
  <c r="AN92" i="1" s="1"/>
  <c r="AM32" i="1"/>
  <c r="AN32" i="1" s="1"/>
  <c r="AM67" i="1"/>
  <c r="AN67" i="1" s="1"/>
  <c r="AM37" i="1"/>
  <c r="AN37" i="1" s="1"/>
  <c r="AM56" i="1"/>
  <c r="AN56" i="1" s="1"/>
  <c r="AM17" i="1"/>
  <c r="AN17" i="1" s="1"/>
  <c r="AM84" i="1"/>
  <c r="AN84" i="1" s="1"/>
  <c r="AM80" i="1"/>
  <c r="AN80" i="1" s="1"/>
  <c r="AM93" i="1"/>
  <c r="AN93" i="1" s="1"/>
  <c r="AM20" i="1"/>
  <c r="AN20" i="1" s="1"/>
  <c r="AM30" i="1"/>
  <c r="AN30" i="1" s="1"/>
  <c r="AM58" i="1"/>
  <c r="AN58" i="1" s="1"/>
  <c r="AM54" i="1"/>
  <c r="AN54" i="1" s="1"/>
  <c r="AM16" i="1"/>
  <c r="AN16" i="1" s="1"/>
  <c r="AM83" i="1"/>
  <c r="AN83" i="1" s="1"/>
  <c r="AM59" i="1"/>
  <c r="AN59" i="1" s="1"/>
  <c r="AN117" i="1"/>
  <c r="BW30" i="1" s="1"/>
  <c r="AN114" i="1" l="1"/>
  <c r="AN118" i="1" s="1"/>
  <c r="BW31" i="1" s="1"/>
  <c r="AO15" i="1"/>
  <c r="AO16" i="1" s="1"/>
  <c r="AO17" i="1" l="1"/>
  <c r="AO18" i="1" s="1"/>
  <c r="AO19" i="1" l="1"/>
  <c r="AO20" i="1" l="1"/>
  <c r="AO21" i="1" l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l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BE13" i="1"/>
  <c r="BF13" i="1" s="1"/>
  <c r="AO89" i="1" l="1"/>
  <c r="AO90" i="1" s="1"/>
  <c r="AO91" i="1" s="1"/>
  <c r="AO92" i="1" s="1"/>
  <c r="AO93" i="1" l="1"/>
  <c r="AO94" i="1" s="1"/>
  <c r="AO10" i="1" s="1"/>
  <c r="BD14" i="1" s="1"/>
  <c r="BD15" i="1" l="1"/>
  <c r="BJ14" i="1"/>
  <c r="BK14" i="1" s="1"/>
  <c r="BL14" i="1" s="1"/>
  <c r="BM14" i="1" s="1"/>
  <c r="BE14" i="1"/>
  <c r="BF14" i="1" s="1"/>
  <c r="BJ15" i="1" l="1"/>
  <c r="BK15" i="1" s="1"/>
  <c r="BE15" i="1"/>
  <c r="BF15" i="1" s="1"/>
  <c r="BD16" i="1"/>
  <c r="BL15" i="1" l="1"/>
  <c r="BM15" i="1" s="1"/>
  <c r="BD17" i="1"/>
  <c r="BJ16" i="1"/>
  <c r="BK16" i="1" s="1"/>
  <c r="BE16" i="1"/>
  <c r="BF16" i="1" s="1"/>
  <c r="BL16" i="1" l="1"/>
  <c r="BM16" i="1" s="1"/>
  <c r="BD18" i="1"/>
  <c r="BE17" i="1"/>
  <c r="BF17" i="1" s="1"/>
  <c r="BJ17" i="1"/>
  <c r="BK17" i="1" s="1"/>
  <c r="BL17" i="1" s="1"/>
  <c r="BM17" i="1" s="1"/>
  <c r="BD19" i="1" l="1"/>
  <c r="BE18" i="1"/>
  <c r="BF18" i="1" s="1"/>
  <c r="BJ18" i="1"/>
  <c r="BK18" i="1" s="1"/>
  <c r="BL18" i="1" l="1"/>
  <c r="BM18" i="1" s="1"/>
  <c r="BJ19" i="1"/>
  <c r="BK19" i="1" s="1"/>
  <c r="BL19" i="1" s="1"/>
  <c r="BM19" i="1" s="1"/>
  <c r="BE19" i="1"/>
  <c r="BF19" i="1" s="1"/>
  <c r="BD20" i="1"/>
  <c r="BD21" i="1" l="1"/>
  <c r="BJ20" i="1"/>
  <c r="BK20" i="1" s="1"/>
  <c r="BE20" i="1"/>
  <c r="BF20" i="1" s="1"/>
  <c r="BL20" i="1" l="1"/>
  <c r="BM20" i="1" s="1"/>
  <c r="BD22" i="1"/>
  <c r="BJ21" i="1"/>
  <c r="BK21" i="1" s="1"/>
  <c r="BE21" i="1"/>
  <c r="BF21" i="1" s="1"/>
  <c r="BL21" i="1" l="1"/>
  <c r="BM21" i="1" s="1"/>
  <c r="BD23" i="1"/>
  <c r="BJ22" i="1"/>
  <c r="BK22" i="1" s="1"/>
  <c r="BE22" i="1"/>
  <c r="BF22" i="1" s="1"/>
  <c r="BL22" i="1" l="1"/>
  <c r="BM22" i="1" s="1"/>
  <c r="BD24" i="1"/>
  <c r="BJ23" i="1"/>
  <c r="BK23" i="1" s="1"/>
  <c r="BL23" i="1" s="1"/>
  <c r="BM23" i="1" s="1"/>
  <c r="BE23" i="1"/>
  <c r="BF23" i="1" s="1"/>
  <c r="BE24" i="1" l="1"/>
  <c r="BF24" i="1" s="1"/>
  <c r="BD25" i="1"/>
  <c r="BJ24" i="1"/>
  <c r="BK24" i="1" s="1"/>
  <c r="BL24" i="1" s="1"/>
  <c r="BM24" i="1" s="1"/>
  <c r="BD26" i="1" l="1"/>
  <c r="BJ25" i="1"/>
  <c r="BK25" i="1" s="1"/>
  <c r="BE25" i="1"/>
  <c r="BF25" i="1" s="1"/>
  <c r="BL25" i="1" l="1"/>
  <c r="BM25" i="1" s="1"/>
  <c r="BD27" i="1"/>
  <c r="BJ26" i="1"/>
  <c r="BK26" i="1" s="1"/>
  <c r="BE26" i="1"/>
  <c r="BF26" i="1" s="1"/>
  <c r="BL26" i="1" l="1"/>
  <c r="BM26" i="1" s="1"/>
  <c r="BD28" i="1"/>
  <c r="BJ27" i="1"/>
  <c r="BK27" i="1" s="1"/>
  <c r="BE27" i="1"/>
  <c r="BF27" i="1" s="1"/>
  <c r="BL27" i="1" l="1"/>
  <c r="BM27" i="1" s="1"/>
  <c r="BD29" i="1"/>
  <c r="BE28" i="1"/>
  <c r="BF28" i="1" s="1"/>
  <c r="BJ28" i="1"/>
  <c r="BK28" i="1" s="1"/>
  <c r="BL28" i="1" s="1"/>
  <c r="BM28" i="1" s="1"/>
  <c r="BD30" i="1" l="1"/>
  <c r="BJ29" i="1"/>
  <c r="BK29" i="1" s="1"/>
  <c r="BE29" i="1"/>
  <c r="BF29" i="1" s="1"/>
  <c r="BL29" i="1" l="1"/>
  <c r="BM29" i="1" s="1"/>
  <c r="BD31" i="1"/>
  <c r="BJ30" i="1"/>
  <c r="BK30" i="1" s="1"/>
  <c r="BL30" i="1" s="1"/>
  <c r="BM30" i="1" s="1"/>
  <c r="BE30" i="1"/>
  <c r="BF30" i="1" s="1"/>
  <c r="BE31" i="1" l="1"/>
  <c r="BF31" i="1" s="1"/>
  <c r="BD32" i="1"/>
  <c r="BJ31" i="1"/>
  <c r="BK31" i="1" s="1"/>
  <c r="BL31" i="1" s="1"/>
  <c r="BM31" i="1" s="1"/>
  <c r="BD33" i="1" l="1"/>
  <c r="BJ32" i="1"/>
  <c r="BK32" i="1" s="1"/>
  <c r="BE32" i="1"/>
  <c r="BF32" i="1" s="1"/>
  <c r="BL32" i="1" l="1"/>
  <c r="BM32" i="1" s="1"/>
  <c r="BD34" i="1"/>
  <c r="BJ33" i="1"/>
  <c r="BK33" i="1" s="1"/>
  <c r="BE33" i="1"/>
  <c r="BF33" i="1" s="1"/>
  <c r="BL33" i="1" l="1"/>
  <c r="BM33" i="1" s="1"/>
  <c r="BJ34" i="1"/>
  <c r="BK34" i="1" s="1"/>
  <c r="BL34" i="1" s="1"/>
  <c r="BM34" i="1" s="1"/>
  <c r="BD35" i="1"/>
  <c r="BE34" i="1"/>
  <c r="BF34" i="1" s="1"/>
  <c r="BD36" i="1" l="1"/>
  <c r="BJ35" i="1"/>
  <c r="BK35" i="1" s="1"/>
  <c r="BL35" i="1" s="1"/>
  <c r="BM35" i="1" s="1"/>
  <c r="BE35" i="1"/>
  <c r="BF35" i="1" s="1"/>
  <c r="BD37" i="1" l="1"/>
  <c r="BE36" i="1"/>
  <c r="BF36" i="1" s="1"/>
  <c r="BJ36" i="1"/>
  <c r="BK36" i="1" s="1"/>
  <c r="BL36" i="1" s="1"/>
  <c r="BM36" i="1" s="1"/>
  <c r="BJ37" i="1" l="1"/>
  <c r="BK37" i="1" s="1"/>
  <c r="BL37" i="1" s="1"/>
  <c r="BM37" i="1" s="1"/>
  <c r="BD38" i="1"/>
  <c r="BE37" i="1"/>
  <c r="BF37" i="1" s="1"/>
  <c r="BJ38" i="1" l="1"/>
  <c r="BK38" i="1" s="1"/>
  <c r="BL38" i="1" s="1"/>
  <c r="BM38" i="1" s="1"/>
  <c r="BD39" i="1"/>
  <c r="BE38" i="1"/>
  <c r="BF38" i="1" s="1"/>
  <c r="BD40" i="1" l="1"/>
  <c r="BJ39" i="1"/>
  <c r="BK39" i="1" s="1"/>
  <c r="BL39" i="1" s="1"/>
  <c r="BM39" i="1" s="1"/>
  <c r="BE39" i="1"/>
  <c r="BF39" i="1" s="1"/>
  <c r="BD41" i="1" l="1"/>
  <c r="BJ40" i="1"/>
  <c r="BK40" i="1" s="1"/>
  <c r="BL40" i="1" s="1"/>
  <c r="BM40" i="1" s="1"/>
  <c r="BE40" i="1"/>
  <c r="BF40" i="1" s="1"/>
  <c r="BD42" i="1" l="1"/>
  <c r="BJ41" i="1"/>
  <c r="BK41" i="1" s="1"/>
  <c r="BL41" i="1" s="1"/>
  <c r="BM41" i="1" s="1"/>
  <c r="BE41" i="1"/>
  <c r="BF41" i="1" s="1"/>
  <c r="BD43" i="1" l="1"/>
  <c r="BJ42" i="1"/>
  <c r="BK42" i="1" s="1"/>
  <c r="BE42" i="1"/>
  <c r="BF42" i="1" s="1"/>
  <c r="BL42" i="1" l="1"/>
  <c r="BM42" i="1" s="1"/>
  <c r="BD44" i="1"/>
  <c r="BJ43" i="1"/>
  <c r="BK43" i="1" s="1"/>
  <c r="BE43" i="1"/>
  <c r="BF43" i="1" s="1"/>
  <c r="BL43" i="1" l="1"/>
  <c r="BM43" i="1" s="1"/>
  <c r="BD45" i="1"/>
  <c r="BE44" i="1"/>
  <c r="BF44" i="1" s="1"/>
  <c r="BJ44" i="1"/>
  <c r="BK44" i="1" s="1"/>
  <c r="BL44" i="1" s="1"/>
  <c r="BM44" i="1" s="1"/>
  <c r="BD46" i="1" l="1"/>
  <c r="BJ45" i="1"/>
  <c r="BK45" i="1" s="1"/>
  <c r="BE45" i="1"/>
  <c r="BF45" i="1" s="1"/>
  <c r="BL45" i="1" l="1"/>
  <c r="BM45" i="1" s="1"/>
  <c r="BD47" i="1"/>
  <c r="BJ46" i="1"/>
  <c r="BK46" i="1" s="1"/>
  <c r="BL46" i="1" s="1"/>
  <c r="BM46" i="1" s="1"/>
  <c r="BE46" i="1"/>
  <c r="BF46" i="1" s="1"/>
  <c r="BD48" i="1" l="1"/>
  <c r="BJ47" i="1"/>
  <c r="BK47" i="1" s="1"/>
  <c r="BL47" i="1" s="1"/>
  <c r="BM47" i="1" s="1"/>
  <c r="BE47" i="1"/>
  <c r="BF47" i="1" s="1"/>
  <c r="BD49" i="1" l="1"/>
  <c r="BJ48" i="1"/>
  <c r="BK48" i="1" s="1"/>
  <c r="BL48" i="1" s="1"/>
  <c r="BM48" i="1" s="1"/>
  <c r="BE48" i="1"/>
  <c r="BF48" i="1" s="1"/>
  <c r="BD50" i="1" l="1"/>
  <c r="BJ49" i="1"/>
  <c r="BK49" i="1" s="1"/>
  <c r="BL49" i="1" s="1"/>
  <c r="BM49" i="1" s="1"/>
  <c r="BE49" i="1"/>
  <c r="BF49" i="1" s="1"/>
  <c r="BD51" i="1" l="1"/>
  <c r="BE50" i="1"/>
  <c r="BF50" i="1" s="1"/>
  <c r="BJ50" i="1"/>
  <c r="BK50" i="1" s="1"/>
  <c r="BL50" i="1" s="1"/>
  <c r="BM50" i="1" s="1"/>
  <c r="BD52" i="1" l="1"/>
  <c r="BJ51" i="1"/>
  <c r="BK51" i="1" s="1"/>
  <c r="BL51" i="1" s="1"/>
  <c r="BM51" i="1" s="1"/>
  <c r="BE51" i="1"/>
  <c r="BF51" i="1" s="1"/>
  <c r="BD53" i="1" l="1"/>
  <c r="BJ52" i="1"/>
  <c r="BK52" i="1" s="1"/>
  <c r="BE52" i="1"/>
  <c r="BF52" i="1" s="1"/>
  <c r="BL52" i="1" l="1"/>
  <c r="BM52" i="1" s="1"/>
  <c r="BE53" i="1"/>
  <c r="BF53" i="1" s="1"/>
  <c r="BD54" i="1"/>
  <c r="BJ53" i="1"/>
  <c r="BK53" i="1" s="1"/>
  <c r="BL53" i="1" l="1"/>
  <c r="BM53" i="1" s="1"/>
  <c r="BD55" i="1"/>
  <c r="BJ54" i="1"/>
  <c r="BK54" i="1" s="1"/>
  <c r="BL54" i="1" s="1"/>
  <c r="BM54" i="1" s="1"/>
  <c r="BE54" i="1"/>
  <c r="BF54" i="1" s="1"/>
  <c r="BD56" i="1" l="1"/>
  <c r="BE55" i="1"/>
  <c r="BF55" i="1" s="1"/>
  <c r="BJ55" i="1"/>
  <c r="BK55" i="1" s="1"/>
  <c r="BL55" i="1" l="1"/>
  <c r="BM55" i="1" s="1"/>
  <c r="BD57" i="1"/>
  <c r="BJ56" i="1"/>
  <c r="BK56" i="1" s="1"/>
  <c r="BL56" i="1" s="1"/>
  <c r="BM56" i="1" s="1"/>
  <c r="BE56" i="1"/>
  <c r="BF56" i="1" s="1"/>
  <c r="BD58" i="1" l="1"/>
  <c r="BJ57" i="1"/>
  <c r="BK57" i="1" s="1"/>
  <c r="BE57" i="1"/>
  <c r="BF57" i="1" s="1"/>
  <c r="BL57" i="1" l="1"/>
  <c r="BM57" i="1" s="1"/>
  <c r="BE58" i="1"/>
  <c r="BF58" i="1" s="1"/>
  <c r="BD59" i="1"/>
  <c r="BJ58" i="1"/>
  <c r="BK58" i="1" s="1"/>
  <c r="BL58" i="1" s="1"/>
  <c r="BM58" i="1" s="1"/>
  <c r="BD60" i="1" l="1"/>
  <c r="BJ59" i="1"/>
  <c r="BK59" i="1" s="1"/>
  <c r="BL59" i="1" s="1"/>
  <c r="BM59" i="1" s="1"/>
  <c r="BE59" i="1"/>
  <c r="BF59" i="1" s="1"/>
  <c r="BJ60" i="1" l="1"/>
  <c r="BK60" i="1" s="1"/>
  <c r="BD61" i="1"/>
  <c r="BE60" i="1"/>
  <c r="BF60" i="1" s="1"/>
  <c r="BL60" i="1" l="1"/>
  <c r="BM60" i="1" s="1"/>
  <c r="BD62" i="1"/>
  <c r="BJ61" i="1"/>
  <c r="BK61" i="1" s="1"/>
  <c r="BL61" i="1" s="1"/>
  <c r="BM61" i="1" s="1"/>
  <c r="BE61" i="1"/>
  <c r="BF61" i="1" s="1"/>
  <c r="BD63" i="1" l="1"/>
  <c r="BJ62" i="1"/>
  <c r="BK62" i="1" s="1"/>
  <c r="BE62" i="1"/>
  <c r="BF62" i="1" s="1"/>
  <c r="BL62" i="1" l="1"/>
  <c r="BM62" i="1" s="1"/>
  <c r="BD64" i="1"/>
  <c r="BE63" i="1"/>
  <c r="BF63" i="1" s="1"/>
  <c r="BJ63" i="1"/>
  <c r="BK63" i="1" s="1"/>
  <c r="BL63" i="1" s="1"/>
  <c r="BM63" i="1" s="1"/>
  <c r="BD65" i="1" l="1"/>
  <c r="BJ64" i="1"/>
  <c r="BK64" i="1" s="1"/>
  <c r="BL64" i="1" s="1"/>
  <c r="BM64" i="1" s="1"/>
  <c r="BE64" i="1"/>
  <c r="BF64" i="1" s="1"/>
  <c r="BD66" i="1" l="1"/>
  <c r="BJ65" i="1"/>
  <c r="BK65" i="1" s="1"/>
  <c r="BL65" i="1" s="1"/>
  <c r="BM65" i="1" s="1"/>
  <c r="BE65" i="1"/>
  <c r="BF65" i="1" s="1"/>
  <c r="BD67" i="1" l="1"/>
  <c r="BJ66" i="1"/>
  <c r="BK66" i="1" s="1"/>
  <c r="BL66" i="1" s="1"/>
  <c r="BM66" i="1" s="1"/>
  <c r="BE66" i="1"/>
  <c r="BF66" i="1" s="1"/>
  <c r="BD68" i="1" l="1"/>
  <c r="BJ67" i="1"/>
  <c r="BK67" i="1" s="1"/>
  <c r="BE67" i="1"/>
  <c r="BF67" i="1" s="1"/>
  <c r="BL67" i="1" l="1"/>
  <c r="BM67" i="1" s="1"/>
  <c r="BD69" i="1"/>
  <c r="BE68" i="1"/>
  <c r="BF68" i="1" s="1"/>
  <c r="BJ68" i="1"/>
  <c r="BK68" i="1" s="1"/>
  <c r="BL68" i="1" s="1"/>
  <c r="BM68" i="1" s="1"/>
  <c r="BE69" i="1" l="1"/>
  <c r="BF69" i="1" s="1"/>
  <c r="BD70" i="1"/>
  <c r="BJ69" i="1"/>
  <c r="BK69" i="1" s="1"/>
  <c r="BL69" i="1" s="1"/>
  <c r="BM69" i="1" s="1"/>
  <c r="BD71" i="1" l="1"/>
  <c r="BJ70" i="1"/>
  <c r="BK70" i="1" s="1"/>
  <c r="BE70" i="1"/>
  <c r="BF70" i="1" s="1"/>
  <c r="BL70" i="1" l="1"/>
  <c r="BM70" i="1" s="1"/>
  <c r="BD72" i="1"/>
  <c r="BE71" i="1"/>
  <c r="BF71" i="1" s="1"/>
  <c r="BJ71" i="1"/>
  <c r="BK71" i="1" s="1"/>
  <c r="BL71" i="1" s="1"/>
  <c r="BM71" i="1" s="1"/>
  <c r="BD73" i="1" l="1"/>
  <c r="BJ72" i="1"/>
  <c r="BK72" i="1" s="1"/>
  <c r="BL72" i="1" s="1"/>
  <c r="BM72" i="1" s="1"/>
  <c r="BE72" i="1"/>
  <c r="BF72" i="1" s="1"/>
  <c r="BD74" i="1" l="1"/>
  <c r="BJ73" i="1"/>
  <c r="BK73" i="1" s="1"/>
  <c r="BL73" i="1" s="1"/>
  <c r="BM73" i="1" s="1"/>
  <c r="BE73" i="1"/>
  <c r="BF73" i="1" s="1"/>
  <c r="BD75" i="1" l="1"/>
  <c r="BJ74" i="1"/>
  <c r="BK74" i="1" s="1"/>
  <c r="BE74" i="1"/>
  <c r="BF74" i="1" s="1"/>
  <c r="BL74" i="1" l="1"/>
  <c r="BM74" i="1" s="1"/>
  <c r="BD76" i="1"/>
  <c r="BJ75" i="1"/>
  <c r="BK75" i="1" s="1"/>
  <c r="BL75" i="1" s="1"/>
  <c r="BM75" i="1" s="1"/>
  <c r="BE75" i="1"/>
  <c r="BF75" i="1" s="1"/>
  <c r="BD77" i="1" l="1"/>
  <c r="BE76" i="1"/>
  <c r="BF76" i="1" s="1"/>
  <c r="BJ76" i="1"/>
  <c r="BK76" i="1" s="1"/>
  <c r="BL76" i="1" s="1"/>
  <c r="BM76" i="1" s="1"/>
  <c r="BD78" i="1" l="1"/>
  <c r="BJ77" i="1"/>
  <c r="BK77" i="1" s="1"/>
  <c r="BL77" i="1" s="1"/>
  <c r="BM77" i="1" s="1"/>
  <c r="BE77" i="1"/>
  <c r="BF77" i="1" s="1"/>
  <c r="BJ78" i="1" l="1"/>
  <c r="BK78" i="1" s="1"/>
  <c r="BD79" i="1"/>
  <c r="BE78" i="1"/>
  <c r="BF78" i="1" s="1"/>
  <c r="BL78" i="1" l="1"/>
  <c r="BM78" i="1" s="1"/>
  <c r="BE79" i="1"/>
  <c r="BF79" i="1" s="1"/>
  <c r="BD80" i="1"/>
  <c r="BJ79" i="1"/>
  <c r="BK79" i="1" s="1"/>
  <c r="BL79" i="1" l="1"/>
  <c r="BM79" i="1" s="1"/>
  <c r="BD81" i="1"/>
  <c r="BJ80" i="1"/>
  <c r="BK80" i="1" s="1"/>
  <c r="BL80" i="1" s="1"/>
  <c r="BM80" i="1" s="1"/>
  <c r="BE80" i="1"/>
  <c r="BF80" i="1" s="1"/>
  <c r="BD82" i="1" l="1"/>
  <c r="BJ81" i="1"/>
  <c r="BK81" i="1" s="1"/>
  <c r="BE81" i="1"/>
  <c r="BF81" i="1" s="1"/>
  <c r="BL81" i="1" l="1"/>
  <c r="BM81" i="1" s="1"/>
  <c r="BD83" i="1"/>
  <c r="BE82" i="1"/>
  <c r="BF82" i="1" s="1"/>
  <c r="BJ82" i="1"/>
  <c r="BK82" i="1" s="1"/>
  <c r="BL82" i="1" s="1"/>
  <c r="BM82" i="1" s="1"/>
  <c r="BD84" i="1" l="1"/>
  <c r="BJ83" i="1"/>
  <c r="BK83" i="1" s="1"/>
  <c r="BE83" i="1"/>
  <c r="BF83" i="1" s="1"/>
  <c r="BL83" i="1" l="1"/>
  <c r="BM83" i="1" s="1"/>
  <c r="BD85" i="1"/>
  <c r="BJ84" i="1"/>
  <c r="BK84" i="1" s="1"/>
  <c r="BE84" i="1"/>
  <c r="BF84" i="1" s="1"/>
  <c r="BL84" i="1" l="1"/>
  <c r="BM84" i="1" s="1"/>
  <c r="BD86" i="1"/>
  <c r="BJ85" i="1"/>
  <c r="BK85" i="1" s="1"/>
  <c r="BL85" i="1" s="1"/>
  <c r="BM85" i="1" s="1"/>
  <c r="BE85" i="1"/>
  <c r="BF85" i="1" s="1"/>
  <c r="BD87" i="1" l="1"/>
  <c r="BJ86" i="1"/>
  <c r="BK86" i="1" s="1"/>
  <c r="BE86" i="1"/>
  <c r="BF86" i="1" s="1"/>
  <c r="BL86" i="1" l="1"/>
  <c r="BM86" i="1" s="1"/>
  <c r="BE87" i="1"/>
  <c r="BF87" i="1" s="1"/>
  <c r="BD88" i="1"/>
  <c r="BJ87" i="1"/>
  <c r="BK87" i="1" s="1"/>
  <c r="BL87" i="1" s="1"/>
  <c r="BM87" i="1" s="1"/>
  <c r="BD89" i="1" l="1"/>
  <c r="BJ88" i="1"/>
  <c r="BK88" i="1" s="1"/>
  <c r="BE88" i="1"/>
  <c r="BF88" i="1" s="1"/>
  <c r="BL88" i="1" l="1"/>
  <c r="BM88" i="1" s="1"/>
  <c r="BD90" i="1"/>
  <c r="BJ89" i="1"/>
  <c r="BK89" i="1" s="1"/>
  <c r="BE89" i="1"/>
  <c r="BF89" i="1" s="1"/>
  <c r="BL89" i="1" l="1"/>
  <c r="BM89" i="1" s="1"/>
  <c r="BD91" i="1"/>
  <c r="BE90" i="1"/>
  <c r="BF90" i="1" s="1"/>
  <c r="BJ90" i="1"/>
  <c r="BK90" i="1" s="1"/>
  <c r="BL90" i="1" s="1"/>
  <c r="BM90" i="1" s="1"/>
  <c r="BD92" i="1" l="1"/>
  <c r="BE91" i="1"/>
  <c r="BF91" i="1" s="1"/>
  <c r="BJ91" i="1"/>
  <c r="BK91" i="1" s="1"/>
  <c r="BL91" i="1" l="1"/>
  <c r="BM91" i="1" s="1"/>
  <c r="BD93" i="1"/>
  <c r="BJ92" i="1"/>
  <c r="BK92" i="1" s="1"/>
  <c r="BL92" i="1" s="1"/>
  <c r="BM92" i="1" s="1"/>
  <c r="BE92" i="1"/>
  <c r="BF92" i="1" s="1"/>
  <c r="BD94" i="1" l="1"/>
  <c r="BJ93" i="1"/>
  <c r="BK93" i="1" s="1"/>
  <c r="BE93" i="1"/>
  <c r="BF93" i="1" s="1"/>
  <c r="BL93" i="1" l="1"/>
  <c r="BM93" i="1" s="1"/>
  <c r="BD95" i="1"/>
  <c r="BJ94" i="1"/>
  <c r="BK94" i="1" s="1"/>
  <c r="BE94" i="1"/>
  <c r="BF94" i="1" s="1"/>
  <c r="BL94" i="1" l="1"/>
  <c r="BM94" i="1" s="1"/>
  <c r="BD96" i="1"/>
  <c r="BE95" i="1"/>
  <c r="BF95" i="1" s="1"/>
  <c r="BJ95" i="1"/>
  <c r="BK95" i="1" s="1"/>
  <c r="BL95" i="1" s="1"/>
  <c r="BM95" i="1" s="1"/>
  <c r="BD97" i="1" l="1"/>
  <c r="BE96" i="1"/>
  <c r="BF96" i="1" s="1"/>
  <c r="BJ96" i="1"/>
  <c r="BK96" i="1" s="1"/>
  <c r="BL96" i="1" s="1"/>
  <c r="BM96" i="1" s="1"/>
  <c r="BE97" i="1" l="1"/>
  <c r="BF97" i="1" s="1"/>
  <c r="BD98" i="1"/>
  <c r="BJ97" i="1"/>
  <c r="BK97" i="1" s="1"/>
  <c r="BL97" i="1" s="1"/>
  <c r="BM97" i="1" s="1"/>
  <c r="BD99" i="1" l="1"/>
  <c r="BE98" i="1"/>
  <c r="BF98" i="1" s="1"/>
  <c r="BJ98" i="1"/>
  <c r="BK98" i="1" s="1"/>
  <c r="BL98" i="1" s="1"/>
  <c r="BM98" i="1" s="1"/>
  <c r="BE99" i="1" l="1"/>
  <c r="BF99" i="1" s="1"/>
  <c r="BD100" i="1"/>
  <c r="BJ99" i="1"/>
  <c r="BK99" i="1" s="1"/>
  <c r="BL99" i="1" s="1"/>
  <c r="BM99" i="1" s="1"/>
  <c r="BD101" i="1" l="1"/>
  <c r="BJ100" i="1"/>
  <c r="BK100" i="1" s="1"/>
  <c r="BL100" i="1" s="1"/>
  <c r="BM100" i="1" s="1"/>
  <c r="BE100" i="1"/>
  <c r="BF100" i="1" s="1"/>
  <c r="BJ101" i="1" l="1"/>
  <c r="BK101" i="1" s="1"/>
  <c r="BL101" i="1" s="1"/>
  <c r="BM101" i="1" s="1"/>
  <c r="BD102" i="1"/>
  <c r="BE101" i="1"/>
  <c r="BF101" i="1" s="1"/>
  <c r="BD103" i="1" l="1"/>
  <c r="BJ102" i="1"/>
  <c r="BK102" i="1" s="1"/>
  <c r="BL102" i="1" s="1"/>
  <c r="BM102" i="1" s="1"/>
  <c r="BE102" i="1"/>
  <c r="BF102" i="1" s="1"/>
  <c r="BD104" i="1" l="1"/>
  <c r="BJ103" i="1"/>
  <c r="BK103" i="1" s="1"/>
  <c r="BL103" i="1" s="1"/>
  <c r="BM103" i="1" s="1"/>
  <c r="BE103" i="1"/>
  <c r="BF103" i="1" s="1"/>
  <c r="BE104" i="1" l="1"/>
  <c r="BF104" i="1" s="1"/>
  <c r="BD105" i="1"/>
  <c r="BJ104" i="1"/>
  <c r="BK104" i="1" s="1"/>
  <c r="BL104" i="1" s="1"/>
  <c r="BM104" i="1" s="1"/>
  <c r="BD106" i="1" l="1"/>
  <c r="BJ105" i="1"/>
  <c r="BK105" i="1" s="1"/>
  <c r="BL105" i="1" s="1"/>
  <c r="BM105" i="1" s="1"/>
  <c r="BE105" i="1"/>
  <c r="BF105" i="1" s="1"/>
  <c r="BE106" i="1" l="1"/>
  <c r="BF106" i="1" s="1"/>
  <c r="BD107" i="1"/>
  <c r="BJ106" i="1"/>
  <c r="BK106" i="1" s="1"/>
  <c r="BL106" i="1" s="1"/>
  <c r="BM106" i="1" s="1"/>
  <c r="BD108" i="1" l="1"/>
  <c r="BJ107" i="1"/>
  <c r="BK107" i="1" s="1"/>
  <c r="BL107" i="1" s="1"/>
  <c r="BM107" i="1" s="1"/>
  <c r="BE107" i="1"/>
  <c r="BF107" i="1" s="1"/>
  <c r="BD109" i="1" l="1"/>
  <c r="BJ108" i="1"/>
  <c r="BK108" i="1" s="1"/>
  <c r="BL108" i="1" s="1"/>
  <c r="BM108" i="1" s="1"/>
  <c r="BE108" i="1"/>
  <c r="BF108" i="1" s="1"/>
  <c r="BD110" i="1" l="1"/>
  <c r="BJ109" i="1"/>
  <c r="BK109" i="1" s="1"/>
  <c r="BL109" i="1" s="1"/>
  <c r="BM109" i="1" s="1"/>
  <c r="BE109" i="1"/>
  <c r="BF109" i="1" s="1"/>
  <c r="BE110" i="1" l="1"/>
  <c r="BF110" i="1" s="1"/>
  <c r="BD111" i="1"/>
  <c r="BJ110" i="1"/>
  <c r="BK110" i="1" s="1"/>
  <c r="BL110" i="1" s="1"/>
  <c r="BM110" i="1" s="1"/>
  <c r="BE111" i="1" l="1"/>
  <c r="BF111" i="1" s="1"/>
  <c r="BD112" i="1"/>
  <c r="BJ111" i="1"/>
  <c r="BK111" i="1" s="1"/>
  <c r="BL111" i="1" s="1"/>
  <c r="BM111" i="1" s="1"/>
  <c r="BJ112" i="1" l="1"/>
  <c r="BE112" i="1"/>
  <c r="BF112" i="1" s="1"/>
  <c r="BJ114" i="1" l="1"/>
  <c r="BW39" i="1" s="1"/>
  <c r="BK112" i="1"/>
  <c r="BL112" i="1" s="1"/>
  <c r="BM112" i="1" s="1"/>
  <c r="BM114" i="1" s="1"/>
  <c r="BW48" i="1" s="1"/>
  <c r="BP14" i="1"/>
  <c r="BP15" i="1"/>
  <c r="BQ15" i="1" s="1"/>
  <c r="BP13" i="1"/>
  <c r="BQ13" i="1" s="1"/>
</calcChain>
</file>

<file path=xl/sharedStrings.xml><?xml version="1.0" encoding="utf-8"?>
<sst xmlns="http://schemas.openxmlformats.org/spreadsheetml/2006/main" count="341" uniqueCount="186">
  <si>
    <t>Grupo</t>
  </si>
  <si>
    <t>A1</t>
  </si>
  <si>
    <t>Tiempo Entre</t>
  </si>
  <si>
    <t>Llegada</t>
  </si>
  <si>
    <t xml:space="preserve">A2 </t>
  </si>
  <si>
    <t>Numero de integrantes</t>
  </si>
  <si>
    <t>Hora</t>
  </si>
  <si>
    <t>Minutos</t>
  </si>
  <si>
    <t>Nota</t>
  </si>
  <si>
    <t>Abren Puertas</t>
  </si>
  <si>
    <t>Cierran Puertas</t>
  </si>
  <si>
    <t>-</t>
  </si>
  <si>
    <t>Numero integrantes</t>
  </si>
  <si>
    <t>Capacidad</t>
  </si>
  <si>
    <t>Entra?</t>
  </si>
  <si>
    <t>Entidad</t>
  </si>
  <si>
    <t>Cuantos van</t>
  </si>
  <si>
    <t xml:space="preserve">Num Entidades </t>
  </si>
  <si>
    <t>A3</t>
  </si>
  <si>
    <t>Si 1 esta ocupado</t>
  </si>
  <si>
    <t>Si 2 esta ocupado</t>
  </si>
  <si>
    <t>Si 3 esta ocupado</t>
  </si>
  <si>
    <t>Si hay 1 ocupado</t>
  </si>
  <si>
    <t>Todos Desocupados</t>
  </si>
  <si>
    <t>Si todos desocupados</t>
  </si>
  <si>
    <t xml:space="preserve">Todos Estan ocupados </t>
  </si>
  <si>
    <t xml:space="preserve">Si todos Ocupados </t>
  </si>
  <si>
    <t>Quien me atiende</t>
  </si>
  <si>
    <t>Valor</t>
  </si>
  <si>
    <t>Salida</t>
  </si>
  <si>
    <t>Hora llegada</t>
  </si>
  <si>
    <t>Disponibilidad M1</t>
  </si>
  <si>
    <t>Disponibilidad M2</t>
  </si>
  <si>
    <t>Disponibilidad M3</t>
  </si>
  <si>
    <t>Ocupacion M1</t>
  </si>
  <si>
    <t>Ocupacion M2</t>
  </si>
  <si>
    <t>Ocupacion M3</t>
  </si>
  <si>
    <t xml:space="preserve">Ocupado </t>
  </si>
  <si>
    <t xml:space="preserve">Desocupado </t>
  </si>
  <si>
    <t>Estado</t>
  </si>
  <si>
    <t xml:space="preserve">Todas Desocupadas </t>
  </si>
  <si>
    <t>M1 ocupada</t>
  </si>
  <si>
    <t>M2 Ocupada</t>
  </si>
  <si>
    <t>M3 Ocupada</t>
  </si>
  <si>
    <t>Solo M1 desocupada</t>
  </si>
  <si>
    <t>Solo M2 Desocupada</t>
  </si>
  <si>
    <t>Solo M3 desocupada</t>
  </si>
  <si>
    <t>Todas Ocupadas</t>
  </si>
  <si>
    <t>Valor Inicial</t>
  </si>
  <si>
    <t>Estado si = 1</t>
  </si>
  <si>
    <t>Estado si = 2</t>
  </si>
  <si>
    <t>Quien si = 1</t>
  </si>
  <si>
    <t>Quien si solo una esta ocupada</t>
  </si>
  <si>
    <t>A5</t>
  </si>
  <si>
    <t xml:space="preserve">Tiempo Atencion </t>
  </si>
  <si>
    <t>Entrada M2</t>
  </si>
  <si>
    <t>Entrada M3</t>
  </si>
  <si>
    <t>Entrada M1</t>
  </si>
  <si>
    <t>Salida M1</t>
  </si>
  <si>
    <t>Salida M2</t>
  </si>
  <si>
    <t>Salida M3</t>
  </si>
  <si>
    <t>Entra  a la carrera</t>
  </si>
  <si>
    <t>Me salgo por mi amigo el lento?</t>
  </si>
  <si>
    <t>Grupos por fuera</t>
  </si>
  <si>
    <t>Al fin entra o no</t>
  </si>
  <si>
    <t xml:space="preserve">Grupo </t>
  </si>
  <si>
    <t>Empieza</t>
  </si>
  <si>
    <t>A6</t>
  </si>
  <si>
    <t xml:space="preserve">Tiempo carrera </t>
  </si>
  <si>
    <t>Termina la carrera</t>
  </si>
  <si>
    <t>Indice</t>
  </si>
  <si>
    <t>Corre</t>
  </si>
  <si>
    <t>Cuantos Corren</t>
  </si>
  <si>
    <t>Entidad2</t>
  </si>
  <si>
    <t xml:space="preserve">Lugar </t>
  </si>
  <si>
    <t>Corredor</t>
  </si>
  <si>
    <t>Tiempo</t>
  </si>
  <si>
    <t>Podio</t>
  </si>
  <si>
    <t>Ultimo Grupo</t>
  </si>
  <si>
    <t>Pregunta A</t>
  </si>
  <si>
    <t>Hora en Min</t>
  </si>
  <si>
    <t>Segundos</t>
  </si>
  <si>
    <t>Respuesta A</t>
  </si>
  <si>
    <t>Cuantos acaban el registro</t>
  </si>
  <si>
    <t xml:space="preserve">Cuantos se registran </t>
  </si>
  <si>
    <t xml:space="preserve">Cuantos despues de que se van los amigos </t>
  </si>
  <si>
    <t>PB1</t>
  </si>
  <si>
    <t>PB2</t>
  </si>
  <si>
    <t>Pregunta B</t>
  </si>
  <si>
    <t>Despues de las 9</t>
  </si>
  <si>
    <t>Pregunta D</t>
  </si>
  <si>
    <t>grupo  despues de las 9</t>
  </si>
  <si>
    <t>Variedad</t>
  </si>
  <si>
    <t>Grupos mas de 9</t>
  </si>
  <si>
    <t>Pregunta E</t>
  </si>
  <si>
    <t>Empieza la carrera</t>
  </si>
  <si>
    <t>lentos</t>
  </si>
  <si>
    <t xml:space="preserve">Suma Ocupacion </t>
  </si>
  <si>
    <t>Aleatorio</t>
  </si>
  <si>
    <t xml:space="preserve">Si todos Desocupados </t>
  </si>
  <si>
    <t>Suma = 0</t>
  </si>
  <si>
    <t>Si M1 = 1</t>
  </si>
  <si>
    <t>Si M1 = 2</t>
  </si>
  <si>
    <t>Si M1 = 3</t>
  </si>
  <si>
    <t>Suma = 1</t>
  </si>
  <si>
    <t>Suma = 2</t>
  </si>
  <si>
    <t>Si M1 = 0</t>
  </si>
  <si>
    <t>Si M2 = 0</t>
  </si>
  <si>
    <t>Si M3 = 0</t>
  </si>
  <si>
    <t>Hora disponible M1</t>
  </si>
  <si>
    <t>Hora disponible M2</t>
  </si>
  <si>
    <t>Hora disponible M3</t>
  </si>
  <si>
    <t>Suma = 3</t>
  </si>
  <si>
    <t>Entra a M1</t>
  </si>
  <si>
    <t>Entra a M2</t>
  </si>
  <si>
    <t>Entra a M3</t>
  </si>
  <si>
    <t>Tiempo de proceso</t>
  </si>
  <si>
    <t>Entrada</t>
  </si>
  <si>
    <t>Entra o no por registro</t>
  </si>
  <si>
    <t>Grupo del que se registro tarde</t>
  </si>
  <si>
    <t>No corro por mis amigos</t>
  </si>
  <si>
    <t>Corre o no?</t>
  </si>
  <si>
    <t>Tiempo Carrera</t>
  </si>
  <si>
    <t>Termina Carrera</t>
  </si>
  <si>
    <t xml:space="preserve">Hora en minutos </t>
  </si>
  <si>
    <t>Cual Grupo</t>
  </si>
  <si>
    <t xml:space="preserve">Cuantos llegaron </t>
  </si>
  <si>
    <t>Cuantos se registraron a tiempo</t>
  </si>
  <si>
    <t xml:space="preserve">cuantos corrieron </t>
  </si>
  <si>
    <t xml:space="preserve">Puesto </t>
  </si>
  <si>
    <t>Quien</t>
  </si>
  <si>
    <t>Pregunta C</t>
  </si>
  <si>
    <t>Cuantos</t>
  </si>
  <si>
    <t>entidad</t>
  </si>
  <si>
    <t>TELL</t>
  </si>
  <si>
    <t>HLL</t>
  </si>
  <si>
    <t>TLM1</t>
  </si>
  <si>
    <t>TLM2</t>
  </si>
  <si>
    <t>M1</t>
  </si>
  <si>
    <t>HLL &gt;= TLM1</t>
  </si>
  <si>
    <t>HLL &lt; TLM1</t>
  </si>
  <si>
    <t>HLL &gt;= TLM2</t>
  </si>
  <si>
    <t>HLL &lt; TLM2</t>
  </si>
  <si>
    <t>Que pasa con TLM1 Y TLM2</t>
  </si>
  <si>
    <t>CM1</t>
  </si>
  <si>
    <t>CM2</t>
  </si>
  <si>
    <t>NO</t>
  </si>
  <si>
    <t>TLM2 &gt; TLM1</t>
  </si>
  <si>
    <t>TLM1 &gt; TLM2</t>
  </si>
  <si>
    <t>REGLA</t>
  </si>
  <si>
    <t>QUIEN</t>
  </si>
  <si>
    <t>SI(TLM2 &gt; TLM1; 1; 2)</t>
  </si>
  <si>
    <t>LA QUE SE DESOCUPE PRIMERO</t>
  </si>
  <si>
    <t>quien si empate</t>
  </si>
  <si>
    <t>quien sin empate</t>
  </si>
  <si>
    <t>Ocupada M1</t>
  </si>
  <si>
    <t>Ocupada M2</t>
  </si>
  <si>
    <t>Tiempo M1</t>
  </si>
  <si>
    <t>Tiempo M2</t>
  </si>
  <si>
    <t>Aleatorios</t>
  </si>
  <si>
    <t>suma</t>
  </si>
  <si>
    <t>Aleatorio 2</t>
  </si>
  <si>
    <t>M2</t>
  </si>
  <si>
    <t>M3</t>
  </si>
  <si>
    <t>TM3</t>
  </si>
  <si>
    <t>Que pasa con TLM1 Y TLM2 y TML3</t>
  </si>
  <si>
    <t>NO SE</t>
  </si>
  <si>
    <t>regla</t>
  </si>
  <si>
    <t>el desocupado</t>
  </si>
  <si>
    <t>ecuacion</t>
  </si>
  <si>
    <t>si(y(TML1&lt;=TML2;TML1&lt;=TML3);1;SI(TML2&lt;=TML3;2;3))</t>
  </si>
  <si>
    <t>ENTIDAD</t>
  </si>
  <si>
    <t>ALEATORIO</t>
  </si>
  <si>
    <t>OCUPADO M1</t>
  </si>
  <si>
    <t>OCUPADO M2</t>
  </si>
  <si>
    <t>OCUPADO M3</t>
  </si>
  <si>
    <t>TLM3</t>
  </si>
  <si>
    <t>SUMA</t>
  </si>
  <si>
    <t>Si suma &gt;= 2</t>
  </si>
  <si>
    <t>Suma &gt;= 2</t>
  </si>
  <si>
    <t>quien ocupado</t>
  </si>
  <si>
    <t>quien me atiende</t>
  </si>
  <si>
    <t>suma = 1</t>
  </si>
  <si>
    <t>OJO solo referencia</t>
  </si>
  <si>
    <t>salida</t>
  </si>
  <si>
    <t>Aleatorio2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</si>
</sst>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NumberFormat="1" applyAlignment="1">
      <alignment horizontal="center" vertic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" fontId="0" fillId="4" borderId="1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11" xfId="0" applyBorder="1"/>
    <xf numFmtId="0" fontId="5" fillId="6" borderId="11" xfId="0" applyFont="1" applyFill="1" applyBorder="1" applyAlignment="1">
      <alignment horizontal="center"/>
    </xf>
    <xf numFmtId="0" fontId="5" fillId="6" borderId="11" xfId="0" applyFont="1" applyFill="1" applyBorder="1" applyAlignment="1"/>
    <xf numFmtId="0" fontId="0" fillId="0" borderId="11" xfId="0" applyBorder="1" applyAlignment="1"/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2" fontId="0" fillId="0" borderId="11" xfId="0" applyNumberFormat="1" applyBorder="1"/>
    <xf numFmtId="0" fontId="5" fillId="13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7" fillId="12" borderId="11" xfId="0" applyFont="1" applyFill="1" applyBorder="1" applyAlignment="1">
      <alignment horizontal="center"/>
    </xf>
    <xf numFmtId="0" fontId="5" fillId="14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5" fillId="16" borderId="11" xfId="0" applyFont="1" applyFill="1" applyBorder="1" applyAlignment="1">
      <alignment horizontal="center"/>
    </xf>
    <xf numFmtId="0" fontId="0" fillId="17" borderId="3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2" fillId="17" borderId="0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19" borderId="18" xfId="0" applyNumberFormat="1" applyFont="1" applyFill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  <xf numFmtId="0" fontId="0" fillId="4" borderId="0" xfId="0" applyFill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/>
    <xf numFmtId="0" fontId="0" fillId="20" borderId="19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2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>
                <a:solidFill>
                  <a:schemeClr val="accent6">
                    <a:lumMod val="75000"/>
                  </a:schemeClr>
                </a:solidFill>
              </a:rPr>
              <a:t>Pregunta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366402353233328"/>
          <c:w val="0.93888888888888888"/>
          <c:h val="0.65841930551353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5088B9-FA56-4377-9144-D90C3B31378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05-4678-92CA-CFA77312E4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87BE70-560C-4A9C-9135-95076951F21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05-4678-92CA-CFA77312E4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2B5E4A-BE52-4DBD-818D-0D288ABC237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05-4678-92CA-CFA77312E4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Hoja1!$BQ$13:$BQ$15</c:f>
              <c:numCache>
                <c:formatCode>General</c:formatCode>
                <c:ptCount val="3"/>
                <c:pt idx="0">
                  <c:v>60</c:v>
                </c:pt>
                <c:pt idx="1">
                  <c:v>22</c:v>
                </c:pt>
                <c:pt idx="2">
                  <c:v>52</c:v>
                </c:pt>
              </c:numCache>
            </c:numRef>
          </c:cat>
          <c:val>
            <c:numRef>
              <c:f>Hoja1!$BR$13:$BR$15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Hoja1!$BQ$13:$BQ$15</c15:f>
                <c15:dlblRangeCache>
                  <c:ptCount val="3"/>
                  <c:pt idx="0">
                    <c:v>60</c:v>
                  </c:pt>
                  <c:pt idx="1">
                    <c:v>22</c:v>
                  </c:pt>
                  <c:pt idx="2">
                    <c:v>52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A05-4678-92CA-CFA77312E4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22274288"/>
        <c:axId val="522272976"/>
      </c:barChart>
      <c:catAx>
        <c:axId val="52227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272976"/>
        <c:crosses val="autoZero"/>
        <c:auto val="1"/>
        <c:lblAlgn val="ctr"/>
        <c:lblOffset val="100"/>
        <c:noMultiLvlLbl val="0"/>
      </c:catAx>
      <c:valAx>
        <c:axId val="522272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22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25400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571500</xdr:colOff>
      <xdr:row>15</xdr:row>
      <xdr:rowOff>149087</xdr:rowOff>
    </xdr:from>
    <xdr:to>
      <xdr:col>71</xdr:col>
      <xdr:colOff>571500</xdr:colOff>
      <xdr:row>31</xdr:row>
      <xdr:rowOff>16565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0.13587</cdr:x>
      <cdr:y>0.6733</cdr:y>
    </cdr:from>
    <cdr:to>
      <cdr:x>0.90942</cdr:x>
      <cdr:y>1</cdr:y>
    </cdr:to>
    <cdr:grpSp>
      <cdr:nvGrpSpPr>
        <cdr:cNvPr id="5" name="Grupo 4">
          <a:extLst xmlns:a="http://schemas.openxmlformats.org/drawingml/2006/main">
            <a:ext uri="{FF2B5EF4-FFF2-40B4-BE49-F238E27FC236}">
              <a16:creationId xmlns:a16="http://schemas.microsoft.com/office/drawing/2014/main" id="{6A73DD6F-07C5-41C5-A6D6-A54B87D9F8F3}"/>
            </a:ext>
          </a:extLst>
        </cdr:cNvPr>
        <cdr:cNvGrpSpPr/>
      </cdr:nvGrpSpPr>
      <cdr:grpSpPr>
        <a:xfrm xmlns:a="http://schemas.openxmlformats.org/drawingml/2006/main">
          <a:off x="621198" y="2164548"/>
          <a:ext cx="3536670" cy="1050287"/>
          <a:chOff x="621196" y="1962978"/>
          <a:chExt cx="3536674" cy="952500"/>
        </a:xfrm>
      </cdr:grpSpPr>
      <cdr:sp macro="" textlink="">
        <cdr:nvSpPr>
          <cdr:cNvPr id="2" name="CuadroTexto 1"/>
          <cdr:cNvSpPr txBox="1"/>
        </cdr:nvSpPr>
        <cdr:spPr>
          <a:xfrm xmlns:a="http://schemas.openxmlformats.org/drawingml/2006/main">
            <a:off x="2058229" y="1962978"/>
            <a:ext cx="662609" cy="9525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s-CO" sz="4400">
                <a:solidFill>
                  <a:srgbClr val="FFFF00"/>
                </a:solidFill>
              </a:rPr>
              <a:t>1</a:t>
            </a:r>
          </a:p>
        </cdr:txBody>
      </cdr:sp>
      <cdr:sp macro="" textlink="">
        <cdr:nvSpPr>
          <cdr:cNvPr id="3" name="CuadroTexto 2"/>
          <cdr:cNvSpPr txBox="1"/>
        </cdr:nvSpPr>
        <cdr:spPr>
          <a:xfrm xmlns:a="http://schemas.openxmlformats.org/drawingml/2006/main">
            <a:off x="3495261" y="1962978"/>
            <a:ext cx="662609" cy="9525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s-CO" sz="4400">
                <a:solidFill>
                  <a:srgbClr val="FFFF00"/>
                </a:solidFill>
              </a:rPr>
              <a:t>2</a:t>
            </a:r>
          </a:p>
        </cdr:txBody>
      </cdr:sp>
      <cdr:sp macro="" textlink="">
        <cdr:nvSpPr>
          <cdr:cNvPr id="4" name="CuadroTexto 3"/>
          <cdr:cNvSpPr txBox="1"/>
        </cdr:nvSpPr>
        <cdr:spPr>
          <a:xfrm xmlns:a="http://schemas.openxmlformats.org/drawingml/2006/main">
            <a:off x="621196" y="1962978"/>
            <a:ext cx="662609" cy="94421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s-CO" sz="4400">
                <a:solidFill>
                  <a:srgbClr val="FFFF00"/>
                </a:solidFill>
              </a:rPr>
              <a:t>3</a:t>
            </a:r>
          </a:p>
        </cdr:txBody>
      </cdr:sp>
    </cdr:grp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C25" totalsRowShown="0">
  <autoFilter ref="A12:C25" xr:uid="{00000000-0009-0000-0100-000001000000}"/>
  <tableColumns count="3">
    <tableColumn id="1" xr3:uid="{00000000-0010-0000-0000-000001000000}" name="Hora"/>
    <tableColumn id="2" xr3:uid="{00000000-0010-0000-0000-000002000000}" name="Minutos">
      <calculatedColumnFormula>+A13*60</calculatedColumnFormula>
    </tableColumn>
    <tableColumn id="3" xr3:uid="{00000000-0010-0000-0000-000003000000}" name="Not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8360E8-D4E4-4EB6-8F01-095A3620B1DD}" name="Tabla10" displayName="Tabla10" ref="B16:T41" totalsRowShown="0" headerRowDxfId="21" dataDxfId="20">
  <autoFilter ref="B16:T41" xr:uid="{A11D900A-A123-45B7-A5B3-F0A09EB2D467}"/>
  <tableColumns count="19">
    <tableColumn id="1" xr3:uid="{3B019EAF-700A-4015-92EE-5F331B98A46B}" name="ENTIDAD" dataDxfId="23"/>
    <tableColumn id="2" xr3:uid="{712090AD-D24A-4A91-8525-D318FB309185}" name="HLL" dataDxfId="22"/>
    <tableColumn id="3" xr3:uid="{A34244CE-023B-49E6-B312-F4FB73A02B6A}" name="ALEATORIO" dataDxfId="19"/>
    <tableColumn id="4" xr3:uid="{FA69F4DD-0C4F-4214-8897-A7357C752193}" name="OCUPADO M1" dataDxfId="18">
      <calculatedColumnFormula>+IF(Tabla10[[#This Row],[HLL]]&lt;Tabla10[[#This Row],[TLM1]],1,0)</calculatedColumnFormula>
    </tableColumn>
    <tableColumn id="5" xr3:uid="{DC899494-E794-4E26-8F85-411405612439}" name="OCUPADO M2" dataDxfId="17">
      <calculatedColumnFormula>+IF(Tabla10[[#This Row],[HLL]]&lt;Tabla10[[#This Row],[TLM2]],1,0)</calculatedColumnFormula>
    </tableColumn>
    <tableColumn id="6" xr3:uid="{73308CFF-9586-45F5-B556-0D4136EE2F76}" name="OCUPADO M3" dataDxfId="16">
      <calculatedColumnFormula>+IF(Tabla10[[#This Row],[HLL]]&lt;Tabla10[[#This Row],[TLM3]],1,0)</calculatedColumnFormula>
    </tableColumn>
    <tableColumn id="10" xr3:uid="{AD2979E5-0094-4C6E-BD75-C3BE1B107391}" name="SUMA" dataDxfId="4">
      <calculatedColumnFormula>+SUM(Tabla10[[#This Row],[OCUPADO M1]:[OCUPADO M3]])</calculatedColumnFormula>
    </tableColumn>
    <tableColumn id="7" xr3:uid="{88FBD23E-B65A-47E6-89F9-811DDF32CB4F}" name="TLM1" dataDxfId="3"/>
    <tableColumn id="8" xr3:uid="{65D45992-CD7E-450A-9006-D7010CE7A77B}" name="TLM2" dataDxfId="2"/>
    <tableColumn id="9" xr3:uid="{DAE5AC12-88C3-4C7F-9F78-C274848CF8F9}" name="TLM3" dataDxfId="0"/>
    <tableColumn id="11" xr3:uid="{F14A3CB7-A3E7-4B23-82E8-361E81EEB7C8}" name="Si suma &gt;= 2" dataDxfId="1">
      <calculatedColumnFormula>IF(Tabla10[[#This Row],[SUMA]]&gt;=2,IF(AND(Tabla10[[#This Row],[TLM1]]&lt;=Tabla10[[#This Row],[TLM2]],Tabla10[[#This Row],[TLM1]]&lt;=Tabla10[[#This Row],[TLM3]]),1,IF(Tabla10[[#This Row],[TLM2]]&lt;=Tabla10[[#This Row],[TLM3]],2,3)),"")</calculatedColumnFormula>
    </tableColumn>
    <tableColumn id="12" xr3:uid="{4D7716D1-909D-44CC-A2EC-F0F61F98291B}" name="Suma = 0" dataDxfId="15">
      <calculatedColumnFormula>+IF(Tabla10[[#This Row],[SUMA]]=0,IF(Tabla10[[#This Row],[ALEATORIO]]&lt;=0.33,1,IF(Tabla10[[#This Row],[ALEATORIO]]&lt;= 0.66,2,3)),"")</calculatedColumnFormula>
    </tableColumn>
    <tableColumn id="13" xr3:uid="{C5023274-3CB6-4F75-80C9-E0B5FC2AAB2B}" name="quien ocupado" dataDxfId="14">
      <calculatedColumnFormula>+IF(Tabla10[[#This Row],[SUMA]]=1,IF(Tabla10[[#This Row],[OCUPADO M1]]=1,1,IF(Tabla10[[#This Row],[OCUPADO M2]]=1,2,3)),"")</calculatedColumnFormula>
    </tableColumn>
    <tableColumn id="14" xr3:uid="{D7F16B14-E03F-4424-9E6E-53D3DE63D5FC}" name="quien me atiende" dataDxfId="10">
      <calculatedColumnFormula>+IF(Tabla10[[#This Row],[SUMA]]&lt;&gt;1,"", INDEX($M$4:$O$5,IF(Tabla10[[#This Row],[ALEATORIO]]&lt;=0.5,1,2),Tabla10[[#This Row],[quien ocupado]]) )</calculatedColumnFormula>
    </tableColumn>
    <tableColumn id="15" xr3:uid="{29312981-50CE-441B-9DDF-980D4ADD3F93}" name="Quien" dataDxfId="9">
      <calculatedColumnFormula>+SUM(Tabla10[[#This Row],[quien me atiende]],Tabla10[[#This Row],[Suma = 0]],Tabla10[[#This Row],[Si suma &gt;= 2]])</calculatedColumnFormula>
    </tableColumn>
    <tableColumn id="16" xr3:uid="{76B25A3A-8F50-4115-BA29-6E025A397107}" name="Entrada" dataDxfId="8">
      <calculatedColumnFormula>+MAX(Tabla10[[#This Row],[HLL]],INDEX(Tabla10[[#This Row],[TLM1]:[TLM3]],1,Tabla10[[#This Row],[Quien]]))</calculatedColumnFormula>
    </tableColumn>
    <tableColumn id="19" xr3:uid="{653B8C1B-E7BB-442B-9BF1-62D9A8EA5BAB}" name="Aleatorio2" dataDxfId="7"/>
    <tableColumn id="17" xr3:uid="{1BD595C8-53F3-40AE-A5DB-EC6F6D8559DD}" name="Tiempo" dataDxfId="6">
      <calculatedColumnFormula>2*2*Tabla10[[#This Row],[Aleatorio2]]</calculatedColumnFormula>
    </tableColumn>
    <tableColumn id="18" xr3:uid="{7FFE86BE-A127-4976-9B2A-E39F30E5D84F}" name="salida" dataDxfId="5">
      <calculatedColumnFormula>+Tabla10[[#This Row],[Entrada]]+Tabla10[[#This Row],[Tiempo]]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12:J112" totalsRowShown="0" headerRowDxfId="126" dataDxfId="125">
  <autoFilter ref="E12:J112" xr:uid="{00000000-0009-0000-0100-000002000000}"/>
  <tableColumns count="6">
    <tableColumn id="1" xr3:uid="{00000000-0010-0000-0100-000001000000}" name="Grupo" dataDxfId="124"/>
    <tableColumn id="2" xr3:uid="{00000000-0010-0000-0100-000002000000}" name="A1" dataDxfId="123"/>
    <tableColumn id="3" xr3:uid="{00000000-0010-0000-0100-000003000000}" name="Tiempo Entre" dataDxfId="122">
      <calculatedColumnFormula>-1*LN(1-F13)</calculatedColumnFormula>
    </tableColumn>
    <tableColumn id="4" xr3:uid="{00000000-0010-0000-0100-000004000000}" name="Llegada" dataDxfId="121"/>
    <tableColumn id="5" xr3:uid="{00000000-0010-0000-0100-000005000000}" name="A2 " dataDxfId="120"/>
    <tableColumn id="6" xr3:uid="{00000000-0010-0000-0100-000006000000}" name="Numero de integrantes" dataDxfId="119">
      <calculatedColumnFormula>+IF(Tabla2[[#This Row],[A2 ]]&lt;0.5,1,IF(Tabla2[[#This Row],[A2 ]]&lt;0.8,2,3))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L12:Q112" totalsRowShown="0" headerRowDxfId="118" dataDxfId="117">
  <autoFilter ref="L12:Q112" xr:uid="{00000000-0009-0000-0100-000003000000}"/>
  <tableColumns count="6">
    <tableColumn id="1" xr3:uid="{00000000-0010-0000-0200-000001000000}" name="Entra?" dataDxfId="116">
      <calculatedColumnFormula>+IF(AND(Tabla2[[#This Row],[Llegada]]&lt;=$B$16,P13&gt;0),1,"-")</calculatedColumnFormula>
    </tableColumn>
    <tableColumn id="2" xr3:uid="{00000000-0010-0000-0200-000002000000}" name="Grupo" dataDxfId="115">
      <calculatedColumnFormula>+IF(L13=1,M12+1,"-")</calculatedColumnFormula>
    </tableColumn>
    <tableColumn id="3" xr3:uid="{00000000-0010-0000-0200-000003000000}" name="Llegada" dataDxfId="114">
      <calculatedColumnFormula>+IF(L13=1,Tabla2[[#This Row],[Llegada]],"-")</calculatedColumnFormula>
    </tableColumn>
    <tableColumn id="4" xr3:uid="{00000000-0010-0000-0200-000004000000}" name="Numero integrantes" dataDxfId="113">
      <calculatedColumnFormula>+IF(L13=1,Tabla2[[#This Row],[Numero de integrantes]],"-")</calculatedColumnFormula>
    </tableColumn>
    <tableColumn id="5" xr3:uid="{00000000-0010-0000-0200-000005000000}" name="Capacidad" dataDxfId="112">
      <calculatedColumnFormula>+IF(O12="-",P12,P12-O12)</calculatedColumnFormula>
    </tableColumn>
    <tableColumn id="6" xr3:uid="{00000000-0010-0000-0200-000006000000}" name="Cuantos van" dataDxfId="111">
      <calculatedColumnFormula>+IF(Tabla3[[#This Row],[Entra?]]=1,Q12+Tabla3[[#This Row],[Numero integrantes]],Q12)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S12:AP112" totalsRowShown="0" headerRowDxfId="110" dataDxfId="109">
  <autoFilter ref="S12:AP112" xr:uid="{00000000-0009-0000-0100-000004000000}"/>
  <tableColumns count="24">
    <tableColumn id="1" xr3:uid="{00000000-0010-0000-0300-000001000000}" name="Entidad" dataDxfId="108">
      <calculatedColumnFormula>+IF(S12&lt;$Q$10,S12+1,"-")</calculatedColumnFormula>
    </tableColumn>
    <tableColumn id="2" xr3:uid="{00000000-0010-0000-0300-000002000000}" name="Grupo" dataDxfId="107">
      <calculatedColumnFormula>+VLOOKUP(Tabla4[[#This Row],[Entidad]],#REF!,2,FALSE)</calculatedColumnFormula>
    </tableColumn>
    <tableColumn id="3" xr3:uid="{00000000-0010-0000-0300-000003000000}" name="Hora llegada" dataDxfId="106">
      <calculatedColumnFormula>+INDEX(Tabla3[Llegada],Tabla4[[#This Row],[Grupo]])</calculatedColumnFormula>
    </tableColumn>
    <tableColumn id="9" xr3:uid="{00000000-0010-0000-0300-000009000000}" name="Ocupacion M1" dataDxfId="105">
      <calculatedColumnFormula>+IF(Tabla4[[#This Row],[Hora llegada]]&gt;=Tabla4[[#This Row],[Disponibilidad M1]],0,1)</calculatedColumnFormula>
    </tableColumn>
    <tableColumn id="8" xr3:uid="{00000000-0010-0000-0300-000008000000}" name="Ocupacion M2" dataDxfId="104">
      <calculatedColumnFormula>+IF(Tabla4[[#This Row],[Hora llegada]]&gt;=Tabla4[[#This Row],[Disponibilidad M2]],0,1)</calculatedColumnFormula>
    </tableColumn>
    <tableColumn id="7" xr3:uid="{00000000-0010-0000-0300-000007000000}" name="Ocupacion M3" dataDxfId="103">
      <calculatedColumnFormula>+IF(Tabla4[[#This Row],[Hora llegada]]&gt;=Tabla4[[#This Row],[Disponibilidad M3]],0,1)</calculatedColumnFormula>
    </tableColumn>
    <tableColumn id="14" xr3:uid="{00000000-0010-0000-0300-00000E000000}" name="Entrada M1" dataDxfId="102">
      <calculatedColumnFormula>+IF(Tabla5[[#This Row],[Quien me atiende]]=1,MAX(Tabla4[[#This Row],[Disponibilidad M1]],Tabla4[[#This Row],[Hora llegada]]),"-")</calculatedColumnFormula>
    </tableColumn>
    <tableColumn id="13" xr3:uid="{00000000-0010-0000-0300-00000D000000}" name="Entrada M2" dataDxfId="101">
      <calculatedColumnFormula>+IF(Tabla5[[#This Row],[Quien me atiende]]=2,MAX(Tabla4[[#This Row],[Disponibilidad M2]],Tabla4[[#This Row],[Hora llegada]]),"-")</calculatedColumnFormula>
    </tableColumn>
    <tableColumn id="12" xr3:uid="{00000000-0010-0000-0300-00000C000000}" name="Entrada M3" dataDxfId="100">
      <calculatedColumnFormula>+IF(Tabla5[[#This Row],[Quien me atiende]]=3,MAX(Tabla4[[#This Row],[Disponibilidad M3]],Tabla4[[#This Row],[Hora llegada]]),"-")</calculatedColumnFormula>
    </tableColumn>
    <tableColumn id="4" xr3:uid="{00000000-0010-0000-0300-000004000000}" name="Disponibilidad M1" dataDxfId="99"/>
    <tableColumn id="5" xr3:uid="{00000000-0010-0000-0300-000005000000}" name="Disponibilidad M2" dataDxfId="98"/>
    <tableColumn id="6" xr3:uid="{00000000-0010-0000-0300-000006000000}" name="Disponibilidad M3" dataDxfId="97"/>
    <tableColumn id="10" xr3:uid="{00000000-0010-0000-0300-00000A000000}" name="A5" dataDxfId="96"/>
    <tableColumn id="11" xr3:uid="{00000000-0010-0000-0300-00000B000000}" name="Tiempo Atencion " dataDxfId="95">
      <calculatedColumnFormula>2+4.5*Tabla4[[#This Row],[A5]]</calculatedColumnFormula>
    </tableColumn>
    <tableColumn id="15" xr3:uid="{00000000-0010-0000-0300-00000F000000}" name="Salida M1" dataDxfId="94">
      <calculatedColumnFormula>+IF(Tabla4[[#This Row],[Entrada M1]]="-","-",Tabla4[[#This Row],[Entrada M1]]+Tabla4[[#This Row],[Tiempo Atencion ]])</calculatedColumnFormula>
    </tableColumn>
    <tableColumn id="16" xr3:uid="{00000000-0010-0000-0300-000010000000}" name="Salida M2" dataDxfId="93">
      <calculatedColumnFormula>+IF(Tabla4[[#This Row],[Entrada M2]]="-","-",Tabla4[[#This Row],[Entrada M2]]+Tabla4[[#This Row],[Tiempo Atencion ]])</calculatedColumnFormula>
    </tableColumn>
    <tableColumn id="17" xr3:uid="{00000000-0010-0000-0300-000011000000}" name="Salida M3" dataDxfId="92">
      <calculatedColumnFormula>+IF(Tabla4[[#This Row],[Entrada M3]]="-","-",Tabla4[[#This Row],[Entrada M3]]+Tabla4[[#This Row],[Tiempo Atencion ]])</calculatedColumnFormula>
    </tableColumn>
    <tableColumn id="18" xr3:uid="{00000000-0010-0000-0300-000012000000}" name="Salida" dataDxfId="91">
      <calculatedColumnFormula>+MAX(Tabla4[[#This Row],[Salida M1]:[Salida M3]])</calculatedColumnFormula>
    </tableColumn>
    <tableColumn id="19" xr3:uid="{00000000-0010-0000-0300-000013000000}" name="Entra  a la carrera" dataDxfId="90">
      <calculatedColumnFormula>+IF(Tabla4[[#This Row],[Salida]]&lt;=$B$17,"Entra","No Entra")</calculatedColumnFormula>
    </tableColumn>
    <tableColumn id="20" xr3:uid="{00000000-0010-0000-0300-000014000000}" name="Grupos por fuera" dataDxfId="89">
      <calculatedColumnFormula>+IF(Tabla4[[#This Row],[Entra  a la carrera]]="Entra",0,Tabla4[[#This Row],[Grupo]])</calculatedColumnFormula>
    </tableColumn>
    <tableColumn id="21" xr3:uid="{00000000-0010-0000-0300-000015000000}" name="Me salgo por mi amigo el lento?" dataDxfId="88">
      <calculatedColumnFormula>_xlfn.IFNA(VLOOKUP(Tabla4[[#This Row],[Grupo]],Tabla4[Grupos por fuera],1,FALSE),0)</calculatedColumnFormula>
    </tableColumn>
    <tableColumn id="22" xr3:uid="{00000000-0010-0000-0300-000016000000}" name="Al fin entra o no" dataDxfId="87">
      <calculatedColumnFormula>+IF(Tabla4[[#This Row],[Me salgo por mi amigo el lento?]]=0, "Entra", "Chao")</calculatedColumnFormula>
    </tableColumn>
    <tableColumn id="23" xr3:uid="{00000000-0010-0000-0300-000017000000}" name="Corre" dataDxfId="86"/>
    <tableColumn id="24" xr3:uid="{00000000-0010-0000-0300-000018000000}" name="Entidad2" dataDxfId="85">
      <calculatedColumnFormula>+Tabla4[[#This Row],[Entidad]]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R12:BB112" totalsRowShown="0" headerRowDxfId="84">
  <autoFilter ref="AR12:BB112" xr:uid="{00000000-0009-0000-0100-000005000000}"/>
  <tableColumns count="11">
    <tableColumn id="1" xr3:uid="{00000000-0010-0000-0400-000001000000}" name="A3"/>
    <tableColumn id="2" xr3:uid="{00000000-0010-0000-0400-000002000000}" name="Si 1 esta ocupado" dataDxfId="83">
      <calculatedColumnFormula>+IF(Tabla5[[#This Row],[A3]]&lt;0.5,2,3)</calculatedColumnFormula>
    </tableColumn>
    <tableColumn id="3" xr3:uid="{00000000-0010-0000-0400-000003000000}" name="Si 2 esta ocupado" dataDxfId="82">
      <calculatedColumnFormula>+IF(Tabla5[[#This Row],[A3]]&lt;0.5,1,3)</calculatedColumnFormula>
    </tableColumn>
    <tableColumn id="4" xr3:uid="{00000000-0010-0000-0400-000004000000}" name="Si 3 esta ocupado" dataDxfId="81">
      <calculatedColumnFormula>+IF(Tabla5[[#This Row],[A3]]&lt;0.5,1,2)</calculatedColumnFormula>
    </tableColumn>
    <tableColumn id="5" xr3:uid="{00000000-0010-0000-0400-000005000000}" name="Si todos desocupados" dataDxfId="80">
      <calculatedColumnFormula>+IF(Tabla5[[#This Row],[A3]]&lt;0.33,1,IF(Tabla5[[#This Row],[A3]]&lt;0.66,2,3))</calculatedColumnFormula>
    </tableColumn>
    <tableColumn id="6" xr3:uid="{00000000-0010-0000-0400-000006000000}" name="Si todos Ocupados " dataDxfId="79">
      <calculatedColumnFormula>+IF(AND(Tabla4[[#This Row],[Disponibilidad M1]]&lt;Tabla4[[#This Row],[Disponibilidad M2]],Tabla4[[#This Row],[Disponibilidad M1]]&lt;Tabla4[[#This Row],[Disponibilidad M3]]),1,IF(Tabla4[[#This Row],[Disponibilidad M2]]&lt;Tabla4[[#This Row],[Disponibilidad M3]],2,3))</calculatedColumnFormula>
    </tableColumn>
    <tableColumn id="8" xr3:uid="{00000000-0010-0000-0400-000008000000}" name="Estado" dataDxfId="78">
      <calculatedColumnFormula>+SUM(Tabla4[[#This Row],[Ocupacion M1]:[Ocupacion M3]])</calculatedColumnFormula>
    </tableColumn>
    <tableColumn id="9" xr3:uid="{00000000-0010-0000-0400-000009000000}" name="Estado si = 1" dataDxfId="77">
      <calculatedColumnFormula>+IF(Tabla4[[#This Row],[Ocupacion M1]]=1,1,IF(Tabla4[[#This Row],[Ocupacion M2]]=1,2,3))</calculatedColumnFormula>
    </tableColumn>
    <tableColumn id="12" xr3:uid="{00000000-0010-0000-0400-00000C000000}" name="Quien si = 1" dataDxfId="76">
      <calculatedColumnFormula>+INDEX(Tabla5[[#This Row],[Si 1 esta ocupado]:[Si 3 esta ocupado]],Tabla5[[#This Row],[Estado si = 1]])</calculatedColumnFormula>
    </tableColumn>
    <tableColumn id="11" xr3:uid="{00000000-0010-0000-0400-00000B000000}" name="Estado si = 2" dataDxfId="75">
      <calculatedColumnFormula>+IF(Tabla4[[#This Row],[Ocupacion M1]]= 0,1,IF(Tabla4[[#This Row],[Ocupacion M2]]=0,2,3))</calculatedColumnFormula>
    </tableColumn>
    <tableColumn id="7" xr3:uid="{00000000-0010-0000-0400-000007000000}" name="Quien me atiende" dataDxfId="74">
      <calculatedColumnFormula>+IF(Tabla5[[#This Row],[Estado]]=0,Tabla5[[#This Row],[Si todos desocupados]],IF(Tabla5[[#This Row],[Estado]]=3,Tabla5[[#This Row],[Si todos Ocupados ]],IF(Tabla5[[#This Row],[Estado]]=1,Tabla5[[#This Row],[Quien si = 1]],Tabla5[[#This Row],[Estado si = 2]])))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BD12:BM112" totalsRowShown="0">
  <autoFilter ref="BD12:BM112" xr:uid="{00000000-0009-0000-0100-000006000000}"/>
  <tableColumns count="10">
    <tableColumn id="1" xr3:uid="{00000000-0010-0000-0500-000001000000}" name="Indice">
      <calculatedColumnFormula>+IF(BD12&lt;$AO$10,BD12+1,"")</calculatedColumnFormula>
    </tableColumn>
    <tableColumn id="2" xr3:uid="{00000000-0010-0000-0500-000002000000}" name="Entidad" dataDxfId="73">
      <calculatedColumnFormula>+IF(Tabla6[[#This Row],[Indice]]="","",VLOOKUP(Tabla6[[#This Row],[Indice]],Tabla4[[Corre]:[Entidad2]],2))</calculatedColumnFormula>
    </tableColumn>
    <tableColumn id="3" xr3:uid="{00000000-0010-0000-0500-000003000000}" name="Grupo " dataDxfId="72">
      <calculatedColumnFormula>IFERROR(+INDEX(Tabla4[Grupo],Tabla6[[#This Row],[Entidad]]),"")</calculatedColumnFormula>
    </tableColumn>
    <tableColumn id="4" xr3:uid="{00000000-0010-0000-0500-000004000000}" name="Empieza" dataDxfId="71">
      <calculatedColumnFormula>+$B$17</calculatedColumnFormula>
    </tableColumn>
    <tableColumn id="5" xr3:uid="{00000000-0010-0000-0500-000005000000}" name="A6" dataDxfId="70"/>
    <tableColumn id="6" xr3:uid="{00000000-0010-0000-0500-000006000000}" name="Tiempo carrera " dataDxfId="69">
      <calculatedColumnFormula>20+70*Tabla6[[#This Row],[A6]]</calculatedColumnFormula>
    </tableColumn>
    <tableColumn id="7" xr3:uid="{00000000-0010-0000-0500-000007000000}" name="Termina la carrera" dataDxfId="68">
      <calculatedColumnFormula>+IF(Tabla6[[#This Row],[Indice]]="","",Tabla6[[#This Row],[Empieza]]+Tabla6[[#This Row],[Tiempo carrera ]])</calculatedColumnFormula>
    </tableColumn>
    <tableColumn id="8" xr3:uid="{00000000-0010-0000-0500-000008000000}" name="Despues de las 9" dataDxfId="67">
      <calculatedColumnFormula>IF(Tabla6[[#This Row],[Termina la carrera]]="","",IF(Tabla6[[#This Row],[Termina la carrera]]&gt;540,1,0))</calculatedColumnFormula>
    </tableColumn>
    <tableColumn id="9" xr3:uid="{00000000-0010-0000-0500-000009000000}" name="grupo  despues de las 9" dataDxfId="66">
      <calculatedColumnFormula>+IF(OR(Tabla6[[#This Row],[Despues de las 9]]=0,Tabla6[[#This Row],[Despues de las 9]]=""),"",Tabla6[[#This Row],[Despues de las 9]]*Tabla6[[#This Row],[Grupo ]])</calculatedColumnFormula>
    </tableColumn>
    <tableColumn id="10" xr3:uid="{00000000-0010-0000-0500-00000A000000}" name="Variedad" dataDxfId="65">
      <calculatedColumnFormula>+IF(Tabla6[[#This Row],[grupo  despues de las 9]]="","",IF(MAX($BL12:BL$13)=Tabla6[[#This Row],[grupo  despues de las 9]],"",1))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BO12:BR15" totalsRowShown="0">
  <autoFilter ref="BO12:BR15" xr:uid="{00000000-0009-0000-0100-000007000000}"/>
  <tableColumns count="4">
    <tableColumn id="1" xr3:uid="{00000000-0010-0000-0600-000001000000}" name="Lugar "/>
    <tableColumn id="2" xr3:uid="{00000000-0010-0000-0600-000002000000}" name="Tiempo">
      <calculatedColumnFormula>+SMALL(Tabla6[Termina la carrera],BO13)</calculatedColumnFormula>
    </tableColumn>
    <tableColumn id="3" xr3:uid="{00000000-0010-0000-0600-000003000000}" name="Corredor">
      <calculatedColumnFormula>+INDEX(Tabla6[Entidad],MATCH(BP13,Tabla6[Termina la carrera],0))</calculatedColumnFormula>
    </tableColumn>
    <tableColumn id="4" xr3:uid="{00000000-0010-0000-0600-000004000000}" name="Podi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4E7DE4-E185-4B3C-9510-3B30C537B3B8}" name="Tabla8" displayName="Tabla8" ref="C4:T29" totalsRowShown="0" headerRowDxfId="64" dataDxfId="63">
  <autoFilter ref="C4:T29" xr:uid="{4A6D6E9C-AF66-4107-AB7B-FF08A58853E6}"/>
  <tableColumns count="18">
    <tableColumn id="1" xr3:uid="{BF4E5607-5DB8-4DF3-BE8C-8A81C467519C}" name="entidad" dataDxfId="62"/>
    <tableColumn id="2" xr3:uid="{CAF1061C-2A25-4E35-AA03-6C5A5A630635}" name="TELL" dataDxfId="61"/>
    <tableColumn id="3" xr3:uid="{1C479EC1-4161-4E00-B733-9A2679638C77}" name="HLL" dataDxfId="60">
      <calculatedColumnFormula>+E4+D5</calculatedColumnFormula>
    </tableColumn>
    <tableColumn id="4" xr3:uid="{6D0747A9-4A14-45BA-943E-761D4160EC4A}" name="quien si empate" dataDxfId="59">
      <calculatedColumnFormula>+IF(SUM(Tabla8[[#This Row],[Ocupada M1]:[Ocupada M2]])&gt;0,"", 1)</calculatedColumnFormula>
    </tableColumn>
    <tableColumn id="5" xr3:uid="{A656C4BB-1E13-4BF9-A0C8-D9866668D819}" name="quien sin empate" dataDxfId="58">
      <calculatedColumnFormula>IF(SUM(Tabla8[[#This Row],[Ocupada M1]:[Ocupada M2]])=0, "", IF(Tabla8[[#This Row],[TLM1]]&lt;=Tabla8[[#This Row],[TLM2]],1,2))</calculatedColumnFormula>
    </tableColumn>
    <tableColumn id="16" xr3:uid="{7C6BEF91-ED63-4AE2-9352-52B5B627BBAB}" name="Quien" dataDxfId="57">
      <calculatedColumnFormula>+SUM(Tabla8[[#This Row],[quien si empate]:[quien sin empate]])</calculatedColumnFormula>
    </tableColumn>
    <tableColumn id="6" xr3:uid="{973B9708-54F4-4A57-9A4B-76C2F799FF7D}" name="Ocupada M1" dataDxfId="56">
      <calculatedColumnFormula>+IF(Tabla8[[#This Row],[HLL]]&lt;Tabla8[[#This Row],[TLM1]],1,0)</calculatedColumnFormula>
    </tableColumn>
    <tableColumn id="7" xr3:uid="{1F642DF7-DF2E-4EFC-985F-ED51DAFE622A}" name="Ocupada M2" dataDxfId="55">
      <calculatedColumnFormula>+IF(Tabla8[[#This Row],[HLL]]&lt;Tabla8[[#This Row],[TLM2]],1,0)</calculatedColumnFormula>
    </tableColumn>
    <tableColumn id="8" xr3:uid="{61516747-6064-4BD3-A332-161F306A597E}" name="TLM1" dataDxfId="54"/>
    <tableColumn id="9" xr3:uid="{32911AAA-877B-44E0-B30B-F8915612FC3D}" name="TLM2" dataDxfId="53"/>
    <tableColumn id="10" xr3:uid="{5E4EC885-CAB6-4FCB-A684-C55440F310D8}" name="Entrada M1" dataDxfId="52">
      <calculatedColumnFormula>+IF(Tabla8[[#This Row],[Quien]]=1,MAX(Tabla8[[#This Row],[TLM1]],Tabla8[[#This Row],[HLL]]),"")</calculatedColumnFormula>
    </tableColumn>
    <tableColumn id="11" xr3:uid="{4FBD3DBF-9BEA-4599-BAEE-CF925AD056CB}" name="Entrada M2" dataDxfId="26">
      <calculatedColumnFormula>+IF(Tabla8[[#This Row],[Quien]]=2,MAX(Tabla8[[#This Row],[TLM2]],Tabla8[[#This Row],[HLL]]),"")</calculatedColumnFormula>
    </tableColumn>
    <tableColumn id="18" xr3:uid="{4FA7A51E-EF30-45CF-841B-2433BDA3581E}" name="Aleatorios" dataDxfId="51"/>
    <tableColumn id="12" xr3:uid="{282890A4-8F94-487C-BB48-6C8608514670}" name="Tiempo M1" dataDxfId="50">
      <calculatedColumnFormula>+IF(Tabla8[[#This Row],[Quien]]=1,2+2*Tabla8[[#This Row],[Aleatorios]],"")</calculatedColumnFormula>
    </tableColumn>
    <tableColumn id="13" xr3:uid="{03742FC5-B298-4BC2-AE28-93C2DDEF180C}" name="Tiempo M2" dataDxfId="49">
      <calculatedColumnFormula>+IF(Tabla8[[#This Row],[Quien]]=2,2+2*Tabla8[[#This Row],[Aleatorios]],"")</calculatedColumnFormula>
    </tableColumn>
    <tableColumn id="14" xr3:uid="{F931AB2E-6A16-42F8-BAB9-11B885201AB6}" name="Salida M1" dataDxfId="48">
      <calculatedColumnFormula>+IF(Tabla8[[#This Row],[Quien]]=1,Tabla8[[#This Row],[Entrada M1]]+Tabla8[[#This Row],[Tiempo M1]],"")</calculatedColumnFormula>
    </tableColumn>
    <tableColumn id="15" xr3:uid="{8D2D5F30-B6AE-47AA-9F01-12F3D92662C1}" name="Salida M2" dataDxfId="47">
      <calculatedColumnFormula>+IF(Tabla8[[#This Row],[Quien]]=2,Tabla8[[#This Row],[Entrada M2]]+Tabla8[[#This Row],[Tiempo M2]],"")</calculatedColumnFormula>
    </tableColumn>
    <tableColumn id="17" xr3:uid="{0294B4BE-FD4A-4561-90AA-67F04DD0376D}" name="Salida" dataDxfId="46">
      <calculatedColumnFormula>+SUM(Tabla8[[#This Row],[Salida M1]:[Salida M2]])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98595C-E5F4-49C6-B216-FB89075AC60A}" name="Tabla810" displayName="Tabla810" ref="C4:U29" totalsRowShown="0" headerRowDxfId="45" dataDxfId="44">
  <autoFilter ref="C4:U29" xr:uid="{4A6D6E9C-AF66-4107-AB7B-FF08A58853E6}"/>
  <tableColumns count="19">
    <tableColumn id="1" xr3:uid="{F6718761-5440-4C78-AD4D-8420ED65D792}" name="entidad" dataDxfId="43"/>
    <tableColumn id="2" xr3:uid="{58DEAB13-C8DC-4225-8CB0-B10F5ABFEBB5}" name="TELL" dataDxfId="42"/>
    <tableColumn id="3" xr3:uid="{A8953666-B825-4D78-A6C7-D2297F206F48}" name="HLL" dataDxfId="41">
      <calculatedColumnFormula>+E4+D5</calculatedColumnFormula>
    </tableColumn>
    <tableColumn id="19" xr3:uid="{CEB32C49-A0B1-4481-87F6-F7415EB339B2}" name="Aleatorio 2" dataDxfId="28"/>
    <tableColumn id="4" xr3:uid="{1525AB0D-15FA-4DDE-ABB4-A2A9A9A74B4F}" name="quien si empate" dataDxfId="24">
      <calculatedColumnFormula>+IF(SUM(Tabla810[[#This Row],[Ocupada M1]:[Ocupada M2]])&gt;0,"", IF(Tabla810[[#This Row],[Aleatorio 2]]&lt;$G$2,1,2))</calculatedColumnFormula>
    </tableColumn>
    <tableColumn id="5" xr3:uid="{C89C901C-2991-41EA-8394-A5DC909FD2DE}" name="quien sin empate" dataDxfId="27">
      <calculatedColumnFormula>IF(SUM(Tabla810[[#This Row],[Ocupada M1]:[Ocupada M2]])=0, "", IF(Tabla810[[#This Row],[TLM1]]&lt;Tabla810[[#This Row],[TLM2]],1,2))</calculatedColumnFormula>
    </tableColumn>
    <tableColumn id="16" xr3:uid="{9E0AD0AC-F87F-4009-B7E1-89B3E1C0C47B}" name="Quien" dataDxfId="40">
      <calculatedColumnFormula>+SUM(Tabla810[[#This Row],[quien si empate]:[quien sin empate]])</calculatedColumnFormula>
    </tableColumn>
    <tableColumn id="6" xr3:uid="{A7DFAA20-2C32-4F0A-9F9E-EF59F05C615C}" name="Ocupada M1" dataDxfId="39">
      <calculatedColumnFormula>+IF(Tabla810[[#This Row],[HLL]]&lt;Tabla810[[#This Row],[TLM1]],1,0)</calculatedColumnFormula>
    </tableColumn>
    <tableColumn id="7" xr3:uid="{A1944D36-8BF1-4AC1-9C88-84D4FDE17B0F}" name="Ocupada M2" dataDxfId="38">
      <calculatedColumnFormula>+IF(Tabla810[[#This Row],[HLL]]&lt;Tabla810[[#This Row],[TLM2]],1,0)</calculatedColumnFormula>
    </tableColumn>
    <tableColumn id="8" xr3:uid="{BF76115E-FEDA-40A4-A758-0F7DA0321482}" name="TLM1" dataDxfId="37"/>
    <tableColumn id="9" xr3:uid="{1EA65127-1041-4C9B-890A-FC28766F550C}" name="TLM2" dataDxfId="36"/>
    <tableColumn id="10" xr3:uid="{3580230D-6A5C-47C5-9F3E-D7B0DA296AFC}" name="Entrada M1" dataDxfId="35">
      <calculatedColumnFormula>+IF(Tabla810[[#This Row],[Quien]]=1,MAX(Tabla810[[#This Row],[TLM1]],Tabla810[[#This Row],[HLL]]),"")</calculatedColumnFormula>
    </tableColumn>
    <tableColumn id="11" xr3:uid="{6F20F02C-2A31-4B16-A33C-89E63CAD744E}" name="Entrada M2" dataDxfId="25">
      <calculatedColumnFormula>+IF(Tabla810[[#This Row],[Quien]]=2,MAX(Tabla810[[#This Row],[TLM2]],Tabla810[[#This Row],[HLL]]),"")</calculatedColumnFormula>
    </tableColumn>
    <tableColumn id="18" xr3:uid="{5BFC48E0-337B-45C2-82E6-6B73822DE506}" name="Aleatorios" dataDxfId="34"/>
    <tableColumn id="12" xr3:uid="{C246419B-4170-4EFB-AB0A-A4CBE0F2D4FD}" name="Tiempo M1" dataDxfId="33">
      <calculatedColumnFormula>+IF(Tabla810[[#This Row],[Quien]]=1,2+2*Tabla810[[#This Row],[Aleatorios]],"")</calculatedColumnFormula>
    </tableColumn>
    <tableColumn id="13" xr3:uid="{859A73B1-F032-4AF8-AF62-FF970BD1D2C8}" name="Tiempo M2" dataDxfId="32">
      <calculatedColumnFormula>+IF(Tabla810[[#This Row],[Quien]]=2,2+2*Tabla810[[#This Row],[Aleatorios]],"")</calculatedColumnFormula>
    </tableColumn>
    <tableColumn id="14" xr3:uid="{81BE8EB3-1B3C-4369-9FBC-63E5884F102B}" name="Salida M1" dataDxfId="31">
      <calculatedColumnFormula>+IF(Tabla810[[#This Row],[Quien]]=1,Tabla810[[#This Row],[Entrada M1]]+Tabla810[[#This Row],[Tiempo M1]],"")</calculatedColumnFormula>
    </tableColumn>
    <tableColumn id="15" xr3:uid="{6A71760B-75F6-473A-9452-3E5A485887FF}" name="Salida M2" dataDxfId="30">
      <calculatedColumnFormula>+IF(Tabla810[[#This Row],[Quien]]=2,Tabla810[[#This Row],[Entrada M2]]+Tabla810[[#This Row],[Tiempo M2]],"")</calculatedColumnFormula>
    </tableColumn>
    <tableColumn id="17" xr3:uid="{EBB4D742-B71F-4FF8-922D-4CA66D0B9765}" name="Salida" dataDxfId="29">
      <calculatedColumnFormula>+SUM(Tabla810[[#This Row],[Salida M1]:[Salida M2]])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18"/>
  <sheetViews>
    <sheetView topLeftCell="AF8" zoomScale="70" zoomScaleNormal="70" workbookViewId="0">
      <selection activeCell="CD14" sqref="CD14"/>
    </sheetView>
  </sheetViews>
  <sheetFormatPr baseColWidth="10" defaultRowHeight="15" x14ac:dyDescent="0.25"/>
  <cols>
    <col min="3" max="3" width="14.5703125" bestFit="1" customWidth="1"/>
    <col min="5" max="5" width="11.140625" style="2" bestFit="1" customWidth="1"/>
    <col min="6" max="6" width="7.85546875" style="2" bestFit="1" customWidth="1"/>
    <col min="7" max="7" width="17.42578125" style="2" bestFit="1" customWidth="1"/>
    <col min="8" max="8" width="12.28515625" style="2" bestFit="1" customWidth="1"/>
    <col min="9" max="9" width="8.28515625" style="2" bestFit="1" customWidth="1"/>
    <col min="10" max="10" width="26.42578125" style="2" bestFit="1" customWidth="1"/>
    <col min="12" max="13" width="11.140625" style="2" bestFit="1" customWidth="1"/>
    <col min="14" max="14" width="12.28515625" style="2" bestFit="1" customWidth="1"/>
    <col min="15" max="15" width="23.5703125" style="2" bestFit="1" customWidth="1"/>
    <col min="16" max="16" width="14.5703125" style="2" bestFit="1" customWidth="1"/>
    <col min="19" max="20" width="11.42578125" style="2"/>
    <col min="22" max="27" width="18.140625" customWidth="1"/>
    <col min="28" max="30" width="21.85546875" customWidth="1"/>
    <col min="31" max="31" width="13.42578125" customWidth="1"/>
    <col min="32" max="36" width="21.28515625" customWidth="1"/>
    <col min="37" max="37" width="20.7109375" bestFit="1" customWidth="1"/>
    <col min="38" max="42" width="20.7109375" customWidth="1"/>
    <col min="45" max="47" width="18.5703125" bestFit="1" customWidth="1"/>
    <col min="48" max="48" width="22.42578125" bestFit="1" customWidth="1"/>
    <col min="49" max="49" width="23.5703125" bestFit="1" customWidth="1"/>
    <col min="50" max="53" width="23.5703125" customWidth="1"/>
    <col min="54" max="54" width="21.7109375" bestFit="1" customWidth="1"/>
    <col min="61" max="61" width="16.5703125" customWidth="1"/>
    <col min="62" max="65" width="18.5703125" customWidth="1"/>
    <col min="77" max="77" width="12" bestFit="1" customWidth="1"/>
  </cols>
  <sheetData>
    <row r="1" spans="1:80" x14ac:dyDescent="0.25">
      <c r="AV1" t="s">
        <v>39</v>
      </c>
      <c r="AW1" t="s">
        <v>48</v>
      </c>
      <c r="AX1" t="s">
        <v>28</v>
      </c>
    </row>
    <row r="2" spans="1:80" x14ac:dyDescent="0.25">
      <c r="AV2" t="s">
        <v>40</v>
      </c>
      <c r="AW2">
        <v>0</v>
      </c>
      <c r="AX2">
        <v>0</v>
      </c>
    </row>
    <row r="3" spans="1:80" x14ac:dyDescent="0.25">
      <c r="AV3" t="s">
        <v>41</v>
      </c>
      <c r="AW3" s="65">
        <v>1</v>
      </c>
      <c r="AX3">
        <v>1</v>
      </c>
    </row>
    <row r="4" spans="1:80" x14ac:dyDescent="0.25">
      <c r="AV4" t="s">
        <v>42</v>
      </c>
      <c r="AW4" s="65"/>
      <c r="AX4">
        <v>2</v>
      </c>
    </row>
    <row r="5" spans="1:80" x14ac:dyDescent="0.25">
      <c r="V5" t="s">
        <v>37</v>
      </c>
      <c r="W5">
        <v>1</v>
      </c>
      <c r="AV5" t="s">
        <v>43</v>
      </c>
      <c r="AW5" s="65"/>
      <c r="AX5">
        <v>3</v>
      </c>
    </row>
    <row r="6" spans="1:80" x14ac:dyDescent="0.25">
      <c r="AV6" t="s">
        <v>44</v>
      </c>
      <c r="AW6" s="65">
        <v>2</v>
      </c>
      <c r="AX6">
        <v>1</v>
      </c>
    </row>
    <row r="7" spans="1:80" x14ac:dyDescent="0.25">
      <c r="AV7" t="s">
        <v>45</v>
      </c>
      <c r="AW7" s="65"/>
      <c r="AX7">
        <v>2</v>
      </c>
    </row>
    <row r="8" spans="1:80" x14ac:dyDescent="0.25">
      <c r="M8" s="2" t="s">
        <v>78</v>
      </c>
      <c r="N8" s="2">
        <f>+MAX(Tabla3[Llegada])</f>
        <v>423.77686443546384</v>
      </c>
      <c r="AV8" t="s">
        <v>46</v>
      </c>
      <c r="AW8" s="65"/>
      <c r="AX8">
        <v>3</v>
      </c>
    </row>
    <row r="9" spans="1:80" x14ac:dyDescent="0.25">
      <c r="V9" t="s">
        <v>38</v>
      </c>
      <c r="W9">
        <v>0</v>
      </c>
      <c r="AV9" t="s">
        <v>47</v>
      </c>
      <c r="AW9">
        <v>3</v>
      </c>
      <c r="AX9">
        <v>3</v>
      </c>
    </row>
    <row r="10" spans="1:80" ht="15.75" thickBot="1" x14ac:dyDescent="0.3">
      <c r="P10" s="2" t="s">
        <v>17</v>
      </c>
      <c r="Q10">
        <f>MAX(Tabla3[Cuantos van])</f>
        <v>100</v>
      </c>
      <c r="AN10" t="s">
        <v>72</v>
      </c>
      <c r="AO10">
        <f>+MAX(Tabla4[Corre])</f>
        <v>82</v>
      </c>
    </row>
    <row r="11" spans="1:80" ht="19.5" thickBot="1" x14ac:dyDescent="0.35">
      <c r="AS11" s="64" t="s">
        <v>22</v>
      </c>
      <c r="AT11" s="64"/>
      <c r="AU11" s="64"/>
      <c r="AV11" s="7" t="s">
        <v>23</v>
      </c>
      <c r="AW11" s="7" t="s">
        <v>25</v>
      </c>
      <c r="AX11" s="9"/>
      <c r="AY11" s="66" t="s">
        <v>52</v>
      </c>
      <c r="AZ11" s="67"/>
      <c r="BA11" s="10"/>
      <c r="BV11" s="12"/>
      <c r="BW11" s="13"/>
      <c r="BX11" s="13"/>
      <c r="BY11" s="13"/>
      <c r="BZ11" s="13"/>
      <c r="CA11" s="13"/>
      <c r="CB11" s="14"/>
    </row>
    <row r="12" spans="1:80" ht="18.75" x14ac:dyDescent="0.3">
      <c r="A12" t="s">
        <v>6</v>
      </c>
      <c r="B12" t="s">
        <v>7</v>
      </c>
      <c r="C12" t="s">
        <v>8</v>
      </c>
      <c r="E12" s="2" t="s">
        <v>0</v>
      </c>
      <c r="F12" s="2" t="s">
        <v>1</v>
      </c>
      <c r="G12" s="2" t="s">
        <v>2</v>
      </c>
      <c r="H12" s="2" t="s">
        <v>3</v>
      </c>
      <c r="I12" s="2" t="s">
        <v>4</v>
      </c>
      <c r="J12" s="2" t="s">
        <v>5</v>
      </c>
      <c r="L12" s="2" t="s">
        <v>14</v>
      </c>
      <c r="M12" s="2" t="s">
        <v>0</v>
      </c>
      <c r="N12" s="2" t="s">
        <v>3</v>
      </c>
      <c r="O12" s="2" t="s">
        <v>12</v>
      </c>
      <c r="P12" s="2" t="s">
        <v>13</v>
      </c>
      <c r="Q12" s="2" t="s">
        <v>16</v>
      </c>
      <c r="S12" s="2" t="s">
        <v>15</v>
      </c>
      <c r="T12" s="2" t="s">
        <v>0</v>
      </c>
      <c r="U12" s="2" t="s">
        <v>30</v>
      </c>
      <c r="V12" s="2" t="s">
        <v>34</v>
      </c>
      <c r="W12" s="2" t="s">
        <v>35</v>
      </c>
      <c r="X12" s="2" t="s">
        <v>36</v>
      </c>
      <c r="Y12" s="2" t="s">
        <v>57</v>
      </c>
      <c r="Z12" s="2" t="s">
        <v>55</v>
      </c>
      <c r="AA12" s="2" t="s">
        <v>56</v>
      </c>
      <c r="AB12" s="2" t="s">
        <v>31</v>
      </c>
      <c r="AC12" s="2" t="s">
        <v>32</v>
      </c>
      <c r="AD12" s="2" t="s">
        <v>33</v>
      </c>
      <c r="AE12" s="2" t="s">
        <v>53</v>
      </c>
      <c r="AF12" s="2" t="s">
        <v>54</v>
      </c>
      <c r="AG12" s="2" t="s">
        <v>58</v>
      </c>
      <c r="AH12" s="2" t="s">
        <v>59</v>
      </c>
      <c r="AI12" s="2" t="s">
        <v>60</v>
      </c>
      <c r="AJ12" s="2" t="s">
        <v>29</v>
      </c>
      <c r="AK12" s="2" t="s">
        <v>61</v>
      </c>
      <c r="AL12" s="2" t="s">
        <v>63</v>
      </c>
      <c r="AM12" s="2" t="s">
        <v>62</v>
      </c>
      <c r="AN12" s="2" t="s">
        <v>64</v>
      </c>
      <c r="AO12" s="2" t="s">
        <v>71</v>
      </c>
      <c r="AP12" s="2" t="s">
        <v>73</v>
      </c>
      <c r="AR12" s="1" t="s">
        <v>18</v>
      </c>
      <c r="AS12" s="1" t="s">
        <v>19</v>
      </c>
      <c r="AT12" s="1" t="s">
        <v>20</v>
      </c>
      <c r="AU12" s="1" t="s">
        <v>21</v>
      </c>
      <c r="AV12" s="1" t="s">
        <v>24</v>
      </c>
      <c r="AW12" s="1" t="s">
        <v>26</v>
      </c>
      <c r="AX12" s="1" t="s">
        <v>39</v>
      </c>
      <c r="AY12" s="1" t="s">
        <v>49</v>
      </c>
      <c r="AZ12" s="1" t="s">
        <v>51</v>
      </c>
      <c r="BA12" s="1" t="s">
        <v>50</v>
      </c>
      <c r="BB12" s="1" t="s">
        <v>27</v>
      </c>
      <c r="BD12" t="s">
        <v>70</v>
      </c>
      <c r="BE12" t="s">
        <v>15</v>
      </c>
      <c r="BF12" t="s">
        <v>65</v>
      </c>
      <c r="BG12" t="s">
        <v>66</v>
      </c>
      <c r="BH12" t="s">
        <v>67</v>
      </c>
      <c r="BI12" t="s">
        <v>68</v>
      </c>
      <c r="BJ12" t="s">
        <v>69</v>
      </c>
      <c r="BK12" t="s">
        <v>89</v>
      </c>
      <c r="BL12" t="s">
        <v>91</v>
      </c>
      <c r="BM12" t="s">
        <v>92</v>
      </c>
      <c r="BO12" t="s">
        <v>74</v>
      </c>
      <c r="BP12" t="s">
        <v>76</v>
      </c>
      <c r="BQ12" t="s">
        <v>75</v>
      </c>
      <c r="BR12" t="s">
        <v>77</v>
      </c>
      <c r="BV12" s="15"/>
      <c r="BW12" s="60" t="s">
        <v>79</v>
      </c>
      <c r="BX12" s="60"/>
      <c r="BY12" s="60"/>
      <c r="BZ12" s="60"/>
      <c r="CA12" s="60"/>
      <c r="CB12" s="16"/>
    </row>
    <row r="13" spans="1:80" x14ac:dyDescent="0.25">
      <c r="A13">
        <v>6</v>
      </c>
      <c r="B13">
        <f>+A13*60</f>
        <v>360</v>
      </c>
      <c r="C13" t="s">
        <v>9</v>
      </c>
      <c r="E13" s="2">
        <v>1</v>
      </c>
      <c r="F13" s="3" t="s">
        <v>11</v>
      </c>
      <c r="G13" s="3" t="s">
        <v>11</v>
      </c>
      <c r="H13" s="4">
        <f>+Tabla1[[#This Row],[Minutos]]</f>
        <v>360</v>
      </c>
      <c r="I13" s="5">
        <v>0.79255711097448733</v>
      </c>
      <c r="J13" s="2">
        <f>+IF(Tabla2[[#This Row],[A2 ]]&lt;0.5,1,IF(Tabla2[[#This Row],[A2 ]]&lt;0.8,2,3))</f>
        <v>2</v>
      </c>
      <c r="L13" s="2">
        <f>+IF(AND(Tabla2[[#This Row],[Llegada]]&lt;=$B$16,P13&gt;0),1,"-")</f>
        <v>1</v>
      </c>
      <c r="M13" s="2">
        <v>1</v>
      </c>
      <c r="N13" s="4">
        <f>+Tabla2[[#This Row],[Llegada]]</f>
        <v>360</v>
      </c>
      <c r="O13" s="2">
        <f>+Tabla2[[#This Row],[Numero de integrantes]]</f>
        <v>2</v>
      </c>
      <c r="P13" s="2">
        <v>100</v>
      </c>
      <c r="Q13" s="2">
        <f>+Tabla3[[#This Row],[Numero integrantes]]</f>
        <v>2</v>
      </c>
      <c r="S13" s="2">
        <v>1</v>
      </c>
      <c r="T13" s="2">
        <v>1</v>
      </c>
      <c r="U13" s="2">
        <f>+INDEX(Tabla3[Llegada],Tabla4[[#This Row],[Grupo]])</f>
        <v>360</v>
      </c>
      <c r="V13" s="2">
        <f>+IF(Tabla4[[#This Row],[Hora llegada]]&gt;=Tabla4[[#This Row],[Disponibilidad M1]],0,1)</f>
        <v>0</v>
      </c>
      <c r="W13" s="2">
        <f>+IF(Tabla4[[#This Row],[Hora llegada]]&gt;=Tabla4[[#This Row],[Disponibilidad M2]],0,1)</f>
        <v>0</v>
      </c>
      <c r="X13" s="2">
        <f>+IF(Tabla4[[#This Row],[Hora llegada]]&gt;=Tabla4[[#This Row],[Disponibilidad M3]],0,1)</f>
        <v>0</v>
      </c>
      <c r="Y13" s="2" t="str">
        <f>+IF(Tabla5[[#This Row],[Quien me atiende]]=1,MAX(Tabla4[[#This Row],[Disponibilidad M1]],Tabla4[[#This Row],[Hora llegada]]),"-")</f>
        <v>-</v>
      </c>
      <c r="Z13" s="2">
        <f>+IF(Tabla5[[#This Row],[Quien me atiende]]=2,MAX(Tabla4[[#This Row],[Disponibilidad M2]],Tabla4[[#This Row],[Hora llegada]]),"-")</f>
        <v>360</v>
      </c>
      <c r="AA13" s="2" t="str">
        <f>+IF(Tabla5[[#This Row],[Quien me atiende]]=3,MAX(Tabla4[[#This Row],[Disponibilidad M3]],Tabla4[[#This Row],[Hora llegada]]),"-")</f>
        <v>-</v>
      </c>
      <c r="AB13" s="2">
        <v>0</v>
      </c>
      <c r="AC13" s="2">
        <v>0</v>
      </c>
      <c r="AD13" s="2">
        <v>0</v>
      </c>
      <c r="AE13" s="2">
        <v>0.75139337002915751</v>
      </c>
      <c r="AF13" s="2">
        <f>2+4.5*Tabla4[[#This Row],[A5]]</f>
        <v>5.3812701651312089</v>
      </c>
      <c r="AG13" s="2" t="str">
        <f>+IF(Tabla4[[#This Row],[Entrada M1]]="-","-",Tabla4[[#This Row],[Entrada M1]]+Tabla4[[#This Row],[Tiempo Atencion ]])</f>
        <v>-</v>
      </c>
      <c r="AH13" s="2">
        <f>+IF(Tabla4[[#This Row],[Entrada M2]]="-","-",Tabla4[[#This Row],[Entrada M2]]+Tabla4[[#This Row],[Tiempo Atencion ]])</f>
        <v>365.38127016513118</v>
      </c>
      <c r="AI13" s="2" t="str">
        <f>+IF(Tabla4[[#This Row],[Entrada M3]]="-","-",Tabla4[[#This Row],[Entrada M3]]+Tabla4[[#This Row],[Tiempo Atencion ]])</f>
        <v>-</v>
      </c>
      <c r="AJ13" s="11">
        <f>+MAX(Tabla4[[#This Row],[Salida M1]:[Salida M3]])</f>
        <v>365.38127016513118</v>
      </c>
      <c r="AK13" s="11" t="str">
        <f>+IF(Tabla4[[#This Row],[Salida]]&lt;=$B$17,"Entra","No Entra")</f>
        <v>Entra</v>
      </c>
      <c r="AL13" s="11">
        <f>+IF(Tabla4[[#This Row],[Entra  a la carrera]]="Entra",0,Tabla4[[#This Row],[Grupo]])</f>
        <v>0</v>
      </c>
      <c r="AM13" s="11">
        <f>_xlfn.IFNA(VLOOKUP(Tabla4[[#This Row],[Grupo]],Tabla4[Grupos por fuera],1,FALSE),0)</f>
        <v>0</v>
      </c>
      <c r="AN13" s="11" t="str">
        <f>+IF(Tabla4[[#This Row],[Me salgo por mi amigo el lento?]]=0, "Entra", "Chao")</f>
        <v>Entra</v>
      </c>
      <c r="AO13" s="11">
        <v>1</v>
      </c>
      <c r="AP13" s="11">
        <f>+Tabla4[[#This Row],[Entidad]]</f>
        <v>1</v>
      </c>
      <c r="AR13">
        <v>0.51835515735686799</v>
      </c>
      <c r="AS13">
        <f>+IF(Tabla5[[#This Row],[A3]]&lt;0.5,2,3)</f>
        <v>3</v>
      </c>
      <c r="AT13">
        <f>+IF(Tabla5[[#This Row],[A3]]&lt;0.5,1,3)</f>
        <v>3</v>
      </c>
      <c r="AU13">
        <f>+IF(Tabla5[[#This Row],[A3]]&lt;0.5,1,2)</f>
        <v>2</v>
      </c>
      <c r="AV13" s="6">
        <f>+IF(Tabla5[[#This Row],[A3]]&lt;0.33,1,IF(Tabla5[[#This Row],[A3]]&lt;0.66,2,3))</f>
        <v>2</v>
      </c>
      <c r="AW1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3" s="6">
        <f>+SUM(Tabla4[[#This Row],[Ocupacion M1]:[Ocupacion M3]])</f>
        <v>0</v>
      </c>
      <c r="AY13" s="6">
        <f>+IF(Tabla4[[#This Row],[Ocupacion M1]]=1,1,IF(Tabla4[[#This Row],[Ocupacion M2]]=1,2,3))</f>
        <v>3</v>
      </c>
      <c r="AZ13" s="6">
        <f>+INDEX(Tabla5[[#This Row],[Si 1 esta ocupado]:[Si 3 esta ocupado]],Tabla5[[#This Row],[Estado si = 1]])</f>
        <v>2</v>
      </c>
      <c r="BA13" s="6">
        <f>+IF(Tabla4[[#This Row],[Ocupacion M1]]= 0,1,IF(Tabla4[[#This Row],[Ocupacion M2]]=0,2,3))</f>
        <v>1</v>
      </c>
      <c r="BB1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3">
        <v>1</v>
      </c>
      <c r="BE13">
        <f>+IF(Tabla6[[#This Row],[Indice]]="","",VLOOKUP(Tabla6[[#This Row],[Indice]],Tabla4[[Corre]:[Entidad2]],2))</f>
        <v>1</v>
      </c>
      <c r="BF13">
        <f>IFERROR(+INDEX(Tabla4[Grupo],Tabla6[[#This Row],[Entidad]]),"")</f>
        <v>1</v>
      </c>
      <c r="BG13">
        <f t="shared" ref="BG13:BG44" si="0">+$B$17</f>
        <v>480</v>
      </c>
      <c r="BH13">
        <v>0.2451417582350981</v>
      </c>
      <c r="BI13">
        <f>20+70*Tabla6[[#This Row],[A6]]</f>
        <v>37.159923076456863</v>
      </c>
      <c r="BJ13">
        <f>+IF(Tabla6[[#This Row],[Indice]]="","",Tabla6[[#This Row],[Empieza]]+Tabla6[[#This Row],[Tiempo carrera ]])</f>
        <v>517.15992307645683</v>
      </c>
      <c r="BK13" s="6">
        <f>IF(Tabla6[[#This Row],[Termina la carrera]]="","",IF(Tabla6[[#This Row],[Termina la carrera]]&gt;540,1,0))</f>
        <v>0</v>
      </c>
      <c r="BL13" s="6" t="str">
        <f>+IF(OR(Tabla6[[#This Row],[Despues de las 9]]=0,Tabla6[[#This Row],[Despues de las 9]]=""),"",Tabla6[[#This Row],[Despues de las 9]]*Tabla6[[#This Row],[Grupo ]])</f>
        <v/>
      </c>
      <c r="BM13" s="6" t="str">
        <f>Tabla6[[#This Row],[grupo  despues de las 9]]</f>
        <v/>
      </c>
      <c r="BO13">
        <v>3</v>
      </c>
      <c r="BP13">
        <f>+SMALL(Tabla6[Termina la carrera],BO13)</f>
        <v>503.38624899360582</v>
      </c>
      <c r="BQ13">
        <f>+INDEX(Tabla6[Entidad],MATCH(BP13,Tabla6[Termina la carrera],0))</f>
        <v>60</v>
      </c>
      <c r="BR13">
        <v>15</v>
      </c>
      <c r="BV13" s="15"/>
      <c r="BW13" s="23"/>
      <c r="BX13" s="23"/>
      <c r="BY13" s="23"/>
      <c r="BZ13" s="23"/>
      <c r="CA13" s="23"/>
      <c r="CB13" s="16"/>
    </row>
    <row r="14" spans="1:80" x14ac:dyDescent="0.25">
      <c r="A14">
        <v>6.5</v>
      </c>
      <c r="B14">
        <f t="shared" ref="B14:B25" si="1">+A14*60</f>
        <v>390</v>
      </c>
      <c r="E14" s="2">
        <v>2</v>
      </c>
      <c r="F14" s="5">
        <v>0.97658321194764552</v>
      </c>
      <c r="G14" s="2">
        <f t="shared" ref="G14:G77" si="2">-1*LN(1-F14)</f>
        <v>3.7543020757193868</v>
      </c>
      <c r="H14" s="4">
        <f>+H13+Tabla2[[#This Row],[Tiempo Entre]]</f>
        <v>363.75430207571941</v>
      </c>
      <c r="I14" s="5">
        <v>0.13573932147433387</v>
      </c>
      <c r="J14" s="2">
        <f>+IF(Tabla2[[#This Row],[A2 ]]&lt;0.5,1,IF(Tabla2[[#This Row],[A2 ]]&lt;0.8,2,3))</f>
        <v>1</v>
      </c>
      <c r="L14" s="2">
        <f>+IF(AND(Tabla2[[#This Row],[Llegada]]&lt;=$B$16,P14&gt;0),1,"-")</f>
        <v>1</v>
      </c>
      <c r="M14" s="2">
        <f>+IF(L14=1,M13+1,"-")</f>
        <v>2</v>
      </c>
      <c r="N14" s="4">
        <f>+IF(L14=1,Tabla2[[#This Row],[Llegada]],"-")</f>
        <v>363.75430207571941</v>
      </c>
      <c r="O14" s="2">
        <f>+IF(L14=1,Tabla2[[#This Row],[Numero de integrantes]],"-")</f>
        <v>1</v>
      </c>
      <c r="P14" s="2">
        <f>+IF(O13="-",P13,P13-O13)</f>
        <v>98</v>
      </c>
      <c r="Q14" s="2">
        <f>+IF(Tabla3[[#This Row],[Entra?]]=1,Q13+Tabla3[[#This Row],[Numero integrantes]],Q13)</f>
        <v>3</v>
      </c>
      <c r="S14" s="2">
        <f>+IF(S13&lt;$Q$10,S13+1,"-")</f>
        <v>2</v>
      </c>
      <c r="T14" s="2">
        <f>+COUNTIF(Tabla3[Cuantos van],"&lt;"&amp;Tabla4[[#This Row],[Entidad]])+1</f>
        <v>1</v>
      </c>
      <c r="U14" s="2">
        <f>+INDEX(Tabla3[Llegada],Tabla4[[#This Row],[Grupo]])</f>
        <v>360</v>
      </c>
      <c r="V14" s="2">
        <f>+IF(Tabla4[[#This Row],[Hora llegada]]&gt;=Tabla4[[#This Row],[Disponibilidad M1]],0,1)</f>
        <v>0</v>
      </c>
      <c r="W14" s="2">
        <f>+IF(Tabla4[[#This Row],[Hora llegada]]&gt;=Tabla4[[#This Row],[Disponibilidad M2]],0,1)</f>
        <v>1</v>
      </c>
      <c r="X14" s="2">
        <f>+IF(Tabla4[[#This Row],[Hora llegada]]&gt;=Tabla4[[#This Row],[Disponibilidad M3]],0,1)</f>
        <v>0</v>
      </c>
      <c r="Y14" s="2">
        <f>+IF(Tabla5[[#This Row],[Quien me atiende]]=1,MAX(Tabla4[[#This Row],[Disponibilidad M1]],Tabla4[[#This Row],[Hora llegada]]),"-")</f>
        <v>360</v>
      </c>
      <c r="Z14" s="2" t="str">
        <f>+IF(Tabla5[[#This Row],[Quien me atiende]]=2,MAX(Tabla4[[#This Row],[Disponibilidad M2]],Tabla4[[#This Row],[Hora llegada]]),"-")</f>
        <v>-</v>
      </c>
      <c r="AA14" s="2" t="str">
        <f>+IF(Tabla5[[#This Row],[Quien me atiende]]=3,MAX(Tabla4[[#This Row],[Disponibilidad M3]],Tabla4[[#This Row],[Hora llegada]]),"-")</f>
        <v>-</v>
      </c>
      <c r="AB14" s="2">
        <f>+MAX($AG$13:AG13)</f>
        <v>0</v>
      </c>
      <c r="AC14" s="2">
        <f>+MAX($AH$13:AH13)</f>
        <v>365.38127016513118</v>
      </c>
      <c r="AD14" s="2">
        <f>+MAX($AI$13:AI13)</f>
        <v>0</v>
      </c>
      <c r="AE14" s="2">
        <v>7.772751123967403E-2</v>
      </c>
      <c r="AF14" s="2">
        <f>2+4.5*Tabla4[[#This Row],[A5]]</f>
        <v>2.3497738005785331</v>
      </c>
      <c r="AG14" s="2">
        <f>+IF(Tabla4[[#This Row],[Entrada M1]]="-","-",Tabla4[[#This Row],[Entrada M1]]+Tabla4[[#This Row],[Tiempo Atencion ]])</f>
        <v>362.34977380057853</v>
      </c>
      <c r="AH14" s="2" t="str">
        <f>+IF(Tabla4[[#This Row],[Entrada M2]]="-","-",Tabla4[[#This Row],[Entrada M2]]+Tabla4[[#This Row],[Tiempo Atencion ]])</f>
        <v>-</v>
      </c>
      <c r="AI14" s="2" t="str">
        <f>+IF(Tabla4[[#This Row],[Entrada M3]]="-","-",Tabla4[[#This Row],[Entrada M3]]+Tabla4[[#This Row],[Tiempo Atencion ]])</f>
        <v>-</v>
      </c>
      <c r="AJ14" s="11">
        <f>+MAX(Tabla4[[#This Row],[Salida M1]:[Salida M3]])</f>
        <v>362.34977380057853</v>
      </c>
      <c r="AK14" s="11" t="str">
        <f>+IF(Tabla4[[#This Row],[Salida]]&lt;=$B$17,"Entra","No Entra")</f>
        <v>Entra</v>
      </c>
      <c r="AL14" s="11">
        <f>+IF(Tabla4[[#This Row],[Entra  a la carrera]]="Entra",0,Tabla4[[#This Row],[Grupo]])</f>
        <v>0</v>
      </c>
      <c r="AM14" s="11">
        <f>_xlfn.IFNA(VLOOKUP(Tabla4[[#This Row],[Grupo]],Tabla4[Grupos por fuera],1,FALSE),0)</f>
        <v>0</v>
      </c>
      <c r="AN14" s="11" t="str">
        <f>+IF(Tabla4[[#This Row],[Me salgo por mi amigo el lento?]]=0, "Entra", "Chao")</f>
        <v>Entra</v>
      </c>
      <c r="AO14" s="11">
        <f>+IF(Tabla4[[#This Row],[Al fin entra o no]]="Entra",MAX($AO$13:AO13)+1,"")</f>
        <v>2</v>
      </c>
      <c r="AP14" s="11">
        <f>+Tabla4[[#This Row],[Entidad]]</f>
        <v>2</v>
      </c>
      <c r="AR14">
        <v>0.36091379583160321</v>
      </c>
      <c r="AS14">
        <f>+IF(Tabla5[[#This Row],[A3]]&lt;0.5,2,3)</f>
        <v>2</v>
      </c>
      <c r="AT14">
        <f>+IF(Tabla5[[#This Row],[A3]]&lt;0.5,1,3)</f>
        <v>1</v>
      </c>
      <c r="AU14">
        <f>+IF(Tabla5[[#This Row],[A3]]&lt;0.5,1,2)</f>
        <v>1</v>
      </c>
      <c r="AV14" s="6">
        <f>+IF(Tabla5[[#This Row],[A3]]&lt;0.33,1,IF(Tabla5[[#This Row],[A3]]&lt;0.66,2,3))</f>
        <v>2</v>
      </c>
      <c r="AW1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4" s="6">
        <f>+SUM(Tabla4[[#This Row],[Ocupacion M1]:[Ocupacion M3]])</f>
        <v>1</v>
      </c>
      <c r="AY14" s="6">
        <f>+IF(Tabla4[[#This Row],[Ocupacion M1]]=1,1,IF(Tabla4[[#This Row],[Ocupacion M2]]=1,2,3))</f>
        <v>2</v>
      </c>
      <c r="AZ14" s="6">
        <f>+INDEX(Tabla5[[#This Row],[Si 1 esta ocupado]:[Si 3 esta ocupado]],Tabla5[[#This Row],[Estado si = 1]])</f>
        <v>1</v>
      </c>
      <c r="BA14" s="6">
        <f>+IF(Tabla4[[#This Row],[Ocupacion M1]]= 0,1,IF(Tabla4[[#This Row],[Ocupacion M2]]=0,2,3))</f>
        <v>1</v>
      </c>
      <c r="BB1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4">
        <f>+IF(BD13&lt;$AO$10,BD13+1,"")</f>
        <v>2</v>
      </c>
      <c r="BE14">
        <f>+IF(Tabla6[[#This Row],[Indice]]="","",VLOOKUP(Tabla6[[#This Row],[Indice]],Tabla4[[Corre]:[Entidad2]],2))</f>
        <v>2</v>
      </c>
      <c r="BF14">
        <f>IFERROR(+INDEX(Tabla4[Grupo],Tabla6[[#This Row],[Entidad]]),"")</f>
        <v>1</v>
      </c>
      <c r="BG14">
        <f t="shared" si="0"/>
        <v>480</v>
      </c>
      <c r="BH14">
        <v>0.26443669607164177</v>
      </c>
      <c r="BI14">
        <f>20+70*Tabla6[[#This Row],[A6]]</f>
        <v>38.51056872501492</v>
      </c>
      <c r="BJ14">
        <f>+IF(Tabla6[[#This Row],[Indice]]="","",Tabla6[[#This Row],[Empieza]]+Tabla6[[#This Row],[Tiempo carrera ]])</f>
        <v>518.51056872501488</v>
      </c>
      <c r="BK14" s="6">
        <f>IF(Tabla6[[#This Row],[Termina la carrera]]="","",IF(Tabla6[[#This Row],[Termina la carrera]]&gt;540,1,0))</f>
        <v>0</v>
      </c>
      <c r="BL14" s="6" t="str">
        <f>+IF(OR(Tabla6[[#This Row],[Despues de las 9]]=0,Tabla6[[#This Row],[Despues de las 9]]=""),"",Tabla6[[#This Row],[Despues de las 9]]*Tabla6[[#This Row],[Grupo ]])</f>
        <v/>
      </c>
      <c r="BM14" s="6" t="str">
        <f>+IF(Tabla6[[#This Row],[grupo  despues de las 9]]="","",IF(MAX($BL$13:BL13)=Tabla6[[#This Row],[grupo  despues de las 9]],"",1))</f>
        <v/>
      </c>
      <c r="BO14">
        <v>1</v>
      </c>
      <c r="BP14">
        <f>+SMALL(Tabla6[Termina la carrera],BO14)</f>
        <v>500.95676206934246</v>
      </c>
      <c r="BQ14">
        <f>+INDEX(Tabla6[Entidad],MATCH(BP14,Tabla6[Termina la carrera],0))</f>
        <v>22</v>
      </c>
      <c r="BR14">
        <v>30</v>
      </c>
      <c r="BV14" s="15"/>
      <c r="BW14" s="21" t="s">
        <v>80</v>
      </c>
      <c r="BX14" s="21">
        <f>+N8</f>
        <v>423.77686443546384</v>
      </c>
      <c r="BY14" s="21"/>
      <c r="BZ14" s="17"/>
      <c r="CA14" s="17"/>
      <c r="CB14" s="16"/>
    </row>
    <row r="15" spans="1:80" x14ac:dyDescent="0.25">
      <c r="A15">
        <v>7</v>
      </c>
      <c r="B15">
        <f t="shared" si="1"/>
        <v>420</v>
      </c>
      <c r="E15" s="2">
        <v>3</v>
      </c>
      <c r="F15" s="5">
        <v>0.26194565156359284</v>
      </c>
      <c r="G15" s="2">
        <f t="shared" si="2"/>
        <v>0.30373781422540702</v>
      </c>
      <c r="H15" s="4">
        <f>+H14+Tabla2[[#This Row],[Tiempo Entre]]</f>
        <v>364.05803988994484</v>
      </c>
      <c r="I15" s="5">
        <v>0.85018137791264903</v>
      </c>
      <c r="J15" s="2">
        <f>+IF(Tabla2[[#This Row],[A2 ]]&lt;0.5,1,IF(Tabla2[[#This Row],[A2 ]]&lt;0.8,2,3))</f>
        <v>3</v>
      </c>
      <c r="L15" s="2">
        <f>+IF(AND(Tabla2[[#This Row],[Llegada]]&lt;=$B$16,P15&gt;0),1,"-")</f>
        <v>1</v>
      </c>
      <c r="M15" s="2">
        <f t="shared" ref="M15:M78" si="3">+IF(L15=1,M14+1,"-")</f>
        <v>3</v>
      </c>
      <c r="N15" s="4">
        <f>+IF(L15=1,Tabla2[[#This Row],[Llegada]],"-")</f>
        <v>364.05803988994484</v>
      </c>
      <c r="O15" s="2">
        <f>+IF(L15=1,Tabla2[[#This Row],[Numero de integrantes]],"-")</f>
        <v>3</v>
      </c>
      <c r="P15" s="2">
        <f t="shared" ref="P15:P78" si="4">+IF(O14="-",P14,P14-O14)</f>
        <v>97</v>
      </c>
      <c r="Q15" s="2">
        <f>+IF(Tabla3[[#This Row],[Entra?]]=1,Q14+Tabla3[[#This Row],[Numero integrantes]],Q14)</f>
        <v>6</v>
      </c>
      <c r="S15" s="2">
        <f t="shared" ref="S15:S78" si="5">+IF(S14&lt;$Q$10,S14+1,"-")</f>
        <v>3</v>
      </c>
      <c r="T15" s="2">
        <f>+COUNTIF(Tabla3[Cuantos van],"&lt;"&amp;Tabla4[[#This Row],[Entidad]])+1</f>
        <v>2</v>
      </c>
      <c r="U15" s="2">
        <f>+INDEX(Tabla3[Llegada],Tabla4[[#This Row],[Grupo]])</f>
        <v>363.75430207571941</v>
      </c>
      <c r="V15" s="2">
        <f>+IF(Tabla4[[#This Row],[Hora llegada]]&gt;=Tabla4[[#This Row],[Disponibilidad M1]],0,1)</f>
        <v>0</v>
      </c>
      <c r="W15" s="2">
        <f>+IF(Tabla4[[#This Row],[Hora llegada]]&gt;=Tabla4[[#This Row],[Disponibilidad M2]],0,1)</f>
        <v>1</v>
      </c>
      <c r="X15" s="2">
        <f>+IF(Tabla4[[#This Row],[Hora llegada]]&gt;=Tabla4[[#This Row],[Disponibilidad M3]],0,1)</f>
        <v>0</v>
      </c>
      <c r="Y15" s="2">
        <f>+IF(Tabla5[[#This Row],[Quien me atiende]]=1,MAX(Tabla4[[#This Row],[Disponibilidad M1]],Tabla4[[#This Row],[Hora llegada]]),"-")</f>
        <v>363.75430207571941</v>
      </c>
      <c r="Z15" s="2" t="str">
        <f>+IF(Tabla5[[#This Row],[Quien me atiende]]=2,MAX(Tabla4[[#This Row],[Disponibilidad M2]],Tabla4[[#This Row],[Hora llegada]]),"-")</f>
        <v>-</v>
      </c>
      <c r="AA15" s="2" t="str">
        <f>+IF(Tabla5[[#This Row],[Quien me atiende]]=3,MAX(Tabla4[[#This Row],[Disponibilidad M3]],Tabla4[[#This Row],[Hora llegada]]),"-")</f>
        <v>-</v>
      </c>
      <c r="AB15" s="2">
        <f>+MAX($AG$13:AG14)</f>
        <v>362.34977380057853</v>
      </c>
      <c r="AC15" s="2">
        <f>+MAX($AH$13:AH14)</f>
        <v>365.38127016513118</v>
      </c>
      <c r="AD15" s="2">
        <f>+MAX($AI$13:AI14)</f>
        <v>0</v>
      </c>
      <c r="AE15" s="2">
        <v>0.33302347335884219</v>
      </c>
      <c r="AF15" s="2">
        <f>2+4.5*Tabla4[[#This Row],[A5]]</f>
        <v>3.4986056301147901</v>
      </c>
      <c r="AG15" s="2">
        <f>+IF(Tabla4[[#This Row],[Entrada M1]]="-","-",Tabla4[[#This Row],[Entrada M1]]+Tabla4[[#This Row],[Tiempo Atencion ]])</f>
        <v>367.25290770583422</v>
      </c>
      <c r="AH15" s="2" t="str">
        <f>+IF(Tabla4[[#This Row],[Entrada M2]]="-","-",Tabla4[[#This Row],[Entrada M2]]+Tabla4[[#This Row],[Tiempo Atencion ]])</f>
        <v>-</v>
      </c>
      <c r="AI15" s="2" t="str">
        <f>+IF(Tabla4[[#This Row],[Entrada M3]]="-","-",Tabla4[[#This Row],[Entrada M3]]+Tabla4[[#This Row],[Tiempo Atencion ]])</f>
        <v>-</v>
      </c>
      <c r="AJ15" s="11">
        <f>+MAX(Tabla4[[#This Row],[Salida M1]:[Salida M3]])</f>
        <v>367.25290770583422</v>
      </c>
      <c r="AK15" s="11" t="str">
        <f>+IF(Tabla4[[#This Row],[Salida]]&lt;=$B$17,"Entra","No Entra")</f>
        <v>Entra</v>
      </c>
      <c r="AL15" s="11">
        <f>+IF(Tabla4[[#This Row],[Entra  a la carrera]]="Entra",0,Tabla4[[#This Row],[Grupo]])</f>
        <v>0</v>
      </c>
      <c r="AM15" s="11">
        <f>_xlfn.IFNA(VLOOKUP(Tabla4[[#This Row],[Grupo]],Tabla4[Grupos por fuera],1,FALSE),0)</f>
        <v>0</v>
      </c>
      <c r="AN15" s="11" t="str">
        <f>+IF(Tabla4[[#This Row],[Me salgo por mi amigo el lento?]]=0, "Entra", "Chao")</f>
        <v>Entra</v>
      </c>
      <c r="AO15" s="11">
        <f>+IF(Tabla4[[#This Row],[Al fin entra o no]]="Entra",MAX($AO$13:AO14)+1,"")</f>
        <v>3</v>
      </c>
      <c r="AP15" s="11">
        <f>+Tabla4[[#This Row],[Entidad]]</f>
        <v>3</v>
      </c>
      <c r="AR15">
        <v>8.7467428398170566E-2</v>
      </c>
      <c r="AS15">
        <f>+IF(Tabla5[[#This Row],[A3]]&lt;0.5,2,3)</f>
        <v>2</v>
      </c>
      <c r="AT15">
        <f>+IF(Tabla5[[#This Row],[A3]]&lt;0.5,1,3)</f>
        <v>1</v>
      </c>
      <c r="AU15">
        <f>+IF(Tabla5[[#This Row],[A3]]&lt;0.5,1,2)</f>
        <v>1</v>
      </c>
      <c r="AV15" s="6">
        <f>+IF(Tabla5[[#This Row],[A3]]&lt;0.33,1,IF(Tabla5[[#This Row],[A3]]&lt;0.66,2,3))</f>
        <v>1</v>
      </c>
      <c r="AW1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5" s="6">
        <f>+SUM(Tabla4[[#This Row],[Ocupacion M1]:[Ocupacion M3]])</f>
        <v>1</v>
      </c>
      <c r="AY15" s="6">
        <f>+IF(Tabla4[[#This Row],[Ocupacion M1]]=1,1,IF(Tabla4[[#This Row],[Ocupacion M2]]=1,2,3))</f>
        <v>2</v>
      </c>
      <c r="AZ15" s="6">
        <f>+INDEX(Tabla5[[#This Row],[Si 1 esta ocupado]:[Si 3 esta ocupado]],Tabla5[[#This Row],[Estado si = 1]])</f>
        <v>1</v>
      </c>
      <c r="BA15" s="6">
        <f>+IF(Tabla4[[#This Row],[Ocupacion M1]]= 0,1,IF(Tabla4[[#This Row],[Ocupacion M2]]=0,2,3))</f>
        <v>1</v>
      </c>
      <c r="BB1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5">
        <f t="shared" ref="BD15:BD78" si="6">+IF(BD14&lt;$AO$10,BD14+1,"")</f>
        <v>3</v>
      </c>
      <c r="BE15">
        <f>+IF(Tabla6[[#This Row],[Indice]]="","",VLOOKUP(Tabla6[[#This Row],[Indice]],Tabla4[[Corre]:[Entidad2]],2))</f>
        <v>3</v>
      </c>
      <c r="BF15">
        <f>IFERROR(+INDEX(Tabla4[Grupo],Tabla6[[#This Row],[Entidad]]),"")</f>
        <v>2</v>
      </c>
      <c r="BG15">
        <f t="shared" si="0"/>
        <v>480</v>
      </c>
      <c r="BH15">
        <v>0.9934049445696681</v>
      </c>
      <c r="BI15">
        <f>20+70*Tabla6[[#This Row],[A6]]</f>
        <v>89.538346119876763</v>
      </c>
      <c r="BJ15">
        <f>+IF(Tabla6[[#This Row],[Indice]]="","",Tabla6[[#This Row],[Empieza]]+Tabla6[[#This Row],[Tiempo carrera ]])</f>
        <v>569.53834611987679</v>
      </c>
      <c r="BK15" s="6">
        <f>IF(Tabla6[[#This Row],[Termina la carrera]]="","",IF(Tabla6[[#This Row],[Termina la carrera]]&gt;540,1,0))</f>
        <v>1</v>
      </c>
      <c r="BL15" s="6">
        <f>+IF(OR(Tabla6[[#This Row],[Despues de las 9]]=0,Tabla6[[#This Row],[Despues de las 9]]=""),"",Tabla6[[#This Row],[Despues de las 9]]*Tabla6[[#This Row],[Grupo ]])</f>
        <v>2</v>
      </c>
      <c r="BM15" s="6">
        <f>+IF(Tabla6[[#This Row],[grupo  despues de las 9]]="","",IF(MAX($BL$13:BL14)=Tabla6[[#This Row],[grupo  despues de las 9]],"",1))</f>
        <v>1</v>
      </c>
      <c r="BO15">
        <v>2</v>
      </c>
      <c r="BP15">
        <f>+SMALL(Tabla6[Termina la carrera],BO15)</f>
        <v>502.47809531897934</v>
      </c>
      <c r="BQ15">
        <f>+INDEX(Tabla6[Entidad],MATCH(BP15,Tabla6[Termina la carrera],0))</f>
        <v>52</v>
      </c>
      <c r="BR15">
        <v>20</v>
      </c>
      <c r="BV15" s="15"/>
      <c r="BW15" s="21" t="s">
        <v>6</v>
      </c>
      <c r="BX15" s="21">
        <f>+INT(BX14/60)</f>
        <v>7</v>
      </c>
      <c r="BY15" s="21" t="str">
        <f>+IF(BX15&lt;10,"0"&amp;BX15,BX15)</f>
        <v>07</v>
      </c>
      <c r="BZ15" s="17"/>
      <c r="CA15" s="17"/>
      <c r="CB15" s="16"/>
    </row>
    <row r="16" spans="1:80" x14ac:dyDescent="0.25">
      <c r="A16">
        <v>7.5</v>
      </c>
      <c r="B16">
        <f t="shared" si="1"/>
        <v>450</v>
      </c>
      <c r="C16" t="s">
        <v>10</v>
      </c>
      <c r="E16" s="2">
        <v>4</v>
      </c>
      <c r="F16" s="5">
        <v>0.48028129465595859</v>
      </c>
      <c r="G16" s="2">
        <f t="shared" si="2"/>
        <v>0.65446756503504377</v>
      </c>
      <c r="H16" s="4">
        <f>+H15+Tabla2[[#This Row],[Tiempo Entre]]</f>
        <v>364.71250745497986</v>
      </c>
      <c r="I16" s="5">
        <v>0.71548550704452363</v>
      </c>
      <c r="J16" s="2">
        <f>+IF(Tabla2[[#This Row],[A2 ]]&lt;0.5,1,IF(Tabla2[[#This Row],[A2 ]]&lt;0.8,2,3))</f>
        <v>2</v>
      </c>
      <c r="L16" s="2">
        <f>+IF(AND(Tabla2[[#This Row],[Llegada]]&lt;=$B$16,P16&gt;0),1,"-")</f>
        <v>1</v>
      </c>
      <c r="M16" s="2">
        <f t="shared" si="3"/>
        <v>4</v>
      </c>
      <c r="N16" s="4">
        <f>+IF(L16=1,Tabla2[[#This Row],[Llegada]],"-")</f>
        <v>364.71250745497986</v>
      </c>
      <c r="O16" s="2">
        <f>+IF(L16=1,Tabla2[[#This Row],[Numero de integrantes]],"-")</f>
        <v>2</v>
      </c>
      <c r="P16" s="2">
        <f t="shared" si="4"/>
        <v>94</v>
      </c>
      <c r="Q16" s="2">
        <f>+IF(Tabla3[[#This Row],[Entra?]]=1,Q15+Tabla3[[#This Row],[Numero integrantes]],Q15)</f>
        <v>8</v>
      </c>
      <c r="S16" s="2">
        <f t="shared" si="5"/>
        <v>4</v>
      </c>
      <c r="T16" s="2">
        <f>+COUNTIF(Tabla3[Cuantos van],"&lt;"&amp;Tabla4[[#This Row],[Entidad]])+1</f>
        <v>3</v>
      </c>
      <c r="U16" s="2">
        <f>+INDEX(Tabla3[Llegada],Tabla4[[#This Row],[Grupo]])</f>
        <v>364.05803988994484</v>
      </c>
      <c r="V16" s="2">
        <f>+IF(Tabla4[[#This Row],[Hora llegada]]&gt;=Tabla4[[#This Row],[Disponibilidad M1]],0,1)</f>
        <v>1</v>
      </c>
      <c r="W16" s="2">
        <f>+IF(Tabla4[[#This Row],[Hora llegada]]&gt;=Tabla4[[#This Row],[Disponibilidad M2]],0,1)</f>
        <v>1</v>
      </c>
      <c r="X16" s="2">
        <f>+IF(Tabla4[[#This Row],[Hora llegada]]&gt;=Tabla4[[#This Row],[Disponibilidad M3]],0,1)</f>
        <v>0</v>
      </c>
      <c r="Y16" s="2" t="str">
        <f>+IF(Tabla5[[#This Row],[Quien me atiende]]=1,MAX(Tabla4[[#This Row],[Disponibilidad M1]],Tabla4[[#This Row],[Hora llegada]]),"-")</f>
        <v>-</v>
      </c>
      <c r="Z16" s="2" t="str">
        <f>+IF(Tabla5[[#This Row],[Quien me atiende]]=2,MAX(Tabla4[[#This Row],[Disponibilidad M2]],Tabla4[[#This Row],[Hora llegada]]),"-")</f>
        <v>-</v>
      </c>
      <c r="AA16" s="2">
        <f>+IF(Tabla5[[#This Row],[Quien me atiende]]=3,MAX(Tabla4[[#This Row],[Disponibilidad M3]],Tabla4[[#This Row],[Hora llegada]]),"-")</f>
        <v>364.05803988994484</v>
      </c>
      <c r="AB16" s="2">
        <f>+MAX($AG$13:AG15)</f>
        <v>367.25290770583422</v>
      </c>
      <c r="AC16" s="2">
        <f>+MAX($AH$13:AH15)</f>
        <v>365.38127016513118</v>
      </c>
      <c r="AD16" s="2">
        <f>+MAX($AI$13:AI15)</f>
        <v>0</v>
      </c>
      <c r="AE16" s="2">
        <v>4.9726494586424752E-2</v>
      </c>
      <c r="AF16" s="2">
        <f>2+4.5*Tabla4[[#This Row],[A5]]</f>
        <v>2.2237692256389114</v>
      </c>
      <c r="AG16" s="2" t="str">
        <f>+IF(Tabla4[[#This Row],[Entrada M1]]="-","-",Tabla4[[#This Row],[Entrada M1]]+Tabla4[[#This Row],[Tiempo Atencion ]])</f>
        <v>-</v>
      </c>
      <c r="AH16" s="2" t="str">
        <f>+IF(Tabla4[[#This Row],[Entrada M2]]="-","-",Tabla4[[#This Row],[Entrada M2]]+Tabla4[[#This Row],[Tiempo Atencion ]])</f>
        <v>-</v>
      </c>
      <c r="AI16" s="2">
        <f>+IF(Tabla4[[#This Row],[Entrada M3]]="-","-",Tabla4[[#This Row],[Entrada M3]]+Tabla4[[#This Row],[Tiempo Atencion ]])</f>
        <v>366.28180911558377</v>
      </c>
      <c r="AJ16" s="11">
        <f>+MAX(Tabla4[[#This Row],[Salida M1]:[Salida M3]])</f>
        <v>366.28180911558377</v>
      </c>
      <c r="AK16" s="11" t="str">
        <f>+IF(Tabla4[[#This Row],[Salida]]&lt;=$B$17,"Entra","No Entra")</f>
        <v>Entra</v>
      </c>
      <c r="AL16" s="11">
        <f>+IF(Tabla4[[#This Row],[Entra  a la carrera]]="Entra",0,Tabla4[[#This Row],[Grupo]])</f>
        <v>0</v>
      </c>
      <c r="AM16" s="11">
        <f>_xlfn.IFNA(VLOOKUP(Tabla4[[#This Row],[Grupo]],Tabla4[Grupos por fuera],1,FALSE),0)</f>
        <v>0</v>
      </c>
      <c r="AN16" s="11" t="str">
        <f>+IF(Tabla4[[#This Row],[Me salgo por mi amigo el lento?]]=0, "Entra", "Chao")</f>
        <v>Entra</v>
      </c>
      <c r="AO16" s="11">
        <f>+IF(Tabla4[[#This Row],[Al fin entra o no]]="Entra",MAX($AO$13:AO15)+1,"")</f>
        <v>4</v>
      </c>
      <c r="AP16" s="11">
        <f>+Tabla4[[#This Row],[Entidad]]</f>
        <v>4</v>
      </c>
      <c r="AR16">
        <v>0.16343283172189416</v>
      </c>
      <c r="AS16">
        <f>+IF(Tabla5[[#This Row],[A3]]&lt;0.5,2,3)</f>
        <v>2</v>
      </c>
      <c r="AT16">
        <f>+IF(Tabla5[[#This Row],[A3]]&lt;0.5,1,3)</f>
        <v>1</v>
      </c>
      <c r="AU16">
        <f>+IF(Tabla5[[#This Row],[A3]]&lt;0.5,1,2)</f>
        <v>1</v>
      </c>
      <c r="AV16" s="6">
        <f>+IF(Tabla5[[#This Row],[A3]]&lt;0.33,1,IF(Tabla5[[#This Row],[A3]]&lt;0.66,2,3))</f>
        <v>1</v>
      </c>
      <c r="AW1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6" s="6">
        <f>+SUM(Tabla4[[#This Row],[Ocupacion M1]:[Ocupacion M3]])</f>
        <v>2</v>
      </c>
      <c r="AY16" s="6">
        <f>+IF(Tabla4[[#This Row],[Ocupacion M1]]=1,1,IF(Tabla4[[#This Row],[Ocupacion M2]]=1,2,3))</f>
        <v>1</v>
      </c>
      <c r="AZ16" s="6">
        <f>+INDEX(Tabla5[[#This Row],[Si 1 esta ocupado]:[Si 3 esta ocupado]],Tabla5[[#This Row],[Estado si = 1]])</f>
        <v>2</v>
      </c>
      <c r="BA16" s="6">
        <f>+IF(Tabla4[[#This Row],[Ocupacion M1]]= 0,1,IF(Tabla4[[#This Row],[Ocupacion M2]]=0,2,3))</f>
        <v>3</v>
      </c>
      <c r="BB1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6">
        <f t="shared" si="6"/>
        <v>4</v>
      </c>
      <c r="BE16">
        <f>+IF(Tabla6[[#This Row],[Indice]]="","",VLOOKUP(Tabla6[[#This Row],[Indice]],Tabla4[[Corre]:[Entidad2]],2))</f>
        <v>4</v>
      </c>
      <c r="BF16">
        <f>IFERROR(+INDEX(Tabla4[Grupo],Tabla6[[#This Row],[Entidad]]),"")</f>
        <v>3</v>
      </c>
      <c r="BG16">
        <f t="shared" si="0"/>
        <v>480</v>
      </c>
      <c r="BH16">
        <v>0.68723672057519736</v>
      </c>
      <c r="BI16">
        <f>20+70*Tabla6[[#This Row],[A6]]</f>
        <v>68.106570440263823</v>
      </c>
      <c r="BJ16">
        <f>+IF(Tabla6[[#This Row],[Indice]]="","",Tabla6[[#This Row],[Empieza]]+Tabla6[[#This Row],[Tiempo carrera ]])</f>
        <v>548.10657044026379</v>
      </c>
      <c r="BK16" s="6">
        <f>IF(Tabla6[[#This Row],[Termina la carrera]]="","",IF(Tabla6[[#This Row],[Termina la carrera]]&gt;540,1,0))</f>
        <v>1</v>
      </c>
      <c r="BL16" s="6">
        <f>+IF(OR(Tabla6[[#This Row],[Despues de las 9]]=0,Tabla6[[#This Row],[Despues de las 9]]=""),"",Tabla6[[#This Row],[Despues de las 9]]*Tabla6[[#This Row],[Grupo ]])</f>
        <v>3</v>
      </c>
      <c r="BM16" s="6">
        <f>+IF(Tabla6[[#This Row],[grupo  despues de las 9]]="","",IF(MAX($BL$13:BL15)=Tabla6[[#This Row],[grupo  despues de las 9]],"",1))</f>
        <v>1</v>
      </c>
      <c r="BV16" s="15"/>
      <c r="BW16" s="21" t="s">
        <v>7</v>
      </c>
      <c r="BX16" s="22">
        <f>+INT(BX14-BX15*60)</f>
        <v>3</v>
      </c>
      <c r="BY16" s="21" t="str">
        <f>+IF(BX16&lt;10,"0"&amp;BX16,BX16)</f>
        <v>03</v>
      </c>
      <c r="BZ16" s="17"/>
      <c r="CA16" s="17"/>
      <c r="CB16" s="16"/>
    </row>
    <row r="17" spans="1:80" x14ac:dyDescent="0.25">
      <c r="A17">
        <v>8</v>
      </c>
      <c r="B17">
        <f t="shared" si="1"/>
        <v>480</v>
      </c>
      <c r="E17" s="2">
        <v>5</v>
      </c>
      <c r="F17" s="5">
        <v>0.69780040929154241</v>
      </c>
      <c r="G17" s="2">
        <f t="shared" si="2"/>
        <v>1.1966675835174871</v>
      </c>
      <c r="H17" s="4">
        <f>+H16+Tabla2[[#This Row],[Tiempo Entre]]</f>
        <v>365.90917503849732</v>
      </c>
      <c r="I17" s="5">
        <v>0.66370473795903373</v>
      </c>
      <c r="J17" s="2">
        <f>+IF(Tabla2[[#This Row],[A2 ]]&lt;0.5,1,IF(Tabla2[[#This Row],[A2 ]]&lt;0.8,2,3))</f>
        <v>2</v>
      </c>
      <c r="L17" s="2">
        <f>+IF(AND(Tabla2[[#This Row],[Llegada]]&lt;=$B$16,P17&gt;0),1,"-")</f>
        <v>1</v>
      </c>
      <c r="M17" s="2">
        <f t="shared" si="3"/>
        <v>5</v>
      </c>
      <c r="N17" s="4">
        <f>+IF(L17=1,Tabla2[[#This Row],[Llegada]],"-")</f>
        <v>365.90917503849732</v>
      </c>
      <c r="O17" s="2">
        <f>+IF(L17=1,Tabla2[[#This Row],[Numero de integrantes]],"-")</f>
        <v>2</v>
      </c>
      <c r="P17" s="2">
        <f t="shared" si="4"/>
        <v>92</v>
      </c>
      <c r="Q17" s="2">
        <f>+IF(Tabla3[[#This Row],[Entra?]]=1,Q16+Tabla3[[#This Row],[Numero integrantes]],Q16)</f>
        <v>10</v>
      </c>
      <c r="S17" s="2">
        <f t="shared" si="5"/>
        <v>5</v>
      </c>
      <c r="T17" s="2">
        <f>+COUNTIF(Tabla3[Cuantos van],"&lt;"&amp;Tabla4[[#This Row],[Entidad]])+1</f>
        <v>3</v>
      </c>
      <c r="U17" s="2">
        <f>+INDEX(Tabla3[Llegada],Tabla4[[#This Row],[Grupo]])</f>
        <v>364.05803988994484</v>
      </c>
      <c r="V17" s="2">
        <f>+IF(Tabla4[[#This Row],[Hora llegada]]&gt;=Tabla4[[#This Row],[Disponibilidad M1]],0,1)</f>
        <v>1</v>
      </c>
      <c r="W17" s="2">
        <f>+IF(Tabla4[[#This Row],[Hora llegada]]&gt;=Tabla4[[#This Row],[Disponibilidad M2]],0,1)</f>
        <v>1</v>
      </c>
      <c r="X17" s="2">
        <f>+IF(Tabla4[[#This Row],[Hora llegada]]&gt;=Tabla4[[#This Row],[Disponibilidad M3]],0,1)</f>
        <v>1</v>
      </c>
      <c r="Y17" s="2" t="str">
        <f>+IF(Tabla5[[#This Row],[Quien me atiende]]=1,MAX(Tabla4[[#This Row],[Disponibilidad M1]],Tabla4[[#This Row],[Hora llegada]]),"-")</f>
        <v>-</v>
      </c>
      <c r="Z17" s="2">
        <f>+IF(Tabla5[[#This Row],[Quien me atiende]]=2,MAX(Tabla4[[#This Row],[Disponibilidad M2]],Tabla4[[#This Row],[Hora llegada]]),"-")</f>
        <v>365.38127016513118</v>
      </c>
      <c r="AA17" s="2" t="str">
        <f>+IF(Tabla5[[#This Row],[Quien me atiende]]=3,MAX(Tabla4[[#This Row],[Disponibilidad M3]],Tabla4[[#This Row],[Hora llegada]]),"-")</f>
        <v>-</v>
      </c>
      <c r="AB17" s="2">
        <f>+MAX($AG$13:AG16)</f>
        <v>367.25290770583422</v>
      </c>
      <c r="AC17" s="2">
        <f>+MAX($AH$13:AH16)</f>
        <v>365.38127016513118</v>
      </c>
      <c r="AD17" s="2">
        <f>+MAX($AI$13:AI16)</f>
        <v>366.28180911558377</v>
      </c>
      <c r="AE17" s="2">
        <v>0.5479471033175084</v>
      </c>
      <c r="AF17" s="2">
        <f>2+4.5*Tabla4[[#This Row],[A5]]</f>
        <v>4.4657619649287881</v>
      </c>
      <c r="AG17" s="2" t="str">
        <f>+IF(Tabla4[[#This Row],[Entrada M1]]="-","-",Tabla4[[#This Row],[Entrada M1]]+Tabla4[[#This Row],[Tiempo Atencion ]])</f>
        <v>-</v>
      </c>
      <c r="AH17" s="2">
        <f>+IF(Tabla4[[#This Row],[Entrada M2]]="-","-",Tabla4[[#This Row],[Entrada M2]]+Tabla4[[#This Row],[Tiempo Atencion ]])</f>
        <v>369.84703213005997</v>
      </c>
      <c r="AI17" s="2" t="str">
        <f>+IF(Tabla4[[#This Row],[Entrada M3]]="-","-",Tabla4[[#This Row],[Entrada M3]]+Tabla4[[#This Row],[Tiempo Atencion ]])</f>
        <v>-</v>
      </c>
      <c r="AJ17" s="11">
        <f>+MAX(Tabla4[[#This Row],[Salida M1]:[Salida M3]])</f>
        <v>369.84703213005997</v>
      </c>
      <c r="AK17" s="11" t="str">
        <f>+IF(Tabla4[[#This Row],[Salida]]&lt;=$B$17,"Entra","No Entra")</f>
        <v>Entra</v>
      </c>
      <c r="AL17" s="11">
        <f>+IF(Tabla4[[#This Row],[Entra  a la carrera]]="Entra",0,Tabla4[[#This Row],[Grupo]])</f>
        <v>0</v>
      </c>
      <c r="AM17" s="11">
        <f>_xlfn.IFNA(VLOOKUP(Tabla4[[#This Row],[Grupo]],Tabla4[Grupos por fuera],1,FALSE),0)</f>
        <v>0</v>
      </c>
      <c r="AN17" s="11" t="str">
        <f>+IF(Tabla4[[#This Row],[Me salgo por mi amigo el lento?]]=0, "Entra", "Chao")</f>
        <v>Entra</v>
      </c>
      <c r="AO17" s="11">
        <f>+IF(Tabla4[[#This Row],[Al fin entra o no]]="Entra",MAX($AO$13:AO16)+1,"")</f>
        <v>5</v>
      </c>
      <c r="AP17" s="11">
        <f>+Tabla4[[#This Row],[Entidad]]</f>
        <v>5</v>
      </c>
      <c r="AR17">
        <v>0.36657413301045871</v>
      </c>
      <c r="AS17">
        <f>+IF(Tabla5[[#This Row],[A3]]&lt;0.5,2,3)</f>
        <v>2</v>
      </c>
      <c r="AT17">
        <f>+IF(Tabla5[[#This Row],[A3]]&lt;0.5,1,3)</f>
        <v>1</v>
      </c>
      <c r="AU17">
        <f>+IF(Tabla5[[#This Row],[A3]]&lt;0.5,1,2)</f>
        <v>1</v>
      </c>
      <c r="AV17" s="6">
        <f>+IF(Tabla5[[#This Row],[A3]]&lt;0.33,1,IF(Tabla5[[#This Row],[A3]]&lt;0.66,2,3))</f>
        <v>2</v>
      </c>
      <c r="AW1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17" s="6">
        <f>+SUM(Tabla4[[#This Row],[Ocupacion M1]:[Ocupacion M3]])</f>
        <v>3</v>
      </c>
      <c r="AY17" s="6">
        <f>+IF(Tabla4[[#This Row],[Ocupacion M1]]=1,1,IF(Tabla4[[#This Row],[Ocupacion M2]]=1,2,3))</f>
        <v>1</v>
      </c>
      <c r="AZ17" s="6">
        <f>+INDEX(Tabla5[[#This Row],[Si 1 esta ocupado]:[Si 3 esta ocupado]],Tabla5[[#This Row],[Estado si = 1]])</f>
        <v>2</v>
      </c>
      <c r="BA17" s="6">
        <f>+IF(Tabla4[[#This Row],[Ocupacion M1]]= 0,1,IF(Tabla4[[#This Row],[Ocupacion M2]]=0,2,3))</f>
        <v>3</v>
      </c>
      <c r="BB1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7">
        <f t="shared" si="6"/>
        <v>5</v>
      </c>
      <c r="BE17">
        <f>+IF(Tabla6[[#This Row],[Indice]]="","",VLOOKUP(Tabla6[[#This Row],[Indice]],Tabla4[[Corre]:[Entidad2]],2))</f>
        <v>5</v>
      </c>
      <c r="BF17">
        <f>IFERROR(+INDEX(Tabla4[Grupo],Tabla6[[#This Row],[Entidad]]),"")</f>
        <v>3</v>
      </c>
      <c r="BG17">
        <f t="shared" si="0"/>
        <v>480</v>
      </c>
      <c r="BH17">
        <v>8.0271086405215186E-2</v>
      </c>
      <c r="BI17">
        <f>20+70*Tabla6[[#This Row],[A6]]</f>
        <v>25.618976048365063</v>
      </c>
      <c r="BJ17">
        <f>+IF(Tabla6[[#This Row],[Indice]]="","",Tabla6[[#This Row],[Empieza]]+Tabla6[[#This Row],[Tiempo carrera ]])</f>
        <v>505.61897604836508</v>
      </c>
      <c r="BK17" s="6">
        <f>IF(Tabla6[[#This Row],[Termina la carrera]]="","",IF(Tabla6[[#This Row],[Termina la carrera]]&gt;540,1,0))</f>
        <v>0</v>
      </c>
      <c r="BL17" s="6" t="str">
        <f>+IF(OR(Tabla6[[#This Row],[Despues de las 9]]=0,Tabla6[[#This Row],[Despues de las 9]]=""),"",Tabla6[[#This Row],[Despues de las 9]]*Tabla6[[#This Row],[Grupo ]])</f>
        <v/>
      </c>
      <c r="BM17" s="6" t="str">
        <f>+IF(Tabla6[[#This Row],[grupo  despues de las 9]]="","",IF(MAX($BL$13:BL16)=Tabla6[[#This Row],[grupo  despues de las 9]],"",1))</f>
        <v/>
      </c>
      <c r="BV17" s="15"/>
      <c r="BW17" s="21" t="s">
        <v>81</v>
      </c>
      <c r="BX17" s="21">
        <f>+INT((BX14-BX15*60-BX16)*60)</f>
        <v>46</v>
      </c>
      <c r="BY17" s="21">
        <f>+IF(BX17&lt;10,"0"&amp;BX17,BX17)</f>
        <v>46</v>
      </c>
      <c r="BZ17" s="17"/>
      <c r="CA17" s="17"/>
      <c r="CB17" s="16"/>
    </row>
    <row r="18" spans="1:80" x14ac:dyDescent="0.25">
      <c r="A18">
        <v>8.5</v>
      </c>
      <c r="B18">
        <f t="shared" si="1"/>
        <v>510</v>
      </c>
      <c r="E18" s="2">
        <v>6</v>
      </c>
      <c r="F18" s="5">
        <v>0.73660095836469541</v>
      </c>
      <c r="G18" s="2">
        <f t="shared" si="2"/>
        <v>1.3340851281180548</v>
      </c>
      <c r="H18" s="4">
        <f>+H17+Tabla2[[#This Row],[Tiempo Entre]]</f>
        <v>367.24326016661536</v>
      </c>
      <c r="I18" s="5">
        <v>0.36197025335461519</v>
      </c>
      <c r="J18" s="2">
        <f>+IF(Tabla2[[#This Row],[A2 ]]&lt;0.5,1,IF(Tabla2[[#This Row],[A2 ]]&lt;0.8,2,3))</f>
        <v>1</v>
      </c>
      <c r="L18" s="2">
        <f>+IF(AND(Tabla2[[#This Row],[Llegada]]&lt;=$B$16,P18&gt;0),1,"-")</f>
        <v>1</v>
      </c>
      <c r="M18" s="2">
        <f t="shared" si="3"/>
        <v>6</v>
      </c>
      <c r="N18" s="4">
        <f>+IF(L18=1,Tabla2[[#This Row],[Llegada]],"-")</f>
        <v>367.24326016661536</v>
      </c>
      <c r="O18" s="2">
        <f>+IF(L18=1,Tabla2[[#This Row],[Numero de integrantes]],"-")</f>
        <v>1</v>
      </c>
      <c r="P18" s="2">
        <f t="shared" si="4"/>
        <v>90</v>
      </c>
      <c r="Q18" s="2">
        <f>+IF(Tabla3[[#This Row],[Entra?]]=1,Q17+Tabla3[[#This Row],[Numero integrantes]],Q17)</f>
        <v>11</v>
      </c>
      <c r="S18" s="2">
        <f t="shared" si="5"/>
        <v>6</v>
      </c>
      <c r="T18" s="2">
        <f>+COUNTIF(Tabla3[Cuantos van],"&lt;"&amp;Tabla4[[#This Row],[Entidad]])+1</f>
        <v>3</v>
      </c>
      <c r="U18" s="2">
        <f>+INDEX(Tabla3[Llegada],Tabla4[[#This Row],[Grupo]])</f>
        <v>364.05803988994484</v>
      </c>
      <c r="V18" s="2">
        <f>+IF(Tabla4[[#This Row],[Hora llegada]]&gt;=Tabla4[[#This Row],[Disponibilidad M1]],0,1)</f>
        <v>1</v>
      </c>
      <c r="W18" s="2">
        <f>+IF(Tabla4[[#This Row],[Hora llegada]]&gt;=Tabla4[[#This Row],[Disponibilidad M2]],0,1)</f>
        <v>1</v>
      </c>
      <c r="X18" s="2">
        <f>+IF(Tabla4[[#This Row],[Hora llegada]]&gt;=Tabla4[[#This Row],[Disponibilidad M3]],0,1)</f>
        <v>1</v>
      </c>
      <c r="Y18" s="2" t="str">
        <f>+IF(Tabla5[[#This Row],[Quien me atiende]]=1,MAX(Tabla4[[#This Row],[Disponibilidad M1]],Tabla4[[#This Row],[Hora llegada]]),"-")</f>
        <v>-</v>
      </c>
      <c r="Z18" s="2" t="str">
        <f>+IF(Tabla5[[#This Row],[Quien me atiende]]=2,MAX(Tabla4[[#This Row],[Disponibilidad M2]],Tabla4[[#This Row],[Hora llegada]]),"-")</f>
        <v>-</v>
      </c>
      <c r="AA18" s="2">
        <f>+IF(Tabla5[[#This Row],[Quien me atiende]]=3,MAX(Tabla4[[#This Row],[Disponibilidad M3]],Tabla4[[#This Row],[Hora llegada]]),"-")</f>
        <v>366.28180911558377</v>
      </c>
      <c r="AB18" s="2">
        <f>+MAX($AG$13:AG17)</f>
        <v>367.25290770583422</v>
      </c>
      <c r="AC18" s="2">
        <f>+MAX($AH$13:AH17)</f>
        <v>369.84703213005997</v>
      </c>
      <c r="AD18" s="2">
        <f>+MAX($AI$13:AI17)</f>
        <v>366.28180911558377</v>
      </c>
      <c r="AE18" s="2">
        <v>0.26682302434862015</v>
      </c>
      <c r="AF18" s="2">
        <f>2+4.5*Tabla4[[#This Row],[A5]]</f>
        <v>3.2007036095687909</v>
      </c>
      <c r="AG18" s="2" t="str">
        <f>+IF(Tabla4[[#This Row],[Entrada M1]]="-","-",Tabla4[[#This Row],[Entrada M1]]+Tabla4[[#This Row],[Tiempo Atencion ]])</f>
        <v>-</v>
      </c>
      <c r="AH18" s="2" t="str">
        <f>+IF(Tabla4[[#This Row],[Entrada M2]]="-","-",Tabla4[[#This Row],[Entrada M2]]+Tabla4[[#This Row],[Tiempo Atencion ]])</f>
        <v>-</v>
      </c>
      <c r="AI18" s="2">
        <f>+IF(Tabla4[[#This Row],[Entrada M3]]="-","-",Tabla4[[#This Row],[Entrada M3]]+Tabla4[[#This Row],[Tiempo Atencion ]])</f>
        <v>369.48251272515256</v>
      </c>
      <c r="AJ18" s="11">
        <f>+MAX(Tabla4[[#This Row],[Salida M1]:[Salida M3]])</f>
        <v>369.48251272515256</v>
      </c>
      <c r="AK18" s="11" t="str">
        <f>+IF(Tabla4[[#This Row],[Salida]]&lt;=$B$17,"Entra","No Entra")</f>
        <v>Entra</v>
      </c>
      <c r="AL18" s="11">
        <f>+IF(Tabla4[[#This Row],[Entra  a la carrera]]="Entra",0,Tabla4[[#This Row],[Grupo]])</f>
        <v>0</v>
      </c>
      <c r="AM18" s="11">
        <f>_xlfn.IFNA(VLOOKUP(Tabla4[[#This Row],[Grupo]],Tabla4[Grupos por fuera],1,FALSE),0)</f>
        <v>0</v>
      </c>
      <c r="AN18" s="11" t="str">
        <f>+IF(Tabla4[[#This Row],[Me salgo por mi amigo el lento?]]=0, "Entra", "Chao")</f>
        <v>Entra</v>
      </c>
      <c r="AO18" s="11">
        <f>+IF(Tabla4[[#This Row],[Al fin entra o no]]="Entra",MAX($AO$13:AO17)+1,"")</f>
        <v>6</v>
      </c>
      <c r="AP18" s="11">
        <f>+Tabla4[[#This Row],[Entidad]]</f>
        <v>6</v>
      </c>
      <c r="AR18">
        <v>0.29957320946993671</v>
      </c>
      <c r="AS18">
        <f>+IF(Tabla5[[#This Row],[A3]]&lt;0.5,2,3)</f>
        <v>2</v>
      </c>
      <c r="AT18">
        <f>+IF(Tabla5[[#This Row],[A3]]&lt;0.5,1,3)</f>
        <v>1</v>
      </c>
      <c r="AU18">
        <f>+IF(Tabla5[[#This Row],[A3]]&lt;0.5,1,2)</f>
        <v>1</v>
      </c>
      <c r="AV18" s="6">
        <f>+IF(Tabla5[[#This Row],[A3]]&lt;0.33,1,IF(Tabla5[[#This Row],[A3]]&lt;0.66,2,3))</f>
        <v>1</v>
      </c>
      <c r="AW1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8" s="6">
        <f>+SUM(Tabla4[[#This Row],[Ocupacion M1]:[Ocupacion M3]])</f>
        <v>3</v>
      </c>
      <c r="AY18" s="6">
        <f>+IF(Tabla4[[#This Row],[Ocupacion M1]]=1,1,IF(Tabla4[[#This Row],[Ocupacion M2]]=1,2,3))</f>
        <v>1</v>
      </c>
      <c r="AZ18" s="6">
        <f>+INDEX(Tabla5[[#This Row],[Si 1 esta ocupado]:[Si 3 esta ocupado]],Tabla5[[#This Row],[Estado si = 1]])</f>
        <v>2</v>
      </c>
      <c r="BA18" s="6">
        <f>+IF(Tabla4[[#This Row],[Ocupacion M1]]= 0,1,IF(Tabla4[[#This Row],[Ocupacion M2]]=0,2,3))</f>
        <v>3</v>
      </c>
      <c r="BB1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8">
        <f t="shared" si="6"/>
        <v>6</v>
      </c>
      <c r="BE18">
        <f>+IF(Tabla6[[#This Row],[Indice]]="","",VLOOKUP(Tabla6[[#This Row],[Indice]],Tabla4[[Corre]:[Entidad2]],2))</f>
        <v>6</v>
      </c>
      <c r="BF18">
        <f>IFERROR(+INDEX(Tabla4[Grupo],Tabla6[[#This Row],[Entidad]]),"")</f>
        <v>3</v>
      </c>
      <c r="BG18">
        <f t="shared" si="0"/>
        <v>480</v>
      </c>
      <c r="BH18">
        <v>0.98428105698219381</v>
      </c>
      <c r="BI18">
        <f>20+70*Tabla6[[#This Row],[A6]]</f>
        <v>88.899673988753563</v>
      </c>
      <c r="BJ18">
        <f>+IF(Tabla6[[#This Row],[Indice]]="","",Tabla6[[#This Row],[Empieza]]+Tabla6[[#This Row],[Tiempo carrera ]])</f>
        <v>568.89967398875353</v>
      </c>
      <c r="BK18" s="6">
        <f>IF(Tabla6[[#This Row],[Termina la carrera]]="","",IF(Tabla6[[#This Row],[Termina la carrera]]&gt;540,1,0))</f>
        <v>1</v>
      </c>
      <c r="BL18" s="6">
        <f>+IF(OR(Tabla6[[#This Row],[Despues de las 9]]=0,Tabla6[[#This Row],[Despues de las 9]]=""),"",Tabla6[[#This Row],[Despues de las 9]]*Tabla6[[#This Row],[Grupo ]])</f>
        <v>3</v>
      </c>
      <c r="BM18" s="6" t="str">
        <f>+IF(Tabla6[[#This Row],[grupo  despues de las 9]]="","",IF(MAX($BL$13:BL17)=Tabla6[[#This Row],[grupo  despues de las 9]],"",1))</f>
        <v/>
      </c>
      <c r="BV18" s="15"/>
      <c r="BW18" s="21" t="s">
        <v>0</v>
      </c>
      <c r="BX18" s="21">
        <f>MAX(Tabla3[Grupo])</f>
        <v>58</v>
      </c>
      <c r="BY18" s="21"/>
      <c r="BZ18" s="17"/>
      <c r="CA18" s="17"/>
      <c r="CB18" s="16"/>
    </row>
    <row r="19" spans="1:80" ht="15.75" thickBot="1" x14ac:dyDescent="0.3">
      <c r="A19">
        <v>9</v>
      </c>
      <c r="B19">
        <f t="shared" si="1"/>
        <v>540</v>
      </c>
      <c r="E19" s="2">
        <v>7</v>
      </c>
      <c r="F19" s="5">
        <v>0.46788309965078367</v>
      </c>
      <c r="G19" s="2">
        <f t="shared" si="2"/>
        <v>0.63089207628071375</v>
      </c>
      <c r="H19" s="4">
        <f>+H18+Tabla2[[#This Row],[Tiempo Entre]]</f>
        <v>367.87415224289606</v>
      </c>
      <c r="I19" s="5">
        <v>0.85327246596170458</v>
      </c>
      <c r="J19" s="2">
        <f>+IF(Tabla2[[#This Row],[A2 ]]&lt;0.5,1,IF(Tabla2[[#This Row],[A2 ]]&lt;0.8,2,3))</f>
        <v>3</v>
      </c>
      <c r="L19" s="2">
        <f>+IF(AND(Tabla2[[#This Row],[Llegada]]&lt;=$B$16,P19&gt;0),1,"-")</f>
        <v>1</v>
      </c>
      <c r="M19" s="2">
        <f t="shared" si="3"/>
        <v>7</v>
      </c>
      <c r="N19" s="4">
        <f>+IF(L19=1,Tabla2[[#This Row],[Llegada]],"-")</f>
        <v>367.87415224289606</v>
      </c>
      <c r="O19" s="2">
        <f>+IF(L19=1,Tabla2[[#This Row],[Numero de integrantes]],"-")</f>
        <v>3</v>
      </c>
      <c r="P19" s="2">
        <f t="shared" si="4"/>
        <v>89</v>
      </c>
      <c r="Q19" s="2">
        <f>+IF(Tabla3[[#This Row],[Entra?]]=1,Q18+Tabla3[[#This Row],[Numero integrantes]],Q18)</f>
        <v>14</v>
      </c>
      <c r="S19" s="2">
        <f t="shared" si="5"/>
        <v>7</v>
      </c>
      <c r="T19" s="2">
        <f>+COUNTIF(Tabla3[Cuantos van],"&lt;"&amp;Tabla4[[#This Row],[Entidad]])+1</f>
        <v>4</v>
      </c>
      <c r="U19" s="2">
        <f>+INDEX(Tabla3[Llegada],Tabla4[[#This Row],[Grupo]])</f>
        <v>364.71250745497986</v>
      </c>
      <c r="V19" s="2">
        <f>+IF(Tabla4[[#This Row],[Hora llegada]]&gt;=Tabla4[[#This Row],[Disponibilidad M1]],0,1)</f>
        <v>1</v>
      </c>
      <c r="W19" s="2">
        <f>+IF(Tabla4[[#This Row],[Hora llegada]]&gt;=Tabla4[[#This Row],[Disponibilidad M2]],0,1)</f>
        <v>1</v>
      </c>
      <c r="X19" s="2">
        <f>+IF(Tabla4[[#This Row],[Hora llegada]]&gt;=Tabla4[[#This Row],[Disponibilidad M3]],0,1)</f>
        <v>1</v>
      </c>
      <c r="Y19" s="2">
        <f>+IF(Tabla5[[#This Row],[Quien me atiende]]=1,MAX(Tabla4[[#This Row],[Disponibilidad M1]],Tabla4[[#This Row],[Hora llegada]]),"-")</f>
        <v>367.25290770583422</v>
      </c>
      <c r="Z19" s="2" t="str">
        <f>+IF(Tabla5[[#This Row],[Quien me atiende]]=2,MAX(Tabla4[[#This Row],[Disponibilidad M2]],Tabla4[[#This Row],[Hora llegada]]),"-")</f>
        <v>-</v>
      </c>
      <c r="AA19" s="2" t="str">
        <f>+IF(Tabla5[[#This Row],[Quien me atiende]]=3,MAX(Tabla4[[#This Row],[Disponibilidad M3]],Tabla4[[#This Row],[Hora llegada]]),"-")</f>
        <v>-</v>
      </c>
      <c r="AB19" s="2">
        <f>+MAX($AG$13:AG18)</f>
        <v>367.25290770583422</v>
      </c>
      <c r="AC19" s="2">
        <f>+MAX($AH$13:AH18)</f>
        <v>369.84703213005997</v>
      </c>
      <c r="AD19" s="2">
        <f>+MAX($AI$13:AI18)</f>
        <v>369.48251272515256</v>
      </c>
      <c r="AE19" s="2">
        <v>0.72899422182279805</v>
      </c>
      <c r="AF19" s="2">
        <f>2+4.5*Tabla4[[#This Row],[A5]]</f>
        <v>5.2804739982025914</v>
      </c>
      <c r="AG19" s="2">
        <f>+IF(Tabla4[[#This Row],[Entrada M1]]="-","-",Tabla4[[#This Row],[Entrada M1]]+Tabla4[[#This Row],[Tiempo Atencion ]])</f>
        <v>372.5333817040368</v>
      </c>
      <c r="AH19" s="2" t="str">
        <f>+IF(Tabla4[[#This Row],[Entrada M2]]="-","-",Tabla4[[#This Row],[Entrada M2]]+Tabla4[[#This Row],[Tiempo Atencion ]])</f>
        <v>-</v>
      </c>
      <c r="AI19" s="2" t="str">
        <f>+IF(Tabla4[[#This Row],[Entrada M3]]="-","-",Tabla4[[#This Row],[Entrada M3]]+Tabla4[[#This Row],[Tiempo Atencion ]])</f>
        <v>-</v>
      </c>
      <c r="AJ19" s="11">
        <f>+MAX(Tabla4[[#This Row],[Salida M1]:[Salida M3]])</f>
        <v>372.5333817040368</v>
      </c>
      <c r="AK19" s="11" t="str">
        <f>+IF(Tabla4[[#This Row],[Salida]]&lt;=$B$17,"Entra","No Entra")</f>
        <v>Entra</v>
      </c>
      <c r="AL19" s="11">
        <f>+IF(Tabla4[[#This Row],[Entra  a la carrera]]="Entra",0,Tabla4[[#This Row],[Grupo]])</f>
        <v>0</v>
      </c>
      <c r="AM19" s="11">
        <f>_xlfn.IFNA(VLOOKUP(Tabla4[[#This Row],[Grupo]],Tabla4[Grupos por fuera],1,FALSE),0)</f>
        <v>0</v>
      </c>
      <c r="AN19" s="11" t="str">
        <f>+IF(Tabla4[[#This Row],[Me salgo por mi amigo el lento?]]=0, "Entra", "Chao")</f>
        <v>Entra</v>
      </c>
      <c r="AO19" s="11">
        <f>+IF(Tabla4[[#This Row],[Al fin entra o no]]="Entra",MAX($AO$13:AO18)+1,"")</f>
        <v>7</v>
      </c>
      <c r="AP19" s="11">
        <f>+Tabla4[[#This Row],[Entidad]]</f>
        <v>7</v>
      </c>
      <c r="AR19">
        <v>0.72879829112731231</v>
      </c>
      <c r="AS19">
        <f>+IF(Tabla5[[#This Row],[A3]]&lt;0.5,2,3)</f>
        <v>3</v>
      </c>
      <c r="AT19">
        <f>+IF(Tabla5[[#This Row],[A3]]&lt;0.5,1,3)</f>
        <v>3</v>
      </c>
      <c r="AU19">
        <f>+IF(Tabla5[[#This Row],[A3]]&lt;0.5,1,2)</f>
        <v>2</v>
      </c>
      <c r="AV19" s="6">
        <f>+IF(Tabla5[[#This Row],[A3]]&lt;0.33,1,IF(Tabla5[[#This Row],[A3]]&lt;0.66,2,3))</f>
        <v>3</v>
      </c>
      <c r="AW1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19" s="6">
        <f>+SUM(Tabla4[[#This Row],[Ocupacion M1]:[Ocupacion M3]])</f>
        <v>3</v>
      </c>
      <c r="AY19" s="6">
        <f>+IF(Tabla4[[#This Row],[Ocupacion M1]]=1,1,IF(Tabla4[[#This Row],[Ocupacion M2]]=1,2,3))</f>
        <v>1</v>
      </c>
      <c r="AZ19" s="6">
        <f>+INDEX(Tabla5[[#This Row],[Si 1 esta ocupado]:[Si 3 esta ocupado]],Tabla5[[#This Row],[Estado si = 1]])</f>
        <v>3</v>
      </c>
      <c r="BA19" s="6">
        <f>+IF(Tabla4[[#This Row],[Ocupacion M1]]= 0,1,IF(Tabla4[[#This Row],[Ocupacion M2]]=0,2,3))</f>
        <v>3</v>
      </c>
      <c r="BB1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9">
        <f t="shared" si="6"/>
        <v>7</v>
      </c>
      <c r="BE19">
        <f>+IF(Tabla6[[#This Row],[Indice]]="","",VLOOKUP(Tabla6[[#This Row],[Indice]],Tabla4[[Corre]:[Entidad2]],2))</f>
        <v>7</v>
      </c>
      <c r="BF19">
        <f>IFERROR(+INDEX(Tabla4[Grupo],Tabla6[[#This Row],[Entidad]]),"")</f>
        <v>4</v>
      </c>
      <c r="BG19">
        <f t="shared" si="0"/>
        <v>480</v>
      </c>
      <c r="BH19">
        <v>0.14644669206986349</v>
      </c>
      <c r="BI19">
        <f>20+70*Tabla6[[#This Row],[A6]]</f>
        <v>30.251268444890442</v>
      </c>
      <c r="BJ19">
        <f>+IF(Tabla6[[#This Row],[Indice]]="","",Tabla6[[#This Row],[Empieza]]+Tabla6[[#This Row],[Tiempo carrera ]])</f>
        <v>510.25126844489046</v>
      </c>
      <c r="BK19" s="6">
        <f>IF(Tabla6[[#This Row],[Termina la carrera]]="","",IF(Tabla6[[#This Row],[Termina la carrera]]&gt;540,1,0))</f>
        <v>0</v>
      </c>
      <c r="BL19" s="6" t="str">
        <f>+IF(OR(Tabla6[[#This Row],[Despues de las 9]]=0,Tabla6[[#This Row],[Despues de las 9]]=""),"",Tabla6[[#This Row],[Despues de las 9]]*Tabla6[[#This Row],[Grupo ]])</f>
        <v/>
      </c>
      <c r="BM19" s="6" t="str">
        <f>+IF(Tabla6[[#This Row],[grupo  despues de las 9]]="","",IF(MAX($BL$13:BL18)=Tabla6[[#This Row],[grupo  despues de las 9]],"",1))</f>
        <v/>
      </c>
      <c r="BV19" s="15"/>
      <c r="BW19" s="17"/>
      <c r="BX19" s="17"/>
      <c r="BY19" s="17"/>
      <c r="BZ19" s="17"/>
      <c r="CA19" s="17"/>
      <c r="CB19" s="16"/>
    </row>
    <row r="20" spans="1:80" ht="21.75" thickBot="1" x14ac:dyDescent="0.4">
      <c r="A20">
        <v>9.5</v>
      </c>
      <c r="B20">
        <f t="shared" si="1"/>
        <v>570</v>
      </c>
      <c r="E20" s="2">
        <v>8</v>
      </c>
      <c r="F20" s="5">
        <v>0.79572275779472224</v>
      </c>
      <c r="G20" s="2">
        <f t="shared" si="2"/>
        <v>1.5882771773658897</v>
      </c>
      <c r="H20" s="4">
        <f>+H19+Tabla2[[#This Row],[Tiempo Entre]]</f>
        <v>369.46242942026197</v>
      </c>
      <c r="I20" s="5">
        <v>0.65579327497841933</v>
      </c>
      <c r="J20" s="2">
        <f>+IF(Tabla2[[#This Row],[A2 ]]&lt;0.5,1,IF(Tabla2[[#This Row],[A2 ]]&lt;0.8,2,3))</f>
        <v>2</v>
      </c>
      <c r="L20" s="2">
        <f>+IF(AND(Tabla2[[#This Row],[Llegada]]&lt;=$B$16,P20&gt;0),1,"-")</f>
        <v>1</v>
      </c>
      <c r="M20" s="2">
        <f t="shared" si="3"/>
        <v>8</v>
      </c>
      <c r="N20" s="4">
        <f>+IF(L20=1,Tabla2[[#This Row],[Llegada]],"-")</f>
        <v>369.46242942026197</v>
      </c>
      <c r="O20" s="2">
        <f>+IF(L20=1,Tabla2[[#This Row],[Numero de integrantes]],"-")</f>
        <v>2</v>
      </c>
      <c r="P20" s="2">
        <f t="shared" si="4"/>
        <v>86</v>
      </c>
      <c r="Q20" s="2">
        <f>+IF(Tabla3[[#This Row],[Entra?]]=1,Q19+Tabla3[[#This Row],[Numero integrantes]],Q19)</f>
        <v>16</v>
      </c>
      <c r="S20" s="2">
        <f t="shared" si="5"/>
        <v>8</v>
      </c>
      <c r="T20" s="2">
        <f>+COUNTIF(Tabla3[Cuantos van],"&lt;"&amp;Tabla4[[#This Row],[Entidad]])+1</f>
        <v>4</v>
      </c>
      <c r="U20" s="2">
        <f>+INDEX(Tabla3[Llegada],Tabla4[[#This Row],[Grupo]])</f>
        <v>364.71250745497986</v>
      </c>
      <c r="V20" s="2">
        <f>+IF(Tabla4[[#This Row],[Hora llegada]]&gt;=Tabla4[[#This Row],[Disponibilidad M1]],0,1)</f>
        <v>1</v>
      </c>
      <c r="W20" s="2">
        <f>+IF(Tabla4[[#This Row],[Hora llegada]]&gt;=Tabla4[[#This Row],[Disponibilidad M2]],0,1)</f>
        <v>1</v>
      </c>
      <c r="X20" s="2">
        <f>+IF(Tabla4[[#This Row],[Hora llegada]]&gt;=Tabla4[[#This Row],[Disponibilidad M3]],0,1)</f>
        <v>1</v>
      </c>
      <c r="Y20" s="2" t="str">
        <f>+IF(Tabla5[[#This Row],[Quien me atiende]]=1,MAX(Tabla4[[#This Row],[Disponibilidad M1]],Tabla4[[#This Row],[Hora llegada]]),"-")</f>
        <v>-</v>
      </c>
      <c r="Z20" s="2" t="str">
        <f>+IF(Tabla5[[#This Row],[Quien me atiende]]=2,MAX(Tabla4[[#This Row],[Disponibilidad M2]],Tabla4[[#This Row],[Hora llegada]]),"-")</f>
        <v>-</v>
      </c>
      <c r="AA20" s="2">
        <f>+IF(Tabla5[[#This Row],[Quien me atiende]]=3,MAX(Tabla4[[#This Row],[Disponibilidad M3]],Tabla4[[#This Row],[Hora llegada]]),"-")</f>
        <v>369.48251272515256</v>
      </c>
      <c r="AB20" s="2">
        <f>+MAX($AG$13:AG19)</f>
        <v>372.5333817040368</v>
      </c>
      <c r="AC20" s="2">
        <f>+MAX($AH$13:AH19)</f>
        <v>369.84703213005997</v>
      </c>
      <c r="AD20" s="2">
        <f>+MAX($AI$13:AI19)</f>
        <v>369.48251272515256</v>
      </c>
      <c r="AE20" s="2">
        <v>0.71087772822707107</v>
      </c>
      <c r="AF20" s="2">
        <f>2+4.5*Tabla4[[#This Row],[A5]]</f>
        <v>5.19894977702182</v>
      </c>
      <c r="AG20" s="2" t="str">
        <f>+IF(Tabla4[[#This Row],[Entrada M1]]="-","-",Tabla4[[#This Row],[Entrada M1]]+Tabla4[[#This Row],[Tiempo Atencion ]])</f>
        <v>-</v>
      </c>
      <c r="AH20" s="2" t="str">
        <f>+IF(Tabla4[[#This Row],[Entrada M2]]="-","-",Tabla4[[#This Row],[Entrada M2]]+Tabla4[[#This Row],[Tiempo Atencion ]])</f>
        <v>-</v>
      </c>
      <c r="AI20" s="2">
        <f>+IF(Tabla4[[#This Row],[Entrada M3]]="-","-",Tabla4[[#This Row],[Entrada M3]]+Tabla4[[#This Row],[Tiempo Atencion ]])</f>
        <v>374.68146250217438</v>
      </c>
      <c r="AJ20" s="11">
        <f>+MAX(Tabla4[[#This Row],[Salida M1]:[Salida M3]])</f>
        <v>374.68146250217438</v>
      </c>
      <c r="AK20" s="11" t="str">
        <f>+IF(Tabla4[[#This Row],[Salida]]&lt;=$B$17,"Entra","No Entra")</f>
        <v>Entra</v>
      </c>
      <c r="AL20" s="11">
        <f>+IF(Tabla4[[#This Row],[Entra  a la carrera]]="Entra",0,Tabla4[[#This Row],[Grupo]])</f>
        <v>0</v>
      </c>
      <c r="AM20" s="11">
        <f>_xlfn.IFNA(VLOOKUP(Tabla4[[#This Row],[Grupo]],Tabla4[Grupos por fuera],1,FALSE),0)</f>
        <v>0</v>
      </c>
      <c r="AN20" s="11" t="str">
        <f>+IF(Tabla4[[#This Row],[Me salgo por mi amigo el lento?]]=0, "Entra", "Chao")</f>
        <v>Entra</v>
      </c>
      <c r="AO20" s="11">
        <f>+IF(Tabla4[[#This Row],[Al fin entra o no]]="Entra",MAX($AO$13:AO19)+1,"")</f>
        <v>8</v>
      </c>
      <c r="AP20" s="11">
        <f>+Tabla4[[#This Row],[Entidad]]</f>
        <v>8</v>
      </c>
      <c r="AR20">
        <v>0.28511701880225515</v>
      </c>
      <c r="AS20">
        <f>+IF(Tabla5[[#This Row],[A3]]&lt;0.5,2,3)</f>
        <v>2</v>
      </c>
      <c r="AT20">
        <f>+IF(Tabla5[[#This Row],[A3]]&lt;0.5,1,3)</f>
        <v>1</v>
      </c>
      <c r="AU20">
        <f>+IF(Tabla5[[#This Row],[A3]]&lt;0.5,1,2)</f>
        <v>1</v>
      </c>
      <c r="AV20" s="6">
        <f>+IF(Tabla5[[#This Row],[A3]]&lt;0.33,1,IF(Tabla5[[#This Row],[A3]]&lt;0.66,2,3))</f>
        <v>1</v>
      </c>
      <c r="AW2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20" s="6">
        <f>+SUM(Tabla4[[#This Row],[Ocupacion M1]:[Ocupacion M3]])</f>
        <v>3</v>
      </c>
      <c r="AY20" s="6">
        <f>+IF(Tabla4[[#This Row],[Ocupacion M1]]=1,1,IF(Tabla4[[#This Row],[Ocupacion M2]]=1,2,3))</f>
        <v>1</v>
      </c>
      <c r="AZ20" s="6">
        <f>+INDEX(Tabla5[[#This Row],[Si 1 esta ocupado]:[Si 3 esta ocupado]],Tabla5[[#This Row],[Estado si = 1]])</f>
        <v>2</v>
      </c>
      <c r="BA20" s="6">
        <f>+IF(Tabla4[[#This Row],[Ocupacion M1]]= 0,1,IF(Tabla4[[#This Row],[Ocupacion M2]]=0,2,3))</f>
        <v>3</v>
      </c>
      <c r="BB2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20">
        <f t="shared" si="6"/>
        <v>8</v>
      </c>
      <c r="BE20">
        <f>+IF(Tabla6[[#This Row],[Indice]]="","",VLOOKUP(Tabla6[[#This Row],[Indice]],Tabla4[[Corre]:[Entidad2]],2))</f>
        <v>8</v>
      </c>
      <c r="BF20">
        <f>IFERROR(+INDEX(Tabla4[Grupo],Tabla6[[#This Row],[Entidad]]),"")</f>
        <v>4</v>
      </c>
      <c r="BG20">
        <f t="shared" si="0"/>
        <v>480</v>
      </c>
      <c r="BH20">
        <v>0.60751283994998517</v>
      </c>
      <c r="BI20">
        <f>20+70*Tabla6[[#This Row],[A6]]</f>
        <v>62.525898796498964</v>
      </c>
      <c r="BJ20">
        <f>+IF(Tabla6[[#This Row],[Indice]]="","",Tabla6[[#This Row],[Empieza]]+Tabla6[[#This Row],[Tiempo carrera ]])</f>
        <v>542.52589879649895</v>
      </c>
      <c r="BK20" s="6">
        <f>IF(Tabla6[[#This Row],[Termina la carrera]]="","",IF(Tabla6[[#This Row],[Termina la carrera]]&gt;540,1,0))</f>
        <v>1</v>
      </c>
      <c r="BL20" s="6">
        <f>+IF(OR(Tabla6[[#This Row],[Despues de las 9]]=0,Tabla6[[#This Row],[Despues de las 9]]=""),"",Tabla6[[#This Row],[Despues de las 9]]*Tabla6[[#This Row],[Grupo ]])</f>
        <v>4</v>
      </c>
      <c r="BM20" s="6">
        <f>+IF(Tabla6[[#This Row],[grupo  despues de las 9]]="","",IF(MAX($BL$13:BL19)=Tabla6[[#This Row],[grupo  despues de las 9]],"",1))</f>
        <v>1</v>
      </c>
      <c r="BV20" s="15"/>
      <c r="BW20" s="61" t="s">
        <v>82</v>
      </c>
      <c r="BX20" s="62"/>
      <c r="BY20" s="62"/>
      <c r="BZ20" s="62"/>
      <c r="CA20" s="63"/>
      <c r="CB20" s="16"/>
    </row>
    <row r="21" spans="1:80" x14ac:dyDescent="0.25">
      <c r="A21">
        <v>10</v>
      </c>
      <c r="B21">
        <f t="shared" si="1"/>
        <v>600</v>
      </c>
      <c r="E21" s="2">
        <v>9</v>
      </c>
      <c r="F21" s="5">
        <v>0.28630800411982016</v>
      </c>
      <c r="G21" s="2">
        <f t="shared" si="2"/>
        <v>0.33730378803202227</v>
      </c>
      <c r="H21" s="4">
        <f>+H20+Tabla2[[#This Row],[Tiempo Entre]]</f>
        <v>369.79973320829401</v>
      </c>
      <c r="I21" s="5">
        <v>0.94914516975290975</v>
      </c>
      <c r="J21" s="2">
        <f>+IF(Tabla2[[#This Row],[A2 ]]&lt;0.5,1,IF(Tabla2[[#This Row],[A2 ]]&lt;0.8,2,3))</f>
        <v>3</v>
      </c>
      <c r="L21" s="2">
        <f>+IF(AND(Tabla2[[#This Row],[Llegada]]&lt;=$B$16,P21&gt;0),1,"-")</f>
        <v>1</v>
      </c>
      <c r="M21" s="2">
        <f t="shared" si="3"/>
        <v>9</v>
      </c>
      <c r="N21" s="4">
        <f>+IF(L21=1,Tabla2[[#This Row],[Llegada]],"-")</f>
        <v>369.79973320829401</v>
      </c>
      <c r="O21" s="2">
        <f>+IF(L21=1,Tabla2[[#This Row],[Numero de integrantes]],"-")</f>
        <v>3</v>
      </c>
      <c r="P21" s="2">
        <f t="shared" si="4"/>
        <v>84</v>
      </c>
      <c r="Q21" s="2">
        <f>+IF(Tabla3[[#This Row],[Entra?]]=1,Q20+Tabla3[[#This Row],[Numero integrantes]],Q20)</f>
        <v>19</v>
      </c>
      <c r="S21" s="2">
        <f t="shared" si="5"/>
        <v>9</v>
      </c>
      <c r="T21" s="2">
        <f>+COUNTIF(Tabla3[Cuantos van],"&lt;"&amp;Tabla4[[#This Row],[Entidad]])+1</f>
        <v>5</v>
      </c>
      <c r="U21" s="2">
        <f>+INDEX(Tabla3[Llegada],Tabla4[[#This Row],[Grupo]])</f>
        <v>365.90917503849732</v>
      </c>
      <c r="V21" s="2">
        <f>+IF(Tabla4[[#This Row],[Hora llegada]]&gt;=Tabla4[[#This Row],[Disponibilidad M1]],0,1)</f>
        <v>1</v>
      </c>
      <c r="W21" s="2">
        <f>+IF(Tabla4[[#This Row],[Hora llegada]]&gt;=Tabla4[[#This Row],[Disponibilidad M2]],0,1)</f>
        <v>1</v>
      </c>
      <c r="X21" s="2">
        <f>+IF(Tabla4[[#This Row],[Hora llegada]]&gt;=Tabla4[[#This Row],[Disponibilidad M3]],0,1)</f>
        <v>1</v>
      </c>
      <c r="Y21" s="2" t="str">
        <f>+IF(Tabla5[[#This Row],[Quien me atiende]]=1,MAX(Tabla4[[#This Row],[Disponibilidad M1]],Tabla4[[#This Row],[Hora llegada]]),"-")</f>
        <v>-</v>
      </c>
      <c r="Z21" s="2">
        <f>+IF(Tabla5[[#This Row],[Quien me atiende]]=2,MAX(Tabla4[[#This Row],[Disponibilidad M2]],Tabla4[[#This Row],[Hora llegada]]),"-")</f>
        <v>369.84703213005997</v>
      </c>
      <c r="AA21" s="2" t="str">
        <f>+IF(Tabla5[[#This Row],[Quien me atiende]]=3,MAX(Tabla4[[#This Row],[Disponibilidad M3]],Tabla4[[#This Row],[Hora llegada]]),"-")</f>
        <v>-</v>
      </c>
      <c r="AB21" s="2">
        <f>+MAX($AG$13:AG20)</f>
        <v>372.5333817040368</v>
      </c>
      <c r="AC21" s="2">
        <f>+MAX($AH$13:AH20)</f>
        <v>369.84703213005997</v>
      </c>
      <c r="AD21" s="2">
        <f>+MAX($AI$13:AI20)</f>
        <v>374.68146250217438</v>
      </c>
      <c r="AE21" s="2">
        <v>0.25997565633898068</v>
      </c>
      <c r="AF21" s="2">
        <f>2+4.5*Tabla4[[#This Row],[A5]]</f>
        <v>3.1698904535254133</v>
      </c>
      <c r="AG21" s="2" t="str">
        <f>+IF(Tabla4[[#This Row],[Entrada M1]]="-","-",Tabla4[[#This Row],[Entrada M1]]+Tabla4[[#This Row],[Tiempo Atencion ]])</f>
        <v>-</v>
      </c>
      <c r="AH21" s="2">
        <f>+IF(Tabla4[[#This Row],[Entrada M2]]="-","-",Tabla4[[#This Row],[Entrada M2]]+Tabla4[[#This Row],[Tiempo Atencion ]])</f>
        <v>373.01692258358537</v>
      </c>
      <c r="AI21" s="2" t="str">
        <f>+IF(Tabla4[[#This Row],[Entrada M3]]="-","-",Tabla4[[#This Row],[Entrada M3]]+Tabla4[[#This Row],[Tiempo Atencion ]])</f>
        <v>-</v>
      </c>
      <c r="AJ21" s="11">
        <f>+MAX(Tabla4[[#This Row],[Salida M1]:[Salida M3]])</f>
        <v>373.01692258358537</v>
      </c>
      <c r="AK21" s="11" t="str">
        <f>+IF(Tabla4[[#This Row],[Salida]]&lt;=$B$17,"Entra","No Entra")</f>
        <v>Entra</v>
      </c>
      <c r="AL21" s="11">
        <f>+IF(Tabla4[[#This Row],[Entra  a la carrera]]="Entra",0,Tabla4[[#This Row],[Grupo]])</f>
        <v>0</v>
      </c>
      <c r="AM21" s="11">
        <f>_xlfn.IFNA(VLOOKUP(Tabla4[[#This Row],[Grupo]],Tabla4[Grupos por fuera],1,FALSE),0)</f>
        <v>0</v>
      </c>
      <c r="AN21" s="11" t="str">
        <f>+IF(Tabla4[[#This Row],[Me salgo por mi amigo el lento?]]=0, "Entra", "Chao")</f>
        <v>Entra</v>
      </c>
      <c r="AO21" s="11">
        <f>+IF(Tabla4[[#This Row],[Al fin entra o no]]="Entra",MAX($AO$13:AO20)+1,"")</f>
        <v>9</v>
      </c>
      <c r="AP21" s="11">
        <f>+Tabla4[[#This Row],[Entidad]]</f>
        <v>9</v>
      </c>
      <c r="AR21">
        <v>6.4275131722759116E-2</v>
      </c>
      <c r="AS21">
        <f>+IF(Tabla5[[#This Row],[A3]]&lt;0.5,2,3)</f>
        <v>2</v>
      </c>
      <c r="AT21">
        <f>+IF(Tabla5[[#This Row],[A3]]&lt;0.5,1,3)</f>
        <v>1</v>
      </c>
      <c r="AU21">
        <f>+IF(Tabla5[[#This Row],[A3]]&lt;0.5,1,2)</f>
        <v>1</v>
      </c>
      <c r="AV21" s="6">
        <f>+IF(Tabla5[[#This Row],[A3]]&lt;0.33,1,IF(Tabla5[[#This Row],[A3]]&lt;0.66,2,3))</f>
        <v>1</v>
      </c>
      <c r="AW2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21" s="6">
        <f>+SUM(Tabla4[[#This Row],[Ocupacion M1]:[Ocupacion M3]])</f>
        <v>3</v>
      </c>
      <c r="AY21" s="6">
        <f>+IF(Tabla4[[#This Row],[Ocupacion M1]]=1,1,IF(Tabla4[[#This Row],[Ocupacion M2]]=1,2,3))</f>
        <v>1</v>
      </c>
      <c r="AZ21" s="6">
        <f>+INDEX(Tabla5[[#This Row],[Si 1 esta ocupado]:[Si 3 esta ocupado]],Tabla5[[#This Row],[Estado si = 1]])</f>
        <v>2</v>
      </c>
      <c r="BA21" s="6">
        <f>+IF(Tabla4[[#This Row],[Ocupacion M1]]= 0,1,IF(Tabla4[[#This Row],[Ocupacion M2]]=0,2,3))</f>
        <v>3</v>
      </c>
      <c r="BB2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21">
        <f t="shared" si="6"/>
        <v>9</v>
      </c>
      <c r="BE21">
        <f>+IF(Tabla6[[#This Row],[Indice]]="","",VLOOKUP(Tabla6[[#This Row],[Indice]],Tabla4[[Corre]:[Entidad2]],2))</f>
        <v>9</v>
      </c>
      <c r="BF21">
        <f>IFERROR(+INDEX(Tabla4[Grupo],Tabla6[[#This Row],[Entidad]]),"")</f>
        <v>5</v>
      </c>
      <c r="BG21">
        <f t="shared" si="0"/>
        <v>480</v>
      </c>
      <c r="BH21">
        <v>0.61016843669992604</v>
      </c>
      <c r="BI21">
        <f>20+70*Tabla6[[#This Row],[A6]]</f>
        <v>62.711790568994822</v>
      </c>
      <c r="BJ21">
        <f>+IF(Tabla6[[#This Row],[Indice]]="","",Tabla6[[#This Row],[Empieza]]+Tabla6[[#This Row],[Tiempo carrera ]])</f>
        <v>542.71179056899484</v>
      </c>
      <c r="BK21" s="6">
        <f>IF(Tabla6[[#This Row],[Termina la carrera]]="","",IF(Tabla6[[#This Row],[Termina la carrera]]&gt;540,1,0))</f>
        <v>1</v>
      </c>
      <c r="BL21" s="6">
        <f>+IF(OR(Tabla6[[#This Row],[Despues de las 9]]=0,Tabla6[[#This Row],[Despues de las 9]]=""),"",Tabla6[[#This Row],[Despues de las 9]]*Tabla6[[#This Row],[Grupo ]])</f>
        <v>5</v>
      </c>
      <c r="BM21" s="6">
        <f>+IF(Tabla6[[#This Row],[grupo  despues de las 9]]="","",IF(MAX($BL$13:BL20)=Tabla6[[#This Row],[grupo  despues de las 9]],"",1))</f>
        <v>1</v>
      </c>
      <c r="BV21" s="15"/>
      <c r="BW21" s="17"/>
      <c r="BX21" s="17"/>
      <c r="BY21" s="17"/>
      <c r="BZ21" s="17"/>
      <c r="CA21" s="17"/>
      <c r="CB21" s="16"/>
    </row>
    <row r="22" spans="1:80" ht="18.75" x14ac:dyDescent="0.3">
      <c r="A22">
        <v>10.5</v>
      </c>
      <c r="B22">
        <f t="shared" si="1"/>
        <v>630</v>
      </c>
      <c r="E22" s="2">
        <v>10</v>
      </c>
      <c r="F22" s="5">
        <v>0.39211084355849335</v>
      </c>
      <c r="G22" s="2">
        <f t="shared" si="2"/>
        <v>0.4977627221205459</v>
      </c>
      <c r="H22" s="4">
        <f>+H21+Tabla2[[#This Row],[Tiempo Entre]]</f>
        <v>370.29749593041458</v>
      </c>
      <c r="I22" s="5">
        <v>0.36970504586811681</v>
      </c>
      <c r="J22" s="2">
        <f>+IF(Tabla2[[#This Row],[A2 ]]&lt;0.5,1,IF(Tabla2[[#This Row],[A2 ]]&lt;0.8,2,3))</f>
        <v>1</v>
      </c>
      <c r="L22" s="2">
        <f>+IF(AND(Tabla2[[#This Row],[Llegada]]&lt;=$B$16,P22&gt;0),1,"-")</f>
        <v>1</v>
      </c>
      <c r="M22" s="2">
        <f t="shared" si="3"/>
        <v>10</v>
      </c>
      <c r="N22" s="4">
        <f>+IF(L22=1,Tabla2[[#This Row],[Llegada]],"-")</f>
        <v>370.29749593041458</v>
      </c>
      <c r="O22" s="2">
        <f>+IF(L22=1,Tabla2[[#This Row],[Numero de integrantes]],"-")</f>
        <v>1</v>
      </c>
      <c r="P22" s="2">
        <f t="shared" si="4"/>
        <v>81</v>
      </c>
      <c r="Q22" s="2">
        <f>+IF(Tabla3[[#This Row],[Entra?]]=1,Q21+Tabla3[[#This Row],[Numero integrantes]],Q21)</f>
        <v>20</v>
      </c>
      <c r="S22" s="2">
        <f t="shared" si="5"/>
        <v>10</v>
      </c>
      <c r="T22" s="2">
        <f>+COUNTIF(Tabla3[Cuantos van],"&lt;"&amp;Tabla4[[#This Row],[Entidad]])+1</f>
        <v>5</v>
      </c>
      <c r="U22" s="2">
        <f>+INDEX(Tabla3[Llegada],Tabla4[[#This Row],[Grupo]])</f>
        <v>365.90917503849732</v>
      </c>
      <c r="V22" s="2">
        <f>+IF(Tabla4[[#This Row],[Hora llegada]]&gt;=Tabla4[[#This Row],[Disponibilidad M1]],0,1)</f>
        <v>1</v>
      </c>
      <c r="W22" s="2">
        <f>+IF(Tabla4[[#This Row],[Hora llegada]]&gt;=Tabla4[[#This Row],[Disponibilidad M2]],0,1)</f>
        <v>1</v>
      </c>
      <c r="X22" s="2">
        <f>+IF(Tabla4[[#This Row],[Hora llegada]]&gt;=Tabla4[[#This Row],[Disponibilidad M3]],0,1)</f>
        <v>1</v>
      </c>
      <c r="Y22" s="2">
        <f>+IF(Tabla5[[#This Row],[Quien me atiende]]=1,MAX(Tabla4[[#This Row],[Disponibilidad M1]],Tabla4[[#This Row],[Hora llegada]]),"-")</f>
        <v>372.5333817040368</v>
      </c>
      <c r="Z22" s="2" t="str">
        <f>+IF(Tabla5[[#This Row],[Quien me atiende]]=2,MAX(Tabla4[[#This Row],[Disponibilidad M2]],Tabla4[[#This Row],[Hora llegada]]),"-")</f>
        <v>-</v>
      </c>
      <c r="AA22" s="2" t="str">
        <f>+IF(Tabla5[[#This Row],[Quien me atiende]]=3,MAX(Tabla4[[#This Row],[Disponibilidad M3]],Tabla4[[#This Row],[Hora llegada]]),"-")</f>
        <v>-</v>
      </c>
      <c r="AB22" s="2">
        <f>+MAX($AG$13:AG21)</f>
        <v>372.5333817040368</v>
      </c>
      <c r="AC22" s="2">
        <f>+MAX($AH$13:AH21)</f>
        <v>373.01692258358537</v>
      </c>
      <c r="AD22" s="2">
        <f>+MAX($AI$13:AI21)</f>
        <v>374.68146250217438</v>
      </c>
      <c r="AE22" s="2">
        <v>2.2159917966465104E-2</v>
      </c>
      <c r="AF22" s="2">
        <f>2+4.5*Tabla4[[#This Row],[A5]]</f>
        <v>2.0997196308490929</v>
      </c>
      <c r="AG22" s="2">
        <f>+IF(Tabla4[[#This Row],[Entrada M1]]="-","-",Tabla4[[#This Row],[Entrada M1]]+Tabla4[[#This Row],[Tiempo Atencion ]])</f>
        <v>374.63310133488591</v>
      </c>
      <c r="AH22" s="2" t="str">
        <f>+IF(Tabla4[[#This Row],[Entrada M2]]="-","-",Tabla4[[#This Row],[Entrada M2]]+Tabla4[[#This Row],[Tiempo Atencion ]])</f>
        <v>-</v>
      </c>
      <c r="AI22" s="2" t="str">
        <f>+IF(Tabla4[[#This Row],[Entrada M3]]="-","-",Tabla4[[#This Row],[Entrada M3]]+Tabla4[[#This Row],[Tiempo Atencion ]])</f>
        <v>-</v>
      </c>
      <c r="AJ22" s="11">
        <f>+MAX(Tabla4[[#This Row],[Salida M1]:[Salida M3]])</f>
        <v>374.63310133488591</v>
      </c>
      <c r="AK22" s="11" t="str">
        <f>+IF(Tabla4[[#This Row],[Salida]]&lt;=$B$17,"Entra","No Entra")</f>
        <v>Entra</v>
      </c>
      <c r="AL22" s="11">
        <f>+IF(Tabla4[[#This Row],[Entra  a la carrera]]="Entra",0,Tabla4[[#This Row],[Grupo]])</f>
        <v>0</v>
      </c>
      <c r="AM22" s="11">
        <f>_xlfn.IFNA(VLOOKUP(Tabla4[[#This Row],[Grupo]],Tabla4[Grupos por fuera],1,FALSE),0)</f>
        <v>0</v>
      </c>
      <c r="AN22" s="11" t="str">
        <f>+IF(Tabla4[[#This Row],[Me salgo por mi amigo el lento?]]=0, "Entra", "Chao")</f>
        <v>Entra</v>
      </c>
      <c r="AO22" s="11">
        <f>+IF(Tabla4[[#This Row],[Al fin entra o no]]="Entra",MAX($AO$13:AO21)+1,"")</f>
        <v>10</v>
      </c>
      <c r="AP22" s="11">
        <f>+Tabla4[[#This Row],[Entidad]]</f>
        <v>10</v>
      </c>
      <c r="AR22">
        <v>0.67055766952733531</v>
      </c>
      <c r="AS22">
        <f>+IF(Tabla5[[#This Row],[A3]]&lt;0.5,2,3)</f>
        <v>3</v>
      </c>
      <c r="AT22">
        <f>+IF(Tabla5[[#This Row],[A3]]&lt;0.5,1,3)</f>
        <v>3</v>
      </c>
      <c r="AU22">
        <f>+IF(Tabla5[[#This Row],[A3]]&lt;0.5,1,2)</f>
        <v>2</v>
      </c>
      <c r="AV22" s="6">
        <f>+IF(Tabla5[[#This Row],[A3]]&lt;0.33,1,IF(Tabla5[[#This Row],[A3]]&lt;0.66,2,3))</f>
        <v>3</v>
      </c>
      <c r="AW2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22" s="6">
        <f>+SUM(Tabla4[[#This Row],[Ocupacion M1]:[Ocupacion M3]])</f>
        <v>3</v>
      </c>
      <c r="AY22" s="6">
        <f>+IF(Tabla4[[#This Row],[Ocupacion M1]]=1,1,IF(Tabla4[[#This Row],[Ocupacion M2]]=1,2,3))</f>
        <v>1</v>
      </c>
      <c r="AZ22" s="6">
        <f>+INDEX(Tabla5[[#This Row],[Si 1 esta ocupado]:[Si 3 esta ocupado]],Tabla5[[#This Row],[Estado si = 1]])</f>
        <v>3</v>
      </c>
      <c r="BA22" s="6">
        <f>+IF(Tabla4[[#This Row],[Ocupacion M1]]= 0,1,IF(Tabla4[[#This Row],[Ocupacion M2]]=0,2,3))</f>
        <v>3</v>
      </c>
      <c r="BB2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22">
        <f t="shared" si="6"/>
        <v>10</v>
      </c>
      <c r="BE22">
        <f>+IF(Tabla6[[#This Row],[Indice]]="","",VLOOKUP(Tabla6[[#This Row],[Indice]],Tabla4[[Corre]:[Entidad2]],2))</f>
        <v>10</v>
      </c>
      <c r="BF22">
        <f>IFERROR(+INDEX(Tabla4[Grupo],Tabla6[[#This Row],[Entidad]]),"")</f>
        <v>5</v>
      </c>
      <c r="BG22">
        <f t="shared" si="0"/>
        <v>480</v>
      </c>
      <c r="BH22">
        <v>0.66771002268122703</v>
      </c>
      <c r="BI22">
        <f>20+70*Tabla6[[#This Row],[A6]]</f>
        <v>66.739701587685886</v>
      </c>
      <c r="BJ22">
        <f>+IF(Tabla6[[#This Row],[Indice]]="","",Tabla6[[#This Row],[Empieza]]+Tabla6[[#This Row],[Tiempo carrera ]])</f>
        <v>546.73970158768589</v>
      </c>
      <c r="BK22" s="6">
        <f>IF(Tabla6[[#This Row],[Termina la carrera]]="","",IF(Tabla6[[#This Row],[Termina la carrera]]&gt;540,1,0))</f>
        <v>1</v>
      </c>
      <c r="BL22" s="6">
        <f>+IF(OR(Tabla6[[#This Row],[Despues de las 9]]=0,Tabla6[[#This Row],[Despues de las 9]]=""),"",Tabla6[[#This Row],[Despues de las 9]]*Tabla6[[#This Row],[Grupo ]])</f>
        <v>5</v>
      </c>
      <c r="BM22" s="6" t="str">
        <f>+IF(Tabla6[[#This Row],[grupo  despues de las 9]]="","",IF(MAX($BL$13:BL21)=Tabla6[[#This Row],[grupo  despues de las 9]],"",1))</f>
        <v/>
      </c>
      <c r="BV22" s="15"/>
      <c r="BW22" s="60" t="str">
        <f>+"Al Grupo "&amp;BX18&amp;" se le dio acceso a las "&amp;BY15&amp;":"&amp;BY16&amp;":"&amp;BY17</f>
        <v>Al Grupo 58 se le dio acceso a las 07:03:46</v>
      </c>
      <c r="BX22" s="60"/>
      <c r="BY22" s="60"/>
      <c r="BZ22" s="60"/>
      <c r="CA22" s="60"/>
      <c r="CB22" s="16"/>
    </row>
    <row r="23" spans="1:80" ht="15.75" thickBot="1" x14ac:dyDescent="0.3">
      <c r="A23">
        <v>11</v>
      </c>
      <c r="B23">
        <f t="shared" si="1"/>
        <v>660</v>
      </c>
      <c r="E23" s="2">
        <v>11</v>
      </c>
      <c r="F23" s="5">
        <v>0.48987176529017051</v>
      </c>
      <c r="G23" s="2">
        <f t="shared" si="2"/>
        <v>0.6730931442621485</v>
      </c>
      <c r="H23" s="4">
        <f>+H22+Tabla2[[#This Row],[Tiempo Entre]]</f>
        <v>370.97058907467675</v>
      </c>
      <c r="I23" s="5">
        <v>0.35496313346737463</v>
      </c>
      <c r="J23" s="2">
        <f>+IF(Tabla2[[#This Row],[A2 ]]&lt;0.5,1,IF(Tabla2[[#This Row],[A2 ]]&lt;0.8,2,3))</f>
        <v>1</v>
      </c>
      <c r="L23" s="2">
        <f>+IF(AND(Tabla2[[#This Row],[Llegada]]&lt;=$B$16,P23&gt;0),1,"-")</f>
        <v>1</v>
      </c>
      <c r="M23" s="2">
        <f t="shared" si="3"/>
        <v>11</v>
      </c>
      <c r="N23" s="4">
        <f>+IF(L23=1,Tabla2[[#This Row],[Llegada]],"-")</f>
        <v>370.97058907467675</v>
      </c>
      <c r="O23" s="2">
        <f>+IF(L23=1,Tabla2[[#This Row],[Numero de integrantes]],"-")</f>
        <v>1</v>
      </c>
      <c r="P23" s="2">
        <f t="shared" si="4"/>
        <v>80</v>
      </c>
      <c r="Q23" s="2">
        <f>+IF(Tabla3[[#This Row],[Entra?]]=1,Q22+Tabla3[[#This Row],[Numero integrantes]],Q22)</f>
        <v>21</v>
      </c>
      <c r="S23" s="2">
        <f t="shared" si="5"/>
        <v>11</v>
      </c>
      <c r="T23" s="2">
        <f>+COUNTIF(Tabla3[Cuantos van],"&lt;"&amp;Tabla4[[#This Row],[Entidad]])+1</f>
        <v>6</v>
      </c>
      <c r="U23" s="2">
        <f>+INDEX(Tabla3[Llegada],Tabla4[[#This Row],[Grupo]])</f>
        <v>367.24326016661536</v>
      </c>
      <c r="V23" s="2">
        <f>+IF(Tabla4[[#This Row],[Hora llegada]]&gt;=Tabla4[[#This Row],[Disponibilidad M1]],0,1)</f>
        <v>1</v>
      </c>
      <c r="W23" s="2">
        <f>+IF(Tabla4[[#This Row],[Hora llegada]]&gt;=Tabla4[[#This Row],[Disponibilidad M2]],0,1)</f>
        <v>1</v>
      </c>
      <c r="X23" s="2">
        <f>+IF(Tabla4[[#This Row],[Hora llegada]]&gt;=Tabla4[[#This Row],[Disponibilidad M3]],0,1)</f>
        <v>1</v>
      </c>
      <c r="Y23" s="2" t="str">
        <f>+IF(Tabla5[[#This Row],[Quien me atiende]]=1,MAX(Tabla4[[#This Row],[Disponibilidad M1]],Tabla4[[#This Row],[Hora llegada]]),"-")</f>
        <v>-</v>
      </c>
      <c r="Z23" s="2">
        <f>+IF(Tabla5[[#This Row],[Quien me atiende]]=2,MAX(Tabla4[[#This Row],[Disponibilidad M2]],Tabla4[[#This Row],[Hora llegada]]),"-")</f>
        <v>373.01692258358537</v>
      </c>
      <c r="AA23" s="2" t="str">
        <f>+IF(Tabla5[[#This Row],[Quien me atiende]]=3,MAX(Tabla4[[#This Row],[Disponibilidad M3]],Tabla4[[#This Row],[Hora llegada]]),"-")</f>
        <v>-</v>
      </c>
      <c r="AB23" s="2">
        <f>+MAX($AG$13:AG22)</f>
        <v>374.63310133488591</v>
      </c>
      <c r="AC23" s="2">
        <f>+MAX($AH$13:AH22)</f>
        <v>373.01692258358537</v>
      </c>
      <c r="AD23" s="2">
        <f>+MAX($AI$13:AI22)</f>
        <v>374.68146250217438</v>
      </c>
      <c r="AE23" s="2">
        <v>0.31061039519003275</v>
      </c>
      <c r="AF23" s="2">
        <f>2+4.5*Tabla4[[#This Row],[A5]]</f>
        <v>3.3977467783551472</v>
      </c>
      <c r="AG23" s="2" t="str">
        <f>+IF(Tabla4[[#This Row],[Entrada M1]]="-","-",Tabla4[[#This Row],[Entrada M1]]+Tabla4[[#This Row],[Tiempo Atencion ]])</f>
        <v>-</v>
      </c>
      <c r="AH23" s="2">
        <f>+IF(Tabla4[[#This Row],[Entrada M2]]="-","-",Tabla4[[#This Row],[Entrada M2]]+Tabla4[[#This Row],[Tiempo Atencion ]])</f>
        <v>376.41466936194053</v>
      </c>
      <c r="AI23" s="2" t="str">
        <f>+IF(Tabla4[[#This Row],[Entrada M3]]="-","-",Tabla4[[#This Row],[Entrada M3]]+Tabla4[[#This Row],[Tiempo Atencion ]])</f>
        <v>-</v>
      </c>
      <c r="AJ23" s="11">
        <f>+MAX(Tabla4[[#This Row],[Salida M1]:[Salida M3]])</f>
        <v>376.41466936194053</v>
      </c>
      <c r="AK23" s="11" t="str">
        <f>+IF(Tabla4[[#This Row],[Salida]]&lt;=$B$17,"Entra","No Entra")</f>
        <v>Entra</v>
      </c>
      <c r="AL23" s="11">
        <f>+IF(Tabla4[[#This Row],[Entra  a la carrera]]="Entra",0,Tabla4[[#This Row],[Grupo]])</f>
        <v>0</v>
      </c>
      <c r="AM23" s="11">
        <f>_xlfn.IFNA(VLOOKUP(Tabla4[[#This Row],[Grupo]],Tabla4[Grupos por fuera],1,FALSE),0)</f>
        <v>0</v>
      </c>
      <c r="AN23" s="11" t="str">
        <f>+IF(Tabla4[[#This Row],[Me salgo por mi amigo el lento?]]=0, "Entra", "Chao")</f>
        <v>Entra</v>
      </c>
      <c r="AO23" s="11">
        <f>+IF(Tabla4[[#This Row],[Al fin entra o no]]="Entra",MAX($AO$13:AO22)+1,"")</f>
        <v>11</v>
      </c>
      <c r="AP23" s="11">
        <f>+Tabla4[[#This Row],[Entidad]]</f>
        <v>11</v>
      </c>
      <c r="AR23">
        <v>0.34267086766327193</v>
      </c>
      <c r="AS23">
        <f>+IF(Tabla5[[#This Row],[A3]]&lt;0.5,2,3)</f>
        <v>2</v>
      </c>
      <c r="AT23">
        <f>+IF(Tabla5[[#This Row],[A3]]&lt;0.5,1,3)</f>
        <v>1</v>
      </c>
      <c r="AU23">
        <f>+IF(Tabla5[[#This Row],[A3]]&lt;0.5,1,2)</f>
        <v>1</v>
      </c>
      <c r="AV23" s="6">
        <f>+IF(Tabla5[[#This Row],[A3]]&lt;0.33,1,IF(Tabla5[[#This Row],[A3]]&lt;0.66,2,3))</f>
        <v>2</v>
      </c>
      <c r="AW2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23" s="6">
        <f>+SUM(Tabla4[[#This Row],[Ocupacion M1]:[Ocupacion M3]])</f>
        <v>3</v>
      </c>
      <c r="AY23" s="6">
        <f>+IF(Tabla4[[#This Row],[Ocupacion M1]]=1,1,IF(Tabla4[[#This Row],[Ocupacion M2]]=1,2,3))</f>
        <v>1</v>
      </c>
      <c r="AZ23" s="6">
        <f>+INDEX(Tabla5[[#This Row],[Si 1 esta ocupado]:[Si 3 esta ocupado]],Tabla5[[#This Row],[Estado si = 1]])</f>
        <v>2</v>
      </c>
      <c r="BA23" s="6">
        <f>+IF(Tabla4[[#This Row],[Ocupacion M1]]= 0,1,IF(Tabla4[[#This Row],[Ocupacion M2]]=0,2,3))</f>
        <v>3</v>
      </c>
      <c r="BB2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23">
        <f t="shared" si="6"/>
        <v>11</v>
      </c>
      <c r="BE23">
        <f>+IF(Tabla6[[#This Row],[Indice]]="","",VLOOKUP(Tabla6[[#This Row],[Indice]],Tabla4[[Corre]:[Entidad2]],2))</f>
        <v>11</v>
      </c>
      <c r="BF23">
        <f>IFERROR(+INDEX(Tabla4[Grupo],Tabla6[[#This Row],[Entidad]]),"")</f>
        <v>6</v>
      </c>
      <c r="BG23">
        <f t="shared" si="0"/>
        <v>480</v>
      </c>
      <c r="BH23">
        <v>0.11920836117376876</v>
      </c>
      <c r="BI23">
        <f>20+70*Tabla6[[#This Row],[A6]]</f>
        <v>28.344585282163813</v>
      </c>
      <c r="BJ23">
        <f>+IF(Tabla6[[#This Row],[Indice]]="","",Tabla6[[#This Row],[Empieza]]+Tabla6[[#This Row],[Tiempo carrera ]])</f>
        <v>508.34458528216379</v>
      </c>
      <c r="BK23" s="6">
        <f>IF(Tabla6[[#This Row],[Termina la carrera]]="","",IF(Tabla6[[#This Row],[Termina la carrera]]&gt;540,1,0))</f>
        <v>0</v>
      </c>
      <c r="BL23" s="6" t="str">
        <f>+IF(OR(Tabla6[[#This Row],[Despues de las 9]]=0,Tabla6[[#This Row],[Despues de las 9]]=""),"",Tabla6[[#This Row],[Despues de las 9]]*Tabla6[[#This Row],[Grupo ]])</f>
        <v/>
      </c>
      <c r="BM23" s="6" t="str">
        <f>+IF(Tabla6[[#This Row],[grupo  despues de las 9]]="","",IF(MAX($BL$13:BL22)=Tabla6[[#This Row],[grupo  despues de las 9]],"",1))</f>
        <v/>
      </c>
      <c r="BV23" s="18"/>
      <c r="BW23" s="19"/>
      <c r="BX23" s="19"/>
      <c r="BY23" s="19"/>
      <c r="BZ23" s="19"/>
      <c r="CA23" s="19"/>
      <c r="CB23" s="20"/>
    </row>
    <row r="24" spans="1:80" x14ac:dyDescent="0.25">
      <c r="A24">
        <v>11.5</v>
      </c>
      <c r="B24">
        <f t="shared" si="1"/>
        <v>690</v>
      </c>
      <c r="E24" s="2">
        <v>12</v>
      </c>
      <c r="F24" s="5">
        <v>0.82678713401131199</v>
      </c>
      <c r="G24" s="2">
        <f t="shared" si="2"/>
        <v>1.7532340016133685</v>
      </c>
      <c r="H24" s="4">
        <f>+H23+Tabla2[[#This Row],[Tiempo Entre]]</f>
        <v>372.7238230762901</v>
      </c>
      <c r="I24" s="5">
        <v>0.88164642875971344</v>
      </c>
      <c r="J24" s="2">
        <f>+IF(Tabla2[[#This Row],[A2 ]]&lt;0.5,1,IF(Tabla2[[#This Row],[A2 ]]&lt;0.8,2,3))</f>
        <v>3</v>
      </c>
      <c r="L24" s="2">
        <f>+IF(AND(Tabla2[[#This Row],[Llegada]]&lt;=$B$16,P24&gt;0),1,"-")</f>
        <v>1</v>
      </c>
      <c r="M24" s="2">
        <f t="shared" si="3"/>
        <v>12</v>
      </c>
      <c r="N24" s="4">
        <f>+IF(L24=1,Tabla2[[#This Row],[Llegada]],"-")</f>
        <v>372.7238230762901</v>
      </c>
      <c r="O24" s="2">
        <f>+IF(L24=1,Tabla2[[#This Row],[Numero de integrantes]],"-")</f>
        <v>3</v>
      </c>
      <c r="P24" s="2">
        <f t="shared" si="4"/>
        <v>79</v>
      </c>
      <c r="Q24" s="2">
        <f>+IF(Tabla3[[#This Row],[Entra?]]=1,Q23+Tabla3[[#This Row],[Numero integrantes]],Q23)</f>
        <v>24</v>
      </c>
      <c r="S24" s="2">
        <f t="shared" si="5"/>
        <v>12</v>
      </c>
      <c r="T24" s="2">
        <f>+COUNTIF(Tabla3[Cuantos van],"&lt;"&amp;Tabla4[[#This Row],[Entidad]])+1</f>
        <v>7</v>
      </c>
      <c r="U24" s="2">
        <f>+INDEX(Tabla3[Llegada],Tabla4[[#This Row],[Grupo]])</f>
        <v>367.87415224289606</v>
      </c>
      <c r="V24" s="2">
        <f>+IF(Tabla4[[#This Row],[Hora llegada]]&gt;=Tabla4[[#This Row],[Disponibilidad M1]],0,1)</f>
        <v>1</v>
      </c>
      <c r="W24" s="2">
        <f>+IF(Tabla4[[#This Row],[Hora llegada]]&gt;=Tabla4[[#This Row],[Disponibilidad M2]],0,1)</f>
        <v>1</v>
      </c>
      <c r="X24" s="2">
        <f>+IF(Tabla4[[#This Row],[Hora llegada]]&gt;=Tabla4[[#This Row],[Disponibilidad M3]],0,1)</f>
        <v>1</v>
      </c>
      <c r="Y24" s="2">
        <f>+IF(Tabla5[[#This Row],[Quien me atiende]]=1,MAX(Tabla4[[#This Row],[Disponibilidad M1]],Tabla4[[#This Row],[Hora llegada]]),"-")</f>
        <v>374.63310133488591</v>
      </c>
      <c r="Z24" s="2" t="str">
        <f>+IF(Tabla5[[#This Row],[Quien me atiende]]=2,MAX(Tabla4[[#This Row],[Disponibilidad M2]],Tabla4[[#This Row],[Hora llegada]]),"-")</f>
        <v>-</v>
      </c>
      <c r="AA24" s="2" t="str">
        <f>+IF(Tabla5[[#This Row],[Quien me atiende]]=3,MAX(Tabla4[[#This Row],[Disponibilidad M3]],Tabla4[[#This Row],[Hora llegada]]),"-")</f>
        <v>-</v>
      </c>
      <c r="AB24" s="2">
        <f>+MAX($AG$13:AG23)</f>
        <v>374.63310133488591</v>
      </c>
      <c r="AC24" s="2">
        <f>+MAX($AH$13:AH23)</f>
        <v>376.41466936194053</v>
      </c>
      <c r="AD24" s="2">
        <f>+MAX($AI$13:AI23)</f>
        <v>374.68146250217438</v>
      </c>
      <c r="AE24" s="2">
        <v>0.49552686120892386</v>
      </c>
      <c r="AF24" s="2">
        <f>2+4.5*Tabla4[[#This Row],[A5]]</f>
        <v>4.2298708754401577</v>
      </c>
      <c r="AG24" s="2">
        <f>+IF(Tabla4[[#This Row],[Entrada M1]]="-","-",Tabla4[[#This Row],[Entrada M1]]+Tabla4[[#This Row],[Tiempo Atencion ]])</f>
        <v>378.86297221032606</v>
      </c>
      <c r="AH24" s="2" t="str">
        <f>+IF(Tabla4[[#This Row],[Entrada M2]]="-","-",Tabla4[[#This Row],[Entrada M2]]+Tabla4[[#This Row],[Tiempo Atencion ]])</f>
        <v>-</v>
      </c>
      <c r="AI24" s="2" t="str">
        <f>+IF(Tabla4[[#This Row],[Entrada M3]]="-","-",Tabla4[[#This Row],[Entrada M3]]+Tabla4[[#This Row],[Tiempo Atencion ]])</f>
        <v>-</v>
      </c>
      <c r="AJ24" s="11">
        <f>+MAX(Tabla4[[#This Row],[Salida M1]:[Salida M3]])</f>
        <v>378.86297221032606</v>
      </c>
      <c r="AK24" s="11" t="str">
        <f>+IF(Tabla4[[#This Row],[Salida]]&lt;=$B$17,"Entra","No Entra")</f>
        <v>Entra</v>
      </c>
      <c r="AL24" s="11">
        <f>+IF(Tabla4[[#This Row],[Entra  a la carrera]]="Entra",0,Tabla4[[#This Row],[Grupo]])</f>
        <v>0</v>
      </c>
      <c r="AM24" s="11">
        <f>_xlfn.IFNA(VLOOKUP(Tabla4[[#This Row],[Grupo]],Tabla4[Grupos por fuera],1,FALSE),0)</f>
        <v>0</v>
      </c>
      <c r="AN24" s="11" t="str">
        <f>+IF(Tabla4[[#This Row],[Me salgo por mi amigo el lento?]]=0, "Entra", "Chao")</f>
        <v>Entra</v>
      </c>
      <c r="AO24" s="11">
        <f>+IF(Tabla4[[#This Row],[Al fin entra o no]]="Entra",MAX($AO$13:AO23)+1,"")</f>
        <v>12</v>
      </c>
      <c r="AP24" s="11">
        <f>+Tabla4[[#This Row],[Entidad]]</f>
        <v>12</v>
      </c>
      <c r="AR24">
        <v>0.89534443589863744</v>
      </c>
      <c r="AS24">
        <f>+IF(Tabla5[[#This Row],[A3]]&lt;0.5,2,3)</f>
        <v>3</v>
      </c>
      <c r="AT24">
        <f>+IF(Tabla5[[#This Row],[A3]]&lt;0.5,1,3)</f>
        <v>3</v>
      </c>
      <c r="AU24">
        <f>+IF(Tabla5[[#This Row],[A3]]&lt;0.5,1,2)</f>
        <v>2</v>
      </c>
      <c r="AV24" s="6">
        <f>+IF(Tabla5[[#This Row],[A3]]&lt;0.33,1,IF(Tabla5[[#This Row],[A3]]&lt;0.66,2,3))</f>
        <v>3</v>
      </c>
      <c r="AW2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24" s="6">
        <f>+SUM(Tabla4[[#This Row],[Ocupacion M1]:[Ocupacion M3]])</f>
        <v>3</v>
      </c>
      <c r="AY24" s="6">
        <f>+IF(Tabla4[[#This Row],[Ocupacion M1]]=1,1,IF(Tabla4[[#This Row],[Ocupacion M2]]=1,2,3))</f>
        <v>1</v>
      </c>
      <c r="AZ24" s="6">
        <f>+INDEX(Tabla5[[#This Row],[Si 1 esta ocupado]:[Si 3 esta ocupado]],Tabla5[[#This Row],[Estado si = 1]])</f>
        <v>3</v>
      </c>
      <c r="BA24" s="6">
        <f>+IF(Tabla4[[#This Row],[Ocupacion M1]]= 0,1,IF(Tabla4[[#This Row],[Ocupacion M2]]=0,2,3))</f>
        <v>3</v>
      </c>
      <c r="BB2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24">
        <f t="shared" si="6"/>
        <v>12</v>
      </c>
      <c r="BE24">
        <f>+IF(Tabla6[[#This Row],[Indice]]="","",VLOOKUP(Tabla6[[#This Row],[Indice]],Tabla4[[Corre]:[Entidad2]],2))</f>
        <v>12</v>
      </c>
      <c r="BF24">
        <f>IFERROR(+INDEX(Tabla4[Grupo],Tabla6[[#This Row],[Entidad]]),"")</f>
        <v>7</v>
      </c>
      <c r="BG24">
        <f t="shared" si="0"/>
        <v>480</v>
      </c>
      <c r="BH24">
        <v>0.37492464832785344</v>
      </c>
      <c r="BI24">
        <f>20+70*Tabla6[[#This Row],[A6]]</f>
        <v>46.244725382949738</v>
      </c>
      <c r="BJ24">
        <f>+IF(Tabla6[[#This Row],[Indice]]="","",Tabla6[[#This Row],[Empieza]]+Tabla6[[#This Row],[Tiempo carrera ]])</f>
        <v>526.2447253829497</v>
      </c>
      <c r="BK24" s="6">
        <f>IF(Tabla6[[#This Row],[Termina la carrera]]="","",IF(Tabla6[[#This Row],[Termina la carrera]]&gt;540,1,0))</f>
        <v>0</v>
      </c>
      <c r="BL24" s="6" t="str">
        <f>+IF(OR(Tabla6[[#This Row],[Despues de las 9]]=0,Tabla6[[#This Row],[Despues de las 9]]=""),"",Tabla6[[#This Row],[Despues de las 9]]*Tabla6[[#This Row],[Grupo ]])</f>
        <v/>
      </c>
      <c r="BM24" s="6" t="str">
        <f>+IF(Tabla6[[#This Row],[grupo  despues de las 9]]="","",IF(MAX($BL$13:BL23)=Tabla6[[#This Row],[grupo  despues de las 9]],"",1))</f>
        <v/>
      </c>
    </row>
    <row r="25" spans="1:80" x14ac:dyDescent="0.25">
      <c r="A25">
        <v>12</v>
      </c>
      <c r="B25">
        <f t="shared" si="1"/>
        <v>720</v>
      </c>
      <c r="E25" s="2">
        <v>13</v>
      </c>
      <c r="F25" s="5">
        <v>0.32015806310999928</v>
      </c>
      <c r="G25" s="2">
        <f t="shared" si="2"/>
        <v>0.38589495358168413</v>
      </c>
      <c r="H25" s="4">
        <f>+H24+Tabla2[[#This Row],[Tiempo Entre]]</f>
        <v>373.10971802987177</v>
      </c>
      <c r="I25" s="5">
        <v>0.6854171704075086</v>
      </c>
      <c r="J25" s="2">
        <f>+IF(Tabla2[[#This Row],[A2 ]]&lt;0.5,1,IF(Tabla2[[#This Row],[A2 ]]&lt;0.8,2,3))</f>
        <v>2</v>
      </c>
      <c r="L25" s="2">
        <f>+IF(AND(Tabla2[[#This Row],[Llegada]]&lt;=$B$16,P25&gt;0),1,"-")</f>
        <v>1</v>
      </c>
      <c r="M25" s="2">
        <f t="shared" si="3"/>
        <v>13</v>
      </c>
      <c r="N25" s="4">
        <f>+IF(L25=1,Tabla2[[#This Row],[Llegada]],"-")</f>
        <v>373.10971802987177</v>
      </c>
      <c r="O25" s="2">
        <f>+IF(L25=1,Tabla2[[#This Row],[Numero de integrantes]],"-")</f>
        <v>2</v>
      </c>
      <c r="P25" s="2">
        <f t="shared" si="4"/>
        <v>76</v>
      </c>
      <c r="Q25" s="2">
        <f>+IF(Tabla3[[#This Row],[Entra?]]=1,Q24+Tabla3[[#This Row],[Numero integrantes]],Q24)</f>
        <v>26</v>
      </c>
      <c r="S25" s="2">
        <f t="shared" si="5"/>
        <v>13</v>
      </c>
      <c r="T25" s="2">
        <f>+COUNTIF(Tabla3[Cuantos van],"&lt;"&amp;Tabla4[[#This Row],[Entidad]])+1</f>
        <v>7</v>
      </c>
      <c r="U25" s="2">
        <f>+INDEX(Tabla3[Llegada],Tabla4[[#This Row],[Grupo]])</f>
        <v>367.87415224289606</v>
      </c>
      <c r="V25" s="2">
        <f>+IF(Tabla4[[#This Row],[Hora llegada]]&gt;=Tabla4[[#This Row],[Disponibilidad M1]],0,1)</f>
        <v>1</v>
      </c>
      <c r="W25" s="2">
        <f>+IF(Tabla4[[#This Row],[Hora llegada]]&gt;=Tabla4[[#This Row],[Disponibilidad M2]],0,1)</f>
        <v>1</v>
      </c>
      <c r="X25" s="2">
        <f>+IF(Tabla4[[#This Row],[Hora llegada]]&gt;=Tabla4[[#This Row],[Disponibilidad M3]],0,1)</f>
        <v>1</v>
      </c>
      <c r="Y25" s="2" t="str">
        <f>+IF(Tabla5[[#This Row],[Quien me atiende]]=1,MAX(Tabla4[[#This Row],[Disponibilidad M1]],Tabla4[[#This Row],[Hora llegada]]),"-")</f>
        <v>-</v>
      </c>
      <c r="Z25" s="2" t="str">
        <f>+IF(Tabla5[[#This Row],[Quien me atiende]]=2,MAX(Tabla4[[#This Row],[Disponibilidad M2]],Tabla4[[#This Row],[Hora llegada]]),"-")</f>
        <v>-</v>
      </c>
      <c r="AA25" s="2">
        <f>+IF(Tabla5[[#This Row],[Quien me atiende]]=3,MAX(Tabla4[[#This Row],[Disponibilidad M3]],Tabla4[[#This Row],[Hora llegada]]),"-")</f>
        <v>374.68146250217438</v>
      </c>
      <c r="AB25" s="2">
        <f>+MAX($AG$13:AG24)</f>
        <v>378.86297221032606</v>
      </c>
      <c r="AC25" s="2">
        <f>+MAX($AH$13:AH24)</f>
        <v>376.41466936194053</v>
      </c>
      <c r="AD25" s="2">
        <f>+MAX($AI$13:AI24)</f>
        <v>374.68146250217438</v>
      </c>
      <c r="AE25" s="2">
        <v>6.7839721133972519E-2</v>
      </c>
      <c r="AF25" s="2">
        <f>2+4.5*Tabla4[[#This Row],[A5]]</f>
        <v>2.3052787451028762</v>
      </c>
      <c r="AG25" s="2" t="str">
        <f>+IF(Tabla4[[#This Row],[Entrada M1]]="-","-",Tabla4[[#This Row],[Entrada M1]]+Tabla4[[#This Row],[Tiempo Atencion ]])</f>
        <v>-</v>
      </c>
      <c r="AH25" s="2" t="str">
        <f>+IF(Tabla4[[#This Row],[Entrada M2]]="-","-",Tabla4[[#This Row],[Entrada M2]]+Tabla4[[#This Row],[Tiempo Atencion ]])</f>
        <v>-</v>
      </c>
      <c r="AI25" s="2">
        <f>+IF(Tabla4[[#This Row],[Entrada M3]]="-","-",Tabla4[[#This Row],[Entrada M3]]+Tabla4[[#This Row],[Tiempo Atencion ]])</f>
        <v>376.98674124727728</v>
      </c>
      <c r="AJ25" s="11">
        <f>+MAX(Tabla4[[#This Row],[Salida M1]:[Salida M3]])</f>
        <v>376.98674124727728</v>
      </c>
      <c r="AK25" s="11" t="str">
        <f>+IF(Tabla4[[#This Row],[Salida]]&lt;=$B$17,"Entra","No Entra")</f>
        <v>Entra</v>
      </c>
      <c r="AL25" s="11">
        <f>+IF(Tabla4[[#This Row],[Entra  a la carrera]]="Entra",0,Tabla4[[#This Row],[Grupo]])</f>
        <v>0</v>
      </c>
      <c r="AM25" s="11">
        <f>_xlfn.IFNA(VLOOKUP(Tabla4[[#This Row],[Grupo]],Tabla4[Grupos por fuera],1,FALSE),0)</f>
        <v>0</v>
      </c>
      <c r="AN25" s="11" t="str">
        <f>+IF(Tabla4[[#This Row],[Me salgo por mi amigo el lento?]]=0, "Entra", "Chao")</f>
        <v>Entra</v>
      </c>
      <c r="AO25" s="11">
        <f>+IF(Tabla4[[#This Row],[Al fin entra o no]]="Entra",MAX($AO$13:AO24)+1,"")</f>
        <v>13</v>
      </c>
      <c r="AP25" s="11">
        <f>+Tabla4[[#This Row],[Entidad]]</f>
        <v>13</v>
      </c>
      <c r="AR25">
        <v>0.67944512646741839</v>
      </c>
      <c r="AS25">
        <f>+IF(Tabla5[[#This Row],[A3]]&lt;0.5,2,3)</f>
        <v>3</v>
      </c>
      <c r="AT25">
        <f>+IF(Tabla5[[#This Row],[A3]]&lt;0.5,1,3)</f>
        <v>3</v>
      </c>
      <c r="AU25">
        <f>+IF(Tabla5[[#This Row],[A3]]&lt;0.5,1,2)</f>
        <v>2</v>
      </c>
      <c r="AV25" s="6">
        <f>+IF(Tabla5[[#This Row],[A3]]&lt;0.33,1,IF(Tabla5[[#This Row],[A3]]&lt;0.66,2,3))</f>
        <v>3</v>
      </c>
      <c r="AW2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25" s="6">
        <f>+SUM(Tabla4[[#This Row],[Ocupacion M1]:[Ocupacion M3]])</f>
        <v>3</v>
      </c>
      <c r="AY25" s="6">
        <f>+IF(Tabla4[[#This Row],[Ocupacion M1]]=1,1,IF(Tabla4[[#This Row],[Ocupacion M2]]=1,2,3))</f>
        <v>1</v>
      </c>
      <c r="AZ25" s="6">
        <f>+INDEX(Tabla5[[#This Row],[Si 1 esta ocupado]:[Si 3 esta ocupado]],Tabla5[[#This Row],[Estado si = 1]])</f>
        <v>3</v>
      </c>
      <c r="BA25" s="6">
        <f>+IF(Tabla4[[#This Row],[Ocupacion M1]]= 0,1,IF(Tabla4[[#This Row],[Ocupacion M2]]=0,2,3))</f>
        <v>3</v>
      </c>
      <c r="BB2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25">
        <f t="shared" si="6"/>
        <v>13</v>
      </c>
      <c r="BE25">
        <f>+IF(Tabla6[[#This Row],[Indice]]="","",VLOOKUP(Tabla6[[#This Row],[Indice]],Tabla4[[Corre]:[Entidad2]],2))</f>
        <v>13</v>
      </c>
      <c r="BF25">
        <f>IFERROR(+INDEX(Tabla4[Grupo],Tabla6[[#This Row],[Entidad]]),"")</f>
        <v>7</v>
      </c>
      <c r="BG25">
        <f t="shared" si="0"/>
        <v>480</v>
      </c>
      <c r="BH25">
        <v>0.99381430149094707</v>
      </c>
      <c r="BI25">
        <f>20+70*Tabla6[[#This Row],[A6]]</f>
        <v>89.567001104366298</v>
      </c>
      <c r="BJ25">
        <f>+IF(Tabla6[[#This Row],[Indice]]="","",Tabla6[[#This Row],[Empieza]]+Tabla6[[#This Row],[Tiempo carrera ]])</f>
        <v>569.56700110436634</v>
      </c>
      <c r="BK25" s="6">
        <f>IF(Tabla6[[#This Row],[Termina la carrera]]="","",IF(Tabla6[[#This Row],[Termina la carrera]]&gt;540,1,0))</f>
        <v>1</v>
      </c>
      <c r="BL25" s="6">
        <f>+IF(OR(Tabla6[[#This Row],[Despues de las 9]]=0,Tabla6[[#This Row],[Despues de las 9]]=""),"",Tabla6[[#This Row],[Despues de las 9]]*Tabla6[[#This Row],[Grupo ]])</f>
        <v>7</v>
      </c>
      <c r="BM25" s="6">
        <f>+IF(Tabla6[[#This Row],[grupo  despues de las 9]]="","",IF(MAX($BL$13:BL24)=Tabla6[[#This Row],[grupo  despues de las 9]],"",1))</f>
        <v>1</v>
      </c>
    </row>
    <row r="26" spans="1:80" ht="15.75" thickBot="1" x14ac:dyDescent="0.3">
      <c r="E26" s="2">
        <v>14</v>
      </c>
      <c r="F26" s="5">
        <v>0.99754950563929123</v>
      </c>
      <c r="G26" s="2">
        <f t="shared" si="2"/>
        <v>6.0114654948991948</v>
      </c>
      <c r="H26" s="4">
        <f>+H25+Tabla2[[#This Row],[Tiempo Entre]]</f>
        <v>379.12118352477097</v>
      </c>
      <c r="I26" s="5">
        <v>0.53838838619959506</v>
      </c>
      <c r="J26" s="2">
        <f>+IF(Tabla2[[#This Row],[A2 ]]&lt;0.5,1,IF(Tabla2[[#This Row],[A2 ]]&lt;0.8,2,3))</f>
        <v>2</v>
      </c>
      <c r="L26" s="2">
        <f>+IF(AND(Tabla2[[#This Row],[Llegada]]&lt;=$B$16,P26&gt;0),1,"-")</f>
        <v>1</v>
      </c>
      <c r="M26" s="2">
        <f t="shared" si="3"/>
        <v>14</v>
      </c>
      <c r="N26" s="4">
        <f>+IF(L26=1,Tabla2[[#This Row],[Llegada]],"-")</f>
        <v>379.12118352477097</v>
      </c>
      <c r="O26" s="2">
        <f>+IF(L26=1,Tabla2[[#This Row],[Numero de integrantes]],"-")</f>
        <v>2</v>
      </c>
      <c r="P26" s="2">
        <f t="shared" si="4"/>
        <v>74</v>
      </c>
      <c r="Q26" s="2">
        <f>+IF(Tabla3[[#This Row],[Entra?]]=1,Q25+Tabla3[[#This Row],[Numero integrantes]],Q25)</f>
        <v>28</v>
      </c>
      <c r="S26" s="2">
        <f t="shared" si="5"/>
        <v>14</v>
      </c>
      <c r="T26" s="2">
        <f>+COUNTIF(Tabla3[Cuantos van],"&lt;"&amp;Tabla4[[#This Row],[Entidad]])+1</f>
        <v>7</v>
      </c>
      <c r="U26" s="2">
        <f>+INDEX(Tabla3[Llegada],Tabla4[[#This Row],[Grupo]])</f>
        <v>367.87415224289606</v>
      </c>
      <c r="V26" s="2">
        <f>+IF(Tabla4[[#This Row],[Hora llegada]]&gt;=Tabla4[[#This Row],[Disponibilidad M1]],0,1)</f>
        <v>1</v>
      </c>
      <c r="W26" s="2">
        <f>+IF(Tabla4[[#This Row],[Hora llegada]]&gt;=Tabla4[[#This Row],[Disponibilidad M2]],0,1)</f>
        <v>1</v>
      </c>
      <c r="X26" s="2">
        <f>+IF(Tabla4[[#This Row],[Hora llegada]]&gt;=Tabla4[[#This Row],[Disponibilidad M3]],0,1)</f>
        <v>1</v>
      </c>
      <c r="Y26" s="2" t="str">
        <f>+IF(Tabla5[[#This Row],[Quien me atiende]]=1,MAX(Tabla4[[#This Row],[Disponibilidad M1]],Tabla4[[#This Row],[Hora llegada]]),"-")</f>
        <v>-</v>
      </c>
      <c r="Z26" s="2">
        <f>+IF(Tabla5[[#This Row],[Quien me atiende]]=2,MAX(Tabla4[[#This Row],[Disponibilidad M2]],Tabla4[[#This Row],[Hora llegada]]),"-")</f>
        <v>376.41466936194053</v>
      </c>
      <c r="AA26" s="2" t="str">
        <f>+IF(Tabla5[[#This Row],[Quien me atiende]]=3,MAX(Tabla4[[#This Row],[Disponibilidad M3]],Tabla4[[#This Row],[Hora llegada]]),"-")</f>
        <v>-</v>
      </c>
      <c r="AB26" s="2">
        <f>+MAX($AG$13:AG25)</f>
        <v>378.86297221032606</v>
      </c>
      <c r="AC26" s="2">
        <f>+MAX($AH$13:AH25)</f>
        <v>376.41466936194053</v>
      </c>
      <c r="AD26" s="2">
        <f>+MAX($AI$13:AI25)</f>
        <v>376.98674124727728</v>
      </c>
      <c r="AE26" s="2">
        <v>0.62588074133511928</v>
      </c>
      <c r="AF26" s="2">
        <f>2+4.5*Tabla4[[#This Row],[A5]]</f>
        <v>4.8164633360080362</v>
      </c>
      <c r="AG26" s="2" t="str">
        <f>+IF(Tabla4[[#This Row],[Entrada M1]]="-","-",Tabla4[[#This Row],[Entrada M1]]+Tabla4[[#This Row],[Tiempo Atencion ]])</f>
        <v>-</v>
      </c>
      <c r="AH26" s="2">
        <f>+IF(Tabla4[[#This Row],[Entrada M2]]="-","-",Tabla4[[#This Row],[Entrada M2]]+Tabla4[[#This Row],[Tiempo Atencion ]])</f>
        <v>381.23113269794857</v>
      </c>
      <c r="AI26" s="2" t="str">
        <f>+IF(Tabla4[[#This Row],[Entrada M3]]="-","-",Tabla4[[#This Row],[Entrada M3]]+Tabla4[[#This Row],[Tiempo Atencion ]])</f>
        <v>-</v>
      </c>
      <c r="AJ26" s="11">
        <f>+MAX(Tabla4[[#This Row],[Salida M1]:[Salida M3]])</f>
        <v>381.23113269794857</v>
      </c>
      <c r="AK26" s="11" t="str">
        <f>+IF(Tabla4[[#This Row],[Salida]]&lt;=$B$17,"Entra","No Entra")</f>
        <v>Entra</v>
      </c>
      <c r="AL26" s="11">
        <f>+IF(Tabla4[[#This Row],[Entra  a la carrera]]="Entra",0,Tabla4[[#This Row],[Grupo]])</f>
        <v>0</v>
      </c>
      <c r="AM26" s="11">
        <f>_xlfn.IFNA(VLOOKUP(Tabla4[[#This Row],[Grupo]],Tabla4[Grupos por fuera],1,FALSE),0)</f>
        <v>0</v>
      </c>
      <c r="AN26" s="11" t="str">
        <f>+IF(Tabla4[[#This Row],[Me salgo por mi amigo el lento?]]=0, "Entra", "Chao")</f>
        <v>Entra</v>
      </c>
      <c r="AO26" s="11">
        <f>+IF(Tabla4[[#This Row],[Al fin entra o no]]="Entra",MAX($AO$13:AO25)+1,"")</f>
        <v>14</v>
      </c>
      <c r="AP26" s="11">
        <f>+Tabla4[[#This Row],[Entidad]]</f>
        <v>14</v>
      </c>
      <c r="AR26">
        <v>0.5910226274400161</v>
      </c>
      <c r="AS26">
        <f>+IF(Tabla5[[#This Row],[A3]]&lt;0.5,2,3)</f>
        <v>3</v>
      </c>
      <c r="AT26">
        <f>+IF(Tabla5[[#This Row],[A3]]&lt;0.5,1,3)</f>
        <v>3</v>
      </c>
      <c r="AU26">
        <f>+IF(Tabla5[[#This Row],[A3]]&lt;0.5,1,2)</f>
        <v>2</v>
      </c>
      <c r="AV26" s="6">
        <f>+IF(Tabla5[[#This Row],[A3]]&lt;0.33,1,IF(Tabla5[[#This Row],[A3]]&lt;0.66,2,3))</f>
        <v>2</v>
      </c>
      <c r="AW2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26" s="6">
        <f>+SUM(Tabla4[[#This Row],[Ocupacion M1]:[Ocupacion M3]])</f>
        <v>3</v>
      </c>
      <c r="AY26" s="6">
        <f>+IF(Tabla4[[#This Row],[Ocupacion M1]]=1,1,IF(Tabla4[[#This Row],[Ocupacion M2]]=1,2,3))</f>
        <v>1</v>
      </c>
      <c r="AZ26" s="6">
        <f>+INDEX(Tabla5[[#This Row],[Si 1 esta ocupado]:[Si 3 esta ocupado]],Tabla5[[#This Row],[Estado si = 1]])</f>
        <v>3</v>
      </c>
      <c r="BA26" s="6">
        <f>+IF(Tabla4[[#This Row],[Ocupacion M1]]= 0,1,IF(Tabla4[[#This Row],[Ocupacion M2]]=0,2,3))</f>
        <v>3</v>
      </c>
      <c r="BB2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26">
        <f t="shared" si="6"/>
        <v>14</v>
      </c>
      <c r="BE26">
        <f>+IF(Tabla6[[#This Row],[Indice]]="","",VLOOKUP(Tabla6[[#This Row],[Indice]],Tabla4[[Corre]:[Entidad2]],2))</f>
        <v>14</v>
      </c>
      <c r="BF26">
        <f>IFERROR(+INDEX(Tabla4[Grupo],Tabla6[[#This Row],[Entidad]]),"")</f>
        <v>7</v>
      </c>
      <c r="BG26">
        <f t="shared" si="0"/>
        <v>480</v>
      </c>
      <c r="BH26">
        <v>0.82491400391699288</v>
      </c>
      <c r="BI26">
        <f>20+70*Tabla6[[#This Row],[A6]]</f>
        <v>77.743980274189511</v>
      </c>
      <c r="BJ26">
        <f>+IF(Tabla6[[#This Row],[Indice]]="","",Tabla6[[#This Row],[Empieza]]+Tabla6[[#This Row],[Tiempo carrera ]])</f>
        <v>557.74398027418954</v>
      </c>
      <c r="BK26" s="6">
        <f>IF(Tabla6[[#This Row],[Termina la carrera]]="","",IF(Tabla6[[#This Row],[Termina la carrera]]&gt;540,1,0))</f>
        <v>1</v>
      </c>
      <c r="BL26" s="6">
        <f>+IF(OR(Tabla6[[#This Row],[Despues de las 9]]=0,Tabla6[[#This Row],[Despues de las 9]]=""),"",Tabla6[[#This Row],[Despues de las 9]]*Tabla6[[#This Row],[Grupo ]])</f>
        <v>7</v>
      </c>
      <c r="BM26" s="6" t="str">
        <f>+IF(Tabla6[[#This Row],[grupo  despues de las 9]]="","",IF(MAX($BL$13:BL25)=Tabla6[[#This Row],[grupo  despues de las 9]],"",1))</f>
        <v/>
      </c>
    </row>
    <row r="27" spans="1:80" ht="15.75" thickBot="1" x14ac:dyDescent="0.3">
      <c r="E27" s="2">
        <v>15</v>
      </c>
      <c r="F27" s="5">
        <v>4.3846950286500208E-3</v>
      </c>
      <c r="G27" s="2">
        <f t="shared" si="2"/>
        <v>4.3943359960198197E-3</v>
      </c>
      <c r="H27" s="4">
        <f>+H26+Tabla2[[#This Row],[Tiempo Entre]]</f>
        <v>379.12557786076701</v>
      </c>
      <c r="I27" s="5">
        <v>0.91241288315545355</v>
      </c>
      <c r="J27" s="2">
        <f>+IF(Tabla2[[#This Row],[A2 ]]&lt;0.5,1,IF(Tabla2[[#This Row],[A2 ]]&lt;0.8,2,3))</f>
        <v>3</v>
      </c>
      <c r="L27" s="2">
        <f>+IF(AND(Tabla2[[#This Row],[Llegada]]&lt;=$B$16,P27&gt;0),1,"-")</f>
        <v>1</v>
      </c>
      <c r="M27" s="2">
        <f t="shared" si="3"/>
        <v>15</v>
      </c>
      <c r="N27" s="4">
        <f>+IF(L27=1,Tabla2[[#This Row],[Llegada]],"-")</f>
        <v>379.12557786076701</v>
      </c>
      <c r="O27" s="2">
        <f>+IF(L27=1,Tabla2[[#This Row],[Numero de integrantes]],"-")</f>
        <v>3</v>
      </c>
      <c r="P27" s="2">
        <f t="shared" si="4"/>
        <v>72</v>
      </c>
      <c r="Q27" s="2">
        <f>+IF(Tabla3[[#This Row],[Entra?]]=1,Q26+Tabla3[[#This Row],[Numero integrantes]],Q26)</f>
        <v>31</v>
      </c>
      <c r="S27" s="2">
        <f t="shared" si="5"/>
        <v>15</v>
      </c>
      <c r="T27" s="2">
        <f>+COUNTIF(Tabla3[Cuantos van],"&lt;"&amp;Tabla4[[#This Row],[Entidad]])+1</f>
        <v>8</v>
      </c>
      <c r="U27" s="2">
        <f>+INDEX(Tabla3[Llegada],Tabla4[[#This Row],[Grupo]])</f>
        <v>369.46242942026197</v>
      </c>
      <c r="V27" s="2">
        <f>+IF(Tabla4[[#This Row],[Hora llegada]]&gt;=Tabla4[[#This Row],[Disponibilidad M1]],0,1)</f>
        <v>1</v>
      </c>
      <c r="W27" s="2">
        <f>+IF(Tabla4[[#This Row],[Hora llegada]]&gt;=Tabla4[[#This Row],[Disponibilidad M2]],0,1)</f>
        <v>1</v>
      </c>
      <c r="X27" s="2">
        <f>+IF(Tabla4[[#This Row],[Hora llegada]]&gt;=Tabla4[[#This Row],[Disponibilidad M3]],0,1)</f>
        <v>1</v>
      </c>
      <c r="Y27" s="2" t="str">
        <f>+IF(Tabla5[[#This Row],[Quien me atiende]]=1,MAX(Tabla4[[#This Row],[Disponibilidad M1]],Tabla4[[#This Row],[Hora llegada]]),"-")</f>
        <v>-</v>
      </c>
      <c r="Z27" s="2" t="str">
        <f>+IF(Tabla5[[#This Row],[Quien me atiende]]=2,MAX(Tabla4[[#This Row],[Disponibilidad M2]],Tabla4[[#This Row],[Hora llegada]]),"-")</f>
        <v>-</v>
      </c>
      <c r="AA27" s="2">
        <f>+IF(Tabla5[[#This Row],[Quien me atiende]]=3,MAX(Tabla4[[#This Row],[Disponibilidad M3]],Tabla4[[#This Row],[Hora llegada]]),"-")</f>
        <v>376.98674124727728</v>
      </c>
      <c r="AB27" s="2">
        <f>+MAX($AG$13:AG26)</f>
        <v>378.86297221032606</v>
      </c>
      <c r="AC27" s="2">
        <f>+MAX($AH$13:AH26)</f>
        <v>381.23113269794857</v>
      </c>
      <c r="AD27" s="2">
        <f>+MAX($AI$13:AI26)</f>
        <v>376.98674124727728</v>
      </c>
      <c r="AE27" s="2">
        <v>0.44077455875520111</v>
      </c>
      <c r="AF27" s="2">
        <f>2+4.5*Tabla4[[#This Row],[A5]]</f>
        <v>3.9834855143984047</v>
      </c>
      <c r="AG27" s="2" t="str">
        <f>+IF(Tabla4[[#This Row],[Entrada M1]]="-","-",Tabla4[[#This Row],[Entrada M1]]+Tabla4[[#This Row],[Tiempo Atencion ]])</f>
        <v>-</v>
      </c>
      <c r="AH27" s="2" t="str">
        <f>+IF(Tabla4[[#This Row],[Entrada M2]]="-","-",Tabla4[[#This Row],[Entrada M2]]+Tabla4[[#This Row],[Tiempo Atencion ]])</f>
        <v>-</v>
      </c>
      <c r="AI27" s="2">
        <f>+IF(Tabla4[[#This Row],[Entrada M3]]="-","-",Tabla4[[#This Row],[Entrada M3]]+Tabla4[[#This Row],[Tiempo Atencion ]])</f>
        <v>380.97022676167569</v>
      </c>
      <c r="AJ27" s="11">
        <f>+MAX(Tabla4[[#This Row],[Salida M1]:[Salida M3]])</f>
        <v>380.97022676167569</v>
      </c>
      <c r="AK27" s="11" t="str">
        <f>+IF(Tabla4[[#This Row],[Salida]]&lt;=$B$17,"Entra","No Entra")</f>
        <v>Entra</v>
      </c>
      <c r="AL27" s="11">
        <f>+IF(Tabla4[[#This Row],[Entra  a la carrera]]="Entra",0,Tabla4[[#This Row],[Grupo]])</f>
        <v>0</v>
      </c>
      <c r="AM27" s="11">
        <f>_xlfn.IFNA(VLOOKUP(Tabla4[[#This Row],[Grupo]],Tabla4[Grupos por fuera],1,FALSE),0)</f>
        <v>0</v>
      </c>
      <c r="AN27" s="11" t="str">
        <f>+IF(Tabla4[[#This Row],[Me salgo por mi amigo el lento?]]=0, "Entra", "Chao")</f>
        <v>Entra</v>
      </c>
      <c r="AO27" s="11">
        <f>+IF(Tabla4[[#This Row],[Al fin entra o no]]="Entra",MAX($AO$13:AO26)+1,"")</f>
        <v>15</v>
      </c>
      <c r="AP27" s="11">
        <f>+Tabla4[[#This Row],[Entidad]]</f>
        <v>15</v>
      </c>
      <c r="AR27">
        <v>0.68214317353155596</v>
      </c>
      <c r="AS27">
        <f>+IF(Tabla5[[#This Row],[A3]]&lt;0.5,2,3)</f>
        <v>3</v>
      </c>
      <c r="AT27">
        <f>+IF(Tabla5[[#This Row],[A3]]&lt;0.5,1,3)</f>
        <v>3</v>
      </c>
      <c r="AU27">
        <f>+IF(Tabla5[[#This Row],[A3]]&lt;0.5,1,2)</f>
        <v>2</v>
      </c>
      <c r="AV27" s="6">
        <f>+IF(Tabla5[[#This Row],[A3]]&lt;0.33,1,IF(Tabla5[[#This Row],[A3]]&lt;0.66,2,3))</f>
        <v>3</v>
      </c>
      <c r="AW2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27" s="6">
        <f>+SUM(Tabla4[[#This Row],[Ocupacion M1]:[Ocupacion M3]])</f>
        <v>3</v>
      </c>
      <c r="AY27" s="6">
        <f>+IF(Tabla4[[#This Row],[Ocupacion M1]]=1,1,IF(Tabla4[[#This Row],[Ocupacion M2]]=1,2,3))</f>
        <v>1</v>
      </c>
      <c r="AZ27" s="6">
        <f>+INDEX(Tabla5[[#This Row],[Si 1 esta ocupado]:[Si 3 esta ocupado]],Tabla5[[#This Row],[Estado si = 1]])</f>
        <v>3</v>
      </c>
      <c r="BA27" s="6">
        <f>+IF(Tabla4[[#This Row],[Ocupacion M1]]= 0,1,IF(Tabla4[[#This Row],[Ocupacion M2]]=0,2,3))</f>
        <v>3</v>
      </c>
      <c r="BB2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27">
        <f t="shared" si="6"/>
        <v>15</v>
      </c>
      <c r="BE27">
        <f>+IF(Tabla6[[#This Row],[Indice]]="","",VLOOKUP(Tabla6[[#This Row],[Indice]],Tabla4[[Corre]:[Entidad2]],2))</f>
        <v>15</v>
      </c>
      <c r="BF27">
        <f>IFERROR(+INDEX(Tabla4[Grupo],Tabla6[[#This Row],[Entidad]]),"")</f>
        <v>8</v>
      </c>
      <c r="BG27">
        <f t="shared" si="0"/>
        <v>480</v>
      </c>
      <c r="BH27">
        <v>0.78609824802590467</v>
      </c>
      <c r="BI27">
        <f>20+70*Tabla6[[#This Row],[A6]]</f>
        <v>75.02687736181332</v>
      </c>
      <c r="BJ27">
        <f>+IF(Tabla6[[#This Row],[Indice]]="","",Tabla6[[#This Row],[Empieza]]+Tabla6[[#This Row],[Tiempo carrera ]])</f>
        <v>555.02687736181338</v>
      </c>
      <c r="BK27" s="6">
        <f>IF(Tabla6[[#This Row],[Termina la carrera]]="","",IF(Tabla6[[#This Row],[Termina la carrera]]&gt;540,1,0))</f>
        <v>1</v>
      </c>
      <c r="BL27" s="6">
        <f>+IF(OR(Tabla6[[#This Row],[Despues de las 9]]=0,Tabla6[[#This Row],[Despues de las 9]]=""),"",Tabla6[[#This Row],[Despues de las 9]]*Tabla6[[#This Row],[Grupo ]])</f>
        <v>8</v>
      </c>
      <c r="BM27" s="6">
        <f>+IF(Tabla6[[#This Row],[grupo  despues de las 9]]="","",IF(MAX($BL$13:BL26)=Tabla6[[#This Row],[grupo  despues de las 9]],"",1))</f>
        <v>1</v>
      </c>
      <c r="BV27" s="12"/>
      <c r="BW27" s="13"/>
      <c r="BX27" s="13"/>
      <c r="BY27" s="13"/>
      <c r="BZ27" s="13"/>
      <c r="CA27" s="13"/>
      <c r="CB27" s="14"/>
    </row>
    <row r="28" spans="1:80" ht="21.75" thickBot="1" x14ac:dyDescent="0.4">
      <c r="E28" s="2">
        <v>16</v>
      </c>
      <c r="F28" s="5">
        <v>0.7370456786326901</v>
      </c>
      <c r="G28" s="2">
        <f t="shared" si="2"/>
        <v>1.3357749449030447</v>
      </c>
      <c r="H28" s="4">
        <f>+H27+Tabla2[[#This Row],[Tiempo Entre]]</f>
        <v>380.46135280567006</v>
      </c>
      <c r="I28" s="5">
        <v>2.2333756535937388E-2</v>
      </c>
      <c r="J28" s="2">
        <f>+IF(Tabla2[[#This Row],[A2 ]]&lt;0.5,1,IF(Tabla2[[#This Row],[A2 ]]&lt;0.8,2,3))</f>
        <v>1</v>
      </c>
      <c r="L28" s="2">
        <f>+IF(AND(Tabla2[[#This Row],[Llegada]]&lt;=$B$16,P28&gt;0),1,"-")</f>
        <v>1</v>
      </c>
      <c r="M28" s="2">
        <f t="shared" si="3"/>
        <v>16</v>
      </c>
      <c r="N28" s="4">
        <f>+IF(L28=1,Tabla2[[#This Row],[Llegada]],"-")</f>
        <v>380.46135280567006</v>
      </c>
      <c r="O28" s="2">
        <f>+IF(L28=1,Tabla2[[#This Row],[Numero de integrantes]],"-")</f>
        <v>1</v>
      </c>
      <c r="P28" s="2">
        <f t="shared" si="4"/>
        <v>69</v>
      </c>
      <c r="Q28" s="2">
        <f>+IF(Tabla3[[#This Row],[Entra?]]=1,Q27+Tabla3[[#This Row],[Numero integrantes]],Q27)</f>
        <v>32</v>
      </c>
      <c r="S28" s="2">
        <f t="shared" si="5"/>
        <v>16</v>
      </c>
      <c r="T28" s="2">
        <f>+COUNTIF(Tabla3[Cuantos van],"&lt;"&amp;Tabla4[[#This Row],[Entidad]])+1</f>
        <v>8</v>
      </c>
      <c r="U28" s="2">
        <f>+INDEX(Tabla3[Llegada],Tabla4[[#This Row],[Grupo]])</f>
        <v>369.46242942026197</v>
      </c>
      <c r="V28" s="2">
        <f>+IF(Tabla4[[#This Row],[Hora llegada]]&gt;=Tabla4[[#This Row],[Disponibilidad M1]],0,1)</f>
        <v>1</v>
      </c>
      <c r="W28" s="2">
        <f>+IF(Tabla4[[#This Row],[Hora llegada]]&gt;=Tabla4[[#This Row],[Disponibilidad M2]],0,1)</f>
        <v>1</v>
      </c>
      <c r="X28" s="2">
        <f>+IF(Tabla4[[#This Row],[Hora llegada]]&gt;=Tabla4[[#This Row],[Disponibilidad M3]],0,1)</f>
        <v>1</v>
      </c>
      <c r="Y28" s="2">
        <f>+IF(Tabla5[[#This Row],[Quien me atiende]]=1,MAX(Tabla4[[#This Row],[Disponibilidad M1]],Tabla4[[#This Row],[Hora llegada]]),"-")</f>
        <v>378.86297221032606</v>
      </c>
      <c r="Z28" s="2" t="str">
        <f>+IF(Tabla5[[#This Row],[Quien me atiende]]=2,MAX(Tabla4[[#This Row],[Disponibilidad M2]],Tabla4[[#This Row],[Hora llegada]]),"-")</f>
        <v>-</v>
      </c>
      <c r="AA28" s="2" t="str">
        <f>+IF(Tabla5[[#This Row],[Quien me atiende]]=3,MAX(Tabla4[[#This Row],[Disponibilidad M3]],Tabla4[[#This Row],[Hora llegada]]),"-")</f>
        <v>-</v>
      </c>
      <c r="AB28" s="2">
        <f>+MAX($AG$13:AG27)</f>
        <v>378.86297221032606</v>
      </c>
      <c r="AC28" s="2">
        <f>+MAX($AH$13:AH27)</f>
        <v>381.23113269794857</v>
      </c>
      <c r="AD28" s="2">
        <f>+MAX($AI$13:AI27)</f>
        <v>380.97022676167569</v>
      </c>
      <c r="AE28" s="2">
        <v>0.10462933724895951</v>
      </c>
      <c r="AF28" s="2">
        <f>2+4.5*Tabla4[[#This Row],[A5]]</f>
        <v>2.4708320176203178</v>
      </c>
      <c r="AG28" s="2">
        <f>+IF(Tabla4[[#This Row],[Entrada M1]]="-","-",Tabla4[[#This Row],[Entrada M1]]+Tabla4[[#This Row],[Tiempo Atencion ]])</f>
        <v>381.33380422794636</v>
      </c>
      <c r="AH28" s="2" t="str">
        <f>+IF(Tabla4[[#This Row],[Entrada M2]]="-","-",Tabla4[[#This Row],[Entrada M2]]+Tabla4[[#This Row],[Tiempo Atencion ]])</f>
        <v>-</v>
      </c>
      <c r="AI28" s="2" t="str">
        <f>+IF(Tabla4[[#This Row],[Entrada M3]]="-","-",Tabla4[[#This Row],[Entrada M3]]+Tabla4[[#This Row],[Tiempo Atencion ]])</f>
        <v>-</v>
      </c>
      <c r="AJ28" s="11">
        <f>+MAX(Tabla4[[#This Row],[Salida M1]:[Salida M3]])</f>
        <v>381.33380422794636</v>
      </c>
      <c r="AK28" s="11" t="str">
        <f>+IF(Tabla4[[#This Row],[Salida]]&lt;=$B$17,"Entra","No Entra")</f>
        <v>Entra</v>
      </c>
      <c r="AL28" s="11">
        <f>+IF(Tabla4[[#This Row],[Entra  a la carrera]]="Entra",0,Tabla4[[#This Row],[Grupo]])</f>
        <v>0</v>
      </c>
      <c r="AM28" s="11">
        <f>_xlfn.IFNA(VLOOKUP(Tabla4[[#This Row],[Grupo]],Tabla4[Grupos por fuera],1,FALSE),0)</f>
        <v>0</v>
      </c>
      <c r="AN28" s="11" t="str">
        <f>+IF(Tabla4[[#This Row],[Me salgo por mi amigo el lento?]]=0, "Entra", "Chao")</f>
        <v>Entra</v>
      </c>
      <c r="AO28" s="11">
        <f>+IF(Tabla4[[#This Row],[Al fin entra o no]]="Entra",MAX($AO$13:AO27)+1,"")</f>
        <v>16</v>
      </c>
      <c r="AP28" s="11">
        <f>+Tabla4[[#This Row],[Entidad]]</f>
        <v>16</v>
      </c>
      <c r="AR28">
        <v>0.67943790321711872</v>
      </c>
      <c r="AS28">
        <f>+IF(Tabla5[[#This Row],[A3]]&lt;0.5,2,3)</f>
        <v>3</v>
      </c>
      <c r="AT28">
        <f>+IF(Tabla5[[#This Row],[A3]]&lt;0.5,1,3)</f>
        <v>3</v>
      </c>
      <c r="AU28">
        <f>+IF(Tabla5[[#This Row],[A3]]&lt;0.5,1,2)</f>
        <v>2</v>
      </c>
      <c r="AV28" s="6">
        <f>+IF(Tabla5[[#This Row],[A3]]&lt;0.33,1,IF(Tabla5[[#This Row],[A3]]&lt;0.66,2,3))</f>
        <v>3</v>
      </c>
      <c r="AW2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28" s="6">
        <f>+SUM(Tabla4[[#This Row],[Ocupacion M1]:[Ocupacion M3]])</f>
        <v>3</v>
      </c>
      <c r="AY28" s="6">
        <f>+IF(Tabla4[[#This Row],[Ocupacion M1]]=1,1,IF(Tabla4[[#This Row],[Ocupacion M2]]=1,2,3))</f>
        <v>1</v>
      </c>
      <c r="AZ28" s="6">
        <f>+INDEX(Tabla5[[#This Row],[Si 1 esta ocupado]:[Si 3 esta ocupado]],Tabla5[[#This Row],[Estado si = 1]])</f>
        <v>3</v>
      </c>
      <c r="BA28" s="6">
        <f>+IF(Tabla4[[#This Row],[Ocupacion M1]]= 0,1,IF(Tabla4[[#This Row],[Ocupacion M2]]=0,2,3))</f>
        <v>3</v>
      </c>
      <c r="BB2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28">
        <f t="shared" si="6"/>
        <v>16</v>
      </c>
      <c r="BE28">
        <f>+IF(Tabla6[[#This Row],[Indice]]="","",VLOOKUP(Tabla6[[#This Row],[Indice]],Tabla4[[Corre]:[Entidad2]],2))</f>
        <v>16</v>
      </c>
      <c r="BF28">
        <f>IFERROR(+INDEX(Tabla4[Grupo],Tabla6[[#This Row],[Entidad]]),"")</f>
        <v>8</v>
      </c>
      <c r="BG28">
        <f t="shared" si="0"/>
        <v>480</v>
      </c>
      <c r="BH28">
        <v>0.4509445925804646</v>
      </c>
      <c r="BI28">
        <f>20+70*Tabla6[[#This Row],[A6]]</f>
        <v>51.566121480632518</v>
      </c>
      <c r="BJ28">
        <f>+IF(Tabla6[[#This Row],[Indice]]="","",Tabla6[[#This Row],[Empieza]]+Tabla6[[#This Row],[Tiempo carrera ]])</f>
        <v>531.56612148063255</v>
      </c>
      <c r="BK28" s="6">
        <f>IF(Tabla6[[#This Row],[Termina la carrera]]="","",IF(Tabla6[[#This Row],[Termina la carrera]]&gt;540,1,0))</f>
        <v>0</v>
      </c>
      <c r="BL28" s="6" t="str">
        <f>+IF(OR(Tabla6[[#This Row],[Despues de las 9]]=0,Tabla6[[#This Row],[Despues de las 9]]=""),"",Tabla6[[#This Row],[Despues de las 9]]*Tabla6[[#This Row],[Grupo ]])</f>
        <v/>
      </c>
      <c r="BM28" s="6" t="str">
        <f>+IF(Tabla6[[#This Row],[grupo  despues de las 9]]="","",IF(MAX($BL$13:BL27)=Tabla6[[#This Row],[grupo  despues de las 9]],"",1))</f>
        <v/>
      </c>
      <c r="BV28" s="15"/>
      <c r="BW28" s="61" t="s">
        <v>88</v>
      </c>
      <c r="BX28" s="62"/>
      <c r="BY28" s="62"/>
      <c r="BZ28" s="62"/>
      <c r="CA28" s="63"/>
      <c r="CB28" s="16"/>
    </row>
    <row r="29" spans="1:80" x14ac:dyDescent="0.25">
      <c r="E29" s="2">
        <v>17</v>
      </c>
      <c r="F29" s="5">
        <v>0.31536798054594706</v>
      </c>
      <c r="G29" s="2">
        <f t="shared" si="2"/>
        <v>0.37887378293968238</v>
      </c>
      <c r="H29" s="4">
        <f>+H28+Tabla2[[#This Row],[Tiempo Entre]]</f>
        <v>380.84022658860977</v>
      </c>
      <c r="I29" s="5">
        <v>0.51383811114952116</v>
      </c>
      <c r="J29" s="2">
        <f>+IF(Tabla2[[#This Row],[A2 ]]&lt;0.5,1,IF(Tabla2[[#This Row],[A2 ]]&lt;0.8,2,3))</f>
        <v>2</v>
      </c>
      <c r="L29" s="2">
        <f>+IF(AND(Tabla2[[#This Row],[Llegada]]&lt;=$B$16,P29&gt;0),1,"-")</f>
        <v>1</v>
      </c>
      <c r="M29" s="2">
        <f t="shared" si="3"/>
        <v>17</v>
      </c>
      <c r="N29" s="4">
        <f>+IF(L29=1,Tabla2[[#This Row],[Llegada]],"-")</f>
        <v>380.84022658860977</v>
      </c>
      <c r="O29" s="2">
        <f>+IF(L29=1,Tabla2[[#This Row],[Numero de integrantes]],"-")</f>
        <v>2</v>
      </c>
      <c r="P29" s="2">
        <f t="shared" si="4"/>
        <v>68</v>
      </c>
      <c r="Q29" s="2">
        <f>+IF(Tabla3[[#This Row],[Entra?]]=1,Q28+Tabla3[[#This Row],[Numero integrantes]],Q28)</f>
        <v>34</v>
      </c>
      <c r="S29" s="2">
        <f t="shared" si="5"/>
        <v>17</v>
      </c>
      <c r="T29" s="2">
        <f>+COUNTIF(Tabla3[Cuantos van],"&lt;"&amp;Tabla4[[#This Row],[Entidad]])+1</f>
        <v>9</v>
      </c>
      <c r="U29" s="2">
        <f>+INDEX(Tabla3[Llegada],Tabla4[[#This Row],[Grupo]])</f>
        <v>369.79973320829401</v>
      </c>
      <c r="V29" s="2">
        <f>+IF(Tabla4[[#This Row],[Hora llegada]]&gt;=Tabla4[[#This Row],[Disponibilidad M1]],0,1)</f>
        <v>1</v>
      </c>
      <c r="W29" s="2">
        <f>+IF(Tabla4[[#This Row],[Hora llegada]]&gt;=Tabla4[[#This Row],[Disponibilidad M2]],0,1)</f>
        <v>1</v>
      </c>
      <c r="X29" s="2">
        <f>+IF(Tabla4[[#This Row],[Hora llegada]]&gt;=Tabla4[[#This Row],[Disponibilidad M3]],0,1)</f>
        <v>1</v>
      </c>
      <c r="Y29" s="2" t="str">
        <f>+IF(Tabla5[[#This Row],[Quien me atiende]]=1,MAX(Tabla4[[#This Row],[Disponibilidad M1]],Tabla4[[#This Row],[Hora llegada]]),"-")</f>
        <v>-</v>
      </c>
      <c r="Z29" s="2" t="str">
        <f>+IF(Tabla5[[#This Row],[Quien me atiende]]=2,MAX(Tabla4[[#This Row],[Disponibilidad M2]],Tabla4[[#This Row],[Hora llegada]]),"-")</f>
        <v>-</v>
      </c>
      <c r="AA29" s="2">
        <f>+IF(Tabla5[[#This Row],[Quien me atiende]]=3,MAX(Tabla4[[#This Row],[Disponibilidad M3]],Tabla4[[#This Row],[Hora llegada]]),"-")</f>
        <v>380.97022676167569</v>
      </c>
      <c r="AB29" s="2">
        <f>+MAX($AG$13:AG28)</f>
        <v>381.33380422794636</v>
      </c>
      <c r="AC29" s="2">
        <f>+MAX($AH$13:AH28)</f>
        <v>381.23113269794857</v>
      </c>
      <c r="AD29" s="2">
        <f>+MAX($AI$13:AI28)</f>
        <v>380.97022676167569</v>
      </c>
      <c r="AE29" s="2">
        <v>0.46207479736598267</v>
      </c>
      <c r="AF29" s="2">
        <f>2+4.5*Tabla4[[#This Row],[A5]]</f>
        <v>4.0793365881469219</v>
      </c>
      <c r="AG29" s="2" t="str">
        <f>+IF(Tabla4[[#This Row],[Entrada M1]]="-","-",Tabla4[[#This Row],[Entrada M1]]+Tabla4[[#This Row],[Tiempo Atencion ]])</f>
        <v>-</v>
      </c>
      <c r="AH29" s="2" t="str">
        <f>+IF(Tabla4[[#This Row],[Entrada M2]]="-","-",Tabla4[[#This Row],[Entrada M2]]+Tabla4[[#This Row],[Tiempo Atencion ]])</f>
        <v>-</v>
      </c>
      <c r="AI29" s="2">
        <f>+IF(Tabla4[[#This Row],[Entrada M3]]="-","-",Tabla4[[#This Row],[Entrada M3]]+Tabla4[[#This Row],[Tiempo Atencion ]])</f>
        <v>385.04956334982262</v>
      </c>
      <c r="AJ29" s="11">
        <f>+MAX(Tabla4[[#This Row],[Salida M1]:[Salida M3]])</f>
        <v>385.04956334982262</v>
      </c>
      <c r="AK29" s="11" t="str">
        <f>+IF(Tabla4[[#This Row],[Salida]]&lt;=$B$17,"Entra","No Entra")</f>
        <v>Entra</v>
      </c>
      <c r="AL29" s="11">
        <f>+IF(Tabla4[[#This Row],[Entra  a la carrera]]="Entra",0,Tabla4[[#This Row],[Grupo]])</f>
        <v>0</v>
      </c>
      <c r="AM29" s="11">
        <f>_xlfn.IFNA(VLOOKUP(Tabla4[[#This Row],[Grupo]],Tabla4[Grupos por fuera],1,FALSE),0)</f>
        <v>0</v>
      </c>
      <c r="AN29" s="11" t="str">
        <f>+IF(Tabla4[[#This Row],[Me salgo por mi amigo el lento?]]=0, "Entra", "Chao")</f>
        <v>Entra</v>
      </c>
      <c r="AO29" s="11">
        <f>+IF(Tabla4[[#This Row],[Al fin entra o no]]="Entra",MAX($AO$13:AO28)+1,"")</f>
        <v>17</v>
      </c>
      <c r="AP29" s="11">
        <f>+Tabla4[[#This Row],[Entidad]]</f>
        <v>17</v>
      </c>
      <c r="AR29">
        <v>0.50773464444523597</v>
      </c>
      <c r="AS29">
        <f>+IF(Tabla5[[#This Row],[A3]]&lt;0.5,2,3)</f>
        <v>3</v>
      </c>
      <c r="AT29">
        <f>+IF(Tabla5[[#This Row],[A3]]&lt;0.5,1,3)</f>
        <v>3</v>
      </c>
      <c r="AU29">
        <f>+IF(Tabla5[[#This Row],[A3]]&lt;0.5,1,2)</f>
        <v>2</v>
      </c>
      <c r="AV29" s="6">
        <f>+IF(Tabla5[[#This Row],[A3]]&lt;0.33,1,IF(Tabla5[[#This Row],[A3]]&lt;0.66,2,3))</f>
        <v>2</v>
      </c>
      <c r="AW2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29" s="6">
        <f>+SUM(Tabla4[[#This Row],[Ocupacion M1]:[Ocupacion M3]])</f>
        <v>3</v>
      </c>
      <c r="AY29" s="6">
        <f>+IF(Tabla4[[#This Row],[Ocupacion M1]]=1,1,IF(Tabla4[[#This Row],[Ocupacion M2]]=1,2,3))</f>
        <v>1</v>
      </c>
      <c r="AZ29" s="6">
        <f>+INDEX(Tabla5[[#This Row],[Si 1 esta ocupado]:[Si 3 esta ocupado]],Tabla5[[#This Row],[Estado si = 1]])</f>
        <v>3</v>
      </c>
      <c r="BA29" s="6">
        <f>+IF(Tabla4[[#This Row],[Ocupacion M1]]= 0,1,IF(Tabla4[[#This Row],[Ocupacion M2]]=0,2,3))</f>
        <v>3</v>
      </c>
      <c r="BB2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29">
        <f t="shared" si="6"/>
        <v>17</v>
      </c>
      <c r="BE29">
        <f>+IF(Tabla6[[#This Row],[Indice]]="","",VLOOKUP(Tabla6[[#This Row],[Indice]],Tabla4[[Corre]:[Entidad2]],2))</f>
        <v>17</v>
      </c>
      <c r="BF29">
        <f>IFERROR(+INDEX(Tabla4[Grupo],Tabla6[[#This Row],[Entidad]]),"")</f>
        <v>9</v>
      </c>
      <c r="BG29">
        <f t="shared" si="0"/>
        <v>480</v>
      </c>
      <c r="BH29">
        <v>0.86508878816073043</v>
      </c>
      <c r="BI29">
        <f>20+70*Tabla6[[#This Row],[A6]]</f>
        <v>80.556215171251125</v>
      </c>
      <c r="BJ29">
        <f>+IF(Tabla6[[#This Row],[Indice]]="","",Tabla6[[#This Row],[Empieza]]+Tabla6[[#This Row],[Tiempo carrera ]])</f>
        <v>560.5562151712511</v>
      </c>
      <c r="BK29" s="6">
        <f>IF(Tabla6[[#This Row],[Termina la carrera]]="","",IF(Tabla6[[#This Row],[Termina la carrera]]&gt;540,1,0))</f>
        <v>1</v>
      </c>
      <c r="BL29" s="6">
        <f>+IF(OR(Tabla6[[#This Row],[Despues de las 9]]=0,Tabla6[[#This Row],[Despues de las 9]]=""),"",Tabla6[[#This Row],[Despues de las 9]]*Tabla6[[#This Row],[Grupo ]])</f>
        <v>9</v>
      </c>
      <c r="BM29" s="6">
        <f>+IF(Tabla6[[#This Row],[grupo  despues de las 9]]="","",IF(MAX($BL$13:BL28)=Tabla6[[#This Row],[grupo  despues de las 9]],"",1))</f>
        <v>1</v>
      </c>
      <c r="BV29" s="15"/>
      <c r="BW29" s="17"/>
      <c r="BX29" s="17"/>
      <c r="BY29" s="17"/>
      <c r="BZ29" s="17"/>
      <c r="CA29" s="17"/>
      <c r="CB29" s="16"/>
    </row>
    <row r="30" spans="1:80" ht="15.75" x14ac:dyDescent="0.25">
      <c r="E30" s="2">
        <v>18</v>
      </c>
      <c r="F30" s="5">
        <v>0.14369398115606058</v>
      </c>
      <c r="G30" s="2">
        <f t="shared" si="2"/>
        <v>0.15512746807834921</v>
      </c>
      <c r="H30" s="4">
        <f>+H29+Tabla2[[#This Row],[Tiempo Entre]]</f>
        <v>380.99535405668814</v>
      </c>
      <c r="I30" s="5">
        <v>0.28806526571446178</v>
      </c>
      <c r="J30" s="2">
        <f>+IF(Tabla2[[#This Row],[A2 ]]&lt;0.5,1,IF(Tabla2[[#This Row],[A2 ]]&lt;0.8,2,3))</f>
        <v>1</v>
      </c>
      <c r="L30" s="2">
        <f>+IF(AND(Tabla2[[#This Row],[Llegada]]&lt;=$B$16,P30&gt;0),1,"-")</f>
        <v>1</v>
      </c>
      <c r="M30" s="2">
        <f t="shared" si="3"/>
        <v>18</v>
      </c>
      <c r="N30" s="4">
        <f>+IF(L30=1,Tabla2[[#This Row],[Llegada]],"-")</f>
        <v>380.99535405668814</v>
      </c>
      <c r="O30" s="2">
        <f>+IF(L30=1,Tabla2[[#This Row],[Numero de integrantes]],"-")</f>
        <v>1</v>
      </c>
      <c r="P30" s="2">
        <f t="shared" si="4"/>
        <v>66</v>
      </c>
      <c r="Q30" s="2">
        <f>+IF(Tabla3[[#This Row],[Entra?]]=1,Q29+Tabla3[[#This Row],[Numero integrantes]],Q29)</f>
        <v>35</v>
      </c>
      <c r="S30" s="2">
        <f t="shared" si="5"/>
        <v>18</v>
      </c>
      <c r="T30" s="2">
        <f>+COUNTIF(Tabla3[Cuantos van],"&lt;"&amp;Tabla4[[#This Row],[Entidad]])+1</f>
        <v>9</v>
      </c>
      <c r="U30" s="2">
        <f>+INDEX(Tabla3[Llegada],Tabla4[[#This Row],[Grupo]])</f>
        <v>369.79973320829401</v>
      </c>
      <c r="V30" s="2">
        <f>+IF(Tabla4[[#This Row],[Hora llegada]]&gt;=Tabla4[[#This Row],[Disponibilidad M1]],0,1)</f>
        <v>1</v>
      </c>
      <c r="W30" s="2">
        <f>+IF(Tabla4[[#This Row],[Hora llegada]]&gt;=Tabla4[[#This Row],[Disponibilidad M2]],0,1)</f>
        <v>1</v>
      </c>
      <c r="X30" s="2">
        <f>+IF(Tabla4[[#This Row],[Hora llegada]]&gt;=Tabla4[[#This Row],[Disponibilidad M3]],0,1)</f>
        <v>1</v>
      </c>
      <c r="Y30" s="2" t="str">
        <f>+IF(Tabla5[[#This Row],[Quien me atiende]]=1,MAX(Tabla4[[#This Row],[Disponibilidad M1]],Tabla4[[#This Row],[Hora llegada]]),"-")</f>
        <v>-</v>
      </c>
      <c r="Z30" s="2">
        <f>+IF(Tabla5[[#This Row],[Quien me atiende]]=2,MAX(Tabla4[[#This Row],[Disponibilidad M2]],Tabla4[[#This Row],[Hora llegada]]),"-")</f>
        <v>381.23113269794857</v>
      </c>
      <c r="AA30" s="2" t="str">
        <f>+IF(Tabla5[[#This Row],[Quien me atiende]]=3,MAX(Tabla4[[#This Row],[Disponibilidad M3]],Tabla4[[#This Row],[Hora llegada]]),"-")</f>
        <v>-</v>
      </c>
      <c r="AB30" s="2">
        <f>+MAX($AG$13:AG29)</f>
        <v>381.33380422794636</v>
      </c>
      <c r="AC30" s="2">
        <f>+MAX($AH$13:AH29)</f>
        <v>381.23113269794857</v>
      </c>
      <c r="AD30" s="2">
        <f>+MAX($AI$13:AI29)</f>
        <v>385.04956334982262</v>
      </c>
      <c r="AE30" s="2">
        <v>0.55399894784391146</v>
      </c>
      <c r="AF30" s="2">
        <f>2+4.5*Tabla4[[#This Row],[A5]]</f>
        <v>4.4929952652976013</v>
      </c>
      <c r="AG30" s="2" t="str">
        <f>+IF(Tabla4[[#This Row],[Entrada M1]]="-","-",Tabla4[[#This Row],[Entrada M1]]+Tabla4[[#This Row],[Tiempo Atencion ]])</f>
        <v>-</v>
      </c>
      <c r="AH30" s="2">
        <f>+IF(Tabla4[[#This Row],[Entrada M2]]="-","-",Tabla4[[#This Row],[Entrada M2]]+Tabla4[[#This Row],[Tiempo Atencion ]])</f>
        <v>385.72412796324619</v>
      </c>
      <c r="AI30" s="2" t="str">
        <f>+IF(Tabla4[[#This Row],[Entrada M3]]="-","-",Tabla4[[#This Row],[Entrada M3]]+Tabla4[[#This Row],[Tiempo Atencion ]])</f>
        <v>-</v>
      </c>
      <c r="AJ30" s="11">
        <f>+MAX(Tabla4[[#This Row],[Salida M1]:[Salida M3]])</f>
        <v>385.72412796324619</v>
      </c>
      <c r="AK30" s="11" t="str">
        <f>+IF(Tabla4[[#This Row],[Salida]]&lt;=$B$17,"Entra","No Entra")</f>
        <v>Entra</v>
      </c>
      <c r="AL30" s="11">
        <f>+IF(Tabla4[[#This Row],[Entra  a la carrera]]="Entra",0,Tabla4[[#This Row],[Grupo]])</f>
        <v>0</v>
      </c>
      <c r="AM30" s="11">
        <f>_xlfn.IFNA(VLOOKUP(Tabla4[[#This Row],[Grupo]],Tabla4[Grupos por fuera],1,FALSE),0)</f>
        <v>0</v>
      </c>
      <c r="AN30" s="11" t="str">
        <f>+IF(Tabla4[[#This Row],[Me salgo por mi amigo el lento?]]=0, "Entra", "Chao")</f>
        <v>Entra</v>
      </c>
      <c r="AO30" s="11">
        <f>+IF(Tabla4[[#This Row],[Al fin entra o no]]="Entra",MAX($AO$13:AO29)+1,"")</f>
        <v>18</v>
      </c>
      <c r="AP30" s="11">
        <f>+Tabla4[[#This Row],[Entidad]]</f>
        <v>18</v>
      </c>
      <c r="AR30">
        <v>0.10389361027896882</v>
      </c>
      <c r="AS30">
        <f>+IF(Tabla5[[#This Row],[A3]]&lt;0.5,2,3)</f>
        <v>2</v>
      </c>
      <c r="AT30">
        <f>+IF(Tabla5[[#This Row],[A3]]&lt;0.5,1,3)</f>
        <v>1</v>
      </c>
      <c r="AU30">
        <f>+IF(Tabla5[[#This Row],[A3]]&lt;0.5,1,2)</f>
        <v>1</v>
      </c>
      <c r="AV30" s="6">
        <f>+IF(Tabla5[[#This Row],[A3]]&lt;0.33,1,IF(Tabla5[[#This Row],[A3]]&lt;0.66,2,3))</f>
        <v>1</v>
      </c>
      <c r="AW3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30" s="6">
        <f>+SUM(Tabla4[[#This Row],[Ocupacion M1]:[Ocupacion M3]])</f>
        <v>3</v>
      </c>
      <c r="AY30" s="6">
        <f>+IF(Tabla4[[#This Row],[Ocupacion M1]]=1,1,IF(Tabla4[[#This Row],[Ocupacion M2]]=1,2,3))</f>
        <v>1</v>
      </c>
      <c r="AZ30" s="6">
        <f>+INDEX(Tabla5[[#This Row],[Si 1 esta ocupado]:[Si 3 esta ocupado]],Tabla5[[#This Row],[Estado si = 1]])</f>
        <v>2</v>
      </c>
      <c r="BA30" s="6">
        <f>+IF(Tabla4[[#This Row],[Ocupacion M1]]= 0,1,IF(Tabla4[[#This Row],[Ocupacion M2]]=0,2,3))</f>
        <v>3</v>
      </c>
      <c r="BB3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30">
        <f t="shared" si="6"/>
        <v>18</v>
      </c>
      <c r="BE30">
        <f>+IF(Tabla6[[#This Row],[Indice]]="","",VLOOKUP(Tabla6[[#This Row],[Indice]],Tabla4[[Corre]:[Entidad2]],2))</f>
        <v>18</v>
      </c>
      <c r="BF30">
        <f>IFERROR(+INDEX(Tabla4[Grupo],Tabla6[[#This Row],[Entidad]]),"")</f>
        <v>9</v>
      </c>
      <c r="BG30">
        <f t="shared" si="0"/>
        <v>480</v>
      </c>
      <c r="BH30">
        <v>0.25588979819623181</v>
      </c>
      <c r="BI30">
        <f>20+70*Tabla6[[#This Row],[A6]]</f>
        <v>37.912285873736224</v>
      </c>
      <c r="BJ30">
        <f>+IF(Tabla6[[#This Row],[Indice]]="","",Tabla6[[#This Row],[Empieza]]+Tabla6[[#This Row],[Tiempo carrera ]])</f>
        <v>517.91228587373621</v>
      </c>
      <c r="BK30" s="6">
        <f>IF(Tabla6[[#This Row],[Termina la carrera]]="","",IF(Tabla6[[#This Row],[Termina la carrera]]&gt;540,1,0))</f>
        <v>0</v>
      </c>
      <c r="BL30" s="6" t="str">
        <f>+IF(OR(Tabla6[[#This Row],[Despues de las 9]]=0,Tabla6[[#This Row],[Despues de las 9]]=""),"",Tabla6[[#This Row],[Despues de las 9]]*Tabla6[[#This Row],[Grupo ]])</f>
        <v/>
      </c>
      <c r="BM30" s="6" t="str">
        <f>+IF(Tabla6[[#This Row],[grupo  despues de las 9]]="","",IF(MAX($BL$13:BL29)=Tabla6[[#This Row],[grupo  despues de las 9]],"",1))</f>
        <v/>
      </c>
      <c r="BV30" s="15"/>
      <c r="BW30" s="69" t="str">
        <f>+"No entran a la carrera por registro tardio "&amp;AN117&amp;" Corredores"</f>
        <v>No entran a la carrera por registro tardio 18 Corredores</v>
      </c>
      <c r="BX30" s="69"/>
      <c r="BY30" s="69"/>
      <c r="BZ30" s="69"/>
      <c r="CA30" s="69"/>
      <c r="CB30" s="16"/>
    </row>
    <row r="31" spans="1:80" ht="15.75" x14ac:dyDescent="0.25">
      <c r="E31" s="2">
        <v>19</v>
      </c>
      <c r="F31" s="5">
        <v>0.57145508871839545</v>
      </c>
      <c r="G31" s="2">
        <f t="shared" si="2"/>
        <v>0.84735973597771452</v>
      </c>
      <c r="H31" s="4">
        <f>+H30+Tabla2[[#This Row],[Tiempo Entre]]</f>
        <v>381.84271379266585</v>
      </c>
      <c r="I31" s="5">
        <v>0.87557771887932301</v>
      </c>
      <c r="J31" s="2">
        <f>+IF(Tabla2[[#This Row],[A2 ]]&lt;0.5,1,IF(Tabla2[[#This Row],[A2 ]]&lt;0.8,2,3))</f>
        <v>3</v>
      </c>
      <c r="L31" s="2">
        <f>+IF(AND(Tabla2[[#This Row],[Llegada]]&lt;=$B$16,P31&gt;0),1,"-")</f>
        <v>1</v>
      </c>
      <c r="M31" s="2">
        <f t="shared" si="3"/>
        <v>19</v>
      </c>
      <c r="N31" s="4">
        <f>+IF(L31=1,Tabla2[[#This Row],[Llegada]],"-")</f>
        <v>381.84271379266585</v>
      </c>
      <c r="O31" s="2">
        <f>+IF(L31=1,Tabla2[[#This Row],[Numero de integrantes]],"-")</f>
        <v>3</v>
      </c>
      <c r="P31" s="2">
        <f t="shared" si="4"/>
        <v>65</v>
      </c>
      <c r="Q31" s="2">
        <f>+IF(Tabla3[[#This Row],[Entra?]]=1,Q30+Tabla3[[#This Row],[Numero integrantes]],Q30)</f>
        <v>38</v>
      </c>
      <c r="S31" s="2">
        <f t="shared" si="5"/>
        <v>19</v>
      </c>
      <c r="T31" s="2">
        <f>+COUNTIF(Tabla3[Cuantos van],"&lt;"&amp;Tabla4[[#This Row],[Entidad]])+1</f>
        <v>9</v>
      </c>
      <c r="U31" s="2">
        <f>+INDEX(Tabla3[Llegada],Tabla4[[#This Row],[Grupo]])</f>
        <v>369.79973320829401</v>
      </c>
      <c r="V31" s="2">
        <f>+IF(Tabla4[[#This Row],[Hora llegada]]&gt;=Tabla4[[#This Row],[Disponibilidad M1]],0,1)</f>
        <v>1</v>
      </c>
      <c r="W31" s="2">
        <f>+IF(Tabla4[[#This Row],[Hora llegada]]&gt;=Tabla4[[#This Row],[Disponibilidad M2]],0,1)</f>
        <v>1</v>
      </c>
      <c r="X31" s="2">
        <f>+IF(Tabla4[[#This Row],[Hora llegada]]&gt;=Tabla4[[#This Row],[Disponibilidad M3]],0,1)</f>
        <v>1</v>
      </c>
      <c r="Y31" s="2">
        <f>+IF(Tabla5[[#This Row],[Quien me atiende]]=1,MAX(Tabla4[[#This Row],[Disponibilidad M1]],Tabla4[[#This Row],[Hora llegada]]),"-")</f>
        <v>381.33380422794636</v>
      </c>
      <c r="Z31" s="2" t="str">
        <f>+IF(Tabla5[[#This Row],[Quien me atiende]]=2,MAX(Tabla4[[#This Row],[Disponibilidad M2]],Tabla4[[#This Row],[Hora llegada]]),"-")</f>
        <v>-</v>
      </c>
      <c r="AA31" s="2" t="str">
        <f>+IF(Tabla5[[#This Row],[Quien me atiende]]=3,MAX(Tabla4[[#This Row],[Disponibilidad M3]],Tabla4[[#This Row],[Hora llegada]]),"-")</f>
        <v>-</v>
      </c>
      <c r="AB31" s="2">
        <f>+MAX($AG$13:AG30)</f>
        <v>381.33380422794636</v>
      </c>
      <c r="AC31" s="2">
        <f>+MAX($AH$13:AH30)</f>
        <v>385.72412796324619</v>
      </c>
      <c r="AD31" s="2">
        <f>+MAX($AI$13:AI30)</f>
        <v>385.04956334982262</v>
      </c>
      <c r="AE31" s="2">
        <v>0.89793825164000607</v>
      </c>
      <c r="AF31" s="2">
        <f>2+4.5*Tabla4[[#This Row],[A5]]</f>
        <v>6.0407221323800275</v>
      </c>
      <c r="AG31" s="2">
        <f>+IF(Tabla4[[#This Row],[Entrada M1]]="-","-",Tabla4[[#This Row],[Entrada M1]]+Tabla4[[#This Row],[Tiempo Atencion ]])</f>
        <v>387.3745263603264</v>
      </c>
      <c r="AH31" s="2" t="str">
        <f>+IF(Tabla4[[#This Row],[Entrada M2]]="-","-",Tabla4[[#This Row],[Entrada M2]]+Tabla4[[#This Row],[Tiempo Atencion ]])</f>
        <v>-</v>
      </c>
      <c r="AI31" s="2" t="str">
        <f>+IF(Tabla4[[#This Row],[Entrada M3]]="-","-",Tabla4[[#This Row],[Entrada M3]]+Tabla4[[#This Row],[Tiempo Atencion ]])</f>
        <v>-</v>
      </c>
      <c r="AJ31" s="11">
        <f>+MAX(Tabla4[[#This Row],[Salida M1]:[Salida M3]])</f>
        <v>387.3745263603264</v>
      </c>
      <c r="AK31" s="11" t="str">
        <f>+IF(Tabla4[[#This Row],[Salida]]&lt;=$B$17,"Entra","No Entra")</f>
        <v>Entra</v>
      </c>
      <c r="AL31" s="11">
        <f>+IF(Tabla4[[#This Row],[Entra  a la carrera]]="Entra",0,Tabla4[[#This Row],[Grupo]])</f>
        <v>0</v>
      </c>
      <c r="AM31" s="11">
        <f>_xlfn.IFNA(VLOOKUP(Tabla4[[#This Row],[Grupo]],Tabla4[Grupos por fuera],1,FALSE),0)</f>
        <v>0</v>
      </c>
      <c r="AN31" s="11" t="str">
        <f>+IF(Tabla4[[#This Row],[Me salgo por mi amigo el lento?]]=0, "Entra", "Chao")</f>
        <v>Entra</v>
      </c>
      <c r="AO31" s="11">
        <f>+IF(Tabla4[[#This Row],[Al fin entra o no]]="Entra",MAX($AO$13:AO30)+1,"")</f>
        <v>19</v>
      </c>
      <c r="AP31" s="11">
        <f>+Tabla4[[#This Row],[Entidad]]</f>
        <v>19</v>
      </c>
      <c r="AR31">
        <v>0.36641849765958967</v>
      </c>
      <c r="AS31">
        <f>+IF(Tabla5[[#This Row],[A3]]&lt;0.5,2,3)</f>
        <v>2</v>
      </c>
      <c r="AT31">
        <f>+IF(Tabla5[[#This Row],[A3]]&lt;0.5,1,3)</f>
        <v>1</v>
      </c>
      <c r="AU31">
        <f>+IF(Tabla5[[#This Row],[A3]]&lt;0.5,1,2)</f>
        <v>1</v>
      </c>
      <c r="AV31" s="6">
        <f>+IF(Tabla5[[#This Row],[A3]]&lt;0.33,1,IF(Tabla5[[#This Row],[A3]]&lt;0.66,2,3))</f>
        <v>2</v>
      </c>
      <c r="AW3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31" s="6">
        <f>+SUM(Tabla4[[#This Row],[Ocupacion M1]:[Ocupacion M3]])</f>
        <v>3</v>
      </c>
      <c r="AY31" s="6">
        <f>+IF(Tabla4[[#This Row],[Ocupacion M1]]=1,1,IF(Tabla4[[#This Row],[Ocupacion M2]]=1,2,3))</f>
        <v>1</v>
      </c>
      <c r="AZ31" s="6">
        <f>+INDEX(Tabla5[[#This Row],[Si 1 esta ocupado]:[Si 3 esta ocupado]],Tabla5[[#This Row],[Estado si = 1]])</f>
        <v>2</v>
      </c>
      <c r="BA31" s="6">
        <f>+IF(Tabla4[[#This Row],[Ocupacion M1]]= 0,1,IF(Tabla4[[#This Row],[Ocupacion M2]]=0,2,3))</f>
        <v>3</v>
      </c>
      <c r="BB3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31">
        <f t="shared" si="6"/>
        <v>19</v>
      </c>
      <c r="BE31">
        <f>+IF(Tabla6[[#This Row],[Indice]]="","",VLOOKUP(Tabla6[[#This Row],[Indice]],Tabla4[[Corre]:[Entidad2]],2))</f>
        <v>19</v>
      </c>
      <c r="BF31">
        <f>IFERROR(+INDEX(Tabla4[Grupo],Tabla6[[#This Row],[Entidad]]),"")</f>
        <v>9</v>
      </c>
      <c r="BG31">
        <f t="shared" si="0"/>
        <v>480</v>
      </c>
      <c r="BH31">
        <v>0.27960197190794245</v>
      </c>
      <c r="BI31">
        <f>20+70*Tabla6[[#This Row],[A6]]</f>
        <v>39.572138033555973</v>
      </c>
      <c r="BJ31">
        <f>+IF(Tabla6[[#This Row],[Indice]]="","",Tabla6[[#This Row],[Empieza]]+Tabla6[[#This Row],[Tiempo carrera ]])</f>
        <v>519.57213803355603</v>
      </c>
      <c r="BK31" s="6">
        <f>IF(Tabla6[[#This Row],[Termina la carrera]]="","",IF(Tabla6[[#This Row],[Termina la carrera]]&gt;540,1,0))</f>
        <v>0</v>
      </c>
      <c r="BL31" s="6" t="str">
        <f>+IF(OR(Tabla6[[#This Row],[Despues de las 9]]=0,Tabla6[[#This Row],[Despues de las 9]]=""),"",Tabla6[[#This Row],[Despues de las 9]]*Tabla6[[#This Row],[Grupo ]])</f>
        <v/>
      </c>
      <c r="BM31" s="6" t="str">
        <f>+IF(Tabla6[[#This Row],[grupo  despues de las 9]]="","",IF(MAX($BL$13:BL30)=Tabla6[[#This Row],[grupo  despues de las 9]],"",1))</f>
        <v/>
      </c>
      <c r="BV31" s="15"/>
      <c r="BW31" s="69" t="str">
        <f>+"No entran a la carrera por camaraderia "&amp;AN118&amp;" Corredores"</f>
        <v>No entran a la carrera por camaraderia 0 Corredores</v>
      </c>
      <c r="BX31" s="69"/>
      <c r="BY31" s="69"/>
      <c r="BZ31" s="69"/>
      <c r="CA31" s="69"/>
      <c r="CB31" s="16"/>
    </row>
    <row r="32" spans="1:80" x14ac:dyDescent="0.25">
      <c r="E32" s="2">
        <v>20</v>
      </c>
      <c r="F32" s="5">
        <v>5.1500834980443777E-2</v>
      </c>
      <c r="G32" s="2">
        <f t="shared" si="2"/>
        <v>5.2874369924212385E-2</v>
      </c>
      <c r="H32" s="4">
        <f>+H31+Tabla2[[#This Row],[Tiempo Entre]]</f>
        <v>381.89558816259006</v>
      </c>
      <c r="I32" s="5">
        <v>0.44840773227988751</v>
      </c>
      <c r="J32" s="2">
        <f>+IF(Tabla2[[#This Row],[A2 ]]&lt;0.5,1,IF(Tabla2[[#This Row],[A2 ]]&lt;0.8,2,3))</f>
        <v>1</v>
      </c>
      <c r="L32" s="2">
        <f>+IF(AND(Tabla2[[#This Row],[Llegada]]&lt;=$B$16,P32&gt;0),1,"-")</f>
        <v>1</v>
      </c>
      <c r="M32" s="2">
        <f t="shared" si="3"/>
        <v>20</v>
      </c>
      <c r="N32" s="4">
        <f>+IF(L32=1,Tabla2[[#This Row],[Llegada]],"-")</f>
        <v>381.89558816259006</v>
      </c>
      <c r="O32" s="2">
        <f>+IF(L32=1,Tabla2[[#This Row],[Numero de integrantes]],"-")</f>
        <v>1</v>
      </c>
      <c r="P32" s="2">
        <f t="shared" si="4"/>
        <v>62</v>
      </c>
      <c r="Q32" s="2">
        <f>+IF(Tabla3[[#This Row],[Entra?]]=1,Q31+Tabla3[[#This Row],[Numero integrantes]],Q31)</f>
        <v>39</v>
      </c>
      <c r="S32" s="2">
        <f t="shared" si="5"/>
        <v>20</v>
      </c>
      <c r="T32" s="2">
        <f>+COUNTIF(Tabla3[Cuantos van],"&lt;"&amp;Tabla4[[#This Row],[Entidad]])+1</f>
        <v>10</v>
      </c>
      <c r="U32" s="2">
        <f>+INDEX(Tabla3[Llegada],Tabla4[[#This Row],[Grupo]])</f>
        <v>370.29749593041458</v>
      </c>
      <c r="V32" s="2">
        <f>+IF(Tabla4[[#This Row],[Hora llegada]]&gt;=Tabla4[[#This Row],[Disponibilidad M1]],0,1)</f>
        <v>1</v>
      </c>
      <c r="W32" s="2">
        <f>+IF(Tabla4[[#This Row],[Hora llegada]]&gt;=Tabla4[[#This Row],[Disponibilidad M2]],0,1)</f>
        <v>1</v>
      </c>
      <c r="X32" s="2">
        <f>+IF(Tabla4[[#This Row],[Hora llegada]]&gt;=Tabla4[[#This Row],[Disponibilidad M3]],0,1)</f>
        <v>1</v>
      </c>
      <c r="Y32" s="2" t="str">
        <f>+IF(Tabla5[[#This Row],[Quien me atiende]]=1,MAX(Tabla4[[#This Row],[Disponibilidad M1]],Tabla4[[#This Row],[Hora llegada]]),"-")</f>
        <v>-</v>
      </c>
      <c r="Z32" s="2" t="str">
        <f>+IF(Tabla5[[#This Row],[Quien me atiende]]=2,MAX(Tabla4[[#This Row],[Disponibilidad M2]],Tabla4[[#This Row],[Hora llegada]]),"-")</f>
        <v>-</v>
      </c>
      <c r="AA32" s="2">
        <f>+IF(Tabla5[[#This Row],[Quien me atiende]]=3,MAX(Tabla4[[#This Row],[Disponibilidad M3]],Tabla4[[#This Row],[Hora llegada]]),"-")</f>
        <v>385.04956334982262</v>
      </c>
      <c r="AB32" s="2">
        <f>+MAX($AG$13:AG31)</f>
        <v>387.3745263603264</v>
      </c>
      <c r="AC32" s="2">
        <f>+MAX($AH$13:AH31)</f>
        <v>385.72412796324619</v>
      </c>
      <c r="AD32" s="2">
        <f>+MAX($AI$13:AI31)</f>
        <v>385.04956334982262</v>
      </c>
      <c r="AE32" s="2">
        <v>0.59366755319354247</v>
      </c>
      <c r="AF32" s="2">
        <f>2+4.5*Tabla4[[#This Row],[A5]]</f>
        <v>4.6715039893709411</v>
      </c>
      <c r="AG32" s="2" t="str">
        <f>+IF(Tabla4[[#This Row],[Entrada M1]]="-","-",Tabla4[[#This Row],[Entrada M1]]+Tabla4[[#This Row],[Tiempo Atencion ]])</f>
        <v>-</v>
      </c>
      <c r="AH32" s="2" t="str">
        <f>+IF(Tabla4[[#This Row],[Entrada M2]]="-","-",Tabla4[[#This Row],[Entrada M2]]+Tabla4[[#This Row],[Tiempo Atencion ]])</f>
        <v>-</v>
      </c>
      <c r="AI32" s="2">
        <f>+IF(Tabla4[[#This Row],[Entrada M3]]="-","-",Tabla4[[#This Row],[Entrada M3]]+Tabla4[[#This Row],[Tiempo Atencion ]])</f>
        <v>389.72106733919355</v>
      </c>
      <c r="AJ32" s="11">
        <f>+MAX(Tabla4[[#This Row],[Salida M1]:[Salida M3]])</f>
        <v>389.72106733919355</v>
      </c>
      <c r="AK32" s="11" t="str">
        <f>+IF(Tabla4[[#This Row],[Salida]]&lt;=$B$17,"Entra","No Entra")</f>
        <v>Entra</v>
      </c>
      <c r="AL32" s="11">
        <f>+IF(Tabla4[[#This Row],[Entra  a la carrera]]="Entra",0,Tabla4[[#This Row],[Grupo]])</f>
        <v>0</v>
      </c>
      <c r="AM32" s="11">
        <f>_xlfn.IFNA(VLOOKUP(Tabla4[[#This Row],[Grupo]],Tabla4[Grupos por fuera],1,FALSE),0)</f>
        <v>0</v>
      </c>
      <c r="AN32" s="11" t="str">
        <f>+IF(Tabla4[[#This Row],[Me salgo por mi amigo el lento?]]=0, "Entra", "Chao")</f>
        <v>Entra</v>
      </c>
      <c r="AO32" s="11">
        <f>+IF(Tabla4[[#This Row],[Al fin entra o no]]="Entra",MAX($AO$13:AO31)+1,"")</f>
        <v>20</v>
      </c>
      <c r="AP32" s="11">
        <f>+Tabla4[[#This Row],[Entidad]]</f>
        <v>20</v>
      </c>
      <c r="AR32">
        <v>0.29779307705992863</v>
      </c>
      <c r="AS32">
        <f>+IF(Tabla5[[#This Row],[A3]]&lt;0.5,2,3)</f>
        <v>2</v>
      </c>
      <c r="AT32">
        <f>+IF(Tabla5[[#This Row],[A3]]&lt;0.5,1,3)</f>
        <v>1</v>
      </c>
      <c r="AU32">
        <f>+IF(Tabla5[[#This Row],[A3]]&lt;0.5,1,2)</f>
        <v>1</v>
      </c>
      <c r="AV32" s="6">
        <f>+IF(Tabla5[[#This Row],[A3]]&lt;0.33,1,IF(Tabla5[[#This Row],[A3]]&lt;0.66,2,3))</f>
        <v>1</v>
      </c>
      <c r="AW3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32" s="6">
        <f>+SUM(Tabla4[[#This Row],[Ocupacion M1]:[Ocupacion M3]])</f>
        <v>3</v>
      </c>
      <c r="AY32" s="6">
        <f>+IF(Tabla4[[#This Row],[Ocupacion M1]]=1,1,IF(Tabla4[[#This Row],[Ocupacion M2]]=1,2,3))</f>
        <v>1</v>
      </c>
      <c r="AZ32" s="6">
        <f>+INDEX(Tabla5[[#This Row],[Si 1 esta ocupado]:[Si 3 esta ocupado]],Tabla5[[#This Row],[Estado si = 1]])</f>
        <v>2</v>
      </c>
      <c r="BA32" s="6">
        <f>+IF(Tabla4[[#This Row],[Ocupacion M1]]= 0,1,IF(Tabla4[[#This Row],[Ocupacion M2]]=0,2,3))</f>
        <v>3</v>
      </c>
      <c r="BB3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32">
        <f t="shared" si="6"/>
        <v>20</v>
      </c>
      <c r="BE32">
        <f>+IF(Tabla6[[#This Row],[Indice]]="","",VLOOKUP(Tabla6[[#This Row],[Indice]],Tabla4[[Corre]:[Entidad2]],2))</f>
        <v>20</v>
      </c>
      <c r="BF32">
        <f>IFERROR(+INDEX(Tabla4[Grupo],Tabla6[[#This Row],[Entidad]]),"")</f>
        <v>10</v>
      </c>
      <c r="BG32">
        <f t="shared" si="0"/>
        <v>480</v>
      </c>
      <c r="BH32">
        <v>0.60304858461587163</v>
      </c>
      <c r="BI32">
        <f>20+70*Tabla6[[#This Row],[A6]]</f>
        <v>62.213400923111017</v>
      </c>
      <c r="BJ32">
        <f>+IF(Tabla6[[#This Row],[Indice]]="","",Tabla6[[#This Row],[Empieza]]+Tabla6[[#This Row],[Tiempo carrera ]])</f>
        <v>542.21340092311107</v>
      </c>
      <c r="BK32" s="6">
        <f>IF(Tabla6[[#This Row],[Termina la carrera]]="","",IF(Tabla6[[#This Row],[Termina la carrera]]&gt;540,1,0))</f>
        <v>1</v>
      </c>
      <c r="BL32" s="6">
        <f>+IF(OR(Tabla6[[#This Row],[Despues de las 9]]=0,Tabla6[[#This Row],[Despues de las 9]]=""),"",Tabla6[[#This Row],[Despues de las 9]]*Tabla6[[#This Row],[Grupo ]])</f>
        <v>10</v>
      </c>
      <c r="BM32" s="6">
        <f>+IF(Tabla6[[#This Row],[grupo  despues de las 9]]="","",IF(MAX($BL$13:BL31)=Tabla6[[#This Row],[grupo  despues de las 9]],"",1))</f>
        <v>1</v>
      </c>
      <c r="BV32" s="15"/>
      <c r="BW32" s="17"/>
      <c r="BX32" s="17"/>
      <c r="BY32" s="17"/>
      <c r="BZ32" s="17"/>
      <c r="CA32" s="17"/>
      <c r="CB32" s="16"/>
    </row>
    <row r="33" spans="5:80" ht="15.75" thickBot="1" x14ac:dyDescent="0.3">
      <c r="E33" s="2">
        <v>21</v>
      </c>
      <c r="F33" s="5">
        <v>0.49275575445217679</v>
      </c>
      <c r="G33" s="2">
        <f t="shared" si="2"/>
        <v>0.67876264475096393</v>
      </c>
      <c r="H33" s="4">
        <f>+H32+Tabla2[[#This Row],[Tiempo Entre]]</f>
        <v>382.57435080734103</v>
      </c>
      <c r="I33" s="5">
        <v>0.62526196305149373</v>
      </c>
      <c r="J33" s="2">
        <f>+IF(Tabla2[[#This Row],[A2 ]]&lt;0.5,1,IF(Tabla2[[#This Row],[A2 ]]&lt;0.8,2,3))</f>
        <v>2</v>
      </c>
      <c r="L33" s="2">
        <f>+IF(AND(Tabla2[[#This Row],[Llegada]]&lt;=$B$16,P33&gt;0),1,"-")</f>
        <v>1</v>
      </c>
      <c r="M33" s="2">
        <f t="shared" si="3"/>
        <v>21</v>
      </c>
      <c r="N33" s="4">
        <f>+IF(L33=1,Tabla2[[#This Row],[Llegada]],"-")</f>
        <v>382.57435080734103</v>
      </c>
      <c r="O33" s="2">
        <f>+IF(L33=1,Tabla2[[#This Row],[Numero de integrantes]],"-")</f>
        <v>2</v>
      </c>
      <c r="P33" s="2">
        <f t="shared" si="4"/>
        <v>61</v>
      </c>
      <c r="Q33" s="2">
        <f>+IF(Tabla3[[#This Row],[Entra?]]=1,Q32+Tabla3[[#This Row],[Numero integrantes]],Q32)</f>
        <v>41</v>
      </c>
      <c r="S33" s="2">
        <f t="shared" si="5"/>
        <v>21</v>
      </c>
      <c r="T33" s="2">
        <f>+COUNTIF(Tabla3[Cuantos van],"&lt;"&amp;Tabla4[[#This Row],[Entidad]])+1</f>
        <v>11</v>
      </c>
      <c r="U33" s="2">
        <f>+INDEX(Tabla3[Llegada],Tabla4[[#This Row],[Grupo]])</f>
        <v>370.97058907467675</v>
      </c>
      <c r="V33" s="2">
        <f>+IF(Tabla4[[#This Row],[Hora llegada]]&gt;=Tabla4[[#This Row],[Disponibilidad M1]],0,1)</f>
        <v>1</v>
      </c>
      <c r="W33" s="2">
        <f>+IF(Tabla4[[#This Row],[Hora llegada]]&gt;=Tabla4[[#This Row],[Disponibilidad M2]],0,1)</f>
        <v>1</v>
      </c>
      <c r="X33" s="2">
        <f>+IF(Tabla4[[#This Row],[Hora llegada]]&gt;=Tabla4[[#This Row],[Disponibilidad M3]],0,1)</f>
        <v>1</v>
      </c>
      <c r="Y33" s="2" t="str">
        <f>+IF(Tabla5[[#This Row],[Quien me atiende]]=1,MAX(Tabla4[[#This Row],[Disponibilidad M1]],Tabla4[[#This Row],[Hora llegada]]),"-")</f>
        <v>-</v>
      </c>
      <c r="Z33" s="2">
        <f>+IF(Tabla5[[#This Row],[Quien me atiende]]=2,MAX(Tabla4[[#This Row],[Disponibilidad M2]],Tabla4[[#This Row],[Hora llegada]]),"-")</f>
        <v>385.72412796324619</v>
      </c>
      <c r="AA33" s="2" t="str">
        <f>+IF(Tabla5[[#This Row],[Quien me atiende]]=3,MAX(Tabla4[[#This Row],[Disponibilidad M3]],Tabla4[[#This Row],[Hora llegada]]),"-")</f>
        <v>-</v>
      </c>
      <c r="AB33" s="2">
        <f>+MAX($AG$13:AG32)</f>
        <v>387.3745263603264</v>
      </c>
      <c r="AC33" s="2">
        <f>+MAX($AH$13:AH32)</f>
        <v>385.72412796324619</v>
      </c>
      <c r="AD33" s="2">
        <f>+MAX($AI$13:AI32)</f>
        <v>389.72106733919355</v>
      </c>
      <c r="AE33" s="2">
        <v>0.19162549700913423</v>
      </c>
      <c r="AF33" s="2">
        <f>2+4.5*Tabla4[[#This Row],[A5]]</f>
        <v>2.8623147365411041</v>
      </c>
      <c r="AG33" s="2" t="str">
        <f>+IF(Tabla4[[#This Row],[Entrada M1]]="-","-",Tabla4[[#This Row],[Entrada M1]]+Tabla4[[#This Row],[Tiempo Atencion ]])</f>
        <v>-</v>
      </c>
      <c r="AH33" s="2">
        <f>+IF(Tabla4[[#This Row],[Entrada M2]]="-","-",Tabla4[[#This Row],[Entrada M2]]+Tabla4[[#This Row],[Tiempo Atencion ]])</f>
        <v>388.58644269978731</v>
      </c>
      <c r="AI33" s="2" t="str">
        <f>+IF(Tabla4[[#This Row],[Entrada M3]]="-","-",Tabla4[[#This Row],[Entrada M3]]+Tabla4[[#This Row],[Tiempo Atencion ]])</f>
        <v>-</v>
      </c>
      <c r="AJ33" s="11">
        <f>+MAX(Tabla4[[#This Row],[Salida M1]:[Salida M3]])</f>
        <v>388.58644269978731</v>
      </c>
      <c r="AK33" s="11" t="str">
        <f>+IF(Tabla4[[#This Row],[Salida]]&lt;=$B$17,"Entra","No Entra")</f>
        <v>Entra</v>
      </c>
      <c r="AL33" s="11">
        <f>+IF(Tabla4[[#This Row],[Entra  a la carrera]]="Entra",0,Tabla4[[#This Row],[Grupo]])</f>
        <v>0</v>
      </c>
      <c r="AM33" s="11">
        <f>_xlfn.IFNA(VLOOKUP(Tabla4[[#This Row],[Grupo]],Tabla4[Grupos por fuera],1,FALSE),0)</f>
        <v>0</v>
      </c>
      <c r="AN33" s="11" t="str">
        <f>+IF(Tabla4[[#This Row],[Me salgo por mi amigo el lento?]]=0, "Entra", "Chao")</f>
        <v>Entra</v>
      </c>
      <c r="AO33" s="11">
        <f>+IF(Tabla4[[#This Row],[Al fin entra o no]]="Entra",MAX($AO$13:AO32)+1,"")</f>
        <v>21</v>
      </c>
      <c r="AP33" s="11">
        <f>+Tabla4[[#This Row],[Entidad]]</f>
        <v>21</v>
      </c>
      <c r="AR33">
        <v>0.156024589170221</v>
      </c>
      <c r="AS33">
        <f>+IF(Tabla5[[#This Row],[A3]]&lt;0.5,2,3)</f>
        <v>2</v>
      </c>
      <c r="AT33">
        <f>+IF(Tabla5[[#This Row],[A3]]&lt;0.5,1,3)</f>
        <v>1</v>
      </c>
      <c r="AU33">
        <f>+IF(Tabla5[[#This Row],[A3]]&lt;0.5,1,2)</f>
        <v>1</v>
      </c>
      <c r="AV33" s="6">
        <f>+IF(Tabla5[[#This Row],[A3]]&lt;0.33,1,IF(Tabla5[[#This Row],[A3]]&lt;0.66,2,3))</f>
        <v>1</v>
      </c>
      <c r="AW3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33" s="6">
        <f>+SUM(Tabla4[[#This Row],[Ocupacion M1]:[Ocupacion M3]])</f>
        <v>3</v>
      </c>
      <c r="AY33" s="6">
        <f>+IF(Tabla4[[#This Row],[Ocupacion M1]]=1,1,IF(Tabla4[[#This Row],[Ocupacion M2]]=1,2,3))</f>
        <v>1</v>
      </c>
      <c r="AZ33" s="6">
        <f>+INDEX(Tabla5[[#This Row],[Si 1 esta ocupado]:[Si 3 esta ocupado]],Tabla5[[#This Row],[Estado si = 1]])</f>
        <v>2</v>
      </c>
      <c r="BA33" s="6">
        <f>+IF(Tabla4[[#This Row],[Ocupacion M1]]= 0,1,IF(Tabla4[[#This Row],[Ocupacion M2]]=0,2,3))</f>
        <v>3</v>
      </c>
      <c r="BB3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33">
        <f t="shared" si="6"/>
        <v>21</v>
      </c>
      <c r="BE33">
        <f>+IF(Tabla6[[#This Row],[Indice]]="","",VLOOKUP(Tabla6[[#This Row],[Indice]],Tabla4[[Corre]:[Entidad2]],2))</f>
        <v>21</v>
      </c>
      <c r="BF33">
        <f>IFERROR(+INDEX(Tabla4[Grupo],Tabla6[[#This Row],[Entidad]]),"")</f>
        <v>11</v>
      </c>
      <c r="BG33">
        <f t="shared" si="0"/>
        <v>480</v>
      </c>
      <c r="BH33">
        <v>0.84530524310265254</v>
      </c>
      <c r="BI33">
        <f>20+70*Tabla6[[#This Row],[A6]]</f>
        <v>79.171367017185673</v>
      </c>
      <c r="BJ33">
        <f>+IF(Tabla6[[#This Row],[Indice]]="","",Tabla6[[#This Row],[Empieza]]+Tabla6[[#This Row],[Tiempo carrera ]])</f>
        <v>559.17136701718573</v>
      </c>
      <c r="BK33" s="6">
        <f>IF(Tabla6[[#This Row],[Termina la carrera]]="","",IF(Tabla6[[#This Row],[Termina la carrera]]&gt;540,1,0))</f>
        <v>1</v>
      </c>
      <c r="BL33" s="6">
        <f>+IF(OR(Tabla6[[#This Row],[Despues de las 9]]=0,Tabla6[[#This Row],[Despues de las 9]]=""),"",Tabla6[[#This Row],[Despues de las 9]]*Tabla6[[#This Row],[Grupo ]])</f>
        <v>11</v>
      </c>
      <c r="BM33" s="6">
        <f>+IF(Tabla6[[#This Row],[grupo  despues de las 9]]="","",IF(MAX($BL$13:BL32)=Tabla6[[#This Row],[grupo  despues de las 9]],"",1))</f>
        <v>1</v>
      </c>
      <c r="BV33" s="18"/>
      <c r="BW33" s="19"/>
      <c r="BX33" s="19"/>
      <c r="BY33" s="19"/>
      <c r="BZ33" s="19"/>
      <c r="CA33" s="19"/>
      <c r="CB33" s="20"/>
    </row>
    <row r="34" spans="5:80" x14ac:dyDescent="0.25">
      <c r="E34" s="2">
        <v>22</v>
      </c>
      <c r="F34" s="5">
        <v>0.13055581891085088</v>
      </c>
      <c r="G34" s="2">
        <f t="shared" si="2"/>
        <v>0.13990114381070751</v>
      </c>
      <c r="H34" s="4">
        <f>+H33+Tabla2[[#This Row],[Tiempo Entre]]</f>
        <v>382.71425195115177</v>
      </c>
      <c r="I34" s="5">
        <v>0.75058124612967536</v>
      </c>
      <c r="J34" s="2">
        <f>+IF(Tabla2[[#This Row],[A2 ]]&lt;0.5,1,IF(Tabla2[[#This Row],[A2 ]]&lt;0.8,2,3))</f>
        <v>2</v>
      </c>
      <c r="L34" s="2">
        <f>+IF(AND(Tabla2[[#This Row],[Llegada]]&lt;=$B$16,P34&gt;0),1,"-")</f>
        <v>1</v>
      </c>
      <c r="M34" s="2">
        <f t="shared" si="3"/>
        <v>22</v>
      </c>
      <c r="N34" s="4">
        <f>+IF(L34=1,Tabla2[[#This Row],[Llegada]],"-")</f>
        <v>382.71425195115177</v>
      </c>
      <c r="O34" s="2">
        <f>+IF(L34=1,Tabla2[[#This Row],[Numero de integrantes]],"-")</f>
        <v>2</v>
      </c>
      <c r="P34" s="2">
        <f t="shared" si="4"/>
        <v>59</v>
      </c>
      <c r="Q34" s="2">
        <f>+IF(Tabla3[[#This Row],[Entra?]]=1,Q33+Tabla3[[#This Row],[Numero integrantes]],Q33)</f>
        <v>43</v>
      </c>
      <c r="S34" s="2">
        <f t="shared" si="5"/>
        <v>22</v>
      </c>
      <c r="T34" s="2">
        <f>+COUNTIF(Tabla3[Cuantos van],"&lt;"&amp;Tabla4[[#This Row],[Entidad]])+1</f>
        <v>12</v>
      </c>
      <c r="U34" s="2">
        <f>+INDEX(Tabla3[Llegada],Tabla4[[#This Row],[Grupo]])</f>
        <v>372.7238230762901</v>
      </c>
      <c r="V34" s="2">
        <f>+IF(Tabla4[[#This Row],[Hora llegada]]&gt;=Tabla4[[#This Row],[Disponibilidad M1]],0,1)</f>
        <v>1</v>
      </c>
      <c r="W34" s="2">
        <f>+IF(Tabla4[[#This Row],[Hora llegada]]&gt;=Tabla4[[#This Row],[Disponibilidad M2]],0,1)</f>
        <v>1</v>
      </c>
      <c r="X34" s="2">
        <f>+IF(Tabla4[[#This Row],[Hora llegada]]&gt;=Tabla4[[#This Row],[Disponibilidad M3]],0,1)</f>
        <v>1</v>
      </c>
      <c r="Y34" s="2">
        <f>+IF(Tabla5[[#This Row],[Quien me atiende]]=1,MAX(Tabla4[[#This Row],[Disponibilidad M1]],Tabla4[[#This Row],[Hora llegada]]),"-")</f>
        <v>387.3745263603264</v>
      </c>
      <c r="Z34" s="2" t="str">
        <f>+IF(Tabla5[[#This Row],[Quien me atiende]]=2,MAX(Tabla4[[#This Row],[Disponibilidad M2]],Tabla4[[#This Row],[Hora llegada]]),"-")</f>
        <v>-</v>
      </c>
      <c r="AA34" s="2" t="str">
        <f>+IF(Tabla5[[#This Row],[Quien me atiende]]=3,MAX(Tabla4[[#This Row],[Disponibilidad M3]],Tabla4[[#This Row],[Hora llegada]]),"-")</f>
        <v>-</v>
      </c>
      <c r="AB34" s="2">
        <f>+MAX($AG$13:AG33)</f>
        <v>387.3745263603264</v>
      </c>
      <c r="AC34" s="2">
        <f>+MAX($AH$13:AH33)</f>
        <v>388.58644269978731</v>
      </c>
      <c r="AD34" s="2">
        <f>+MAX($AI$13:AI33)</f>
        <v>389.72106733919355</v>
      </c>
      <c r="AE34" s="2">
        <v>0.11039399066008848</v>
      </c>
      <c r="AF34" s="2">
        <f>2+4.5*Tabla4[[#This Row],[A5]]</f>
        <v>2.4967729579703981</v>
      </c>
      <c r="AG34" s="2">
        <f>+IF(Tabla4[[#This Row],[Entrada M1]]="-","-",Tabla4[[#This Row],[Entrada M1]]+Tabla4[[#This Row],[Tiempo Atencion ]])</f>
        <v>389.87129931829679</v>
      </c>
      <c r="AH34" s="2" t="str">
        <f>+IF(Tabla4[[#This Row],[Entrada M2]]="-","-",Tabla4[[#This Row],[Entrada M2]]+Tabla4[[#This Row],[Tiempo Atencion ]])</f>
        <v>-</v>
      </c>
      <c r="AI34" s="2" t="str">
        <f>+IF(Tabla4[[#This Row],[Entrada M3]]="-","-",Tabla4[[#This Row],[Entrada M3]]+Tabla4[[#This Row],[Tiempo Atencion ]])</f>
        <v>-</v>
      </c>
      <c r="AJ34" s="11">
        <f>+MAX(Tabla4[[#This Row],[Salida M1]:[Salida M3]])</f>
        <v>389.87129931829679</v>
      </c>
      <c r="AK34" s="11" t="str">
        <f>+IF(Tabla4[[#This Row],[Salida]]&lt;=$B$17,"Entra","No Entra")</f>
        <v>Entra</v>
      </c>
      <c r="AL34" s="11">
        <f>+IF(Tabla4[[#This Row],[Entra  a la carrera]]="Entra",0,Tabla4[[#This Row],[Grupo]])</f>
        <v>0</v>
      </c>
      <c r="AM34" s="11">
        <f>_xlfn.IFNA(VLOOKUP(Tabla4[[#This Row],[Grupo]],Tabla4[Grupos por fuera],1,FALSE),0)</f>
        <v>0</v>
      </c>
      <c r="AN34" s="11" t="str">
        <f>+IF(Tabla4[[#This Row],[Me salgo por mi amigo el lento?]]=0, "Entra", "Chao")</f>
        <v>Entra</v>
      </c>
      <c r="AO34" s="11">
        <f>+IF(Tabla4[[#This Row],[Al fin entra o no]]="Entra",MAX($AO$13:AO33)+1,"")</f>
        <v>22</v>
      </c>
      <c r="AP34" s="11">
        <f>+Tabla4[[#This Row],[Entidad]]</f>
        <v>22</v>
      </c>
      <c r="AR34">
        <v>0.88681745862338102</v>
      </c>
      <c r="AS34">
        <f>+IF(Tabla5[[#This Row],[A3]]&lt;0.5,2,3)</f>
        <v>3</v>
      </c>
      <c r="AT34">
        <f>+IF(Tabla5[[#This Row],[A3]]&lt;0.5,1,3)</f>
        <v>3</v>
      </c>
      <c r="AU34">
        <f>+IF(Tabla5[[#This Row],[A3]]&lt;0.5,1,2)</f>
        <v>2</v>
      </c>
      <c r="AV34" s="6">
        <f>+IF(Tabla5[[#This Row],[A3]]&lt;0.33,1,IF(Tabla5[[#This Row],[A3]]&lt;0.66,2,3))</f>
        <v>3</v>
      </c>
      <c r="AW3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34" s="6">
        <f>+SUM(Tabla4[[#This Row],[Ocupacion M1]:[Ocupacion M3]])</f>
        <v>3</v>
      </c>
      <c r="AY34" s="6">
        <f>+IF(Tabla4[[#This Row],[Ocupacion M1]]=1,1,IF(Tabla4[[#This Row],[Ocupacion M2]]=1,2,3))</f>
        <v>1</v>
      </c>
      <c r="AZ34" s="6">
        <f>+INDEX(Tabla5[[#This Row],[Si 1 esta ocupado]:[Si 3 esta ocupado]],Tabla5[[#This Row],[Estado si = 1]])</f>
        <v>3</v>
      </c>
      <c r="BA34" s="6">
        <f>+IF(Tabla4[[#This Row],[Ocupacion M1]]= 0,1,IF(Tabla4[[#This Row],[Ocupacion M2]]=0,2,3))</f>
        <v>3</v>
      </c>
      <c r="BB3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34">
        <f t="shared" si="6"/>
        <v>22</v>
      </c>
      <c r="BE34">
        <f>+IF(Tabla6[[#This Row],[Indice]]="","",VLOOKUP(Tabla6[[#This Row],[Indice]],Tabla4[[Corre]:[Entidad2]],2))</f>
        <v>22</v>
      </c>
      <c r="BF34">
        <f>IFERROR(+INDEX(Tabla4[Grupo],Tabla6[[#This Row],[Entidad]]),"")</f>
        <v>12</v>
      </c>
      <c r="BG34">
        <f t="shared" si="0"/>
        <v>480</v>
      </c>
      <c r="BH34">
        <v>1.3668029562035167E-2</v>
      </c>
      <c r="BI34">
        <f>20+70*Tabla6[[#This Row],[A6]]</f>
        <v>20.95676206934246</v>
      </c>
      <c r="BJ34">
        <f>+IF(Tabla6[[#This Row],[Indice]]="","",Tabla6[[#This Row],[Empieza]]+Tabla6[[#This Row],[Tiempo carrera ]])</f>
        <v>500.95676206934246</v>
      </c>
      <c r="BK34" s="6">
        <f>IF(Tabla6[[#This Row],[Termina la carrera]]="","",IF(Tabla6[[#This Row],[Termina la carrera]]&gt;540,1,0))</f>
        <v>0</v>
      </c>
      <c r="BL34" s="6" t="str">
        <f>+IF(OR(Tabla6[[#This Row],[Despues de las 9]]=0,Tabla6[[#This Row],[Despues de las 9]]=""),"",Tabla6[[#This Row],[Despues de las 9]]*Tabla6[[#This Row],[Grupo ]])</f>
        <v/>
      </c>
      <c r="BM34" s="6" t="str">
        <f>+IF(Tabla6[[#This Row],[grupo  despues de las 9]]="","",IF(MAX($BL$13:BL33)=Tabla6[[#This Row],[grupo  despues de las 9]],"",1))</f>
        <v/>
      </c>
    </row>
    <row r="35" spans="5:80" ht="15.75" thickBot="1" x14ac:dyDescent="0.3">
      <c r="E35" s="2">
        <v>23</v>
      </c>
      <c r="F35" s="5">
        <v>0.98382929012236708</v>
      </c>
      <c r="G35" s="2">
        <f t="shared" si="2"/>
        <v>4.1245537054517962</v>
      </c>
      <c r="H35" s="4">
        <f>+H34+Tabla2[[#This Row],[Tiempo Entre]]</f>
        <v>386.83880565660354</v>
      </c>
      <c r="I35" s="5">
        <v>0.5848258741834893</v>
      </c>
      <c r="J35" s="2">
        <f>+IF(Tabla2[[#This Row],[A2 ]]&lt;0.5,1,IF(Tabla2[[#This Row],[A2 ]]&lt;0.8,2,3))</f>
        <v>2</v>
      </c>
      <c r="L35" s="2">
        <f>+IF(AND(Tabla2[[#This Row],[Llegada]]&lt;=$B$16,P35&gt;0),1,"-")</f>
        <v>1</v>
      </c>
      <c r="M35" s="2">
        <f t="shared" si="3"/>
        <v>23</v>
      </c>
      <c r="N35" s="4">
        <f>+IF(L35=1,Tabla2[[#This Row],[Llegada]],"-")</f>
        <v>386.83880565660354</v>
      </c>
      <c r="O35" s="2">
        <f>+IF(L35=1,Tabla2[[#This Row],[Numero de integrantes]],"-")</f>
        <v>2</v>
      </c>
      <c r="P35" s="2">
        <f t="shared" si="4"/>
        <v>57</v>
      </c>
      <c r="Q35" s="2">
        <f>+IF(Tabla3[[#This Row],[Entra?]]=1,Q34+Tabla3[[#This Row],[Numero integrantes]],Q34)</f>
        <v>45</v>
      </c>
      <c r="S35" s="2">
        <f t="shared" si="5"/>
        <v>23</v>
      </c>
      <c r="T35" s="2">
        <f>+COUNTIF(Tabla3[Cuantos van],"&lt;"&amp;Tabla4[[#This Row],[Entidad]])+1</f>
        <v>12</v>
      </c>
      <c r="U35" s="2">
        <f>+INDEX(Tabla3[Llegada],Tabla4[[#This Row],[Grupo]])</f>
        <v>372.7238230762901</v>
      </c>
      <c r="V35" s="2">
        <f>+IF(Tabla4[[#This Row],[Hora llegada]]&gt;=Tabla4[[#This Row],[Disponibilidad M1]],0,1)</f>
        <v>1</v>
      </c>
      <c r="W35" s="2">
        <f>+IF(Tabla4[[#This Row],[Hora llegada]]&gt;=Tabla4[[#This Row],[Disponibilidad M2]],0,1)</f>
        <v>1</v>
      </c>
      <c r="X35" s="2">
        <f>+IF(Tabla4[[#This Row],[Hora llegada]]&gt;=Tabla4[[#This Row],[Disponibilidad M3]],0,1)</f>
        <v>1</v>
      </c>
      <c r="Y35" s="2" t="str">
        <f>+IF(Tabla5[[#This Row],[Quien me atiende]]=1,MAX(Tabla4[[#This Row],[Disponibilidad M1]],Tabla4[[#This Row],[Hora llegada]]),"-")</f>
        <v>-</v>
      </c>
      <c r="Z35" s="2">
        <f>+IF(Tabla5[[#This Row],[Quien me atiende]]=2,MAX(Tabla4[[#This Row],[Disponibilidad M2]],Tabla4[[#This Row],[Hora llegada]]),"-")</f>
        <v>388.58644269978731</v>
      </c>
      <c r="AA35" s="2" t="str">
        <f>+IF(Tabla5[[#This Row],[Quien me atiende]]=3,MAX(Tabla4[[#This Row],[Disponibilidad M3]],Tabla4[[#This Row],[Hora llegada]]),"-")</f>
        <v>-</v>
      </c>
      <c r="AB35" s="2">
        <f>+MAX($AG$13:AG34)</f>
        <v>389.87129931829679</v>
      </c>
      <c r="AC35" s="2">
        <f>+MAX($AH$13:AH34)</f>
        <v>388.58644269978731</v>
      </c>
      <c r="AD35" s="2">
        <f>+MAX($AI$13:AI34)</f>
        <v>389.72106733919355</v>
      </c>
      <c r="AE35" s="2">
        <v>0.87951351573452019</v>
      </c>
      <c r="AF35" s="2">
        <f>2+4.5*Tabla4[[#This Row],[A5]]</f>
        <v>5.9578108208053404</v>
      </c>
      <c r="AG35" s="2" t="str">
        <f>+IF(Tabla4[[#This Row],[Entrada M1]]="-","-",Tabla4[[#This Row],[Entrada M1]]+Tabla4[[#This Row],[Tiempo Atencion ]])</f>
        <v>-</v>
      </c>
      <c r="AH35" s="2">
        <f>+IF(Tabla4[[#This Row],[Entrada M2]]="-","-",Tabla4[[#This Row],[Entrada M2]]+Tabla4[[#This Row],[Tiempo Atencion ]])</f>
        <v>394.54425352059263</v>
      </c>
      <c r="AI35" s="2" t="str">
        <f>+IF(Tabla4[[#This Row],[Entrada M3]]="-","-",Tabla4[[#This Row],[Entrada M3]]+Tabla4[[#This Row],[Tiempo Atencion ]])</f>
        <v>-</v>
      </c>
      <c r="AJ35" s="11">
        <f>+MAX(Tabla4[[#This Row],[Salida M1]:[Salida M3]])</f>
        <v>394.54425352059263</v>
      </c>
      <c r="AK35" s="11" t="str">
        <f>+IF(Tabla4[[#This Row],[Salida]]&lt;=$B$17,"Entra","No Entra")</f>
        <v>Entra</v>
      </c>
      <c r="AL35" s="11">
        <f>+IF(Tabla4[[#This Row],[Entra  a la carrera]]="Entra",0,Tabla4[[#This Row],[Grupo]])</f>
        <v>0</v>
      </c>
      <c r="AM35" s="11">
        <f>_xlfn.IFNA(VLOOKUP(Tabla4[[#This Row],[Grupo]],Tabla4[Grupos por fuera],1,FALSE),0)</f>
        <v>0</v>
      </c>
      <c r="AN35" s="11" t="str">
        <f>+IF(Tabla4[[#This Row],[Me salgo por mi amigo el lento?]]=0, "Entra", "Chao")</f>
        <v>Entra</v>
      </c>
      <c r="AO35" s="11">
        <f>+IF(Tabla4[[#This Row],[Al fin entra o no]]="Entra",MAX($AO$13:AO34)+1,"")</f>
        <v>23</v>
      </c>
      <c r="AP35" s="11">
        <f>+Tabla4[[#This Row],[Entidad]]</f>
        <v>23</v>
      </c>
      <c r="AR35">
        <v>0.82972493055603525</v>
      </c>
      <c r="AS35">
        <f>+IF(Tabla5[[#This Row],[A3]]&lt;0.5,2,3)</f>
        <v>3</v>
      </c>
      <c r="AT35">
        <f>+IF(Tabla5[[#This Row],[A3]]&lt;0.5,1,3)</f>
        <v>3</v>
      </c>
      <c r="AU35">
        <f>+IF(Tabla5[[#This Row],[A3]]&lt;0.5,1,2)</f>
        <v>2</v>
      </c>
      <c r="AV35" s="6">
        <f>+IF(Tabla5[[#This Row],[A3]]&lt;0.33,1,IF(Tabla5[[#This Row],[A3]]&lt;0.66,2,3))</f>
        <v>3</v>
      </c>
      <c r="AW3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35" s="6">
        <f>+SUM(Tabla4[[#This Row],[Ocupacion M1]:[Ocupacion M3]])</f>
        <v>3</v>
      </c>
      <c r="AY35" s="6">
        <f>+IF(Tabla4[[#This Row],[Ocupacion M1]]=1,1,IF(Tabla4[[#This Row],[Ocupacion M2]]=1,2,3))</f>
        <v>1</v>
      </c>
      <c r="AZ35" s="6">
        <f>+INDEX(Tabla5[[#This Row],[Si 1 esta ocupado]:[Si 3 esta ocupado]],Tabla5[[#This Row],[Estado si = 1]])</f>
        <v>3</v>
      </c>
      <c r="BA35" s="6">
        <f>+IF(Tabla4[[#This Row],[Ocupacion M1]]= 0,1,IF(Tabla4[[#This Row],[Ocupacion M2]]=0,2,3))</f>
        <v>3</v>
      </c>
      <c r="BB3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35">
        <f t="shared" si="6"/>
        <v>23</v>
      </c>
      <c r="BE35">
        <f>+IF(Tabla6[[#This Row],[Indice]]="","",VLOOKUP(Tabla6[[#This Row],[Indice]],Tabla4[[Corre]:[Entidad2]],2))</f>
        <v>23</v>
      </c>
      <c r="BF35">
        <f>IFERROR(+INDEX(Tabla4[Grupo],Tabla6[[#This Row],[Entidad]]),"")</f>
        <v>12</v>
      </c>
      <c r="BG35">
        <f t="shared" si="0"/>
        <v>480</v>
      </c>
      <c r="BH35">
        <v>0.31009379898616041</v>
      </c>
      <c r="BI35">
        <f>20+70*Tabla6[[#This Row],[A6]]</f>
        <v>41.706565929031228</v>
      </c>
      <c r="BJ35">
        <f>+IF(Tabla6[[#This Row],[Indice]]="","",Tabla6[[#This Row],[Empieza]]+Tabla6[[#This Row],[Tiempo carrera ]])</f>
        <v>521.70656592903129</v>
      </c>
      <c r="BK35" s="6">
        <f>IF(Tabla6[[#This Row],[Termina la carrera]]="","",IF(Tabla6[[#This Row],[Termina la carrera]]&gt;540,1,0))</f>
        <v>0</v>
      </c>
      <c r="BL35" s="6" t="str">
        <f>+IF(OR(Tabla6[[#This Row],[Despues de las 9]]=0,Tabla6[[#This Row],[Despues de las 9]]=""),"",Tabla6[[#This Row],[Despues de las 9]]*Tabla6[[#This Row],[Grupo ]])</f>
        <v/>
      </c>
      <c r="BM35" s="6" t="str">
        <f>+IF(Tabla6[[#This Row],[grupo  despues de las 9]]="","",IF(MAX($BL$13:BL34)=Tabla6[[#This Row],[grupo  despues de las 9]],"",1))</f>
        <v/>
      </c>
    </row>
    <row r="36" spans="5:80" ht="15.75" thickBot="1" x14ac:dyDescent="0.3">
      <c r="E36" s="2">
        <v>24</v>
      </c>
      <c r="F36" s="5">
        <v>9.1479514291261776E-2</v>
      </c>
      <c r="G36" s="2">
        <f t="shared" si="2"/>
        <v>9.5937842463713896E-2</v>
      </c>
      <c r="H36" s="4">
        <f>+H35+Tabla2[[#This Row],[Tiempo Entre]]</f>
        <v>386.93474349906728</v>
      </c>
      <c r="I36" s="5">
        <v>0.66901019871720191</v>
      </c>
      <c r="J36" s="2">
        <f>+IF(Tabla2[[#This Row],[A2 ]]&lt;0.5,1,IF(Tabla2[[#This Row],[A2 ]]&lt;0.8,2,3))</f>
        <v>2</v>
      </c>
      <c r="L36" s="2">
        <f>+IF(AND(Tabla2[[#This Row],[Llegada]]&lt;=$B$16,P36&gt;0),1,"-")</f>
        <v>1</v>
      </c>
      <c r="M36" s="2">
        <f t="shared" si="3"/>
        <v>24</v>
      </c>
      <c r="N36" s="4">
        <f>+IF(L36=1,Tabla2[[#This Row],[Llegada]],"-")</f>
        <v>386.93474349906728</v>
      </c>
      <c r="O36" s="2">
        <f>+IF(L36=1,Tabla2[[#This Row],[Numero de integrantes]],"-")</f>
        <v>2</v>
      </c>
      <c r="P36" s="2">
        <f t="shared" si="4"/>
        <v>55</v>
      </c>
      <c r="Q36" s="2">
        <f>+IF(Tabla3[[#This Row],[Entra?]]=1,Q35+Tabla3[[#This Row],[Numero integrantes]],Q35)</f>
        <v>47</v>
      </c>
      <c r="S36" s="2">
        <f t="shared" si="5"/>
        <v>24</v>
      </c>
      <c r="T36" s="2">
        <f>+COUNTIF(Tabla3[Cuantos van],"&lt;"&amp;Tabla4[[#This Row],[Entidad]])+1</f>
        <v>12</v>
      </c>
      <c r="U36" s="2">
        <f>+INDEX(Tabla3[Llegada],Tabla4[[#This Row],[Grupo]])</f>
        <v>372.7238230762901</v>
      </c>
      <c r="V36" s="2">
        <f>+IF(Tabla4[[#This Row],[Hora llegada]]&gt;=Tabla4[[#This Row],[Disponibilidad M1]],0,1)</f>
        <v>1</v>
      </c>
      <c r="W36" s="2">
        <f>+IF(Tabla4[[#This Row],[Hora llegada]]&gt;=Tabla4[[#This Row],[Disponibilidad M2]],0,1)</f>
        <v>1</v>
      </c>
      <c r="X36" s="2">
        <f>+IF(Tabla4[[#This Row],[Hora llegada]]&gt;=Tabla4[[#This Row],[Disponibilidad M3]],0,1)</f>
        <v>1</v>
      </c>
      <c r="Y36" s="2" t="str">
        <f>+IF(Tabla5[[#This Row],[Quien me atiende]]=1,MAX(Tabla4[[#This Row],[Disponibilidad M1]],Tabla4[[#This Row],[Hora llegada]]),"-")</f>
        <v>-</v>
      </c>
      <c r="Z36" s="2" t="str">
        <f>+IF(Tabla5[[#This Row],[Quien me atiende]]=2,MAX(Tabla4[[#This Row],[Disponibilidad M2]],Tabla4[[#This Row],[Hora llegada]]),"-")</f>
        <v>-</v>
      </c>
      <c r="AA36" s="2">
        <f>+IF(Tabla5[[#This Row],[Quien me atiende]]=3,MAX(Tabla4[[#This Row],[Disponibilidad M3]],Tabla4[[#This Row],[Hora llegada]]),"-")</f>
        <v>389.72106733919355</v>
      </c>
      <c r="AB36" s="2">
        <f>+MAX($AG$13:AG35)</f>
        <v>389.87129931829679</v>
      </c>
      <c r="AC36" s="2">
        <f>+MAX($AH$13:AH35)</f>
        <v>394.54425352059263</v>
      </c>
      <c r="AD36" s="2">
        <f>+MAX($AI$13:AI35)</f>
        <v>389.72106733919355</v>
      </c>
      <c r="AE36" s="2">
        <v>0.19167131768181755</v>
      </c>
      <c r="AF36" s="2">
        <f>2+4.5*Tabla4[[#This Row],[A5]]</f>
        <v>2.8625209295681788</v>
      </c>
      <c r="AG36" s="2" t="str">
        <f>+IF(Tabla4[[#This Row],[Entrada M1]]="-","-",Tabla4[[#This Row],[Entrada M1]]+Tabla4[[#This Row],[Tiempo Atencion ]])</f>
        <v>-</v>
      </c>
      <c r="AH36" s="2" t="str">
        <f>+IF(Tabla4[[#This Row],[Entrada M2]]="-","-",Tabla4[[#This Row],[Entrada M2]]+Tabla4[[#This Row],[Tiempo Atencion ]])</f>
        <v>-</v>
      </c>
      <c r="AI36" s="2">
        <f>+IF(Tabla4[[#This Row],[Entrada M3]]="-","-",Tabla4[[#This Row],[Entrada M3]]+Tabla4[[#This Row],[Tiempo Atencion ]])</f>
        <v>392.58358826876173</v>
      </c>
      <c r="AJ36" s="11">
        <f>+MAX(Tabla4[[#This Row],[Salida M1]:[Salida M3]])</f>
        <v>392.58358826876173</v>
      </c>
      <c r="AK36" s="11" t="str">
        <f>+IF(Tabla4[[#This Row],[Salida]]&lt;=$B$17,"Entra","No Entra")</f>
        <v>Entra</v>
      </c>
      <c r="AL36" s="11">
        <f>+IF(Tabla4[[#This Row],[Entra  a la carrera]]="Entra",0,Tabla4[[#This Row],[Grupo]])</f>
        <v>0</v>
      </c>
      <c r="AM36" s="11">
        <f>_xlfn.IFNA(VLOOKUP(Tabla4[[#This Row],[Grupo]],Tabla4[Grupos por fuera],1,FALSE),0)</f>
        <v>0</v>
      </c>
      <c r="AN36" s="11" t="str">
        <f>+IF(Tabla4[[#This Row],[Me salgo por mi amigo el lento?]]=0, "Entra", "Chao")</f>
        <v>Entra</v>
      </c>
      <c r="AO36" s="11">
        <f>+IF(Tabla4[[#This Row],[Al fin entra o no]]="Entra",MAX($AO$13:AO35)+1,"")</f>
        <v>24</v>
      </c>
      <c r="AP36" s="11">
        <f>+Tabla4[[#This Row],[Entidad]]</f>
        <v>24</v>
      </c>
      <c r="AR36">
        <v>0.61206408851403837</v>
      </c>
      <c r="AS36">
        <f>+IF(Tabla5[[#This Row],[A3]]&lt;0.5,2,3)</f>
        <v>3</v>
      </c>
      <c r="AT36">
        <f>+IF(Tabla5[[#This Row],[A3]]&lt;0.5,1,3)</f>
        <v>3</v>
      </c>
      <c r="AU36">
        <f>+IF(Tabla5[[#This Row],[A3]]&lt;0.5,1,2)</f>
        <v>2</v>
      </c>
      <c r="AV36" s="6">
        <f>+IF(Tabla5[[#This Row],[A3]]&lt;0.33,1,IF(Tabla5[[#This Row],[A3]]&lt;0.66,2,3))</f>
        <v>2</v>
      </c>
      <c r="AW3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36" s="6">
        <f>+SUM(Tabla4[[#This Row],[Ocupacion M1]:[Ocupacion M3]])</f>
        <v>3</v>
      </c>
      <c r="AY36" s="6">
        <f>+IF(Tabla4[[#This Row],[Ocupacion M1]]=1,1,IF(Tabla4[[#This Row],[Ocupacion M2]]=1,2,3))</f>
        <v>1</v>
      </c>
      <c r="AZ36" s="6">
        <f>+INDEX(Tabla5[[#This Row],[Si 1 esta ocupado]:[Si 3 esta ocupado]],Tabla5[[#This Row],[Estado si = 1]])</f>
        <v>3</v>
      </c>
      <c r="BA36" s="6">
        <f>+IF(Tabla4[[#This Row],[Ocupacion M1]]= 0,1,IF(Tabla4[[#This Row],[Ocupacion M2]]=0,2,3))</f>
        <v>3</v>
      </c>
      <c r="BB3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36">
        <f t="shared" si="6"/>
        <v>24</v>
      </c>
      <c r="BE36">
        <f>+IF(Tabla6[[#This Row],[Indice]]="","",VLOOKUP(Tabla6[[#This Row],[Indice]],Tabla4[[Corre]:[Entidad2]],2))</f>
        <v>24</v>
      </c>
      <c r="BF36">
        <f>IFERROR(+INDEX(Tabla4[Grupo],Tabla6[[#This Row],[Entidad]]),"")</f>
        <v>12</v>
      </c>
      <c r="BG36">
        <f t="shared" si="0"/>
        <v>480</v>
      </c>
      <c r="BH36">
        <v>0.99538759017410794</v>
      </c>
      <c r="BI36">
        <f>20+70*Tabla6[[#This Row],[A6]]</f>
        <v>89.677131312187555</v>
      </c>
      <c r="BJ36">
        <f>+IF(Tabla6[[#This Row],[Indice]]="","",Tabla6[[#This Row],[Empieza]]+Tabla6[[#This Row],[Tiempo carrera ]])</f>
        <v>569.67713131218761</v>
      </c>
      <c r="BK36" s="6">
        <f>IF(Tabla6[[#This Row],[Termina la carrera]]="","",IF(Tabla6[[#This Row],[Termina la carrera]]&gt;540,1,0))</f>
        <v>1</v>
      </c>
      <c r="BL36" s="6">
        <f>+IF(OR(Tabla6[[#This Row],[Despues de las 9]]=0,Tabla6[[#This Row],[Despues de las 9]]=""),"",Tabla6[[#This Row],[Despues de las 9]]*Tabla6[[#This Row],[Grupo ]])</f>
        <v>12</v>
      </c>
      <c r="BM36" s="6">
        <f>+IF(Tabla6[[#This Row],[grupo  despues de las 9]]="","",IF(MAX($BL$13:BL35)=Tabla6[[#This Row],[grupo  despues de las 9]],"",1))</f>
        <v>1</v>
      </c>
      <c r="BV36" s="12"/>
      <c r="BW36" s="13"/>
      <c r="BX36" s="13"/>
      <c r="BY36" s="13"/>
      <c r="BZ36" s="13"/>
      <c r="CA36" s="13"/>
      <c r="CB36" s="14"/>
    </row>
    <row r="37" spans="5:80" ht="21.75" thickBot="1" x14ac:dyDescent="0.4">
      <c r="E37" s="2">
        <v>25</v>
      </c>
      <c r="F37" s="5">
        <v>0.96822693320644848</v>
      </c>
      <c r="G37" s="2">
        <f t="shared" si="2"/>
        <v>3.4491363042436602</v>
      </c>
      <c r="H37" s="4">
        <f>+H36+Tabla2[[#This Row],[Tiempo Entre]]</f>
        <v>390.38387980331095</v>
      </c>
      <c r="I37" s="5">
        <v>0.72232137967048882</v>
      </c>
      <c r="J37" s="2">
        <f>+IF(Tabla2[[#This Row],[A2 ]]&lt;0.5,1,IF(Tabla2[[#This Row],[A2 ]]&lt;0.8,2,3))</f>
        <v>2</v>
      </c>
      <c r="L37" s="2">
        <f>+IF(AND(Tabla2[[#This Row],[Llegada]]&lt;=$B$16,P37&gt;0),1,"-")</f>
        <v>1</v>
      </c>
      <c r="M37" s="2">
        <f t="shared" si="3"/>
        <v>25</v>
      </c>
      <c r="N37" s="4">
        <f>+IF(L37=1,Tabla2[[#This Row],[Llegada]],"-")</f>
        <v>390.38387980331095</v>
      </c>
      <c r="O37" s="2">
        <f>+IF(L37=1,Tabla2[[#This Row],[Numero de integrantes]],"-")</f>
        <v>2</v>
      </c>
      <c r="P37" s="2">
        <f t="shared" si="4"/>
        <v>53</v>
      </c>
      <c r="Q37" s="2">
        <f>+IF(Tabla3[[#This Row],[Entra?]]=1,Q36+Tabla3[[#This Row],[Numero integrantes]],Q36)</f>
        <v>49</v>
      </c>
      <c r="S37" s="2">
        <f t="shared" si="5"/>
        <v>25</v>
      </c>
      <c r="T37" s="2">
        <f>+COUNTIF(Tabla3[Cuantos van],"&lt;"&amp;Tabla4[[#This Row],[Entidad]])+1</f>
        <v>13</v>
      </c>
      <c r="U37" s="2">
        <f>+INDEX(Tabla3[Llegada],Tabla4[[#This Row],[Grupo]])</f>
        <v>373.10971802987177</v>
      </c>
      <c r="V37" s="2">
        <f>+IF(Tabla4[[#This Row],[Hora llegada]]&gt;=Tabla4[[#This Row],[Disponibilidad M1]],0,1)</f>
        <v>1</v>
      </c>
      <c r="W37" s="2">
        <f>+IF(Tabla4[[#This Row],[Hora llegada]]&gt;=Tabla4[[#This Row],[Disponibilidad M2]],0,1)</f>
        <v>1</v>
      </c>
      <c r="X37" s="2">
        <f>+IF(Tabla4[[#This Row],[Hora llegada]]&gt;=Tabla4[[#This Row],[Disponibilidad M3]],0,1)</f>
        <v>1</v>
      </c>
      <c r="Y37" s="2">
        <f>+IF(Tabla5[[#This Row],[Quien me atiende]]=1,MAX(Tabla4[[#This Row],[Disponibilidad M1]],Tabla4[[#This Row],[Hora llegada]]),"-")</f>
        <v>389.87129931829679</v>
      </c>
      <c r="Z37" s="2" t="str">
        <f>+IF(Tabla5[[#This Row],[Quien me atiende]]=2,MAX(Tabla4[[#This Row],[Disponibilidad M2]],Tabla4[[#This Row],[Hora llegada]]),"-")</f>
        <v>-</v>
      </c>
      <c r="AA37" s="2" t="str">
        <f>+IF(Tabla5[[#This Row],[Quien me atiende]]=3,MAX(Tabla4[[#This Row],[Disponibilidad M3]],Tabla4[[#This Row],[Hora llegada]]),"-")</f>
        <v>-</v>
      </c>
      <c r="AB37" s="2">
        <f>+MAX($AG$13:AG36)</f>
        <v>389.87129931829679</v>
      </c>
      <c r="AC37" s="2">
        <f>+MAX($AH$13:AH36)</f>
        <v>394.54425352059263</v>
      </c>
      <c r="AD37" s="2">
        <f>+MAX($AI$13:AI36)</f>
        <v>392.58358826876173</v>
      </c>
      <c r="AE37" s="2">
        <v>0.88783670158817862</v>
      </c>
      <c r="AF37" s="2">
        <f>2+4.5*Tabla4[[#This Row],[A5]]</f>
        <v>5.9952651571468039</v>
      </c>
      <c r="AG37" s="2">
        <f>+IF(Tabla4[[#This Row],[Entrada M1]]="-","-",Tabla4[[#This Row],[Entrada M1]]+Tabla4[[#This Row],[Tiempo Atencion ]])</f>
        <v>395.86656447544362</v>
      </c>
      <c r="AH37" s="2" t="str">
        <f>+IF(Tabla4[[#This Row],[Entrada M2]]="-","-",Tabla4[[#This Row],[Entrada M2]]+Tabla4[[#This Row],[Tiempo Atencion ]])</f>
        <v>-</v>
      </c>
      <c r="AI37" s="2" t="str">
        <f>+IF(Tabla4[[#This Row],[Entrada M3]]="-","-",Tabla4[[#This Row],[Entrada M3]]+Tabla4[[#This Row],[Tiempo Atencion ]])</f>
        <v>-</v>
      </c>
      <c r="AJ37" s="11">
        <f>+MAX(Tabla4[[#This Row],[Salida M1]:[Salida M3]])</f>
        <v>395.86656447544362</v>
      </c>
      <c r="AK37" s="11" t="str">
        <f>+IF(Tabla4[[#This Row],[Salida]]&lt;=$B$17,"Entra","No Entra")</f>
        <v>Entra</v>
      </c>
      <c r="AL37" s="11">
        <f>+IF(Tabla4[[#This Row],[Entra  a la carrera]]="Entra",0,Tabla4[[#This Row],[Grupo]])</f>
        <v>0</v>
      </c>
      <c r="AM37" s="11">
        <f>_xlfn.IFNA(VLOOKUP(Tabla4[[#This Row],[Grupo]],Tabla4[Grupos por fuera],1,FALSE),0)</f>
        <v>0</v>
      </c>
      <c r="AN37" s="11" t="str">
        <f>+IF(Tabla4[[#This Row],[Me salgo por mi amigo el lento?]]=0, "Entra", "Chao")</f>
        <v>Entra</v>
      </c>
      <c r="AO37" s="11">
        <f>+IF(Tabla4[[#This Row],[Al fin entra o no]]="Entra",MAX($AO$13:AO36)+1,"")</f>
        <v>25</v>
      </c>
      <c r="AP37" s="11">
        <f>+Tabla4[[#This Row],[Entidad]]</f>
        <v>25</v>
      </c>
      <c r="AR37">
        <v>0.85812258258477569</v>
      </c>
      <c r="AS37">
        <f>+IF(Tabla5[[#This Row],[A3]]&lt;0.5,2,3)</f>
        <v>3</v>
      </c>
      <c r="AT37">
        <f>+IF(Tabla5[[#This Row],[A3]]&lt;0.5,1,3)</f>
        <v>3</v>
      </c>
      <c r="AU37">
        <f>+IF(Tabla5[[#This Row],[A3]]&lt;0.5,1,2)</f>
        <v>2</v>
      </c>
      <c r="AV37" s="6">
        <f>+IF(Tabla5[[#This Row],[A3]]&lt;0.33,1,IF(Tabla5[[#This Row],[A3]]&lt;0.66,2,3))</f>
        <v>3</v>
      </c>
      <c r="AW3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37" s="6">
        <f>+SUM(Tabla4[[#This Row],[Ocupacion M1]:[Ocupacion M3]])</f>
        <v>3</v>
      </c>
      <c r="AY37" s="6">
        <f>+IF(Tabla4[[#This Row],[Ocupacion M1]]=1,1,IF(Tabla4[[#This Row],[Ocupacion M2]]=1,2,3))</f>
        <v>1</v>
      </c>
      <c r="AZ37" s="6">
        <f>+INDEX(Tabla5[[#This Row],[Si 1 esta ocupado]:[Si 3 esta ocupado]],Tabla5[[#This Row],[Estado si = 1]])</f>
        <v>3</v>
      </c>
      <c r="BA37" s="6">
        <f>+IF(Tabla4[[#This Row],[Ocupacion M1]]= 0,1,IF(Tabla4[[#This Row],[Ocupacion M2]]=0,2,3))</f>
        <v>3</v>
      </c>
      <c r="BB3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37">
        <f t="shared" si="6"/>
        <v>25</v>
      </c>
      <c r="BE37">
        <f>+IF(Tabla6[[#This Row],[Indice]]="","",VLOOKUP(Tabla6[[#This Row],[Indice]],Tabla4[[Corre]:[Entidad2]],2))</f>
        <v>25</v>
      </c>
      <c r="BF37">
        <f>IFERROR(+INDEX(Tabla4[Grupo],Tabla6[[#This Row],[Entidad]]),"")</f>
        <v>13</v>
      </c>
      <c r="BG37">
        <f t="shared" si="0"/>
        <v>480</v>
      </c>
      <c r="BH37">
        <v>0.50293793744940463</v>
      </c>
      <c r="BI37">
        <f>20+70*Tabla6[[#This Row],[A6]]</f>
        <v>55.205655621458327</v>
      </c>
      <c r="BJ37">
        <f>+IF(Tabla6[[#This Row],[Indice]]="","",Tabla6[[#This Row],[Empieza]]+Tabla6[[#This Row],[Tiempo carrera ]])</f>
        <v>535.20565562145828</v>
      </c>
      <c r="BK37" s="6">
        <f>IF(Tabla6[[#This Row],[Termina la carrera]]="","",IF(Tabla6[[#This Row],[Termina la carrera]]&gt;540,1,0))</f>
        <v>0</v>
      </c>
      <c r="BL37" s="6" t="str">
        <f>+IF(OR(Tabla6[[#This Row],[Despues de las 9]]=0,Tabla6[[#This Row],[Despues de las 9]]=""),"",Tabla6[[#This Row],[Despues de las 9]]*Tabla6[[#This Row],[Grupo ]])</f>
        <v/>
      </c>
      <c r="BM37" s="6" t="str">
        <f>+IF(Tabla6[[#This Row],[grupo  despues de las 9]]="","",IF(MAX($BL$13:BL36)=Tabla6[[#This Row],[grupo  despues de las 9]],"",1))</f>
        <v/>
      </c>
      <c r="BV37" s="15"/>
      <c r="BW37" s="61" t="s">
        <v>90</v>
      </c>
      <c r="BX37" s="62"/>
      <c r="BY37" s="62"/>
      <c r="BZ37" s="62"/>
      <c r="CA37" s="63"/>
      <c r="CB37" s="16"/>
    </row>
    <row r="38" spans="5:80" x14ac:dyDescent="0.25">
      <c r="E38" s="2">
        <v>26</v>
      </c>
      <c r="F38" s="5">
        <v>0.23872038734209511</v>
      </c>
      <c r="G38" s="2">
        <f t="shared" si="2"/>
        <v>0.27275456067139253</v>
      </c>
      <c r="H38" s="4">
        <f>+H37+Tabla2[[#This Row],[Tiempo Entre]]</f>
        <v>390.65663436398233</v>
      </c>
      <c r="I38" s="5">
        <v>0.20241777490114599</v>
      </c>
      <c r="J38" s="2">
        <f>+IF(Tabla2[[#This Row],[A2 ]]&lt;0.5,1,IF(Tabla2[[#This Row],[A2 ]]&lt;0.8,2,3))</f>
        <v>1</v>
      </c>
      <c r="L38" s="2">
        <f>+IF(AND(Tabla2[[#This Row],[Llegada]]&lt;=$B$16,P38&gt;0),1,"-")</f>
        <v>1</v>
      </c>
      <c r="M38" s="2">
        <f t="shared" si="3"/>
        <v>26</v>
      </c>
      <c r="N38" s="4">
        <f>+IF(L38=1,Tabla2[[#This Row],[Llegada]],"-")</f>
        <v>390.65663436398233</v>
      </c>
      <c r="O38" s="2">
        <f>+IF(L38=1,Tabla2[[#This Row],[Numero de integrantes]],"-")</f>
        <v>1</v>
      </c>
      <c r="P38" s="2">
        <f t="shared" si="4"/>
        <v>51</v>
      </c>
      <c r="Q38" s="2">
        <f>+IF(Tabla3[[#This Row],[Entra?]]=1,Q37+Tabla3[[#This Row],[Numero integrantes]],Q37)</f>
        <v>50</v>
      </c>
      <c r="S38" s="2">
        <f t="shared" si="5"/>
        <v>26</v>
      </c>
      <c r="T38" s="2">
        <f>+COUNTIF(Tabla3[Cuantos van],"&lt;"&amp;Tabla4[[#This Row],[Entidad]])+1</f>
        <v>13</v>
      </c>
      <c r="U38" s="2">
        <f>+INDEX(Tabla3[Llegada],Tabla4[[#This Row],[Grupo]])</f>
        <v>373.10971802987177</v>
      </c>
      <c r="V38" s="2">
        <f>+IF(Tabla4[[#This Row],[Hora llegada]]&gt;=Tabla4[[#This Row],[Disponibilidad M1]],0,1)</f>
        <v>1</v>
      </c>
      <c r="W38" s="2">
        <f>+IF(Tabla4[[#This Row],[Hora llegada]]&gt;=Tabla4[[#This Row],[Disponibilidad M2]],0,1)</f>
        <v>1</v>
      </c>
      <c r="X38" s="2">
        <f>+IF(Tabla4[[#This Row],[Hora llegada]]&gt;=Tabla4[[#This Row],[Disponibilidad M3]],0,1)</f>
        <v>1</v>
      </c>
      <c r="Y38" s="2" t="str">
        <f>+IF(Tabla5[[#This Row],[Quien me atiende]]=1,MAX(Tabla4[[#This Row],[Disponibilidad M1]],Tabla4[[#This Row],[Hora llegada]]),"-")</f>
        <v>-</v>
      </c>
      <c r="Z38" s="2" t="str">
        <f>+IF(Tabla5[[#This Row],[Quien me atiende]]=2,MAX(Tabla4[[#This Row],[Disponibilidad M2]],Tabla4[[#This Row],[Hora llegada]]),"-")</f>
        <v>-</v>
      </c>
      <c r="AA38" s="2">
        <f>+IF(Tabla5[[#This Row],[Quien me atiende]]=3,MAX(Tabla4[[#This Row],[Disponibilidad M3]],Tabla4[[#This Row],[Hora llegada]]),"-")</f>
        <v>392.58358826876173</v>
      </c>
      <c r="AB38" s="2">
        <f>+MAX($AG$13:AG37)</f>
        <v>395.86656447544362</v>
      </c>
      <c r="AC38" s="2">
        <f>+MAX($AH$13:AH37)</f>
        <v>394.54425352059263</v>
      </c>
      <c r="AD38" s="2">
        <f>+MAX($AI$13:AI37)</f>
        <v>392.58358826876173</v>
      </c>
      <c r="AE38" s="2">
        <v>0.33066392786249577</v>
      </c>
      <c r="AF38" s="2">
        <f>2+4.5*Tabla4[[#This Row],[A5]]</f>
        <v>3.4879876753812309</v>
      </c>
      <c r="AG38" s="2" t="str">
        <f>+IF(Tabla4[[#This Row],[Entrada M1]]="-","-",Tabla4[[#This Row],[Entrada M1]]+Tabla4[[#This Row],[Tiempo Atencion ]])</f>
        <v>-</v>
      </c>
      <c r="AH38" s="2" t="str">
        <f>+IF(Tabla4[[#This Row],[Entrada M2]]="-","-",Tabla4[[#This Row],[Entrada M2]]+Tabla4[[#This Row],[Tiempo Atencion ]])</f>
        <v>-</v>
      </c>
      <c r="AI38" s="2">
        <f>+IF(Tabla4[[#This Row],[Entrada M3]]="-","-",Tabla4[[#This Row],[Entrada M3]]+Tabla4[[#This Row],[Tiempo Atencion ]])</f>
        <v>396.07157594414298</v>
      </c>
      <c r="AJ38" s="11">
        <f>+MAX(Tabla4[[#This Row],[Salida M1]:[Salida M3]])</f>
        <v>396.07157594414298</v>
      </c>
      <c r="AK38" s="11" t="str">
        <f>+IF(Tabla4[[#This Row],[Salida]]&lt;=$B$17,"Entra","No Entra")</f>
        <v>Entra</v>
      </c>
      <c r="AL38" s="11">
        <f>+IF(Tabla4[[#This Row],[Entra  a la carrera]]="Entra",0,Tabla4[[#This Row],[Grupo]])</f>
        <v>0</v>
      </c>
      <c r="AM38" s="11">
        <f>_xlfn.IFNA(VLOOKUP(Tabla4[[#This Row],[Grupo]],Tabla4[Grupos por fuera],1,FALSE),0)</f>
        <v>0</v>
      </c>
      <c r="AN38" s="11" t="str">
        <f>+IF(Tabla4[[#This Row],[Me salgo por mi amigo el lento?]]=0, "Entra", "Chao")</f>
        <v>Entra</v>
      </c>
      <c r="AO38" s="11">
        <f>+IF(Tabla4[[#This Row],[Al fin entra o no]]="Entra",MAX($AO$13:AO37)+1,"")</f>
        <v>26</v>
      </c>
      <c r="AP38" s="11">
        <f>+Tabla4[[#This Row],[Entidad]]</f>
        <v>26</v>
      </c>
      <c r="AR38">
        <v>5.600199983497256E-2</v>
      </c>
      <c r="AS38">
        <f>+IF(Tabla5[[#This Row],[A3]]&lt;0.5,2,3)</f>
        <v>2</v>
      </c>
      <c r="AT38">
        <f>+IF(Tabla5[[#This Row],[A3]]&lt;0.5,1,3)</f>
        <v>1</v>
      </c>
      <c r="AU38">
        <f>+IF(Tabla5[[#This Row],[A3]]&lt;0.5,1,2)</f>
        <v>1</v>
      </c>
      <c r="AV38" s="6">
        <f>+IF(Tabla5[[#This Row],[A3]]&lt;0.33,1,IF(Tabla5[[#This Row],[A3]]&lt;0.66,2,3))</f>
        <v>1</v>
      </c>
      <c r="AW3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38" s="6">
        <f>+SUM(Tabla4[[#This Row],[Ocupacion M1]:[Ocupacion M3]])</f>
        <v>3</v>
      </c>
      <c r="AY38" s="6">
        <f>+IF(Tabla4[[#This Row],[Ocupacion M1]]=1,1,IF(Tabla4[[#This Row],[Ocupacion M2]]=1,2,3))</f>
        <v>1</v>
      </c>
      <c r="AZ38" s="6">
        <f>+INDEX(Tabla5[[#This Row],[Si 1 esta ocupado]:[Si 3 esta ocupado]],Tabla5[[#This Row],[Estado si = 1]])</f>
        <v>2</v>
      </c>
      <c r="BA38" s="6">
        <f>+IF(Tabla4[[#This Row],[Ocupacion M1]]= 0,1,IF(Tabla4[[#This Row],[Ocupacion M2]]=0,2,3))</f>
        <v>3</v>
      </c>
      <c r="BB3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38">
        <f t="shared" si="6"/>
        <v>26</v>
      </c>
      <c r="BE38">
        <f>+IF(Tabla6[[#This Row],[Indice]]="","",VLOOKUP(Tabla6[[#This Row],[Indice]],Tabla4[[Corre]:[Entidad2]],2))</f>
        <v>26</v>
      </c>
      <c r="BF38">
        <f>IFERROR(+INDEX(Tabla4[Grupo],Tabla6[[#This Row],[Entidad]]),"")</f>
        <v>13</v>
      </c>
      <c r="BG38">
        <f t="shared" si="0"/>
        <v>480</v>
      </c>
      <c r="BH38">
        <v>4.8823690662837538E-2</v>
      </c>
      <c r="BI38">
        <f>20+70*Tabla6[[#This Row],[A6]]</f>
        <v>23.417658346398628</v>
      </c>
      <c r="BJ38">
        <f>+IF(Tabla6[[#This Row],[Indice]]="","",Tabla6[[#This Row],[Empieza]]+Tabla6[[#This Row],[Tiempo carrera ]])</f>
        <v>503.41765834639864</v>
      </c>
      <c r="BK38" s="6">
        <f>IF(Tabla6[[#This Row],[Termina la carrera]]="","",IF(Tabla6[[#This Row],[Termina la carrera]]&gt;540,1,0))</f>
        <v>0</v>
      </c>
      <c r="BL38" s="6" t="str">
        <f>+IF(OR(Tabla6[[#This Row],[Despues de las 9]]=0,Tabla6[[#This Row],[Despues de las 9]]=""),"",Tabla6[[#This Row],[Despues de las 9]]*Tabla6[[#This Row],[Grupo ]])</f>
        <v/>
      </c>
      <c r="BM38" s="6" t="str">
        <f>+IF(Tabla6[[#This Row],[grupo  despues de las 9]]="","",IF(MAX($BL$13:BL37)=Tabla6[[#This Row],[grupo  despues de las 9]],"",1))</f>
        <v/>
      </c>
      <c r="BV38" s="15"/>
      <c r="BW38" s="17"/>
      <c r="BX38" s="17"/>
      <c r="BY38" s="17"/>
      <c r="BZ38" s="17"/>
      <c r="CA38" s="17"/>
      <c r="CB38" s="16"/>
    </row>
    <row r="39" spans="5:80" ht="15.75" x14ac:dyDescent="0.25">
      <c r="E39" s="2">
        <v>27</v>
      </c>
      <c r="F39" s="5">
        <v>6.7558510306279573E-2</v>
      </c>
      <c r="G39" s="2">
        <f t="shared" si="2"/>
        <v>6.9948875069517191E-2</v>
      </c>
      <c r="H39" s="4">
        <f>+H38+Tabla2[[#This Row],[Tiempo Entre]]</f>
        <v>390.72658323905188</v>
      </c>
      <c r="I39" s="5">
        <v>7.9358568466365131E-2</v>
      </c>
      <c r="J39" s="2">
        <f>+IF(Tabla2[[#This Row],[A2 ]]&lt;0.5,1,IF(Tabla2[[#This Row],[A2 ]]&lt;0.8,2,3))</f>
        <v>1</v>
      </c>
      <c r="L39" s="2">
        <f>+IF(AND(Tabla2[[#This Row],[Llegada]]&lt;=$B$16,P39&gt;0),1,"-")</f>
        <v>1</v>
      </c>
      <c r="M39" s="2">
        <f t="shared" si="3"/>
        <v>27</v>
      </c>
      <c r="N39" s="4">
        <f>+IF(L39=1,Tabla2[[#This Row],[Llegada]],"-")</f>
        <v>390.72658323905188</v>
      </c>
      <c r="O39" s="2">
        <f>+IF(L39=1,Tabla2[[#This Row],[Numero de integrantes]],"-")</f>
        <v>1</v>
      </c>
      <c r="P39" s="2">
        <f t="shared" si="4"/>
        <v>50</v>
      </c>
      <c r="Q39" s="2">
        <f>+IF(Tabla3[[#This Row],[Entra?]]=1,Q38+Tabla3[[#This Row],[Numero integrantes]],Q38)</f>
        <v>51</v>
      </c>
      <c r="S39" s="2">
        <f t="shared" si="5"/>
        <v>27</v>
      </c>
      <c r="T39" s="2">
        <f>+COUNTIF(Tabla3[Cuantos van],"&lt;"&amp;Tabla4[[#This Row],[Entidad]])+1</f>
        <v>14</v>
      </c>
      <c r="U39" s="2">
        <f>+INDEX(Tabla3[Llegada],Tabla4[[#This Row],[Grupo]])</f>
        <v>379.12118352477097</v>
      </c>
      <c r="V39" s="2">
        <f>+IF(Tabla4[[#This Row],[Hora llegada]]&gt;=Tabla4[[#This Row],[Disponibilidad M1]],0,1)</f>
        <v>1</v>
      </c>
      <c r="W39" s="2">
        <f>+IF(Tabla4[[#This Row],[Hora llegada]]&gt;=Tabla4[[#This Row],[Disponibilidad M2]],0,1)</f>
        <v>1</v>
      </c>
      <c r="X39" s="2">
        <f>+IF(Tabla4[[#This Row],[Hora llegada]]&gt;=Tabla4[[#This Row],[Disponibilidad M3]],0,1)</f>
        <v>1</v>
      </c>
      <c r="Y39" s="2" t="str">
        <f>+IF(Tabla5[[#This Row],[Quien me atiende]]=1,MAX(Tabla4[[#This Row],[Disponibilidad M1]],Tabla4[[#This Row],[Hora llegada]]),"-")</f>
        <v>-</v>
      </c>
      <c r="Z39" s="2">
        <f>+IF(Tabla5[[#This Row],[Quien me atiende]]=2,MAX(Tabla4[[#This Row],[Disponibilidad M2]],Tabla4[[#This Row],[Hora llegada]]),"-")</f>
        <v>394.54425352059263</v>
      </c>
      <c r="AA39" s="2" t="str">
        <f>+IF(Tabla5[[#This Row],[Quien me atiende]]=3,MAX(Tabla4[[#This Row],[Disponibilidad M3]],Tabla4[[#This Row],[Hora llegada]]),"-")</f>
        <v>-</v>
      </c>
      <c r="AB39" s="2">
        <f>+MAX($AG$13:AG38)</f>
        <v>395.86656447544362</v>
      </c>
      <c r="AC39" s="2">
        <f>+MAX($AH$13:AH38)</f>
        <v>394.54425352059263</v>
      </c>
      <c r="AD39" s="2">
        <f>+MAX($AI$13:AI38)</f>
        <v>396.07157594414298</v>
      </c>
      <c r="AE39" s="2">
        <v>0.38798119134700404</v>
      </c>
      <c r="AF39" s="2">
        <f>2+4.5*Tabla4[[#This Row],[A5]]</f>
        <v>3.7459153610615181</v>
      </c>
      <c r="AG39" s="2" t="str">
        <f>+IF(Tabla4[[#This Row],[Entrada M1]]="-","-",Tabla4[[#This Row],[Entrada M1]]+Tabla4[[#This Row],[Tiempo Atencion ]])</f>
        <v>-</v>
      </c>
      <c r="AH39" s="2">
        <f>+IF(Tabla4[[#This Row],[Entrada M2]]="-","-",Tabla4[[#This Row],[Entrada M2]]+Tabla4[[#This Row],[Tiempo Atencion ]])</f>
        <v>398.29016888165415</v>
      </c>
      <c r="AI39" s="2" t="str">
        <f>+IF(Tabla4[[#This Row],[Entrada M3]]="-","-",Tabla4[[#This Row],[Entrada M3]]+Tabla4[[#This Row],[Tiempo Atencion ]])</f>
        <v>-</v>
      </c>
      <c r="AJ39" s="11">
        <f>+MAX(Tabla4[[#This Row],[Salida M1]:[Salida M3]])</f>
        <v>398.29016888165415</v>
      </c>
      <c r="AK39" s="11" t="str">
        <f>+IF(Tabla4[[#This Row],[Salida]]&lt;=$B$17,"Entra","No Entra")</f>
        <v>Entra</v>
      </c>
      <c r="AL39" s="11">
        <f>+IF(Tabla4[[#This Row],[Entra  a la carrera]]="Entra",0,Tabla4[[#This Row],[Grupo]])</f>
        <v>0</v>
      </c>
      <c r="AM39" s="11">
        <f>_xlfn.IFNA(VLOOKUP(Tabla4[[#This Row],[Grupo]],Tabla4[Grupos por fuera],1,FALSE),0)</f>
        <v>0</v>
      </c>
      <c r="AN39" s="11" t="str">
        <f>+IF(Tabla4[[#This Row],[Me salgo por mi amigo el lento?]]=0, "Entra", "Chao")</f>
        <v>Entra</v>
      </c>
      <c r="AO39" s="11">
        <f>+IF(Tabla4[[#This Row],[Al fin entra o no]]="Entra",MAX($AO$13:AO38)+1,"")</f>
        <v>27</v>
      </c>
      <c r="AP39" s="11">
        <f>+Tabla4[[#This Row],[Entidad]]</f>
        <v>27</v>
      </c>
      <c r="AR39">
        <v>0.56054832625989381</v>
      </c>
      <c r="AS39">
        <f>+IF(Tabla5[[#This Row],[A3]]&lt;0.5,2,3)</f>
        <v>3</v>
      </c>
      <c r="AT39">
        <f>+IF(Tabla5[[#This Row],[A3]]&lt;0.5,1,3)</f>
        <v>3</v>
      </c>
      <c r="AU39">
        <f>+IF(Tabla5[[#This Row],[A3]]&lt;0.5,1,2)</f>
        <v>2</v>
      </c>
      <c r="AV39" s="6">
        <f>+IF(Tabla5[[#This Row],[A3]]&lt;0.33,1,IF(Tabla5[[#This Row],[A3]]&lt;0.66,2,3))</f>
        <v>2</v>
      </c>
      <c r="AW3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39" s="6">
        <f>+SUM(Tabla4[[#This Row],[Ocupacion M1]:[Ocupacion M3]])</f>
        <v>3</v>
      </c>
      <c r="AY39" s="6">
        <f>+IF(Tabla4[[#This Row],[Ocupacion M1]]=1,1,IF(Tabla4[[#This Row],[Ocupacion M2]]=1,2,3))</f>
        <v>1</v>
      </c>
      <c r="AZ39" s="6">
        <f>+INDEX(Tabla5[[#This Row],[Si 1 esta ocupado]:[Si 3 esta ocupado]],Tabla5[[#This Row],[Estado si = 1]])</f>
        <v>3</v>
      </c>
      <c r="BA39" s="6">
        <f>+IF(Tabla4[[#This Row],[Ocupacion M1]]= 0,1,IF(Tabla4[[#This Row],[Ocupacion M2]]=0,2,3))</f>
        <v>3</v>
      </c>
      <c r="BB3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39">
        <f t="shared" si="6"/>
        <v>27</v>
      </c>
      <c r="BE39">
        <f>+IF(Tabla6[[#This Row],[Indice]]="","",VLOOKUP(Tabla6[[#This Row],[Indice]],Tabla4[[Corre]:[Entidad2]],2))</f>
        <v>27</v>
      </c>
      <c r="BF39">
        <f>IFERROR(+INDEX(Tabla4[Grupo],Tabla6[[#This Row],[Entidad]]),"")</f>
        <v>14</v>
      </c>
      <c r="BG39">
        <f t="shared" si="0"/>
        <v>480</v>
      </c>
      <c r="BH39">
        <v>0.38308446011986597</v>
      </c>
      <c r="BI39">
        <f>20+70*Tabla6[[#This Row],[A6]]</f>
        <v>46.815912208390614</v>
      </c>
      <c r="BJ39">
        <f>+IF(Tabla6[[#This Row],[Indice]]="","",Tabla6[[#This Row],[Empieza]]+Tabla6[[#This Row],[Tiempo carrera ]])</f>
        <v>526.81591220839061</v>
      </c>
      <c r="BK39" s="6">
        <f>IF(Tabla6[[#This Row],[Termina la carrera]]="","",IF(Tabla6[[#This Row],[Termina la carrera]]&gt;540,1,0))</f>
        <v>0</v>
      </c>
      <c r="BL39" s="6" t="str">
        <f>+IF(OR(Tabla6[[#This Row],[Despues de las 9]]=0,Tabla6[[#This Row],[Despues de las 9]]=""),"",Tabla6[[#This Row],[Despues de las 9]]*Tabla6[[#This Row],[Grupo ]])</f>
        <v/>
      </c>
      <c r="BM39" s="6" t="str">
        <f>+IF(Tabla6[[#This Row],[grupo  despues de las 9]]="","",IF(MAX($BL$13:BL38)=Tabla6[[#This Row],[grupo  despues de las 9]],"",1))</f>
        <v/>
      </c>
      <c r="BV39" s="15"/>
      <c r="BW39" s="69" t="str">
        <f>+"Terminan despues de las 9: "&amp;BJ114&amp;" Corredores"</f>
        <v>Terminan despues de las 9: 38 Corredores</v>
      </c>
      <c r="BX39" s="69"/>
      <c r="BY39" s="69"/>
      <c r="BZ39" s="69"/>
      <c r="CA39" s="69"/>
      <c r="CB39" s="16"/>
    </row>
    <row r="40" spans="5:80" ht="15.75" x14ac:dyDescent="0.25">
      <c r="E40" s="2">
        <v>28</v>
      </c>
      <c r="F40" s="5">
        <v>0.5940102027776063</v>
      </c>
      <c r="G40" s="2">
        <f t="shared" si="2"/>
        <v>0.90142724969027221</v>
      </c>
      <c r="H40" s="4">
        <f>+H39+Tabla2[[#This Row],[Tiempo Entre]]</f>
        <v>391.62801048874218</v>
      </c>
      <c r="I40" s="5">
        <v>0.46713256775563516</v>
      </c>
      <c r="J40" s="2">
        <f>+IF(Tabla2[[#This Row],[A2 ]]&lt;0.5,1,IF(Tabla2[[#This Row],[A2 ]]&lt;0.8,2,3))</f>
        <v>1</v>
      </c>
      <c r="L40" s="2">
        <f>+IF(AND(Tabla2[[#This Row],[Llegada]]&lt;=$B$16,P40&gt;0),1,"-")</f>
        <v>1</v>
      </c>
      <c r="M40" s="2">
        <f t="shared" si="3"/>
        <v>28</v>
      </c>
      <c r="N40" s="4">
        <f>+IF(L40=1,Tabla2[[#This Row],[Llegada]],"-")</f>
        <v>391.62801048874218</v>
      </c>
      <c r="O40" s="2">
        <f>+IF(L40=1,Tabla2[[#This Row],[Numero de integrantes]],"-")</f>
        <v>1</v>
      </c>
      <c r="P40" s="2">
        <f t="shared" si="4"/>
        <v>49</v>
      </c>
      <c r="Q40" s="2">
        <f>+IF(Tabla3[[#This Row],[Entra?]]=1,Q39+Tabla3[[#This Row],[Numero integrantes]],Q39)</f>
        <v>52</v>
      </c>
      <c r="S40" s="2">
        <f t="shared" si="5"/>
        <v>28</v>
      </c>
      <c r="T40" s="2">
        <f>+COUNTIF(Tabla3[Cuantos van],"&lt;"&amp;Tabla4[[#This Row],[Entidad]])+1</f>
        <v>14</v>
      </c>
      <c r="U40" s="2">
        <f>+INDEX(Tabla3[Llegada],Tabla4[[#This Row],[Grupo]])</f>
        <v>379.12118352477097</v>
      </c>
      <c r="V40" s="2">
        <f>+IF(Tabla4[[#This Row],[Hora llegada]]&gt;=Tabla4[[#This Row],[Disponibilidad M1]],0,1)</f>
        <v>1</v>
      </c>
      <c r="W40" s="2">
        <f>+IF(Tabla4[[#This Row],[Hora llegada]]&gt;=Tabla4[[#This Row],[Disponibilidad M2]],0,1)</f>
        <v>1</v>
      </c>
      <c r="X40" s="2">
        <f>+IF(Tabla4[[#This Row],[Hora llegada]]&gt;=Tabla4[[#This Row],[Disponibilidad M3]],0,1)</f>
        <v>1</v>
      </c>
      <c r="Y40" s="2">
        <f>+IF(Tabla5[[#This Row],[Quien me atiende]]=1,MAX(Tabla4[[#This Row],[Disponibilidad M1]],Tabla4[[#This Row],[Hora llegada]]),"-")</f>
        <v>395.86656447544362</v>
      </c>
      <c r="Z40" s="2" t="str">
        <f>+IF(Tabla5[[#This Row],[Quien me atiende]]=2,MAX(Tabla4[[#This Row],[Disponibilidad M2]],Tabla4[[#This Row],[Hora llegada]]),"-")</f>
        <v>-</v>
      </c>
      <c r="AA40" s="2" t="str">
        <f>+IF(Tabla5[[#This Row],[Quien me atiende]]=3,MAX(Tabla4[[#This Row],[Disponibilidad M3]],Tabla4[[#This Row],[Hora llegada]]),"-")</f>
        <v>-</v>
      </c>
      <c r="AB40" s="2">
        <f>+MAX($AG$13:AG39)</f>
        <v>395.86656447544362</v>
      </c>
      <c r="AC40" s="2">
        <f>+MAX($AH$13:AH39)</f>
        <v>398.29016888165415</v>
      </c>
      <c r="AD40" s="2">
        <f>+MAX($AI$13:AI39)</f>
        <v>396.07157594414298</v>
      </c>
      <c r="AE40" s="2">
        <v>0.88166194375126816</v>
      </c>
      <c r="AF40" s="2">
        <f>2+4.5*Tabla4[[#This Row],[A5]]</f>
        <v>5.9674787468807065</v>
      </c>
      <c r="AG40" s="2">
        <f>+IF(Tabla4[[#This Row],[Entrada M1]]="-","-",Tabla4[[#This Row],[Entrada M1]]+Tabla4[[#This Row],[Tiempo Atencion ]])</f>
        <v>401.83404322232434</v>
      </c>
      <c r="AH40" s="2" t="str">
        <f>+IF(Tabla4[[#This Row],[Entrada M2]]="-","-",Tabla4[[#This Row],[Entrada M2]]+Tabla4[[#This Row],[Tiempo Atencion ]])</f>
        <v>-</v>
      </c>
      <c r="AI40" s="2" t="str">
        <f>+IF(Tabla4[[#This Row],[Entrada M3]]="-","-",Tabla4[[#This Row],[Entrada M3]]+Tabla4[[#This Row],[Tiempo Atencion ]])</f>
        <v>-</v>
      </c>
      <c r="AJ40" s="11">
        <f>+MAX(Tabla4[[#This Row],[Salida M1]:[Salida M3]])</f>
        <v>401.83404322232434</v>
      </c>
      <c r="AK40" s="11" t="str">
        <f>+IF(Tabla4[[#This Row],[Salida]]&lt;=$B$17,"Entra","No Entra")</f>
        <v>Entra</v>
      </c>
      <c r="AL40" s="11">
        <f>+IF(Tabla4[[#This Row],[Entra  a la carrera]]="Entra",0,Tabla4[[#This Row],[Grupo]])</f>
        <v>0</v>
      </c>
      <c r="AM40" s="11">
        <f>_xlfn.IFNA(VLOOKUP(Tabla4[[#This Row],[Grupo]],Tabla4[Grupos por fuera],1,FALSE),0)</f>
        <v>0</v>
      </c>
      <c r="AN40" s="11" t="str">
        <f>+IF(Tabla4[[#This Row],[Me salgo por mi amigo el lento?]]=0, "Entra", "Chao")</f>
        <v>Entra</v>
      </c>
      <c r="AO40" s="11">
        <f>+IF(Tabla4[[#This Row],[Al fin entra o no]]="Entra",MAX($AO$13:AO39)+1,"")</f>
        <v>28</v>
      </c>
      <c r="AP40" s="11">
        <f>+Tabla4[[#This Row],[Entidad]]</f>
        <v>28</v>
      </c>
      <c r="AR40">
        <v>0.22194503440130575</v>
      </c>
      <c r="AS40">
        <f>+IF(Tabla5[[#This Row],[A3]]&lt;0.5,2,3)</f>
        <v>2</v>
      </c>
      <c r="AT40">
        <f>+IF(Tabla5[[#This Row],[A3]]&lt;0.5,1,3)</f>
        <v>1</v>
      </c>
      <c r="AU40">
        <f>+IF(Tabla5[[#This Row],[A3]]&lt;0.5,1,2)</f>
        <v>1</v>
      </c>
      <c r="AV40" s="6">
        <f>+IF(Tabla5[[#This Row],[A3]]&lt;0.33,1,IF(Tabla5[[#This Row],[A3]]&lt;0.66,2,3))</f>
        <v>1</v>
      </c>
      <c r="AW4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40" s="6">
        <f>+SUM(Tabla4[[#This Row],[Ocupacion M1]:[Ocupacion M3]])</f>
        <v>3</v>
      </c>
      <c r="AY40" s="6">
        <f>+IF(Tabla4[[#This Row],[Ocupacion M1]]=1,1,IF(Tabla4[[#This Row],[Ocupacion M2]]=1,2,3))</f>
        <v>1</v>
      </c>
      <c r="AZ40" s="6">
        <f>+INDEX(Tabla5[[#This Row],[Si 1 esta ocupado]:[Si 3 esta ocupado]],Tabla5[[#This Row],[Estado si = 1]])</f>
        <v>2</v>
      </c>
      <c r="BA40" s="6">
        <f>+IF(Tabla4[[#This Row],[Ocupacion M1]]= 0,1,IF(Tabla4[[#This Row],[Ocupacion M2]]=0,2,3))</f>
        <v>3</v>
      </c>
      <c r="BB4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40">
        <f t="shared" si="6"/>
        <v>28</v>
      </c>
      <c r="BE40">
        <f>+IF(Tabla6[[#This Row],[Indice]]="","",VLOOKUP(Tabla6[[#This Row],[Indice]],Tabla4[[Corre]:[Entidad2]],2))</f>
        <v>28</v>
      </c>
      <c r="BF40">
        <f>IFERROR(+INDEX(Tabla4[Grupo],Tabla6[[#This Row],[Entidad]]),"")</f>
        <v>14</v>
      </c>
      <c r="BG40">
        <f t="shared" si="0"/>
        <v>480</v>
      </c>
      <c r="BH40">
        <v>0.19556799870582997</v>
      </c>
      <c r="BI40">
        <f>20+70*Tabla6[[#This Row],[A6]]</f>
        <v>33.689759909408096</v>
      </c>
      <c r="BJ40">
        <f>+IF(Tabla6[[#This Row],[Indice]]="","",Tabla6[[#This Row],[Empieza]]+Tabla6[[#This Row],[Tiempo carrera ]])</f>
        <v>513.68975990940805</v>
      </c>
      <c r="BK40" s="6">
        <f>IF(Tabla6[[#This Row],[Termina la carrera]]="","",IF(Tabla6[[#This Row],[Termina la carrera]]&gt;540,1,0))</f>
        <v>0</v>
      </c>
      <c r="BL40" s="6" t="str">
        <f>+IF(OR(Tabla6[[#This Row],[Despues de las 9]]=0,Tabla6[[#This Row],[Despues de las 9]]=""),"",Tabla6[[#This Row],[Despues de las 9]]*Tabla6[[#This Row],[Grupo ]])</f>
        <v/>
      </c>
      <c r="BM40" s="6" t="str">
        <f>+IF(Tabla6[[#This Row],[grupo  despues de las 9]]="","",IF(MAX($BL$13:BL39)=Tabla6[[#This Row],[grupo  despues de las 9]],"",1))</f>
        <v/>
      </c>
      <c r="BV40" s="15"/>
      <c r="BW40" s="69"/>
      <c r="BX40" s="69"/>
      <c r="BY40" s="69"/>
      <c r="BZ40" s="69"/>
      <c r="CA40" s="69"/>
      <c r="CB40" s="16"/>
    </row>
    <row r="41" spans="5:80" x14ac:dyDescent="0.25">
      <c r="E41" s="2">
        <v>29</v>
      </c>
      <c r="F41" s="5">
        <v>2.6064211054658726E-2</v>
      </c>
      <c r="G41" s="2">
        <f t="shared" si="2"/>
        <v>2.6409902620209851E-2</v>
      </c>
      <c r="H41" s="4">
        <f>+H40+Tabla2[[#This Row],[Tiempo Entre]]</f>
        <v>391.65442039136241</v>
      </c>
      <c r="I41" s="5">
        <v>0.90776513055302388</v>
      </c>
      <c r="J41" s="2">
        <f>+IF(Tabla2[[#This Row],[A2 ]]&lt;0.5,1,IF(Tabla2[[#This Row],[A2 ]]&lt;0.8,2,3))</f>
        <v>3</v>
      </c>
      <c r="L41" s="2">
        <f>+IF(AND(Tabla2[[#This Row],[Llegada]]&lt;=$B$16,P41&gt;0),1,"-")</f>
        <v>1</v>
      </c>
      <c r="M41" s="2">
        <f t="shared" si="3"/>
        <v>29</v>
      </c>
      <c r="N41" s="4">
        <f>+IF(L41=1,Tabla2[[#This Row],[Llegada]],"-")</f>
        <v>391.65442039136241</v>
      </c>
      <c r="O41" s="2">
        <f>+IF(L41=1,Tabla2[[#This Row],[Numero de integrantes]],"-")</f>
        <v>3</v>
      </c>
      <c r="P41" s="2">
        <f t="shared" si="4"/>
        <v>48</v>
      </c>
      <c r="Q41" s="2">
        <f>+IF(Tabla3[[#This Row],[Entra?]]=1,Q40+Tabla3[[#This Row],[Numero integrantes]],Q40)</f>
        <v>55</v>
      </c>
      <c r="S41" s="2">
        <f t="shared" si="5"/>
        <v>29</v>
      </c>
      <c r="T41" s="2">
        <f>+COUNTIF(Tabla3[Cuantos van],"&lt;"&amp;Tabla4[[#This Row],[Entidad]])+1</f>
        <v>15</v>
      </c>
      <c r="U41" s="2">
        <f>+INDEX(Tabla3[Llegada],Tabla4[[#This Row],[Grupo]])</f>
        <v>379.12557786076701</v>
      </c>
      <c r="V41" s="2">
        <f>+IF(Tabla4[[#This Row],[Hora llegada]]&gt;=Tabla4[[#This Row],[Disponibilidad M1]],0,1)</f>
        <v>1</v>
      </c>
      <c r="W41" s="2">
        <f>+IF(Tabla4[[#This Row],[Hora llegada]]&gt;=Tabla4[[#This Row],[Disponibilidad M2]],0,1)</f>
        <v>1</v>
      </c>
      <c r="X41" s="2">
        <f>+IF(Tabla4[[#This Row],[Hora llegada]]&gt;=Tabla4[[#This Row],[Disponibilidad M3]],0,1)</f>
        <v>1</v>
      </c>
      <c r="Y41" s="2" t="str">
        <f>+IF(Tabla5[[#This Row],[Quien me atiende]]=1,MAX(Tabla4[[#This Row],[Disponibilidad M1]],Tabla4[[#This Row],[Hora llegada]]),"-")</f>
        <v>-</v>
      </c>
      <c r="Z41" s="2" t="str">
        <f>+IF(Tabla5[[#This Row],[Quien me atiende]]=2,MAX(Tabla4[[#This Row],[Disponibilidad M2]],Tabla4[[#This Row],[Hora llegada]]),"-")</f>
        <v>-</v>
      </c>
      <c r="AA41" s="2">
        <f>+IF(Tabla5[[#This Row],[Quien me atiende]]=3,MAX(Tabla4[[#This Row],[Disponibilidad M3]],Tabla4[[#This Row],[Hora llegada]]),"-")</f>
        <v>396.07157594414298</v>
      </c>
      <c r="AB41" s="2">
        <f>+MAX($AG$13:AG40)</f>
        <v>401.83404322232434</v>
      </c>
      <c r="AC41" s="2">
        <f>+MAX($AH$13:AH40)</f>
        <v>398.29016888165415</v>
      </c>
      <c r="AD41" s="2">
        <f>+MAX($AI$13:AI40)</f>
        <v>396.07157594414298</v>
      </c>
      <c r="AE41" s="2">
        <v>0.62920254753931215</v>
      </c>
      <c r="AF41" s="2">
        <f>2+4.5*Tabla4[[#This Row],[A5]]</f>
        <v>4.831411463926905</v>
      </c>
      <c r="AG41" s="2" t="str">
        <f>+IF(Tabla4[[#This Row],[Entrada M1]]="-","-",Tabla4[[#This Row],[Entrada M1]]+Tabla4[[#This Row],[Tiempo Atencion ]])</f>
        <v>-</v>
      </c>
      <c r="AH41" s="2" t="str">
        <f>+IF(Tabla4[[#This Row],[Entrada M2]]="-","-",Tabla4[[#This Row],[Entrada M2]]+Tabla4[[#This Row],[Tiempo Atencion ]])</f>
        <v>-</v>
      </c>
      <c r="AI41" s="2">
        <f>+IF(Tabla4[[#This Row],[Entrada M3]]="-","-",Tabla4[[#This Row],[Entrada M3]]+Tabla4[[#This Row],[Tiempo Atencion ]])</f>
        <v>400.90298740806986</v>
      </c>
      <c r="AJ41" s="11">
        <f>+MAX(Tabla4[[#This Row],[Salida M1]:[Salida M3]])</f>
        <v>400.90298740806986</v>
      </c>
      <c r="AK41" s="11" t="str">
        <f>+IF(Tabla4[[#This Row],[Salida]]&lt;=$B$17,"Entra","No Entra")</f>
        <v>Entra</v>
      </c>
      <c r="AL41" s="11">
        <f>+IF(Tabla4[[#This Row],[Entra  a la carrera]]="Entra",0,Tabla4[[#This Row],[Grupo]])</f>
        <v>0</v>
      </c>
      <c r="AM41" s="11">
        <f>_xlfn.IFNA(VLOOKUP(Tabla4[[#This Row],[Grupo]],Tabla4[Grupos por fuera],1,FALSE),0)</f>
        <v>0</v>
      </c>
      <c r="AN41" s="11" t="str">
        <f>+IF(Tabla4[[#This Row],[Me salgo por mi amigo el lento?]]=0, "Entra", "Chao")</f>
        <v>Entra</v>
      </c>
      <c r="AO41" s="11">
        <f>+IF(Tabla4[[#This Row],[Al fin entra o no]]="Entra",MAX($AO$13:AO40)+1,"")</f>
        <v>29</v>
      </c>
      <c r="AP41" s="11">
        <f>+Tabla4[[#This Row],[Entidad]]</f>
        <v>29</v>
      </c>
      <c r="AR41">
        <v>0.84225538325628746</v>
      </c>
      <c r="AS41">
        <f>+IF(Tabla5[[#This Row],[A3]]&lt;0.5,2,3)</f>
        <v>3</v>
      </c>
      <c r="AT41">
        <f>+IF(Tabla5[[#This Row],[A3]]&lt;0.5,1,3)</f>
        <v>3</v>
      </c>
      <c r="AU41">
        <f>+IF(Tabla5[[#This Row],[A3]]&lt;0.5,1,2)</f>
        <v>2</v>
      </c>
      <c r="AV41" s="6">
        <f>+IF(Tabla5[[#This Row],[A3]]&lt;0.33,1,IF(Tabla5[[#This Row],[A3]]&lt;0.66,2,3))</f>
        <v>3</v>
      </c>
      <c r="AW4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41" s="6">
        <f>+SUM(Tabla4[[#This Row],[Ocupacion M1]:[Ocupacion M3]])</f>
        <v>3</v>
      </c>
      <c r="AY41" s="6">
        <f>+IF(Tabla4[[#This Row],[Ocupacion M1]]=1,1,IF(Tabla4[[#This Row],[Ocupacion M2]]=1,2,3))</f>
        <v>1</v>
      </c>
      <c r="AZ41" s="6">
        <f>+INDEX(Tabla5[[#This Row],[Si 1 esta ocupado]:[Si 3 esta ocupado]],Tabla5[[#This Row],[Estado si = 1]])</f>
        <v>3</v>
      </c>
      <c r="BA41" s="6">
        <f>+IF(Tabla4[[#This Row],[Ocupacion M1]]= 0,1,IF(Tabla4[[#This Row],[Ocupacion M2]]=0,2,3))</f>
        <v>3</v>
      </c>
      <c r="BB4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41">
        <f t="shared" si="6"/>
        <v>29</v>
      </c>
      <c r="BE41">
        <f>+IF(Tabla6[[#This Row],[Indice]]="","",VLOOKUP(Tabla6[[#This Row],[Indice]],Tabla4[[Corre]:[Entidad2]],2))</f>
        <v>29</v>
      </c>
      <c r="BF41">
        <f>IFERROR(+INDEX(Tabla4[Grupo],Tabla6[[#This Row],[Entidad]]),"")</f>
        <v>15</v>
      </c>
      <c r="BG41">
        <f t="shared" si="0"/>
        <v>480</v>
      </c>
      <c r="BH41">
        <v>0.29668462699305875</v>
      </c>
      <c r="BI41">
        <f>20+70*Tabla6[[#This Row],[A6]]</f>
        <v>40.767923889514108</v>
      </c>
      <c r="BJ41">
        <f>+IF(Tabla6[[#This Row],[Indice]]="","",Tabla6[[#This Row],[Empieza]]+Tabla6[[#This Row],[Tiempo carrera ]])</f>
        <v>520.76792388951412</v>
      </c>
      <c r="BK41" s="6">
        <f>IF(Tabla6[[#This Row],[Termina la carrera]]="","",IF(Tabla6[[#This Row],[Termina la carrera]]&gt;540,1,0))</f>
        <v>0</v>
      </c>
      <c r="BL41" s="6" t="str">
        <f>+IF(OR(Tabla6[[#This Row],[Despues de las 9]]=0,Tabla6[[#This Row],[Despues de las 9]]=""),"",Tabla6[[#This Row],[Despues de las 9]]*Tabla6[[#This Row],[Grupo ]])</f>
        <v/>
      </c>
      <c r="BM41" s="6" t="str">
        <f>+IF(Tabla6[[#This Row],[grupo  despues de las 9]]="","",IF(MAX($BL$13:BL40)=Tabla6[[#This Row],[grupo  despues de las 9]],"",1))</f>
        <v/>
      </c>
      <c r="BV41" s="15"/>
      <c r="BW41" s="17"/>
      <c r="BX41" s="17"/>
      <c r="BY41" s="17"/>
      <c r="BZ41" s="17"/>
      <c r="CA41" s="17"/>
      <c r="CB41" s="16"/>
    </row>
    <row r="42" spans="5:80" ht="15.75" thickBot="1" x14ac:dyDescent="0.3">
      <c r="E42" s="2">
        <v>30</v>
      </c>
      <c r="F42" s="5">
        <v>0.48123150302391782</v>
      </c>
      <c r="G42" s="2">
        <f t="shared" si="2"/>
        <v>0.65629755125155509</v>
      </c>
      <c r="H42" s="4">
        <f>+H41+Tabla2[[#This Row],[Tiempo Entre]]</f>
        <v>392.31071794261396</v>
      </c>
      <c r="I42" s="5">
        <v>0.25853977958625218</v>
      </c>
      <c r="J42" s="2">
        <f>+IF(Tabla2[[#This Row],[A2 ]]&lt;0.5,1,IF(Tabla2[[#This Row],[A2 ]]&lt;0.8,2,3))</f>
        <v>1</v>
      </c>
      <c r="L42" s="2">
        <f>+IF(AND(Tabla2[[#This Row],[Llegada]]&lt;=$B$16,P42&gt;0),1,"-")</f>
        <v>1</v>
      </c>
      <c r="M42" s="2">
        <f t="shared" si="3"/>
        <v>30</v>
      </c>
      <c r="N42" s="4">
        <f>+IF(L42=1,Tabla2[[#This Row],[Llegada]],"-")</f>
        <v>392.31071794261396</v>
      </c>
      <c r="O42" s="2">
        <f>+IF(L42=1,Tabla2[[#This Row],[Numero de integrantes]],"-")</f>
        <v>1</v>
      </c>
      <c r="P42" s="2">
        <f t="shared" si="4"/>
        <v>45</v>
      </c>
      <c r="Q42" s="2">
        <f>+IF(Tabla3[[#This Row],[Entra?]]=1,Q41+Tabla3[[#This Row],[Numero integrantes]],Q41)</f>
        <v>56</v>
      </c>
      <c r="S42" s="2">
        <f t="shared" si="5"/>
        <v>30</v>
      </c>
      <c r="T42" s="2">
        <f>+COUNTIF(Tabla3[Cuantos van],"&lt;"&amp;Tabla4[[#This Row],[Entidad]])+1</f>
        <v>15</v>
      </c>
      <c r="U42" s="2">
        <f>+INDEX(Tabla3[Llegada],Tabla4[[#This Row],[Grupo]])</f>
        <v>379.12557786076701</v>
      </c>
      <c r="V42" s="2">
        <f>+IF(Tabla4[[#This Row],[Hora llegada]]&gt;=Tabla4[[#This Row],[Disponibilidad M1]],0,1)</f>
        <v>1</v>
      </c>
      <c r="W42" s="2">
        <f>+IF(Tabla4[[#This Row],[Hora llegada]]&gt;=Tabla4[[#This Row],[Disponibilidad M2]],0,1)</f>
        <v>1</v>
      </c>
      <c r="X42" s="2">
        <f>+IF(Tabla4[[#This Row],[Hora llegada]]&gt;=Tabla4[[#This Row],[Disponibilidad M3]],0,1)</f>
        <v>1</v>
      </c>
      <c r="Y42" s="2" t="str">
        <f>+IF(Tabla5[[#This Row],[Quien me atiende]]=1,MAX(Tabla4[[#This Row],[Disponibilidad M1]],Tabla4[[#This Row],[Hora llegada]]),"-")</f>
        <v>-</v>
      </c>
      <c r="Z42" s="2">
        <f>+IF(Tabla5[[#This Row],[Quien me atiende]]=2,MAX(Tabla4[[#This Row],[Disponibilidad M2]],Tabla4[[#This Row],[Hora llegada]]),"-")</f>
        <v>398.29016888165415</v>
      </c>
      <c r="AA42" s="2" t="str">
        <f>+IF(Tabla5[[#This Row],[Quien me atiende]]=3,MAX(Tabla4[[#This Row],[Disponibilidad M3]],Tabla4[[#This Row],[Hora llegada]]),"-")</f>
        <v>-</v>
      </c>
      <c r="AB42" s="2">
        <f>+MAX($AG$13:AG41)</f>
        <v>401.83404322232434</v>
      </c>
      <c r="AC42" s="2">
        <f>+MAX($AH$13:AH41)</f>
        <v>398.29016888165415</v>
      </c>
      <c r="AD42" s="2">
        <f>+MAX($AI$13:AI41)</f>
        <v>400.90298740806986</v>
      </c>
      <c r="AE42" s="2">
        <v>0.54119707930578842</v>
      </c>
      <c r="AF42" s="2">
        <f>2+4.5*Tabla4[[#This Row],[A5]]</f>
        <v>4.4353868568760477</v>
      </c>
      <c r="AG42" s="2" t="str">
        <f>+IF(Tabla4[[#This Row],[Entrada M1]]="-","-",Tabla4[[#This Row],[Entrada M1]]+Tabla4[[#This Row],[Tiempo Atencion ]])</f>
        <v>-</v>
      </c>
      <c r="AH42" s="2">
        <f>+IF(Tabla4[[#This Row],[Entrada M2]]="-","-",Tabla4[[#This Row],[Entrada M2]]+Tabla4[[#This Row],[Tiempo Atencion ]])</f>
        <v>402.7255557385302</v>
      </c>
      <c r="AI42" s="2" t="str">
        <f>+IF(Tabla4[[#This Row],[Entrada M3]]="-","-",Tabla4[[#This Row],[Entrada M3]]+Tabla4[[#This Row],[Tiempo Atencion ]])</f>
        <v>-</v>
      </c>
      <c r="AJ42" s="11">
        <f>+MAX(Tabla4[[#This Row],[Salida M1]:[Salida M3]])</f>
        <v>402.7255557385302</v>
      </c>
      <c r="AK42" s="11" t="str">
        <f>+IF(Tabla4[[#This Row],[Salida]]&lt;=$B$17,"Entra","No Entra")</f>
        <v>Entra</v>
      </c>
      <c r="AL42" s="11">
        <f>+IF(Tabla4[[#This Row],[Entra  a la carrera]]="Entra",0,Tabla4[[#This Row],[Grupo]])</f>
        <v>0</v>
      </c>
      <c r="AM42" s="11">
        <f>_xlfn.IFNA(VLOOKUP(Tabla4[[#This Row],[Grupo]],Tabla4[Grupos por fuera],1,FALSE),0)</f>
        <v>0</v>
      </c>
      <c r="AN42" s="11" t="str">
        <f>+IF(Tabla4[[#This Row],[Me salgo por mi amigo el lento?]]=0, "Entra", "Chao")</f>
        <v>Entra</v>
      </c>
      <c r="AO42" s="11">
        <f>+IF(Tabla4[[#This Row],[Al fin entra o no]]="Entra",MAX($AO$13:AO41)+1,"")</f>
        <v>30</v>
      </c>
      <c r="AP42" s="11">
        <f>+Tabla4[[#This Row],[Entidad]]</f>
        <v>30</v>
      </c>
      <c r="AR42">
        <v>0.1042623205819474</v>
      </c>
      <c r="AS42">
        <f>+IF(Tabla5[[#This Row],[A3]]&lt;0.5,2,3)</f>
        <v>2</v>
      </c>
      <c r="AT42">
        <f>+IF(Tabla5[[#This Row],[A3]]&lt;0.5,1,3)</f>
        <v>1</v>
      </c>
      <c r="AU42">
        <f>+IF(Tabla5[[#This Row],[A3]]&lt;0.5,1,2)</f>
        <v>1</v>
      </c>
      <c r="AV42" s="6">
        <f>+IF(Tabla5[[#This Row],[A3]]&lt;0.33,1,IF(Tabla5[[#This Row],[A3]]&lt;0.66,2,3))</f>
        <v>1</v>
      </c>
      <c r="AW4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42" s="6">
        <f>+SUM(Tabla4[[#This Row],[Ocupacion M1]:[Ocupacion M3]])</f>
        <v>3</v>
      </c>
      <c r="AY42" s="6">
        <f>+IF(Tabla4[[#This Row],[Ocupacion M1]]=1,1,IF(Tabla4[[#This Row],[Ocupacion M2]]=1,2,3))</f>
        <v>1</v>
      </c>
      <c r="AZ42" s="6">
        <f>+INDEX(Tabla5[[#This Row],[Si 1 esta ocupado]:[Si 3 esta ocupado]],Tabla5[[#This Row],[Estado si = 1]])</f>
        <v>2</v>
      </c>
      <c r="BA42" s="6">
        <f>+IF(Tabla4[[#This Row],[Ocupacion M1]]= 0,1,IF(Tabla4[[#This Row],[Ocupacion M2]]=0,2,3))</f>
        <v>3</v>
      </c>
      <c r="BB4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42">
        <f t="shared" si="6"/>
        <v>30</v>
      </c>
      <c r="BE42">
        <f>+IF(Tabla6[[#This Row],[Indice]]="","",VLOOKUP(Tabla6[[#This Row],[Indice]],Tabla4[[Corre]:[Entidad2]],2))</f>
        <v>30</v>
      </c>
      <c r="BF42">
        <f>IFERROR(+INDEX(Tabla4[Grupo],Tabla6[[#This Row],[Entidad]]),"")</f>
        <v>15</v>
      </c>
      <c r="BG42">
        <f t="shared" si="0"/>
        <v>480</v>
      </c>
      <c r="BH42">
        <v>0.6047131515277796</v>
      </c>
      <c r="BI42">
        <f>20+70*Tabla6[[#This Row],[A6]]</f>
        <v>62.329920606944569</v>
      </c>
      <c r="BJ42">
        <f>+IF(Tabla6[[#This Row],[Indice]]="","",Tabla6[[#This Row],[Empieza]]+Tabla6[[#This Row],[Tiempo carrera ]])</f>
        <v>542.3299206069446</v>
      </c>
      <c r="BK42" s="6">
        <f>IF(Tabla6[[#This Row],[Termina la carrera]]="","",IF(Tabla6[[#This Row],[Termina la carrera]]&gt;540,1,0))</f>
        <v>1</v>
      </c>
      <c r="BL42" s="6">
        <f>+IF(OR(Tabla6[[#This Row],[Despues de las 9]]=0,Tabla6[[#This Row],[Despues de las 9]]=""),"",Tabla6[[#This Row],[Despues de las 9]]*Tabla6[[#This Row],[Grupo ]])</f>
        <v>15</v>
      </c>
      <c r="BM42" s="6">
        <f>+IF(Tabla6[[#This Row],[grupo  despues de las 9]]="","",IF(MAX($BL$13:BL41)=Tabla6[[#This Row],[grupo  despues de las 9]],"",1))</f>
        <v>1</v>
      </c>
      <c r="BV42" s="18"/>
      <c r="BW42" s="19"/>
      <c r="BX42" s="19"/>
      <c r="BY42" s="19"/>
      <c r="BZ42" s="19"/>
      <c r="CA42" s="19"/>
      <c r="CB42" s="20"/>
    </row>
    <row r="43" spans="5:80" x14ac:dyDescent="0.25">
      <c r="E43" s="2">
        <v>31</v>
      </c>
      <c r="F43" s="5">
        <v>0.1596233478579776</v>
      </c>
      <c r="G43" s="2">
        <f t="shared" si="2"/>
        <v>0.17390509223678768</v>
      </c>
      <c r="H43" s="4">
        <f>+H42+Tabla2[[#This Row],[Tiempo Entre]]</f>
        <v>392.48462303485076</v>
      </c>
      <c r="I43" s="5">
        <v>0.10524772754230327</v>
      </c>
      <c r="J43" s="2">
        <f>+IF(Tabla2[[#This Row],[A2 ]]&lt;0.5,1,IF(Tabla2[[#This Row],[A2 ]]&lt;0.8,2,3))</f>
        <v>1</v>
      </c>
      <c r="L43" s="2">
        <f>+IF(AND(Tabla2[[#This Row],[Llegada]]&lt;=$B$16,P43&gt;0),1,"-")</f>
        <v>1</v>
      </c>
      <c r="M43" s="2">
        <f t="shared" si="3"/>
        <v>31</v>
      </c>
      <c r="N43" s="4">
        <f>+IF(L43=1,Tabla2[[#This Row],[Llegada]],"-")</f>
        <v>392.48462303485076</v>
      </c>
      <c r="O43" s="2">
        <f>+IF(L43=1,Tabla2[[#This Row],[Numero de integrantes]],"-")</f>
        <v>1</v>
      </c>
      <c r="P43" s="2">
        <f t="shared" si="4"/>
        <v>44</v>
      </c>
      <c r="Q43" s="2">
        <f>+IF(Tabla3[[#This Row],[Entra?]]=1,Q42+Tabla3[[#This Row],[Numero integrantes]],Q42)</f>
        <v>57</v>
      </c>
      <c r="S43" s="2">
        <f t="shared" si="5"/>
        <v>31</v>
      </c>
      <c r="T43" s="2">
        <f>+COUNTIF(Tabla3[Cuantos van],"&lt;"&amp;Tabla4[[#This Row],[Entidad]])+1</f>
        <v>15</v>
      </c>
      <c r="U43" s="2">
        <f>+INDEX(Tabla3[Llegada],Tabla4[[#This Row],[Grupo]])</f>
        <v>379.12557786076701</v>
      </c>
      <c r="V43" s="2">
        <f>+IF(Tabla4[[#This Row],[Hora llegada]]&gt;=Tabla4[[#This Row],[Disponibilidad M1]],0,1)</f>
        <v>1</v>
      </c>
      <c r="W43" s="2">
        <f>+IF(Tabla4[[#This Row],[Hora llegada]]&gt;=Tabla4[[#This Row],[Disponibilidad M2]],0,1)</f>
        <v>1</v>
      </c>
      <c r="X43" s="2">
        <f>+IF(Tabla4[[#This Row],[Hora llegada]]&gt;=Tabla4[[#This Row],[Disponibilidad M3]],0,1)</f>
        <v>1</v>
      </c>
      <c r="Y43" s="2" t="str">
        <f>+IF(Tabla5[[#This Row],[Quien me atiende]]=1,MAX(Tabla4[[#This Row],[Disponibilidad M1]],Tabla4[[#This Row],[Hora llegada]]),"-")</f>
        <v>-</v>
      </c>
      <c r="Z43" s="2" t="str">
        <f>+IF(Tabla5[[#This Row],[Quien me atiende]]=2,MAX(Tabla4[[#This Row],[Disponibilidad M2]],Tabla4[[#This Row],[Hora llegada]]),"-")</f>
        <v>-</v>
      </c>
      <c r="AA43" s="2">
        <f>+IF(Tabla5[[#This Row],[Quien me atiende]]=3,MAX(Tabla4[[#This Row],[Disponibilidad M3]],Tabla4[[#This Row],[Hora llegada]]),"-")</f>
        <v>400.90298740806986</v>
      </c>
      <c r="AB43" s="2">
        <f>+MAX($AG$13:AG42)</f>
        <v>401.83404322232434</v>
      </c>
      <c r="AC43" s="2">
        <f>+MAX($AH$13:AH42)</f>
        <v>402.7255557385302</v>
      </c>
      <c r="AD43" s="2">
        <f>+MAX($AI$13:AI42)</f>
        <v>400.90298740806986</v>
      </c>
      <c r="AE43" s="2">
        <v>0.12908760530802355</v>
      </c>
      <c r="AF43" s="2">
        <f>2+4.5*Tabla4[[#This Row],[A5]]</f>
        <v>2.5808942238861059</v>
      </c>
      <c r="AG43" s="2" t="str">
        <f>+IF(Tabla4[[#This Row],[Entrada M1]]="-","-",Tabla4[[#This Row],[Entrada M1]]+Tabla4[[#This Row],[Tiempo Atencion ]])</f>
        <v>-</v>
      </c>
      <c r="AH43" s="2" t="str">
        <f>+IF(Tabla4[[#This Row],[Entrada M2]]="-","-",Tabla4[[#This Row],[Entrada M2]]+Tabla4[[#This Row],[Tiempo Atencion ]])</f>
        <v>-</v>
      </c>
      <c r="AI43" s="2">
        <f>+IF(Tabla4[[#This Row],[Entrada M3]]="-","-",Tabla4[[#This Row],[Entrada M3]]+Tabla4[[#This Row],[Tiempo Atencion ]])</f>
        <v>403.48388163195597</v>
      </c>
      <c r="AJ43" s="11">
        <f>+MAX(Tabla4[[#This Row],[Salida M1]:[Salida M3]])</f>
        <v>403.48388163195597</v>
      </c>
      <c r="AK43" s="11" t="str">
        <f>+IF(Tabla4[[#This Row],[Salida]]&lt;=$B$17,"Entra","No Entra")</f>
        <v>Entra</v>
      </c>
      <c r="AL43" s="11">
        <f>+IF(Tabla4[[#This Row],[Entra  a la carrera]]="Entra",0,Tabla4[[#This Row],[Grupo]])</f>
        <v>0</v>
      </c>
      <c r="AM43" s="11">
        <f>_xlfn.IFNA(VLOOKUP(Tabla4[[#This Row],[Grupo]],Tabla4[Grupos por fuera],1,FALSE),0)</f>
        <v>0</v>
      </c>
      <c r="AN43" s="11" t="str">
        <f>+IF(Tabla4[[#This Row],[Me salgo por mi amigo el lento?]]=0, "Entra", "Chao")</f>
        <v>Entra</v>
      </c>
      <c r="AO43" s="11">
        <f>+IF(Tabla4[[#This Row],[Al fin entra o no]]="Entra",MAX($AO$13:AO42)+1,"")</f>
        <v>31</v>
      </c>
      <c r="AP43" s="11">
        <f>+Tabla4[[#This Row],[Entidad]]</f>
        <v>31</v>
      </c>
      <c r="AR43">
        <v>0.57243232339705841</v>
      </c>
      <c r="AS43">
        <f>+IF(Tabla5[[#This Row],[A3]]&lt;0.5,2,3)</f>
        <v>3</v>
      </c>
      <c r="AT43">
        <f>+IF(Tabla5[[#This Row],[A3]]&lt;0.5,1,3)</f>
        <v>3</v>
      </c>
      <c r="AU43">
        <f>+IF(Tabla5[[#This Row],[A3]]&lt;0.5,1,2)</f>
        <v>2</v>
      </c>
      <c r="AV43" s="6">
        <f>+IF(Tabla5[[#This Row],[A3]]&lt;0.33,1,IF(Tabla5[[#This Row],[A3]]&lt;0.66,2,3))</f>
        <v>2</v>
      </c>
      <c r="AW4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43" s="6">
        <f>+SUM(Tabla4[[#This Row],[Ocupacion M1]:[Ocupacion M3]])</f>
        <v>3</v>
      </c>
      <c r="AY43" s="6">
        <f>+IF(Tabla4[[#This Row],[Ocupacion M1]]=1,1,IF(Tabla4[[#This Row],[Ocupacion M2]]=1,2,3))</f>
        <v>1</v>
      </c>
      <c r="AZ43" s="6">
        <f>+INDEX(Tabla5[[#This Row],[Si 1 esta ocupado]:[Si 3 esta ocupado]],Tabla5[[#This Row],[Estado si = 1]])</f>
        <v>3</v>
      </c>
      <c r="BA43" s="6">
        <f>+IF(Tabla4[[#This Row],[Ocupacion M1]]= 0,1,IF(Tabla4[[#This Row],[Ocupacion M2]]=0,2,3))</f>
        <v>3</v>
      </c>
      <c r="BB4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43">
        <f t="shared" si="6"/>
        <v>31</v>
      </c>
      <c r="BE43">
        <f>+IF(Tabla6[[#This Row],[Indice]]="","",VLOOKUP(Tabla6[[#This Row],[Indice]],Tabla4[[Corre]:[Entidad2]],2))</f>
        <v>31</v>
      </c>
      <c r="BF43">
        <f>IFERROR(+INDEX(Tabla4[Grupo],Tabla6[[#This Row],[Entidad]]),"")</f>
        <v>15</v>
      </c>
      <c r="BG43">
        <f t="shared" si="0"/>
        <v>480</v>
      </c>
      <c r="BH43">
        <v>0.90295965660764033</v>
      </c>
      <c r="BI43">
        <f>20+70*Tabla6[[#This Row],[A6]]</f>
        <v>83.207175962534819</v>
      </c>
      <c r="BJ43">
        <f>+IF(Tabla6[[#This Row],[Indice]]="","",Tabla6[[#This Row],[Empieza]]+Tabla6[[#This Row],[Tiempo carrera ]])</f>
        <v>563.20717596253485</v>
      </c>
      <c r="BK43" s="6">
        <f>IF(Tabla6[[#This Row],[Termina la carrera]]="","",IF(Tabla6[[#This Row],[Termina la carrera]]&gt;540,1,0))</f>
        <v>1</v>
      </c>
      <c r="BL43" s="6">
        <f>+IF(OR(Tabla6[[#This Row],[Despues de las 9]]=0,Tabla6[[#This Row],[Despues de las 9]]=""),"",Tabla6[[#This Row],[Despues de las 9]]*Tabla6[[#This Row],[Grupo ]])</f>
        <v>15</v>
      </c>
      <c r="BM43" s="6" t="str">
        <f>+IF(Tabla6[[#This Row],[grupo  despues de las 9]]="","",IF(MAX($BL$13:BL42)=Tabla6[[#This Row],[grupo  despues de las 9]],"",1))</f>
        <v/>
      </c>
    </row>
    <row r="44" spans="5:80" ht="15.75" thickBot="1" x14ac:dyDescent="0.3">
      <c r="E44" s="2">
        <v>32</v>
      </c>
      <c r="F44" s="5">
        <v>0.68515761338760472</v>
      </c>
      <c r="G44" s="2">
        <f t="shared" si="2"/>
        <v>1.1556831253389714</v>
      </c>
      <c r="H44" s="4">
        <f>+H43+Tabla2[[#This Row],[Tiempo Entre]]</f>
        <v>393.64030616018971</v>
      </c>
      <c r="I44" s="5">
        <v>0.47570192684217472</v>
      </c>
      <c r="J44" s="2">
        <f>+IF(Tabla2[[#This Row],[A2 ]]&lt;0.5,1,IF(Tabla2[[#This Row],[A2 ]]&lt;0.8,2,3))</f>
        <v>1</v>
      </c>
      <c r="L44" s="2">
        <f>+IF(AND(Tabla2[[#This Row],[Llegada]]&lt;=$B$16,P44&gt;0),1,"-")</f>
        <v>1</v>
      </c>
      <c r="M44" s="2">
        <f t="shared" si="3"/>
        <v>32</v>
      </c>
      <c r="N44" s="4">
        <f>+IF(L44=1,Tabla2[[#This Row],[Llegada]],"-")</f>
        <v>393.64030616018971</v>
      </c>
      <c r="O44" s="2">
        <f>+IF(L44=1,Tabla2[[#This Row],[Numero de integrantes]],"-")</f>
        <v>1</v>
      </c>
      <c r="P44" s="2">
        <f t="shared" si="4"/>
        <v>43</v>
      </c>
      <c r="Q44" s="2">
        <f>+IF(Tabla3[[#This Row],[Entra?]]=1,Q43+Tabla3[[#This Row],[Numero integrantes]],Q43)</f>
        <v>58</v>
      </c>
      <c r="S44" s="2">
        <f t="shared" si="5"/>
        <v>32</v>
      </c>
      <c r="T44" s="2">
        <f>+COUNTIF(Tabla3[Cuantos van],"&lt;"&amp;Tabla4[[#This Row],[Entidad]])+1</f>
        <v>16</v>
      </c>
      <c r="U44" s="2">
        <f>+INDEX(Tabla3[Llegada],Tabla4[[#This Row],[Grupo]])</f>
        <v>380.46135280567006</v>
      </c>
      <c r="V44" s="2">
        <f>+IF(Tabla4[[#This Row],[Hora llegada]]&gt;=Tabla4[[#This Row],[Disponibilidad M1]],0,1)</f>
        <v>1</v>
      </c>
      <c r="W44" s="2">
        <f>+IF(Tabla4[[#This Row],[Hora llegada]]&gt;=Tabla4[[#This Row],[Disponibilidad M2]],0,1)</f>
        <v>1</v>
      </c>
      <c r="X44" s="2">
        <f>+IF(Tabla4[[#This Row],[Hora llegada]]&gt;=Tabla4[[#This Row],[Disponibilidad M3]],0,1)</f>
        <v>1</v>
      </c>
      <c r="Y44" s="2">
        <f>+IF(Tabla5[[#This Row],[Quien me atiende]]=1,MAX(Tabla4[[#This Row],[Disponibilidad M1]],Tabla4[[#This Row],[Hora llegada]]),"-")</f>
        <v>401.83404322232434</v>
      </c>
      <c r="Z44" s="2" t="str">
        <f>+IF(Tabla5[[#This Row],[Quien me atiende]]=2,MAX(Tabla4[[#This Row],[Disponibilidad M2]],Tabla4[[#This Row],[Hora llegada]]),"-")</f>
        <v>-</v>
      </c>
      <c r="AA44" s="2" t="str">
        <f>+IF(Tabla5[[#This Row],[Quien me atiende]]=3,MAX(Tabla4[[#This Row],[Disponibilidad M3]],Tabla4[[#This Row],[Hora llegada]]),"-")</f>
        <v>-</v>
      </c>
      <c r="AB44" s="2">
        <f>+MAX($AG$13:AG43)</f>
        <v>401.83404322232434</v>
      </c>
      <c r="AC44" s="2">
        <f>+MAX($AH$13:AH43)</f>
        <v>402.7255557385302</v>
      </c>
      <c r="AD44" s="2">
        <f>+MAX($AI$13:AI43)</f>
        <v>403.48388163195597</v>
      </c>
      <c r="AE44" s="2">
        <v>0.4966758711643855</v>
      </c>
      <c r="AF44" s="2">
        <f>2+4.5*Tabla4[[#This Row],[A5]]</f>
        <v>4.2350414202397353</v>
      </c>
      <c r="AG44" s="2">
        <f>+IF(Tabla4[[#This Row],[Entrada M1]]="-","-",Tabla4[[#This Row],[Entrada M1]]+Tabla4[[#This Row],[Tiempo Atencion ]])</f>
        <v>406.06908464256406</v>
      </c>
      <c r="AH44" s="2" t="str">
        <f>+IF(Tabla4[[#This Row],[Entrada M2]]="-","-",Tabla4[[#This Row],[Entrada M2]]+Tabla4[[#This Row],[Tiempo Atencion ]])</f>
        <v>-</v>
      </c>
      <c r="AI44" s="2" t="str">
        <f>+IF(Tabla4[[#This Row],[Entrada M3]]="-","-",Tabla4[[#This Row],[Entrada M3]]+Tabla4[[#This Row],[Tiempo Atencion ]])</f>
        <v>-</v>
      </c>
      <c r="AJ44" s="11">
        <f>+MAX(Tabla4[[#This Row],[Salida M1]:[Salida M3]])</f>
        <v>406.06908464256406</v>
      </c>
      <c r="AK44" s="11" t="str">
        <f>+IF(Tabla4[[#This Row],[Salida]]&lt;=$B$17,"Entra","No Entra")</f>
        <v>Entra</v>
      </c>
      <c r="AL44" s="11">
        <f>+IF(Tabla4[[#This Row],[Entra  a la carrera]]="Entra",0,Tabla4[[#This Row],[Grupo]])</f>
        <v>0</v>
      </c>
      <c r="AM44" s="11">
        <f>_xlfn.IFNA(VLOOKUP(Tabla4[[#This Row],[Grupo]],Tabla4[Grupos por fuera],1,FALSE),0)</f>
        <v>0</v>
      </c>
      <c r="AN44" s="11" t="str">
        <f>+IF(Tabla4[[#This Row],[Me salgo por mi amigo el lento?]]=0, "Entra", "Chao")</f>
        <v>Entra</v>
      </c>
      <c r="AO44" s="11">
        <f>+IF(Tabla4[[#This Row],[Al fin entra o no]]="Entra",MAX($AO$13:AO43)+1,"")</f>
        <v>32</v>
      </c>
      <c r="AP44" s="11">
        <f>+Tabla4[[#This Row],[Entidad]]</f>
        <v>32</v>
      </c>
      <c r="AR44">
        <v>0.62702873639952372</v>
      </c>
      <c r="AS44">
        <f>+IF(Tabla5[[#This Row],[A3]]&lt;0.5,2,3)</f>
        <v>3</v>
      </c>
      <c r="AT44">
        <f>+IF(Tabla5[[#This Row],[A3]]&lt;0.5,1,3)</f>
        <v>3</v>
      </c>
      <c r="AU44">
        <f>+IF(Tabla5[[#This Row],[A3]]&lt;0.5,1,2)</f>
        <v>2</v>
      </c>
      <c r="AV44" s="6">
        <f>+IF(Tabla5[[#This Row],[A3]]&lt;0.33,1,IF(Tabla5[[#This Row],[A3]]&lt;0.66,2,3))</f>
        <v>2</v>
      </c>
      <c r="AW4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44" s="6">
        <f>+SUM(Tabla4[[#This Row],[Ocupacion M1]:[Ocupacion M3]])</f>
        <v>3</v>
      </c>
      <c r="AY44" s="6">
        <f>+IF(Tabla4[[#This Row],[Ocupacion M1]]=1,1,IF(Tabla4[[#This Row],[Ocupacion M2]]=1,2,3))</f>
        <v>1</v>
      </c>
      <c r="AZ44" s="6">
        <f>+INDEX(Tabla5[[#This Row],[Si 1 esta ocupado]:[Si 3 esta ocupado]],Tabla5[[#This Row],[Estado si = 1]])</f>
        <v>3</v>
      </c>
      <c r="BA44" s="6">
        <f>+IF(Tabla4[[#This Row],[Ocupacion M1]]= 0,1,IF(Tabla4[[#This Row],[Ocupacion M2]]=0,2,3))</f>
        <v>3</v>
      </c>
      <c r="BB4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44">
        <f t="shared" si="6"/>
        <v>32</v>
      </c>
      <c r="BE44">
        <f>+IF(Tabla6[[#This Row],[Indice]]="","",VLOOKUP(Tabla6[[#This Row],[Indice]],Tabla4[[Corre]:[Entidad2]],2))</f>
        <v>32</v>
      </c>
      <c r="BF44">
        <f>IFERROR(+INDEX(Tabla4[Grupo],Tabla6[[#This Row],[Entidad]]),"")</f>
        <v>16</v>
      </c>
      <c r="BG44">
        <f t="shared" si="0"/>
        <v>480</v>
      </c>
      <c r="BH44">
        <v>0.18017192704603824</v>
      </c>
      <c r="BI44">
        <f>20+70*Tabla6[[#This Row],[A6]]</f>
        <v>32.612034893222678</v>
      </c>
      <c r="BJ44">
        <f>+IF(Tabla6[[#This Row],[Indice]]="","",Tabla6[[#This Row],[Empieza]]+Tabla6[[#This Row],[Tiempo carrera ]])</f>
        <v>512.6120348932227</v>
      </c>
      <c r="BK44" s="6">
        <f>IF(Tabla6[[#This Row],[Termina la carrera]]="","",IF(Tabla6[[#This Row],[Termina la carrera]]&gt;540,1,0))</f>
        <v>0</v>
      </c>
      <c r="BL44" s="6" t="str">
        <f>+IF(OR(Tabla6[[#This Row],[Despues de las 9]]=0,Tabla6[[#This Row],[Despues de las 9]]=""),"",Tabla6[[#This Row],[Despues de las 9]]*Tabla6[[#This Row],[Grupo ]])</f>
        <v/>
      </c>
      <c r="BM44" s="6" t="str">
        <f>+IF(Tabla6[[#This Row],[grupo  despues de las 9]]="","",IF(MAX($BL$13:BL43)=Tabla6[[#This Row],[grupo  despues de las 9]],"",1))</f>
        <v/>
      </c>
    </row>
    <row r="45" spans="5:80" ht="15.75" thickBot="1" x14ac:dyDescent="0.3">
      <c r="E45" s="2">
        <v>33</v>
      </c>
      <c r="F45" s="5">
        <v>0.41057951009761018</v>
      </c>
      <c r="G45" s="2">
        <f t="shared" si="2"/>
        <v>0.52861544528145654</v>
      </c>
      <c r="H45" s="4">
        <f>+H44+Tabla2[[#This Row],[Tiempo Entre]]</f>
        <v>394.16892160547116</v>
      </c>
      <c r="I45" s="5">
        <v>0.66401979486003548</v>
      </c>
      <c r="J45" s="2">
        <f>+IF(Tabla2[[#This Row],[A2 ]]&lt;0.5,1,IF(Tabla2[[#This Row],[A2 ]]&lt;0.8,2,3))</f>
        <v>2</v>
      </c>
      <c r="L45" s="2">
        <f>+IF(AND(Tabla2[[#This Row],[Llegada]]&lt;=$B$16,P45&gt;0),1,"-")</f>
        <v>1</v>
      </c>
      <c r="M45" s="2">
        <f t="shared" si="3"/>
        <v>33</v>
      </c>
      <c r="N45" s="4">
        <f>+IF(L45=1,Tabla2[[#This Row],[Llegada]],"-")</f>
        <v>394.16892160547116</v>
      </c>
      <c r="O45" s="2">
        <f>+IF(L45=1,Tabla2[[#This Row],[Numero de integrantes]],"-")</f>
        <v>2</v>
      </c>
      <c r="P45" s="2">
        <f t="shared" si="4"/>
        <v>42</v>
      </c>
      <c r="Q45" s="2">
        <f>+IF(Tabla3[[#This Row],[Entra?]]=1,Q44+Tabla3[[#This Row],[Numero integrantes]],Q44)</f>
        <v>60</v>
      </c>
      <c r="S45" s="2">
        <f t="shared" si="5"/>
        <v>33</v>
      </c>
      <c r="T45" s="2">
        <f>+COUNTIF(Tabla3[Cuantos van],"&lt;"&amp;Tabla4[[#This Row],[Entidad]])+1</f>
        <v>17</v>
      </c>
      <c r="U45" s="2">
        <f>+INDEX(Tabla3[Llegada],Tabla4[[#This Row],[Grupo]])</f>
        <v>380.84022658860977</v>
      </c>
      <c r="V45" s="2">
        <f>+IF(Tabla4[[#This Row],[Hora llegada]]&gt;=Tabla4[[#This Row],[Disponibilidad M1]],0,1)</f>
        <v>1</v>
      </c>
      <c r="W45" s="2">
        <f>+IF(Tabla4[[#This Row],[Hora llegada]]&gt;=Tabla4[[#This Row],[Disponibilidad M2]],0,1)</f>
        <v>1</v>
      </c>
      <c r="X45" s="2">
        <f>+IF(Tabla4[[#This Row],[Hora llegada]]&gt;=Tabla4[[#This Row],[Disponibilidad M3]],0,1)</f>
        <v>1</v>
      </c>
      <c r="Y45" s="2" t="str">
        <f>+IF(Tabla5[[#This Row],[Quien me atiende]]=1,MAX(Tabla4[[#This Row],[Disponibilidad M1]],Tabla4[[#This Row],[Hora llegada]]),"-")</f>
        <v>-</v>
      </c>
      <c r="Z45" s="2">
        <f>+IF(Tabla5[[#This Row],[Quien me atiende]]=2,MAX(Tabla4[[#This Row],[Disponibilidad M2]],Tabla4[[#This Row],[Hora llegada]]),"-")</f>
        <v>402.7255557385302</v>
      </c>
      <c r="AA45" s="2" t="str">
        <f>+IF(Tabla5[[#This Row],[Quien me atiende]]=3,MAX(Tabla4[[#This Row],[Disponibilidad M3]],Tabla4[[#This Row],[Hora llegada]]),"-")</f>
        <v>-</v>
      </c>
      <c r="AB45" s="2">
        <f>+MAX($AG$13:AG44)</f>
        <v>406.06908464256406</v>
      </c>
      <c r="AC45" s="2">
        <f>+MAX($AH$13:AH44)</f>
        <v>402.7255557385302</v>
      </c>
      <c r="AD45" s="2">
        <f>+MAX($AI$13:AI44)</f>
        <v>403.48388163195597</v>
      </c>
      <c r="AE45" s="2">
        <v>0.62752926843440637</v>
      </c>
      <c r="AF45" s="2">
        <f>2+4.5*Tabla4[[#This Row],[A5]]</f>
        <v>4.8238817079548291</v>
      </c>
      <c r="AG45" s="2" t="str">
        <f>+IF(Tabla4[[#This Row],[Entrada M1]]="-","-",Tabla4[[#This Row],[Entrada M1]]+Tabla4[[#This Row],[Tiempo Atencion ]])</f>
        <v>-</v>
      </c>
      <c r="AH45" s="2">
        <f>+IF(Tabla4[[#This Row],[Entrada M2]]="-","-",Tabla4[[#This Row],[Entrada M2]]+Tabla4[[#This Row],[Tiempo Atencion ]])</f>
        <v>407.54943744648506</v>
      </c>
      <c r="AI45" s="2" t="str">
        <f>+IF(Tabla4[[#This Row],[Entrada M3]]="-","-",Tabla4[[#This Row],[Entrada M3]]+Tabla4[[#This Row],[Tiempo Atencion ]])</f>
        <v>-</v>
      </c>
      <c r="AJ45" s="11">
        <f>+MAX(Tabla4[[#This Row],[Salida M1]:[Salida M3]])</f>
        <v>407.54943744648506</v>
      </c>
      <c r="AK45" s="11" t="str">
        <f>+IF(Tabla4[[#This Row],[Salida]]&lt;=$B$17,"Entra","No Entra")</f>
        <v>Entra</v>
      </c>
      <c r="AL45" s="11">
        <f>+IF(Tabla4[[#This Row],[Entra  a la carrera]]="Entra",0,Tabla4[[#This Row],[Grupo]])</f>
        <v>0</v>
      </c>
      <c r="AM45" s="11">
        <f>_xlfn.IFNA(VLOOKUP(Tabla4[[#This Row],[Grupo]],Tabla4[Grupos por fuera],1,FALSE),0)</f>
        <v>0</v>
      </c>
      <c r="AN45" s="11" t="str">
        <f>+IF(Tabla4[[#This Row],[Me salgo por mi amigo el lento?]]=0, "Entra", "Chao")</f>
        <v>Entra</v>
      </c>
      <c r="AO45" s="11">
        <f>+IF(Tabla4[[#This Row],[Al fin entra o no]]="Entra",MAX($AO$13:AO44)+1,"")</f>
        <v>33</v>
      </c>
      <c r="AP45" s="11">
        <f>+Tabla4[[#This Row],[Entidad]]</f>
        <v>33</v>
      </c>
      <c r="AR45">
        <v>1.578000204087604E-2</v>
      </c>
      <c r="AS45">
        <f>+IF(Tabla5[[#This Row],[A3]]&lt;0.5,2,3)</f>
        <v>2</v>
      </c>
      <c r="AT45">
        <f>+IF(Tabla5[[#This Row],[A3]]&lt;0.5,1,3)</f>
        <v>1</v>
      </c>
      <c r="AU45">
        <f>+IF(Tabla5[[#This Row],[A3]]&lt;0.5,1,2)</f>
        <v>1</v>
      </c>
      <c r="AV45" s="6">
        <f>+IF(Tabla5[[#This Row],[A3]]&lt;0.33,1,IF(Tabla5[[#This Row],[A3]]&lt;0.66,2,3))</f>
        <v>1</v>
      </c>
      <c r="AW4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45" s="6">
        <f>+SUM(Tabla4[[#This Row],[Ocupacion M1]:[Ocupacion M3]])</f>
        <v>3</v>
      </c>
      <c r="AY45" s="6">
        <f>+IF(Tabla4[[#This Row],[Ocupacion M1]]=1,1,IF(Tabla4[[#This Row],[Ocupacion M2]]=1,2,3))</f>
        <v>1</v>
      </c>
      <c r="AZ45" s="6">
        <f>+INDEX(Tabla5[[#This Row],[Si 1 esta ocupado]:[Si 3 esta ocupado]],Tabla5[[#This Row],[Estado si = 1]])</f>
        <v>2</v>
      </c>
      <c r="BA45" s="6">
        <f>+IF(Tabla4[[#This Row],[Ocupacion M1]]= 0,1,IF(Tabla4[[#This Row],[Ocupacion M2]]=0,2,3))</f>
        <v>3</v>
      </c>
      <c r="BB4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45">
        <f t="shared" si="6"/>
        <v>33</v>
      </c>
      <c r="BE45">
        <f>+IF(Tabla6[[#This Row],[Indice]]="","",VLOOKUP(Tabla6[[#This Row],[Indice]],Tabla4[[Corre]:[Entidad2]],2))</f>
        <v>33</v>
      </c>
      <c r="BF45">
        <f>IFERROR(+INDEX(Tabla4[Grupo],Tabla6[[#This Row],[Entidad]]),"")</f>
        <v>17</v>
      </c>
      <c r="BG45">
        <f t="shared" ref="BG45:BG76" si="7">+$B$17</f>
        <v>480</v>
      </c>
      <c r="BH45">
        <v>0.68961748069970208</v>
      </c>
      <c r="BI45">
        <f>20+70*Tabla6[[#This Row],[A6]]</f>
        <v>68.273223648979155</v>
      </c>
      <c r="BJ45">
        <f>+IF(Tabla6[[#This Row],[Indice]]="","",Tabla6[[#This Row],[Empieza]]+Tabla6[[#This Row],[Tiempo carrera ]])</f>
        <v>548.27322364897918</v>
      </c>
      <c r="BK45" s="6">
        <f>IF(Tabla6[[#This Row],[Termina la carrera]]="","",IF(Tabla6[[#This Row],[Termina la carrera]]&gt;540,1,0))</f>
        <v>1</v>
      </c>
      <c r="BL45" s="6">
        <f>+IF(OR(Tabla6[[#This Row],[Despues de las 9]]=0,Tabla6[[#This Row],[Despues de las 9]]=""),"",Tabla6[[#This Row],[Despues de las 9]]*Tabla6[[#This Row],[Grupo ]])</f>
        <v>17</v>
      </c>
      <c r="BM45" s="6">
        <f>+IF(Tabla6[[#This Row],[grupo  despues de las 9]]="","",IF(MAX($BL$13:BL44)=Tabla6[[#This Row],[grupo  despues de las 9]],"",1))</f>
        <v>1</v>
      </c>
      <c r="BV45" s="12"/>
      <c r="BW45" s="13"/>
      <c r="BX45" s="13"/>
      <c r="BY45" s="13"/>
      <c r="BZ45" s="13"/>
      <c r="CA45" s="13"/>
      <c r="CB45" s="14"/>
    </row>
    <row r="46" spans="5:80" ht="21.75" thickBot="1" x14ac:dyDescent="0.4">
      <c r="E46" s="2">
        <v>34</v>
      </c>
      <c r="F46" s="5">
        <v>0.14467236000819628</v>
      </c>
      <c r="G46" s="2">
        <f t="shared" si="2"/>
        <v>0.1562706787807577</v>
      </c>
      <c r="H46" s="4">
        <f>+H45+Tabla2[[#This Row],[Tiempo Entre]]</f>
        <v>394.3251922842519</v>
      </c>
      <c r="I46" s="5">
        <v>0.86919189133838737</v>
      </c>
      <c r="J46" s="2">
        <f>+IF(Tabla2[[#This Row],[A2 ]]&lt;0.5,1,IF(Tabla2[[#This Row],[A2 ]]&lt;0.8,2,3))</f>
        <v>3</v>
      </c>
      <c r="L46" s="2">
        <f>+IF(AND(Tabla2[[#This Row],[Llegada]]&lt;=$B$16,P46&gt;0),1,"-")</f>
        <v>1</v>
      </c>
      <c r="M46" s="2">
        <f t="shared" si="3"/>
        <v>34</v>
      </c>
      <c r="N46" s="4">
        <f>+IF(L46=1,Tabla2[[#This Row],[Llegada]],"-")</f>
        <v>394.3251922842519</v>
      </c>
      <c r="O46" s="2">
        <f>+IF(L46=1,Tabla2[[#This Row],[Numero de integrantes]],"-")</f>
        <v>3</v>
      </c>
      <c r="P46" s="2">
        <f t="shared" si="4"/>
        <v>40</v>
      </c>
      <c r="Q46" s="2">
        <f>+IF(Tabla3[[#This Row],[Entra?]]=1,Q45+Tabla3[[#This Row],[Numero integrantes]],Q45)</f>
        <v>63</v>
      </c>
      <c r="S46" s="2">
        <f t="shared" si="5"/>
        <v>34</v>
      </c>
      <c r="T46" s="2">
        <f>+COUNTIF(Tabla3[Cuantos van],"&lt;"&amp;Tabla4[[#This Row],[Entidad]])+1</f>
        <v>17</v>
      </c>
      <c r="U46" s="2">
        <f>+INDEX(Tabla3[Llegada],Tabla4[[#This Row],[Grupo]])</f>
        <v>380.84022658860977</v>
      </c>
      <c r="V46" s="2">
        <f>+IF(Tabla4[[#This Row],[Hora llegada]]&gt;=Tabla4[[#This Row],[Disponibilidad M1]],0,1)</f>
        <v>1</v>
      </c>
      <c r="W46" s="2">
        <f>+IF(Tabla4[[#This Row],[Hora llegada]]&gt;=Tabla4[[#This Row],[Disponibilidad M2]],0,1)</f>
        <v>1</v>
      </c>
      <c r="X46" s="2">
        <f>+IF(Tabla4[[#This Row],[Hora llegada]]&gt;=Tabla4[[#This Row],[Disponibilidad M3]],0,1)</f>
        <v>1</v>
      </c>
      <c r="Y46" s="2" t="str">
        <f>+IF(Tabla5[[#This Row],[Quien me atiende]]=1,MAX(Tabla4[[#This Row],[Disponibilidad M1]],Tabla4[[#This Row],[Hora llegada]]),"-")</f>
        <v>-</v>
      </c>
      <c r="Z46" s="2" t="str">
        <f>+IF(Tabla5[[#This Row],[Quien me atiende]]=2,MAX(Tabla4[[#This Row],[Disponibilidad M2]],Tabla4[[#This Row],[Hora llegada]]),"-")</f>
        <v>-</v>
      </c>
      <c r="AA46" s="2">
        <f>+IF(Tabla5[[#This Row],[Quien me atiende]]=3,MAX(Tabla4[[#This Row],[Disponibilidad M3]],Tabla4[[#This Row],[Hora llegada]]),"-")</f>
        <v>403.48388163195597</v>
      </c>
      <c r="AB46" s="2">
        <f>+MAX($AG$13:AG45)</f>
        <v>406.06908464256406</v>
      </c>
      <c r="AC46" s="2">
        <f>+MAX($AH$13:AH45)</f>
        <v>407.54943744648506</v>
      </c>
      <c r="AD46" s="2">
        <f>+MAX($AI$13:AI45)</f>
        <v>403.48388163195597</v>
      </c>
      <c r="AE46" s="2">
        <v>0.85888536070944588</v>
      </c>
      <c r="AF46" s="2">
        <f>2+4.5*Tabla4[[#This Row],[A5]]</f>
        <v>5.8649841231925066</v>
      </c>
      <c r="AG46" s="2" t="str">
        <f>+IF(Tabla4[[#This Row],[Entrada M1]]="-","-",Tabla4[[#This Row],[Entrada M1]]+Tabla4[[#This Row],[Tiempo Atencion ]])</f>
        <v>-</v>
      </c>
      <c r="AH46" s="2" t="str">
        <f>+IF(Tabla4[[#This Row],[Entrada M2]]="-","-",Tabla4[[#This Row],[Entrada M2]]+Tabla4[[#This Row],[Tiempo Atencion ]])</f>
        <v>-</v>
      </c>
      <c r="AI46" s="2">
        <f>+IF(Tabla4[[#This Row],[Entrada M3]]="-","-",Tabla4[[#This Row],[Entrada M3]]+Tabla4[[#This Row],[Tiempo Atencion ]])</f>
        <v>409.34886575514849</v>
      </c>
      <c r="AJ46" s="11">
        <f>+MAX(Tabla4[[#This Row],[Salida M1]:[Salida M3]])</f>
        <v>409.34886575514849</v>
      </c>
      <c r="AK46" s="11" t="str">
        <f>+IF(Tabla4[[#This Row],[Salida]]&lt;=$B$17,"Entra","No Entra")</f>
        <v>Entra</v>
      </c>
      <c r="AL46" s="11">
        <f>+IF(Tabla4[[#This Row],[Entra  a la carrera]]="Entra",0,Tabla4[[#This Row],[Grupo]])</f>
        <v>0</v>
      </c>
      <c r="AM46" s="11">
        <f>_xlfn.IFNA(VLOOKUP(Tabla4[[#This Row],[Grupo]],Tabla4[Grupos por fuera],1,FALSE),0)</f>
        <v>0</v>
      </c>
      <c r="AN46" s="11" t="str">
        <f>+IF(Tabla4[[#This Row],[Me salgo por mi amigo el lento?]]=0, "Entra", "Chao")</f>
        <v>Entra</v>
      </c>
      <c r="AO46" s="11">
        <f>+IF(Tabla4[[#This Row],[Al fin entra o no]]="Entra",MAX($AO$13:AO45)+1,"")</f>
        <v>34</v>
      </c>
      <c r="AP46" s="11">
        <f>+Tabla4[[#This Row],[Entidad]]</f>
        <v>34</v>
      </c>
      <c r="AR46">
        <v>0.27570414236152674</v>
      </c>
      <c r="AS46">
        <f>+IF(Tabla5[[#This Row],[A3]]&lt;0.5,2,3)</f>
        <v>2</v>
      </c>
      <c r="AT46">
        <f>+IF(Tabla5[[#This Row],[A3]]&lt;0.5,1,3)</f>
        <v>1</v>
      </c>
      <c r="AU46">
        <f>+IF(Tabla5[[#This Row],[A3]]&lt;0.5,1,2)</f>
        <v>1</v>
      </c>
      <c r="AV46" s="6">
        <f>+IF(Tabla5[[#This Row],[A3]]&lt;0.33,1,IF(Tabla5[[#This Row],[A3]]&lt;0.66,2,3))</f>
        <v>1</v>
      </c>
      <c r="AW4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46" s="6">
        <f>+SUM(Tabla4[[#This Row],[Ocupacion M1]:[Ocupacion M3]])</f>
        <v>3</v>
      </c>
      <c r="AY46" s="6">
        <f>+IF(Tabla4[[#This Row],[Ocupacion M1]]=1,1,IF(Tabla4[[#This Row],[Ocupacion M2]]=1,2,3))</f>
        <v>1</v>
      </c>
      <c r="AZ46" s="6">
        <f>+INDEX(Tabla5[[#This Row],[Si 1 esta ocupado]:[Si 3 esta ocupado]],Tabla5[[#This Row],[Estado si = 1]])</f>
        <v>2</v>
      </c>
      <c r="BA46" s="6">
        <f>+IF(Tabla4[[#This Row],[Ocupacion M1]]= 0,1,IF(Tabla4[[#This Row],[Ocupacion M2]]=0,2,3))</f>
        <v>3</v>
      </c>
      <c r="BB4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46">
        <f t="shared" si="6"/>
        <v>34</v>
      </c>
      <c r="BE46">
        <f>+IF(Tabla6[[#This Row],[Indice]]="","",VLOOKUP(Tabla6[[#This Row],[Indice]],Tabla4[[Corre]:[Entidad2]],2))</f>
        <v>34</v>
      </c>
      <c r="BF46">
        <f>IFERROR(+INDEX(Tabla4[Grupo],Tabla6[[#This Row],[Entidad]]),"")</f>
        <v>17</v>
      </c>
      <c r="BG46">
        <f t="shared" si="7"/>
        <v>480</v>
      </c>
      <c r="BH46">
        <v>0.43589542897235678</v>
      </c>
      <c r="BI46">
        <f>20+70*Tabla6[[#This Row],[A6]]</f>
        <v>50.512680028064977</v>
      </c>
      <c r="BJ46">
        <f>+IF(Tabla6[[#This Row],[Indice]]="","",Tabla6[[#This Row],[Empieza]]+Tabla6[[#This Row],[Tiempo carrera ]])</f>
        <v>530.51268002806501</v>
      </c>
      <c r="BK46" s="6">
        <f>IF(Tabla6[[#This Row],[Termina la carrera]]="","",IF(Tabla6[[#This Row],[Termina la carrera]]&gt;540,1,0))</f>
        <v>0</v>
      </c>
      <c r="BL46" s="6" t="str">
        <f>+IF(OR(Tabla6[[#This Row],[Despues de las 9]]=0,Tabla6[[#This Row],[Despues de las 9]]=""),"",Tabla6[[#This Row],[Despues de las 9]]*Tabla6[[#This Row],[Grupo ]])</f>
        <v/>
      </c>
      <c r="BM46" s="6" t="str">
        <f>+IF(Tabla6[[#This Row],[grupo  despues de las 9]]="","",IF(MAX($BL$13:BL45)=Tabla6[[#This Row],[grupo  despues de las 9]],"",1))</f>
        <v/>
      </c>
      <c r="BV46" s="15"/>
      <c r="BW46" s="61" t="s">
        <v>94</v>
      </c>
      <c r="BX46" s="62"/>
      <c r="BY46" s="62"/>
      <c r="BZ46" s="62"/>
      <c r="CA46" s="63"/>
      <c r="CB46" s="16"/>
    </row>
    <row r="47" spans="5:80" x14ac:dyDescent="0.25">
      <c r="E47" s="2">
        <v>35</v>
      </c>
      <c r="F47" s="5">
        <v>0.31267691183279855</v>
      </c>
      <c r="G47" s="2">
        <f t="shared" si="2"/>
        <v>0.37495080885775695</v>
      </c>
      <c r="H47" s="4">
        <f>+H46+Tabla2[[#This Row],[Tiempo Entre]]</f>
        <v>394.70014309310966</v>
      </c>
      <c r="I47" s="5">
        <v>0.57047665534272973</v>
      </c>
      <c r="J47" s="2">
        <f>+IF(Tabla2[[#This Row],[A2 ]]&lt;0.5,1,IF(Tabla2[[#This Row],[A2 ]]&lt;0.8,2,3))</f>
        <v>2</v>
      </c>
      <c r="L47" s="2">
        <f>+IF(AND(Tabla2[[#This Row],[Llegada]]&lt;=$B$16,P47&gt;0),1,"-")</f>
        <v>1</v>
      </c>
      <c r="M47" s="2">
        <f t="shared" si="3"/>
        <v>35</v>
      </c>
      <c r="N47" s="4">
        <f>+IF(L47=1,Tabla2[[#This Row],[Llegada]],"-")</f>
        <v>394.70014309310966</v>
      </c>
      <c r="O47" s="2">
        <f>+IF(L47=1,Tabla2[[#This Row],[Numero de integrantes]],"-")</f>
        <v>2</v>
      </c>
      <c r="P47" s="2">
        <f t="shared" si="4"/>
        <v>37</v>
      </c>
      <c r="Q47" s="2">
        <f>+IF(Tabla3[[#This Row],[Entra?]]=1,Q46+Tabla3[[#This Row],[Numero integrantes]],Q46)</f>
        <v>65</v>
      </c>
      <c r="S47" s="2">
        <f t="shared" si="5"/>
        <v>35</v>
      </c>
      <c r="T47" s="2">
        <f>+COUNTIF(Tabla3[Cuantos van],"&lt;"&amp;Tabla4[[#This Row],[Entidad]])+1</f>
        <v>18</v>
      </c>
      <c r="U47" s="2">
        <f>+INDEX(Tabla3[Llegada],Tabla4[[#This Row],[Grupo]])</f>
        <v>380.99535405668814</v>
      </c>
      <c r="V47" s="2">
        <f>+IF(Tabla4[[#This Row],[Hora llegada]]&gt;=Tabla4[[#This Row],[Disponibilidad M1]],0,1)</f>
        <v>1</v>
      </c>
      <c r="W47" s="2">
        <f>+IF(Tabla4[[#This Row],[Hora llegada]]&gt;=Tabla4[[#This Row],[Disponibilidad M2]],0,1)</f>
        <v>1</v>
      </c>
      <c r="X47" s="2">
        <f>+IF(Tabla4[[#This Row],[Hora llegada]]&gt;=Tabla4[[#This Row],[Disponibilidad M3]],0,1)</f>
        <v>1</v>
      </c>
      <c r="Y47" s="2">
        <f>+IF(Tabla5[[#This Row],[Quien me atiende]]=1,MAX(Tabla4[[#This Row],[Disponibilidad M1]],Tabla4[[#This Row],[Hora llegada]]),"-")</f>
        <v>406.06908464256406</v>
      </c>
      <c r="Z47" s="2" t="str">
        <f>+IF(Tabla5[[#This Row],[Quien me atiende]]=2,MAX(Tabla4[[#This Row],[Disponibilidad M2]],Tabla4[[#This Row],[Hora llegada]]),"-")</f>
        <v>-</v>
      </c>
      <c r="AA47" s="2" t="str">
        <f>+IF(Tabla5[[#This Row],[Quien me atiende]]=3,MAX(Tabla4[[#This Row],[Disponibilidad M3]],Tabla4[[#This Row],[Hora llegada]]),"-")</f>
        <v>-</v>
      </c>
      <c r="AB47" s="2">
        <f>+MAX($AG$13:AG46)</f>
        <v>406.06908464256406</v>
      </c>
      <c r="AC47" s="2">
        <f>+MAX($AH$13:AH46)</f>
        <v>407.54943744648506</v>
      </c>
      <c r="AD47" s="2">
        <f>+MAX($AI$13:AI46)</f>
        <v>409.34886575514849</v>
      </c>
      <c r="AE47" s="2">
        <v>0.24220643459130353</v>
      </c>
      <c r="AF47" s="2">
        <f>2+4.5*Tabla4[[#This Row],[A5]]</f>
        <v>3.089928955660866</v>
      </c>
      <c r="AG47" s="2">
        <f>+IF(Tabla4[[#This Row],[Entrada M1]]="-","-",Tabla4[[#This Row],[Entrada M1]]+Tabla4[[#This Row],[Tiempo Atencion ]])</f>
        <v>409.15901359822493</v>
      </c>
      <c r="AH47" s="2" t="str">
        <f>+IF(Tabla4[[#This Row],[Entrada M2]]="-","-",Tabla4[[#This Row],[Entrada M2]]+Tabla4[[#This Row],[Tiempo Atencion ]])</f>
        <v>-</v>
      </c>
      <c r="AI47" s="2" t="str">
        <f>+IF(Tabla4[[#This Row],[Entrada M3]]="-","-",Tabla4[[#This Row],[Entrada M3]]+Tabla4[[#This Row],[Tiempo Atencion ]])</f>
        <v>-</v>
      </c>
      <c r="AJ47" s="11">
        <f>+MAX(Tabla4[[#This Row],[Salida M1]:[Salida M3]])</f>
        <v>409.15901359822493</v>
      </c>
      <c r="AK47" s="11" t="str">
        <f>+IF(Tabla4[[#This Row],[Salida]]&lt;=$B$17,"Entra","No Entra")</f>
        <v>Entra</v>
      </c>
      <c r="AL47" s="11">
        <f>+IF(Tabla4[[#This Row],[Entra  a la carrera]]="Entra",0,Tabla4[[#This Row],[Grupo]])</f>
        <v>0</v>
      </c>
      <c r="AM47" s="11">
        <f>_xlfn.IFNA(VLOOKUP(Tabla4[[#This Row],[Grupo]],Tabla4[Grupos por fuera],1,FALSE),0)</f>
        <v>0</v>
      </c>
      <c r="AN47" s="11" t="str">
        <f>+IF(Tabla4[[#This Row],[Me salgo por mi amigo el lento?]]=0, "Entra", "Chao")</f>
        <v>Entra</v>
      </c>
      <c r="AO47" s="11">
        <f>+IF(Tabla4[[#This Row],[Al fin entra o no]]="Entra",MAX($AO$13:AO46)+1,"")</f>
        <v>35</v>
      </c>
      <c r="AP47" s="11">
        <f>+Tabla4[[#This Row],[Entidad]]</f>
        <v>35</v>
      </c>
      <c r="AR47">
        <v>0.17638257049843131</v>
      </c>
      <c r="AS47">
        <f>+IF(Tabla5[[#This Row],[A3]]&lt;0.5,2,3)</f>
        <v>2</v>
      </c>
      <c r="AT47">
        <f>+IF(Tabla5[[#This Row],[A3]]&lt;0.5,1,3)</f>
        <v>1</v>
      </c>
      <c r="AU47">
        <f>+IF(Tabla5[[#This Row],[A3]]&lt;0.5,1,2)</f>
        <v>1</v>
      </c>
      <c r="AV47" s="6">
        <f>+IF(Tabla5[[#This Row],[A3]]&lt;0.33,1,IF(Tabla5[[#This Row],[A3]]&lt;0.66,2,3))</f>
        <v>1</v>
      </c>
      <c r="AW4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47" s="6">
        <f>+SUM(Tabla4[[#This Row],[Ocupacion M1]:[Ocupacion M3]])</f>
        <v>3</v>
      </c>
      <c r="AY47" s="6">
        <f>+IF(Tabla4[[#This Row],[Ocupacion M1]]=1,1,IF(Tabla4[[#This Row],[Ocupacion M2]]=1,2,3))</f>
        <v>1</v>
      </c>
      <c r="AZ47" s="6">
        <f>+INDEX(Tabla5[[#This Row],[Si 1 esta ocupado]:[Si 3 esta ocupado]],Tabla5[[#This Row],[Estado si = 1]])</f>
        <v>2</v>
      </c>
      <c r="BA47" s="6">
        <f>+IF(Tabla4[[#This Row],[Ocupacion M1]]= 0,1,IF(Tabla4[[#This Row],[Ocupacion M2]]=0,2,3))</f>
        <v>3</v>
      </c>
      <c r="BB4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47">
        <f t="shared" si="6"/>
        <v>35</v>
      </c>
      <c r="BE47">
        <f>+IF(Tabla6[[#This Row],[Indice]]="","",VLOOKUP(Tabla6[[#This Row],[Indice]],Tabla4[[Corre]:[Entidad2]],2))</f>
        <v>35</v>
      </c>
      <c r="BF47">
        <f>IFERROR(+INDEX(Tabla4[Grupo],Tabla6[[#This Row],[Entidad]]),"")</f>
        <v>18</v>
      </c>
      <c r="BG47">
        <f t="shared" si="7"/>
        <v>480</v>
      </c>
      <c r="BH47">
        <v>8.624868609772196E-2</v>
      </c>
      <c r="BI47">
        <f>20+70*Tabla6[[#This Row],[A6]]</f>
        <v>26.037408026840538</v>
      </c>
      <c r="BJ47">
        <f>+IF(Tabla6[[#This Row],[Indice]]="","",Tabla6[[#This Row],[Empieza]]+Tabla6[[#This Row],[Tiempo carrera ]])</f>
        <v>506.03740802684052</v>
      </c>
      <c r="BK47" s="6">
        <f>IF(Tabla6[[#This Row],[Termina la carrera]]="","",IF(Tabla6[[#This Row],[Termina la carrera]]&gt;540,1,0))</f>
        <v>0</v>
      </c>
      <c r="BL47" s="6" t="str">
        <f>+IF(OR(Tabla6[[#This Row],[Despues de las 9]]=0,Tabla6[[#This Row],[Despues de las 9]]=""),"",Tabla6[[#This Row],[Despues de las 9]]*Tabla6[[#This Row],[Grupo ]])</f>
        <v/>
      </c>
      <c r="BM47" s="6" t="str">
        <f>+IF(Tabla6[[#This Row],[grupo  despues de las 9]]="","",IF(MAX($BL$13:BL46)=Tabla6[[#This Row],[grupo  despues de las 9]],"",1))</f>
        <v/>
      </c>
      <c r="BV47" s="15"/>
      <c r="BW47" s="17"/>
      <c r="BX47" s="17"/>
      <c r="BY47" s="17"/>
      <c r="BZ47" s="17"/>
      <c r="CA47" s="17"/>
      <c r="CB47" s="16"/>
    </row>
    <row r="48" spans="5:80" ht="14.25" customHeight="1" x14ac:dyDescent="0.25">
      <c r="E48" s="2">
        <v>36</v>
      </c>
      <c r="F48" s="5">
        <v>0.28894086715534717</v>
      </c>
      <c r="G48" s="2">
        <f t="shared" si="2"/>
        <v>0.34099968407932874</v>
      </c>
      <c r="H48" s="4">
        <f>+H47+Tabla2[[#This Row],[Tiempo Entre]]</f>
        <v>395.04114277718901</v>
      </c>
      <c r="I48" s="5">
        <v>0.28516162208514761</v>
      </c>
      <c r="J48" s="2">
        <f>+IF(Tabla2[[#This Row],[A2 ]]&lt;0.5,1,IF(Tabla2[[#This Row],[A2 ]]&lt;0.8,2,3))</f>
        <v>1</v>
      </c>
      <c r="L48" s="2">
        <f>+IF(AND(Tabla2[[#This Row],[Llegada]]&lt;=$B$16,P48&gt;0),1,"-")</f>
        <v>1</v>
      </c>
      <c r="M48" s="2">
        <f t="shared" si="3"/>
        <v>36</v>
      </c>
      <c r="N48" s="4">
        <f>+IF(L48=1,Tabla2[[#This Row],[Llegada]],"-")</f>
        <v>395.04114277718901</v>
      </c>
      <c r="O48" s="2">
        <f>+IF(L48=1,Tabla2[[#This Row],[Numero de integrantes]],"-")</f>
        <v>1</v>
      </c>
      <c r="P48" s="2">
        <f t="shared" si="4"/>
        <v>35</v>
      </c>
      <c r="Q48" s="2">
        <f>+IF(Tabla3[[#This Row],[Entra?]]=1,Q47+Tabla3[[#This Row],[Numero integrantes]],Q47)</f>
        <v>66</v>
      </c>
      <c r="S48" s="2">
        <f t="shared" si="5"/>
        <v>36</v>
      </c>
      <c r="T48" s="2">
        <f>+COUNTIF(Tabla3[Cuantos van],"&lt;"&amp;Tabla4[[#This Row],[Entidad]])+1</f>
        <v>19</v>
      </c>
      <c r="U48" s="2">
        <f>+INDEX(Tabla3[Llegada],Tabla4[[#This Row],[Grupo]])</f>
        <v>381.84271379266585</v>
      </c>
      <c r="V48" s="2">
        <f>+IF(Tabla4[[#This Row],[Hora llegada]]&gt;=Tabla4[[#This Row],[Disponibilidad M1]],0,1)</f>
        <v>1</v>
      </c>
      <c r="W48" s="2">
        <f>+IF(Tabla4[[#This Row],[Hora llegada]]&gt;=Tabla4[[#This Row],[Disponibilidad M2]],0,1)</f>
        <v>1</v>
      </c>
      <c r="X48" s="2">
        <f>+IF(Tabla4[[#This Row],[Hora llegada]]&gt;=Tabla4[[#This Row],[Disponibilidad M3]],0,1)</f>
        <v>1</v>
      </c>
      <c r="Y48" s="2" t="str">
        <f>+IF(Tabla5[[#This Row],[Quien me atiende]]=1,MAX(Tabla4[[#This Row],[Disponibilidad M1]],Tabla4[[#This Row],[Hora llegada]]),"-")</f>
        <v>-</v>
      </c>
      <c r="Z48" s="2">
        <f>+IF(Tabla5[[#This Row],[Quien me atiende]]=2,MAX(Tabla4[[#This Row],[Disponibilidad M2]],Tabla4[[#This Row],[Hora llegada]]),"-")</f>
        <v>407.54943744648506</v>
      </c>
      <c r="AA48" s="2" t="str">
        <f>+IF(Tabla5[[#This Row],[Quien me atiende]]=3,MAX(Tabla4[[#This Row],[Disponibilidad M3]],Tabla4[[#This Row],[Hora llegada]]),"-")</f>
        <v>-</v>
      </c>
      <c r="AB48" s="2">
        <f>+MAX($AG$13:AG47)</f>
        <v>409.15901359822493</v>
      </c>
      <c r="AC48" s="2">
        <f>+MAX($AH$13:AH47)</f>
        <v>407.54943744648506</v>
      </c>
      <c r="AD48" s="2">
        <f>+MAX($AI$13:AI47)</f>
        <v>409.34886575514849</v>
      </c>
      <c r="AE48" s="2">
        <v>0.78188275846061184</v>
      </c>
      <c r="AF48" s="2">
        <f>2+4.5*Tabla4[[#This Row],[A5]]</f>
        <v>5.5184724130727538</v>
      </c>
      <c r="AG48" s="2" t="str">
        <f>+IF(Tabla4[[#This Row],[Entrada M1]]="-","-",Tabla4[[#This Row],[Entrada M1]]+Tabla4[[#This Row],[Tiempo Atencion ]])</f>
        <v>-</v>
      </c>
      <c r="AH48" s="2">
        <f>+IF(Tabla4[[#This Row],[Entrada M2]]="-","-",Tabla4[[#This Row],[Entrada M2]]+Tabla4[[#This Row],[Tiempo Atencion ]])</f>
        <v>413.0679098595578</v>
      </c>
      <c r="AI48" s="2" t="str">
        <f>+IF(Tabla4[[#This Row],[Entrada M3]]="-","-",Tabla4[[#This Row],[Entrada M3]]+Tabla4[[#This Row],[Tiempo Atencion ]])</f>
        <v>-</v>
      </c>
      <c r="AJ48" s="11">
        <f>+MAX(Tabla4[[#This Row],[Salida M1]:[Salida M3]])</f>
        <v>413.0679098595578</v>
      </c>
      <c r="AK48" s="11" t="str">
        <f>+IF(Tabla4[[#This Row],[Salida]]&lt;=$B$17,"Entra","No Entra")</f>
        <v>Entra</v>
      </c>
      <c r="AL48" s="11">
        <f>+IF(Tabla4[[#This Row],[Entra  a la carrera]]="Entra",0,Tabla4[[#This Row],[Grupo]])</f>
        <v>0</v>
      </c>
      <c r="AM48" s="11">
        <f>_xlfn.IFNA(VLOOKUP(Tabla4[[#This Row],[Grupo]],Tabla4[Grupos por fuera],1,FALSE),0)</f>
        <v>0</v>
      </c>
      <c r="AN48" s="11" t="str">
        <f>+IF(Tabla4[[#This Row],[Me salgo por mi amigo el lento?]]=0, "Entra", "Chao")</f>
        <v>Entra</v>
      </c>
      <c r="AO48" s="11">
        <f>+IF(Tabla4[[#This Row],[Al fin entra o no]]="Entra",MAX($AO$13:AO47)+1,"")</f>
        <v>36</v>
      </c>
      <c r="AP48" s="11">
        <f>+Tabla4[[#This Row],[Entidad]]</f>
        <v>36</v>
      </c>
      <c r="AR48">
        <v>8.9456143268569766E-2</v>
      </c>
      <c r="AS48">
        <f>+IF(Tabla5[[#This Row],[A3]]&lt;0.5,2,3)</f>
        <v>2</v>
      </c>
      <c r="AT48">
        <f>+IF(Tabla5[[#This Row],[A3]]&lt;0.5,1,3)</f>
        <v>1</v>
      </c>
      <c r="AU48">
        <f>+IF(Tabla5[[#This Row],[A3]]&lt;0.5,1,2)</f>
        <v>1</v>
      </c>
      <c r="AV48" s="6">
        <f>+IF(Tabla5[[#This Row],[A3]]&lt;0.33,1,IF(Tabla5[[#This Row],[A3]]&lt;0.66,2,3))</f>
        <v>1</v>
      </c>
      <c r="AW4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48" s="6">
        <f>+SUM(Tabla4[[#This Row],[Ocupacion M1]:[Ocupacion M3]])</f>
        <v>3</v>
      </c>
      <c r="AY48" s="6">
        <f>+IF(Tabla4[[#This Row],[Ocupacion M1]]=1,1,IF(Tabla4[[#This Row],[Ocupacion M2]]=1,2,3))</f>
        <v>1</v>
      </c>
      <c r="AZ48" s="6">
        <f>+INDEX(Tabla5[[#This Row],[Si 1 esta ocupado]:[Si 3 esta ocupado]],Tabla5[[#This Row],[Estado si = 1]])</f>
        <v>2</v>
      </c>
      <c r="BA48" s="6">
        <f>+IF(Tabla4[[#This Row],[Ocupacion M1]]= 0,1,IF(Tabla4[[#This Row],[Ocupacion M2]]=0,2,3))</f>
        <v>3</v>
      </c>
      <c r="BB4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48">
        <f t="shared" si="6"/>
        <v>36</v>
      </c>
      <c r="BE48">
        <f>+IF(Tabla6[[#This Row],[Indice]]="","",VLOOKUP(Tabla6[[#This Row],[Indice]],Tabla4[[Corre]:[Entidad2]],2))</f>
        <v>36</v>
      </c>
      <c r="BF48">
        <f>IFERROR(+INDEX(Tabla4[Grupo],Tabla6[[#This Row],[Entidad]]),"")</f>
        <v>19</v>
      </c>
      <c r="BG48">
        <f t="shared" si="7"/>
        <v>480</v>
      </c>
      <c r="BH48">
        <v>9.5980777354899405E-2</v>
      </c>
      <c r="BI48">
        <f>20+70*Tabla6[[#This Row],[A6]]</f>
        <v>26.718654414842959</v>
      </c>
      <c r="BJ48">
        <f>+IF(Tabla6[[#This Row],[Indice]]="","",Tabla6[[#This Row],[Empieza]]+Tabla6[[#This Row],[Tiempo carrera ]])</f>
        <v>506.71865441484294</v>
      </c>
      <c r="BK48" s="6">
        <f>IF(Tabla6[[#This Row],[Termina la carrera]]="","",IF(Tabla6[[#This Row],[Termina la carrera]]&gt;540,1,0))</f>
        <v>0</v>
      </c>
      <c r="BL48" s="6" t="str">
        <f>+IF(OR(Tabla6[[#This Row],[Despues de las 9]]=0,Tabla6[[#This Row],[Despues de las 9]]=""),"",Tabla6[[#This Row],[Despues de las 9]]*Tabla6[[#This Row],[Grupo ]])</f>
        <v/>
      </c>
      <c r="BM48" s="6" t="str">
        <f>+IF(Tabla6[[#This Row],[grupo  despues de las 9]]="","",IF(MAX($BL$13:BL47)=Tabla6[[#This Row],[grupo  despues de las 9]],"",1))</f>
        <v/>
      </c>
      <c r="BV48" s="15"/>
      <c r="BW48" s="68" t="str">
        <f>+"Hay "&amp;BM114&amp;" Grupos con por lo menos un corredor que termina pasadas las 9"</f>
        <v>Hay 32 Grupos con por lo menos un corredor que termina pasadas las 9</v>
      </c>
      <c r="BX48" s="68"/>
      <c r="BY48" s="68"/>
      <c r="BZ48" s="68"/>
      <c r="CA48" s="68"/>
      <c r="CB48" s="16"/>
    </row>
    <row r="49" spans="5:80" ht="15.75" customHeight="1" x14ac:dyDescent="0.25">
      <c r="E49" s="2">
        <v>37</v>
      </c>
      <c r="F49" s="5">
        <v>0.74592040821675709</v>
      </c>
      <c r="G49" s="2">
        <f t="shared" si="2"/>
        <v>1.3701077075712134</v>
      </c>
      <c r="H49" s="4">
        <f>+H48+Tabla2[[#This Row],[Tiempo Entre]]</f>
        <v>396.41125048476022</v>
      </c>
      <c r="I49" s="5">
        <v>0.56624010242316181</v>
      </c>
      <c r="J49" s="2">
        <f>+IF(Tabla2[[#This Row],[A2 ]]&lt;0.5,1,IF(Tabla2[[#This Row],[A2 ]]&lt;0.8,2,3))</f>
        <v>2</v>
      </c>
      <c r="L49" s="2">
        <f>+IF(AND(Tabla2[[#This Row],[Llegada]]&lt;=$B$16,P49&gt;0),1,"-")</f>
        <v>1</v>
      </c>
      <c r="M49" s="2">
        <f t="shared" si="3"/>
        <v>37</v>
      </c>
      <c r="N49" s="4">
        <f>+IF(L49=1,Tabla2[[#This Row],[Llegada]],"-")</f>
        <v>396.41125048476022</v>
      </c>
      <c r="O49" s="2">
        <f>+IF(L49=1,Tabla2[[#This Row],[Numero de integrantes]],"-")</f>
        <v>2</v>
      </c>
      <c r="P49" s="2">
        <f t="shared" si="4"/>
        <v>34</v>
      </c>
      <c r="Q49" s="2">
        <f>+IF(Tabla3[[#This Row],[Entra?]]=1,Q48+Tabla3[[#This Row],[Numero integrantes]],Q48)</f>
        <v>68</v>
      </c>
      <c r="S49" s="2">
        <f t="shared" si="5"/>
        <v>37</v>
      </c>
      <c r="T49" s="2">
        <f>+COUNTIF(Tabla3[Cuantos van],"&lt;"&amp;Tabla4[[#This Row],[Entidad]])+1</f>
        <v>19</v>
      </c>
      <c r="U49" s="2">
        <f>+INDEX(Tabla3[Llegada],Tabla4[[#This Row],[Grupo]])</f>
        <v>381.84271379266585</v>
      </c>
      <c r="V49" s="2">
        <f>+IF(Tabla4[[#This Row],[Hora llegada]]&gt;=Tabla4[[#This Row],[Disponibilidad M1]],0,1)</f>
        <v>1</v>
      </c>
      <c r="W49" s="2">
        <f>+IF(Tabla4[[#This Row],[Hora llegada]]&gt;=Tabla4[[#This Row],[Disponibilidad M2]],0,1)</f>
        <v>1</v>
      </c>
      <c r="X49" s="2">
        <f>+IF(Tabla4[[#This Row],[Hora llegada]]&gt;=Tabla4[[#This Row],[Disponibilidad M3]],0,1)</f>
        <v>1</v>
      </c>
      <c r="Y49" s="2">
        <f>+IF(Tabla5[[#This Row],[Quien me atiende]]=1,MAX(Tabla4[[#This Row],[Disponibilidad M1]],Tabla4[[#This Row],[Hora llegada]]),"-")</f>
        <v>409.15901359822493</v>
      </c>
      <c r="Z49" s="2" t="str">
        <f>+IF(Tabla5[[#This Row],[Quien me atiende]]=2,MAX(Tabla4[[#This Row],[Disponibilidad M2]],Tabla4[[#This Row],[Hora llegada]]),"-")</f>
        <v>-</v>
      </c>
      <c r="AA49" s="2" t="str">
        <f>+IF(Tabla5[[#This Row],[Quien me atiende]]=3,MAX(Tabla4[[#This Row],[Disponibilidad M3]],Tabla4[[#This Row],[Hora llegada]]),"-")</f>
        <v>-</v>
      </c>
      <c r="AB49" s="2">
        <f>+MAX($AG$13:AG48)</f>
        <v>409.15901359822493</v>
      </c>
      <c r="AC49" s="2">
        <f>+MAX($AH$13:AH48)</f>
        <v>413.0679098595578</v>
      </c>
      <c r="AD49" s="2">
        <f>+MAX($AI$13:AI48)</f>
        <v>409.34886575514849</v>
      </c>
      <c r="AE49" s="2">
        <v>9.8746324935633734E-2</v>
      </c>
      <c r="AF49" s="2">
        <f>2+4.5*Tabla4[[#This Row],[A5]]</f>
        <v>2.444358462210352</v>
      </c>
      <c r="AG49" s="2">
        <f>+IF(Tabla4[[#This Row],[Entrada M1]]="-","-",Tabla4[[#This Row],[Entrada M1]]+Tabla4[[#This Row],[Tiempo Atencion ]])</f>
        <v>411.60337206043528</v>
      </c>
      <c r="AH49" s="2" t="str">
        <f>+IF(Tabla4[[#This Row],[Entrada M2]]="-","-",Tabla4[[#This Row],[Entrada M2]]+Tabla4[[#This Row],[Tiempo Atencion ]])</f>
        <v>-</v>
      </c>
      <c r="AI49" s="2" t="str">
        <f>+IF(Tabla4[[#This Row],[Entrada M3]]="-","-",Tabla4[[#This Row],[Entrada M3]]+Tabla4[[#This Row],[Tiempo Atencion ]])</f>
        <v>-</v>
      </c>
      <c r="AJ49" s="11">
        <f>+MAX(Tabla4[[#This Row],[Salida M1]:[Salida M3]])</f>
        <v>411.60337206043528</v>
      </c>
      <c r="AK49" s="11" t="str">
        <f>+IF(Tabla4[[#This Row],[Salida]]&lt;=$B$17,"Entra","No Entra")</f>
        <v>Entra</v>
      </c>
      <c r="AL49" s="11">
        <f>+IF(Tabla4[[#This Row],[Entra  a la carrera]]="Entra",0,Tabla4[[#This Row],[Grupo]])</f>
        <v>0</v>
      </c>
      <c r="AM49" s="11">
        <f>_xlfn.IFNA(VLOOKUP(Tabla4[[#This Row],[Grupo]],Tabla4[Grupos por fuera],1,FALSE),0)</f>
        <v>0</v>
      </c>
      <c r="AN49" s="11" t="str">
        <f>+IF(Tabla4[[#This Row],[Me salgo por mi amigo el lento?]]=0, "Entra", "Chao")</f>
        <v>Entra</v>
      </c>
      <c r="AO49" s="11">
        <f>+IF(Tabla4[[#This Row],[Al fin entra o no]]="Entra",MAX($AO$13:AO48)+1,"")</f>
        <v>37</v>
      </c>
      <c r="AP49" s="11">
        <f>+Tabla4[[#This Row],[Entidad]]</f>
        <v>37</v>
      </c>
      <c r="AR49">
        <v>0.78801420463725802</v>
      </c>
      <c r="AS49">
        <f>+IF(Tabla5[[#This Row],[A3]]&lt;0.5,2,3)</f>
        <v>3</v>
      </c>
      <c r="AT49">
        <f>+IF(Tabla5[[#This Row],[A3]]&lt;0.5,1,3)</f>
        <v>3</v>
      </c>
      <c r="AU49">
        <f>+IF(Tabla5[[#This Row],[A3]]&lt;0.5,1,2)</f>
        <v>2</v>
      </c>
      <c r="AV49" s="6">
        <f>+IF(Tabla5[[#This Row],[A3]]&lt;0.33,1,IF(Tabla5[[#This Row],[A3]]&lt;0.66,2,3))</f>
        <v>3</v>
      </c>
      <c r="AW4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49" s="6">
        <f>+SUM(Tabla4[[#This Row],[Ocupacion M1]:[Ocupacion M3]])</f>
        <v>3</v>
      </c>
      <c r="AY49" s="6">
        <f>+IF(Tabla4[[#This Row],[Ocupacion M1]]=1,1,IF(Tabla4[[#This Row],[Ocupacion M2]]=1,2,3))</f>
        <v>1</v>
      </c>
      <c r="AZ49" s="6">
        <f>+INDEX(Tabla5[[#This Row],[Si 1 esta ocupado]:[Si 3 esta ocupado]],Tabla5[[#This Row],[Estado si = 1]])</f>
        <v>3</v>
      </c>
      <c r="BA49" s="6">
        <f>+IF(Tabla4[[#This Row],[Ocupacion M1]]= 0,1,IF(Tabla4[[#This Row],[Ocupacion M2]]=0,2,3))</f>
        <v>3</v>
      </c>
      <c r="BB4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49">
        <f t="shared" si="6"/>
        <v>37</v>
      </c>
      <c r="BE49">
        <f>+IF(Tabla6[[#This Row],[Indice]]="","",VLOOKUP(Tabla6[[#This Row],[Indice]],Tabla4[[Corre]:[Entidad2]],2))</f>
        <v>37</v>
      </c>
      <c r="BF49">
        <f>IFERROR(+INDEX(Tabla4[Grupo],Tabla6[[#This Row],[Entidad]]),"")</f>
        <v>19</v>
      </c>
      <c r="BG49">
        <f t="shared" si="7"/>
        <v>480</v>
      </c>
      <c r="BH49">
        <v>0.24805910139030429</v>
      </c>
      <c r="BI49">
        <f>20+70*Tabla6[[#This Row],[A6]]</f>
        <v>37.364137097321304</v>
      </c>
      <c r="BJ49">
        <f>+IF(Tabla6[[#This Row],[Indice]]="","",Tabla6[[#This Row],[Empieza]]+Tabla6[[#This Row],[Tiempo carrera ]])</f>
        <v>517.3641370973213</v>
      </c>
      <c r="BK49" s="6">
        <f>IF(Tabla6[[#This Row],[Termina la carrera]]="","",IF(Tabla6[[#This Row],[Termina la carrera]]&gt;540,1,0))</f>
        <v>0</v>
      </c>
      <c r="BL49" s="6" t="str">
        <f>+IF(OR(Tabla6[[#This Row],[Despues de las 9]]=0,Tabla6[[#This Row],[Despues de las 9]]=""),"",Tabla6[[#This Row],[Despues de las 9]]*Tabla6[[#This Row],[Grupo ]])</f>
        <v/>
      </c>
      <c r="BM49" s="6" t="str">
        <f>+IF(Tabla6[[#This Row],[grupo  despues de las 9]]="","",IF(MAX($BL$13:BL48)=Tabla6[[#This Row],[grupo  despues de las 9]],"",1))</f>
        <v/>
      </c>
      <c r="BV49" s="15"/>
      <c r="BW49" s="68"/>
      <c r="BX49" s="68"/>
      <c r="BY49" s="68"/>
      <c r="BZ49" s="68"/>
      <c r="CA49" s="68"/>
      <c r="CB49" s="16"/>
    </row>
    <row r="50" spans="5:80" x14ac:dyDescent="0.25">
      <c r="E50" s="2">
        <v>38</v>
      </c>
      <c r="F50" s="5">
        <v>0.91266028321331438</v>
      </c>
      <c r="G50" s="2">
        <f t="shared" si="2"/>
        <v>2.4379499735829953</v>
      </c>
      <c r="H50" s="4">
        <f>+H49+Tabla2[[#This Row],[Tiempo Entre]]</f>
        <v>398.8492004583432</v>
      </c>
      <c r="I50" s="5">
        <v>0.70122336223644754</v>
      </c>
      <c r="J50" s="2">
        <f>+IF(Tabla2[[#This Row],[A2 ]]&lt;0.5,1,IF(Tabla2[[#This Row],[A2 ]]&lt;0.8,2,3))</f>
        <v>2</v>
      </c>
      <c r="L50" s="2">
        <f>+IF(AND(Tabla2[[#This Row],[Llegada]]&lt;=$B$16,P50&gt;0),1,"-")</f>
        <v>1</v>
      </c>
      <c r="M50" s="2">
        <f t="shared" si="3"/>
        <v>38</v>
      </c>
      <c r="N50" s="4">
        <f>+IF(L50=1,Tabla2[[#This Row],[Llegada]],"-")</f>
        <v>398.8492004583432</v>
      </c>
      <c r="O50" s="2">
        <f>+IF(L50=1,Tabla2[[#This Row],[Numero de integrantes]],"-")</f>
        <v>2</v>
      </c>
      <c r="P50" s="2">
        <f t="shared" si="4"/>
        <v>32</v>
      </c>
      <c r="Q50" s="2">
        <f>+IF(Tabla3[[#This Row],[Entra?]]=1,Q49+Tabla3[[#This Row],[Numero integrantes]],Q49)</f>
        <v>70</v>
      </c>
      <c r="S50" s="2">
        <f t="shared" si="5"/>
        <v>38</v>
      </c>
      <c r="T50" s="2">
        <f>+COUNTIF(Tabla3[Cuantos van],"&lt;"&amp;Tabla4[[#This Row],[Entidad]])+1</f>
        <v>19</v>
      </c>
      <c r="U50" s="2">
        <f>+INDEX(Tabla3[Llegada],Tabla4[[#This Row],[Grupo]])</f>
        <v>381.84271379266585</v>
      </c>
      <c r="V50" s="2">
        <f>+IF(Tabla4[[#This Row],[Hora llegada]]&gt;=Tabla4[[#This Row],[Disponibilidad M1]],0,1)</f>
        <v>1</v>
      </c>
      <c r="W50" s="2">
        <f>+IF(Tabla4[[#This Row],[Hora llegada]]&gt;=Tabla4[[#This Row],[Disponibilidad M2]],0,1)</f>
        <v>1</v>
      </c>
      <c r="X50" s="2">
        <f>+IF(Tabla4[[#This Row],[Hora llegada]]&gt;=Tabla4[[#This Row],[Disponibilidad M3]],0,1)</f>
        <v>1</v>
      </c>
      <c r="Y50" s="2" t="str">
        <f>+IF(Tabla5[[#This Row],[Quien me atiende]]=1,MAX(Tabla4[[#This Row],[Disponibilidad M1]],Tabla4[[#This Row],[Hora llegada]]),"-")</f>
        <v>-</v>
      </c>
      <c r="Z50" s="2" t="str">
        <f>+IF(Tabla5[[#This Row],[Quien me atiende]]=2,MAX(Tabla4[[#This Row],[Disponibilidad M2]],Tabla4[[#This Row],[Hora llegada]]),"-")</f>
        <v>-</v>
      </c>
      <c r="AA50" s="2">
        <f>+IF(Tabla5[[#This Row],[Quien me atiende]]=3,MAX(Tabla4[[#This Row],[Disponibilidad M3]],Tabla4[[#This Row],[Hora llegada]]),"-")</f>
        <v>409.34886575514849</v>
      </c>
      <c r="AB50" s="2">
        <f>+MAX($AG$13:AG49)</f>
        <v>411.60337206043528</v>
      </c>
      <c r="AC50" s="2">
        <f>+MAX($AH$13:AH49)</f>
        <v>413.0679098595578</v>
      </c>
      <c r="AD50" s="2">
        <f>+MAX($AI$13:AI49)</f>
        <v>409.34886575514849</v>
      </c>
      <c r="AE50" s="2">
        <v>0.61878853080080198</v>
      </c>
      <c r="AF50" s="2">
        <f>2+4.5*Tabla4[[#This Row],[A5]]</f>
        <v>4.7845483886036089</v>
      </c>
      <c r="AG50" s="2" t="str">
        <f>+IF(Tabla4[[#This Row],[Entrada M1]]="-","-",Tabla4[[#This Row],[Entrada M1]]+Tabla4[[#This Row],[Tiempo Atencion ]])</f>
        <v>-</v>
      </c>
      <c r="AH50" s="2" t="str">
        <f>+IF(Tabla4[[#This Row],[Entrada M2]]="-","-",Tabla4[[#This Row],[Entrada M2]]+Tabla4[[#This Row],[Tiempo Atencion ]])</f>
        <v>-</v>
      </c>
      <c r="AI50" s="2">
        <f>+IF(Tabla4[[#This Row],[Entrada M3]]="-","-",Tabla4[[#This Row],[Entrada M3]]+Tabla4[[#This Row],[Tiempo Atencion ]])</f>
        <v>414.13341414375208</v>
      </c>
      <c r="AJ50" s="11">
        <f>+MAX(Tabla4[[#This Row],[Salida M1]:[Salida M3]])</f>
        <v>414.13341414375208</v>
      </c>
      <c r="AK50" s="11" t="str">
        <f>+IF(Tabla4[[#This Row],[Salida]]&lt;=$B$17,"Entra","No Entra")</f>
        <v>Entra</v>
      </c>
      <c r="AL50" s="11">
        <f>+IF(Tabla4[[#This Row],[Entra  a la carrera]]="Entra",0,Tabla4[[#This Row],[Grupo]])</f>
        <v>0</v>
      </c>
      <c r="AM50" s="11">
        <f>_xlfn.IFNA(VLOOKUP(Tabla4[[#This Row],[Grupo]],Tabla4[Grupos por fuera],1,FALSE),0)</f>
        <v>0</v>
      </c>
      <c r="AN50" s="11" t="str">
        <f>+IF(Tabla4[[#This Row],[Me salgo por mi amigo el lento?]]=0, "Entra", "Chao")</f>
        <v>Entra</v>
      </c>
      <c r="AO50" s="11">
        <f>+IF(Tabla4[[#This Row],[Al fin entra o no]]="Entra",MAX($AO$13:AO49)+1,"")</f>
        <v>38</v>
      </c>
      <c r="AP50" s="11">
        <f>+Tabla4[[#This Row],[Entidad]]</f>
        <v>38</v>
      </c>
      <c r="AR50">
        <v>0.34895947474684508</v>
      </c>
      <c r="AS50">
        <f>+IF(Tabla5[[#This Row],[A3]]&lt;0.5,2,3)</f>
        <v>2</v>
      </c>
      <c r="AT50">
        <f>+IF(Tabla5[[#This Row],[A3]]&lt;0.5,1,3)</f>
        <v>1</v>
      </c>
      <c r="AU50">
        <f>+IF(Tabla5[[#This Row],[A3]]&lt;0.5,1,2)</f>
        <v>1</v>
      </c>
      <c r="AV50" s="6">
        <f>+IF(Tabla5[[#This Row],[A3]]&lt;0.33,1,IF(Tabla5[[#This Row],[A3]]&lt;0.66,2,3))</f>
        <v>2</v>
      </c>
      <c r="AW5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50" s="6">
        <f>+SUM(Tabla4[[#This Row],[Ocupacion M1]:[Ocupacion M3]])</f>
        <v>3</v>
      </c>
      <c r="AY50" s="6">
        <f>+IF(Tabla4[[#This Row],[Ocupacion M1]]=1,1,IF(Tabla4[[#This Row],[Ocupacion M2]]=1,2,3))</f>
        <v>1</v>
      </c>
      <c r="AZ50" s="6">
        <f>+INDEX(Tabla5[[#This Row],[Si 1 esta ocupado]:[Si 3 esta ocupado]],Tabla5[[#This Row],[Estado si = 1]])</f>
        <v>2</v>
      </c>
      <c r="BA50" s="6">
        <f>+IF(Tabla4[[#This Row],[Ocupacion M1]]= 0,1,IF(Tabla4[[#This Row],[Ocupacion M2]]=0,2,3))</f>
        <v>3</v>
      </c>
      <c r="BB5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50">
        <f t="shared" si="6"/>
        <v>38</v>
      </c>
      <c r="BE50">
        <f>+IF(Tabla6[[#This Row],[Indice]]="","",VLOOKUP(Tabla6[[#This Row],[Indice]],Tabla4[[Corre]:[Entidad2]],2))</f>
        <v>38</v>
      </c>
      <c r="BF50">
        <f>IFERROR(+INDEX(Tabla4[Grupo],Tabla6[[#This Row],[Entidad]]),"")</f>
        <v>19</v>
      </c>
      <c r="BG50">
        <f t="shared" si="7"/>
        <v>480</v>
      </c>
      <c r="BH50">
        <v>0.18302385550955413</v>
      </c>
      <c r="BI50">
        <f>20+70*Tabla6[[#This Row],[A6]]</f>
        <v>32.811669885668792</v>
      </c>
      <c r="BJ50">
        <f>+IF(Tabla6[[#This Row],[Indice]]="","",Tabla6[[#This Row],[Empieza]]+Tabla6[[#This Row],[Tiempo carrera ]])</f>
        <v>512.81166988566883</v>
      </c>
      <c r="BK50" s="6">
        <f>IF(Tabla6[[#This Row],[Termina la carrera]]="","",IF(Tabla6[[#This Row],[Termina la carrera]]&gt;540,1,0))</f>
        <v>0</v>
      </c>
      <c r="BL50" s="6" t="str">
        <f>+IF(OR(Tabla6[[#This Row],[Despues de las 9]]=0,Tabla6[[#This Row],[Despues de las 9]]=""),"",Tabla6[[#This Row],[Despues de las 9]]*Tabla6[[#This Row],[Grupo ]])</f>
        <v/>
      </c>
      <c r="BM50" s="6" t="str">
        <f>+IF(Tabla6[[#This Row],[grupo  despues de las 9]]="","",IF(MAX($BL$13:BL49)=Tabla6[[#This Row],[grupo  despues de las 9]],"",1))</f>
        <v/>
      </c>
      <c r="BV50" s="15"/>
      <c r="BW50" s="17"/>
      <c r="BX50" s="17"/>
      <c r="BY50" s="17"/>
      <c r="BZ50" s="17"/>
      <c r="CA50" s="17"/>
      <c r="CB50" s="16"/>
    </row>
    <row r="51" spans="5:80" ht="15.75" thickBot="1" x14ac:dyDescent="0.3">
      <c r="E51" s="2">
        <v>39</v>
      </c>
      <c r="F51" s="5">
        <v>0.10378058265585455</v>
      </c>
      <c r="G51" s="2">
        <f t="shared" si="2"/>
        <v>0.10957001055801516</v>
      </c>
      <c r="H51" s="4">
        <f>+H50+Tabla2[[#This Row],[Tiempo Entre]]</f>
        <v>398.95877046890121</v>
      </c>
      <c r="I51" s="5">
        <v>0.16929075251788195</v>
      </c>
      <c r="J51" s="2">
        <f>+IF(Tabla2[[#This Row],[A2 ]]&lt;0.5,1,IF(Tabla2[[#This Row],[A2 ]]&lt;0.8,2,3))</f>
        <v>1</v>
      </c>
      <c r="L51" s="2">
        <f>+IF(AND(Tabla2[[#This Row],[Llegada]]&lt;=$B$16,P51&gt;0),1,"-")</f>
        <v>1</v>
      </c>
      <c r="M51" s="2">
        <f t="shared" si="3"/>
        <v>39</v>
      </c>
      <c r="N51" s="4">
        <f>+IF(L51=1,Tabla2[[#This Row],[Llegada]],"-")</f>
        <v>398.95877046890121</v>
      </c>
      <c r="O51" s="2">
        <f>+IF(L51=1,Tabla2[[#This Row],[Numero de integrantes]],"-")</f>
        <v>1</v>
      </c>
      <c r="P51" s="2">
        <f t="shared" si="4"/>
        <v>30</v>
      </c>
      <c r="Q51" s="2">
        <f>+IF(Tabla3[[#This Row],[Entra?]]=1,Q50+Tabla3[[#This Row],[Numero integrantes]],Q50)</f>
        <v>71</v>
      </c>
      <c r="S51" s="2">
        <f t="shared" si="5"/>
        <v>39</v>
      </c>
      <c r="T51" s="2">
        <f>+COUNTIF(Tabla3[Cuantos van],"&lt;"&amp;Tabla4[[#This Row],[Entidad]])+1</f>
        <v>20</v>
      </c>
      <c r="U51" s="2">
        <f>+INDEX(Tabla3[Llegada],Tabla4[[#This Row],[Grupo]])</f>
        <v>381.89558816259006</v>
      </c>
      <c r="V51" s="2">
        <f>+IF(Tabla4[[#This Row],[Hora llegada]]&gt;=Tabla4[[#This Row],[Disponibilidad M1]],0,1)</f>
        <v>1</v>
      </c>
      <c r="W51" s="2">
        <f>+IF(Tabla4[[#This Row],[Hora llegada]]&gt;=Tabla4[[#This Row],[Disponibilidad M2]],0,1)</f>
        <v>1</v>
      </c>
      <c r="X51" s="2">
        <f>+IF(Tabla4[[#This Row],[Hora llegada]]&gt;=Tabla4[[#This Row],[Disponibilidad M3]],0,1)</f>
        <v>1</v>
      </c>
      <c r="Y51" s="2">
        <f>+IF(Tabla5[[#This Row],[Quien me atiende]]=1,MAX(Tabla4[[#This Row],[Disponibilidad M1]],Tabla4[[#This Row],[Hora llegada]]),"-")</f>
        <v>411.60337206043528</v>
      </c>
      <c r="Z51" s="2" t="str">
        <f>+IF(Tabla5[[#This Row],[Quien me atiende]]=2,MAX(Tabla4[[#This Row],[Disponibilidad M2]],Tabla4[[#This Row],[Hora llegada]]),"-")</f>
        <v>-</v>
      </c>
      <c r="AA51" s="2" t="str">
        <f>+IF(Tabla5[[#This Row],[Quien me atiende]]=3,MAX(Tabla4[[#This Row],[Disponibilidad M3]],Tabla4[[#This Row],[Hora llegada]]),"-")</f>
        <v>-</v>
      </c>
      <c r="AB51" s="2">
        <f>+MAX($AG$13:AG50)</f>
        <v>411.60337206043528</v>
      </c>
      <c r="AC51" s="2">
        <f>+MAX($AH$13:AH50)</f>
        <v>413.0679098595578</v>
      </c>
      <c r="AD51" s="2">
        <f>+MAX($AI$13:AI50)</f>
        <v>414.13341414375208</v>
      </c>
      <c r="AE51" s="2">
        <v>0.66968431626133995</v>
      </c>
      <c r="AF51" s="2">
        <f>2+4.5*Tabla4[[#This Row],[A5]]</f>
        <v>5.0135794231760293</v>
      </c>
      <c r="AG51" s="2">
        <f>+IF(Tabla4[[#This Row],[Entrada M1]]="-","-",Tabla4[[#This Row],[Entrada M1]]+Tabla4[[#This Row],[Tiempo Atencion ]])</f>
        <v>416.61695148361133</v>
      </c>
      <c r="AH51" s="2" t="str">
        <f>+IF(Tabla4[[#This Row],[Entrada M2]]="-","-",Tabla4[[#This Row],[Entrada M2]]+Tabla4[[#This Row],[Tiempo Atencion ]])</f>
        <v>-</v>
      </c>
      <c r="AI51" s="2" t="str">
        <f>+IF(Tabla4[[#This Row],[Entrada M3]]="-","-",Tabla4[[#This Row],[Entrada M3]]+Tabla4[[#This Row],[Tiempo Atencion ]])</f>
        <v>-</v>
      </c>
      <c r="AJ51" s="11">
        <f>+MAX(Tabla4[[#This Row],[Salida M1]:[Salida M3]])</f>
        <v>416.61695148361133</v>
      </c>
      <c r="AK51" s="11" t="str">
        <f>+IF(Tabla4[[#This Row],[Salida]]&lt;=$B$17,"Entra","No Entra")</f>
        <v>Entra</v>
      </c>
      <c r="AL51" s="11">
        <f>+IF(Tabla4[[#This Row],[Entra  a la carrera]]="Entra",0,Tabla4[[#This Row],[Grupo]])</f>
        <v>0</v>
      </c>
      <c r="AM51" s="11">
        <f>_xlfn.IFNA(VLOOKUP(Tabla4[[#This Row],[Grupo]],Tabla4[Grupos por fuera],1,FALSE),0)</f>
        <v>0</v>
      </c>
      <c r="AN51" s="11" t="str">
        <f>+IF(Tabla4[[#This Row],[Me salgo por mi amigo el lento?]]=0, "Entra", "Chao")</f>
        <v>Entra</v>
      </c>
      <c r="AO51" s="11">
        <f>+IF(Tabla4[[#This Row],[Al fin entra o no]]="Entra",MAX($AO$13:AO50)+1,"")</f>
        <v>39</v>
      </c>
      <c r="AP51" s="11">
        <f>+Tabla4[[#This Row],[Entidad]]</f>
        <v>39</v>
      </c>
      <c r="AR51">
        <v>0.36661935693280256</v>
      </c>
      <c r="AS51">
        <f>+IF(Tabla5[[#This Row],[A3]]&lt;0.5,2,3)</f>
        <v>2</v>
      </c>
      <c r="AT51">
        <f>+IF(Tabla5[[#This Row],[A3]]&lt;0.5,1,3)</f>
        <v>1</v>
      </c>
      <c r="AU51">
        <f>+IF(Tabla5[[#This Row],[A3]]&lt;0.5,1,2)</f>
        <v>1</v>
      </c>
      <c r="AV51" s="6">
        <f>+IF(Tabla5[[#This Row],[A3]]&lt;0.33,1,IF(Tabla5[[#This Row],[A3]]&lt;0.66,2,3))</f>
        <v>2</v>
      </c>
      <c r="AW5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51" s="6">
        <f>+SUM(Tabla4[[#This Row],[Ocupacion M1]:[Ocupacion M3]])</f>
        <v>3</v>
      </c>
      <c r="AY51" s="6">
        <f>+IF(Tabla4[[#This Row],[Ocupacion M1]]=1,1,IF(Tabla4[[#This Row],[Ocupacion M2]]=1,2,3))</f>
        <v>1</v>
      </c>
      <c r="AZ51" s="6">
        <f>+INDEX(Tabla5[[#This Row],[Si 1 esta ocupado]:[Si 3 esta ocupado]],Tabla5[[#This Row],[Estado si = 1]])</f>
        <v>2</v>
      </c>
      <c r="BA51" s="6">
        <f>+IF(Tabla4[[#This Row],[Ocupacion M1]]= 0,1,IF(Tabla4[[#This Row],[Ocupacion M2]]=0,2,3))</f>
        <v>3</v>
      </c>
      <c r="BB5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51">
        <f t="shared" si="6"/>
        <v>39</v>
      </c>
      <c r="BE51">
        <f>+IF(Tabla6[[#This Row],[Indice]]="","",VLOOKUP(Tabla6[[#This Row],[Indice]],Tabla4[[Corre]:[Entidad2]],2))</f>
        <v>39</v>
      </c>
      <c r="BF51">
        <f>IFERROR(+INDEX(Tabla4[Grupo],Tabla6[[#This Row],[Entidad]]),"")</f>
        <v>20</v>
      </c>
      <c r="BG51">
        <f t="shared" si="7"/>
        <v>480</v>
      </c>
      <c r="BH51">
        <v>0.52439344995873782</v>
      </c>
      <c r="BI51">
        <f>20+70*Tabla6[[#This Row],[A6]]</f>
        <v>56.707541497111649</v>
      </c>
      <c r="BJ51">
        <f>+IF(Tabla6[[#This Row],[Indice]]="","",Tabla6[[#This Row],[Empieza]]+Tabla6[[#This Row],[Tiempo carrera ]])</f>
        <v>536.70754149711161</v>
      </c>
      <c r="BK51" s="6">
        <f>IF(Tabla6[[#This Row],[Termina la carrera]]="","",IF(Tabla6[[#This Row],[Termina la carrera]]&gt;540,1,0))</f>
        <v>0</v>
      </c>
      <c r="BL51" s="6" t="str">
        <f>+IF(OR(Tabla6[[#This Row],[Despues de las 9]]=0,Tabla6[[#This Row],[Despues de las 9]]=""),"",Tabla6[[#This Row],[Despues de las 9]]*Tabla6[[#This Row],[Grupo ]])</f>
        <v/>
      </c>
      <c r="BM51" s="6" t="str">
        <f>+IF(Tabla6[[#This Row],[grupo  despues de las 9]]="","",IF(MAX($BL$13:BL50)=Tabla6[[#This Row],[grupo  despues de las 9]],"",1))</f>
        <v/>
      </c>
      <c r="BV51" s="18"/>
      <c r="BW51" s="19"/>
      <c r="BX51" s="19"/>
      <c r="BY51" s="19"/>
      <c r="BZ51" s="19"/>
      <c r="CA51" s="19"/>
      <c r="CB51" s="20"/>
    </row>
    <row r="52" spans="5:80" x14ac:dyDescent="0.25">
      <c r="E52" s="2">
        <v>40</v>
      </c>
      <c r="F52" s="5">
        <v>0.88901105518132195</v>
      </c>
      <c r="G52" s="2">
        <f t="shared" si="2"/>
        <v>2.1983246788579622</v>
      </c>
      <c r="H52" s="4">
        <f>+H51+Tabla2[[#This Row],[Tiempo Entre]]</f>
        <v>401.15709514775915</v>
      </c>
      <c r="I52" s="5">
        <v>0.65403525599916446</v>
      </c>
      <c r="J52" s="2">
        <f>+IF(Tabla2[[#This Row],[A2 ]]&lt;0.5,1,IF(Tabla2[[#This Row],[A2 ]]&lt;0.8,2,3))</f>
        <v>2</v>
      </c>
      <c r="L52" s="2">
        <f>+IF(AND(Tabla2[[#This Row],[Llegada]]&lt;=$B$16,P52&gt;0),1,"-")</f>
        <v>1</v>
      </c>
      <c r="M52" s="2">
        <f t="shared" si="3"/>
        <v>40</v>
      </c>
      <c r="N52" s="4">
        <f>+IF(L52=1,Tabla2[[#This Row],[Llegada]],"-")</f>
        <v>401.15709514775915</v>
      </c>
      <c r="O52" s="2">
        <f>+IF(L52=1,Tabla2[[#This Row],[Numero de integrantes]],"-")</f>
        <v>2</v>
      </c>
      <c r="P52" s="2">
        <f t="shared" si="4"/>
        <v>29</v>
      </c>
      <c r="Q52" s="2">
        <f>+IF(Tabla3[[#This Row],[Entra?]]=1,Q51+Tabla3[[#This Row],[Numero integrantes]],Q51)</f>
        <v>73</v>
      </c>
      <c r="S52" s="2">
        <f t="shared" si="5"/>
        <v>40</v>
      </c>
      <c r="T52" s="2">
        <f>+COUNTIF(Tabla3[Cuantos van],"&lt;"&amp;Tabla4[[#This Row],[Entidad]])+1</f>
        <v>21</v>
      </c>
      <c r="U52" s="2">
        <f>+INDEX(Tabla3[Llegada],Tabla4[[#This Row],[Grupo]])</f>
        <v>382.57435080734103</v>
      </c>
      <c r="V52" s="2">
        <f>+IF(Tabla4[[#This Row],[Hora llegada]]&gt;=Tabla4[[#This Row],[Disponibilidad M1]],0,1)</f>
        <v>1</v>
      </c>
      <c r="W52" s="2">
        <f>+IF(Tabla4[[#This Row],[Hora llegada]]&gt;=Tabla4[[#This Row],[Disponibilidad M2]],0,1)</f>
        <v>1</v>
      </c>
      <c r="X52" s="2">
        <f>+IF(Tabla4[[#This Row],[Hora llegada]]&gt;=Tabla4[[#This Row],[Disponibilidad M3]],0,1)</f>
        <v>1</v>
      </c>
      <c r="Y52" s="2" t="str">
        <f>+IF(Tabla5[[#This Row],[Quien me atiende]]=1,MAX(Tabla4[[#This Row],[Disponibilidad M1]],Tabla4[[#This Row],[Hora llegada]]),"-")</f>
        <v>-</v>
      </c>
      <c r="Z52" s="2">
        <f>+IF(Tabla5[[#This Row],[Quien me atiende]]=2,MAX(Tabla4[[#This Row],[Disponibilidad M2]],Tabla4[[#This Row],[Hora llegada]]),"-")</f>
        <v>413.0679098595578</v>
      </c>
      <c r="AA52" s="2" t="str">
        <f>+IF(Tabla5[[#This Row],[Quien me atiende]]=3,MAX(Tabla4[[#This Row],[Disponibilidad M3]],Tabla4[[#This Row],[Hora llegada]]),"-")</f>
        <v>-</v>
      </c>
      <c r="AB52" s="2">
        <f>+MAX($AG$13:AG51)</f>
        <v>416.61695148361133</v>
      </c>
      <c r="AC52" s="2">
        <f>+MAX($AH$13:AH51)</f>
        <v>413.0679098595578</v>
      </c>
      <c r="AD52" s="2">
        <f>+MAX($AI$13:AI51)</f>
        <v>414.13341414375208</v>
      </c>
      <c r="AE52" s="2">
        <v>0.50568175207994859</v>
      </c>
      <c r="AF52" s="2">
        <f>2+4.5*Tabla4[[#This Row],[A5]]</f>
        <v>4.2755678843597682</v>
      </c>
      <c r="AG52" s="2" t="str">
        <f>+IF(Tabla4[[#This Row],[Entrada M1]]="-","-",Tabla4[[#This Row],[Entrada M1]]+Tabla4[[#This Row],[Tiempo Atencion ]])</f>
        <v>-</v>
      </c>
      <c r="AH52" s="2">
        <f>+IF(Tabla4[[#This Row],[Entrada M2]]="-","-",Tabla4[[#This Row],[Entrada M2]]+Tabla4[[#This Row],[Tiempo Atencion ]])</f>
        <v>417.34347774391756</v>
      </c>
      <c r="AI52" s="2" t="str">
        <f>+IF(Tabla4[[#This Row],[Entrada M3]]="-","-",Tabla4[[#This Row],[Entrada M3]]+Tabla4[[#This Row],[Tiempo Atencion ]])</f>
        <v>-</v>
      </c>
      <c r="AJ52" s="11">
        <f>+MAX(Tabla4[[#This Row],[Salida M1]:[Salida M3]])</f>
        <v>417.34347774391756</v>
      </c>
      <c r="AK52" s="11" t="str">
        <f>+IF(Tabla4[[#This Row],[Salida]]&lt;=$B$17,"Entra","No Entra")</f>
        <v>Entra</v>
      </c>
      <c r="AL52" s="11">
        <f>+IF(Tabla4[[#This Row],[Entra  a la carrera]]="Entra",0,Tabla4[[#This Row],[Grupo]])</f>
        <v>0</v>
      </c>
      <c r="AM52" s="11">
        <f>_xlfn.IFNA(VLOOKUP(Tabla4[[#This Row],[Grupo]],Tabla4[Grupos por fuera],1,FALSE),0)</f>
        <v>0</v>
      </c>
      <c r="AN52" s="11" t="str">
        <f>+IF(Tabla4[[#This Row],[Me salgo por mi amigo el lento?]]=0, "Entra", "Chao")</f>
        <v>Entra</v>
      </c>
      <c r="AO52" s="11">
        <f>+IF(Tabla4[[#This Row],[Al fin entra o no]]="Entra",MAX($AO$13:AO51)+1,"")</f>
        <v>40</v>
      </c>
      <c r="AP52" s="11">
        <f>+Tabla4[[#This Row],[Entidad]]</f>
        <v>40</v>
      </c>
      <c r="AR52">
        <v>0.92903975631733549</v>
      </c>
      <c r="AS52">
        <f>+IF(Tabla5[[#This Row],[A3]]&lt;0.5,2,3)</f>
        <v>3</v>
      </c>
      <c r="AT52">
        <f>+IF(Tabla5[[#This Row],[A3]]&lt;0.5,1,3)</f>
        <v>3</v>
      </c>
      <c r="AU52">
        <f>+IF(Tabla5[[#This Row],[A3]]&lt;0.5,1,2)</f>
        <v>2</v>
      </c>
      <c r="AV52" s="6">
        <f>+IF(Tabla5[[#This Row],[A3]]&lt;0.33,1,IF(Tabla5[[#This Row],[A3]]&lt;0.66,2,3))</f>
        <v>3</v>
      </c>
      <c r="AW5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52" s="6">
        <f>+SUM(Tabla4[[#This Row],[Ocupacion M1]:[Ocupacion M3]])</f>
        <v>3</v>
      </c>
      <c r="AY52" s="6">
        <f>+IF(Tabla4[[#This Row],[Ocupacion M1]]=1,1,IF(Tabla4[[#This Row],[Ocupacion M2]]=1,2,3))</f>
        <v>1</v>
      </c>
      <c r="AZ52" s="6">
        <f>+INDEX(Tabla5[[#This Row],[Si 1 esta ocupado]:[Si 3 esta ocupado]],Tabla5[[#This Row],[Estado si = 1]])</f>
        <v>3</v>
      </c>
      <c r="BA52" s="6">
        <f>+IF(Tabla4[[#This Row],[Ocupacion M1]]= 0,1,IF(Tabla4[[#This Row],[Ocupacion M2]]=0,2,3))</f>
        <v>3</v>
      </c>
      <c r="BB5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52">
        <f t="shared" si="6"/>
        <v>40</v>
      </c>
      <c r="BE52">
        <f>+IF(Tabla6[[#This Row],[Indice]]="","",VLOOKUP(Tabla6[[#This Row],[Indice]],Tabla4[[Corre]:[Entidad2]],2))</f>
        <v>40</v>
      </c>
      <c r="BF52">
        <f>IFERROR(+INDEX(Tabla4[Grupo],Tabla6[[#This Row],[Entidad]]),"")</f>
        <v>21</v>
      </c>
      <c r="BG52">
        <f t="shared" si="7"/>
        <v>480</v>
      </c>
      <c r="BH52">
        <v>0.6766019748387222</v>
      </c>
      <c r="BI52">
        <f>20+70*Tabla6[[#This Row],[A6]]</f>
        <v>67.362138238710557</v>
      </c>
      <c r="BJ52">
        <f>+IF(Tabla6[[#This Row],[Indice]]="","",Tabla6[[#This Row],[Empieza]]+Tabla6[[#This Row],[Tiempo carrera ]])</f>
        <v>547.3621382387106</v>
      </c>
      <c r="BK52" s="6">
        <f>IF(Tabla6[[#This Row],[Termina la carrera]]="","",IF(Tabla6[[#This Row],[Termina la carrera]]&gt;540,1,0))</f>
        <v>1</v>
      </c>
      <c r="BL52" s="6">
        <f>+IF(OR(Tabla6[[#This Row],[Despues de las 9]]=0,Tabla6[[#This Row],[Despues de las 9]]=""),"",Tabla6[[#This Row],[Despues de las 9]]*Tabla6[[#This Row],[Grupo ]])</f>
        <v>21</v>
      </c>
      <c r="BM52" s="6">
        <f>+IF(Tabla6[[#This Row],[grupo  despues de las 9]]="","",IF(MAX($BL$13:BL51)=Tabla6[[#This Row],[grupo  despues de las 9]],"",1))</f>
        <v>1</v>
      </c>
    </row>
    <row r="53" spans="5:80" x14ac:dyDescent="0.25">
      <c r="E53" s="2">
        <v>41</v>
      </c>
      <c r="F53" s="5">
        <v>0.34655032209369663</v>
      </c>
      <c r="G53" s="2">
        <f t="shared" si="2"/>
        <v>0.42548975285174956</v>
      </c>
      <c r="H53" s="4">
        <f>+H52+Tabla2[[#This Row],[Tiempo Entre]]</f>
        <v>401.58258490061093</v>
      </c>
      <c r="I53" s="5">
        <v>0.56853035112219519</v>
      </c>
      <c r="J53" s="2">
        <f>+IF(Tabla2[[#This Row],[A2 ]]&lt;0.5,1,IF(Tabla2[[#This Row],[A2 ]]&lt;0.8,2,3))</f>
        <v>2</v>
      </c>
      <c r="L53" s="2">
        <f>+IF(AND(Tabla2[[#This Row],[Llegada]]&lt;=$B$16,P53&gt;0),1,"-")</f>
        <v>1</v>
      </c>
      <c r="M53" s="2">
        <f t="shared" si="3"/>
        <v>41</v>
      </c>
      <c r="N53" s="4">
        <f>+IF(L53=1,Tabla2[[#This Row],[Llegada]],"-")</f>
        <v>401.58258490061093</v>
      </c>
      <c r="O53" s="2">
        <f>+IF(L53=1,Tabla2[[#This Row],[Numero de integrantes]],"-")</f>
        <v>2</v>
      </c>
      <c r="P53" s="2">
        <f t="shared" si="4"/>
        <v>27</v>
      </c>
      <c r="Q53" s="2">
        <f>+IF(Tabla3[[#This Row],[Entra?]]=1,Q52+Tabla3[[#This Row],[Numero integrantes]],Q52)</f>
        <v>75</v>
      </c>
      <c r="S53" s="2">
        <f t="shared" si="5"/>
        <v>41</v>
      </c>
      <c r="T53" s="2">
        <f>+COUNTIF(Tabla3[Cuantos van],"&lt;"&amp;Tabla4[[#This Row],[Entidad]])+1</f>
        <v>21</v>
      </c>
      <c r="U53" s="2">
        <f>+INDEX(Tabla3[Llegada],Tabla4[[#This Row],[Grupo]])</f>
        <v>382.57435080734103</v>
      </c>
      <c r="V53" s="2">
        <f>+IF(Tabla4[[#This Row],[Hora llegada]]&gt;=Tabla4[[#This Row],[Disponibilidad M1]],0,1)</f>
        <v>1</v>
      </c>
      <c r="W53" s="2">
        <f>+IF(Tabla4[[#This Row],[Hora llegada]]&gt;=Tabla4[[#This Row],[Disponibilidad M2]],0,1)</f>
        <v>1</v>
      </c>
      <c r="X53" s="2">
        <f>+IF(Tabla4[[#This Row],[Hora llegada]]&gt;=Tabla4[[#This Row],[Disponibilidad M3]],0,1)</f>
        <v>1</v>
      </c>
      <c r="Y53" s="2" t="str">
        <f>+IF(Tabla5[[#This Row],[Quien me atiende]]=1,MAX(Tabla4[[#This Row],[Disponibilidad M1]],Tabla4[[#This Row],[Hora llegada]]),"-")</f>
        <v>-</v>
      </c>
      <c r="Z53" s="2" t="str">
        <f>+IF(Tabla5[[#This Row],[Quien me atiende]]=2,MAX(Tabla4[[#This Row],[Disponibilidad M2]],Tabla4[[#This Row],[Hora llegada]]),"-")</f>
        <v>-</v>
      </c>
      <c r="AA53" s="2">
        <f>+IF(Tabla5[[#This Row],[Quien me atiende]]=3,MAX(Tabla4[[#This Row],[Disponibilidad M3]],Tabla4[[#This Row],[Hora llegada]]),"-")</f>
        <v>414.13341414375208</v>
      </c>
      <c r="AB53" s="2">
        <f>+MAX($AG$13:AG52)</f>
        <v>416.61695148361133</v>
      </c>
      <c r="AC53" s="2">
        <f>+MAX($AH$13:AH52)</f>
        <v>417.34347774391756</v>
      </c>
      <c r="AD53" s="2">
        <f>+MAX($AI$13:AI52)</f>
        <v>414.13341414375208</v>
      </c>
      <c r="AE53" s="2">
        <v>0.72461428802619887</v>
      </c>
      <c r="AF53" s="2">
        <f>2+4.5*Tabla4[[#This Row],[A5]]</f>
        <v>5.2607642961178946</v>
      </c>
      <c r="AG53" s="2" t="str">
        <f>+IF(Tabla4[[#This Row],[Entrada M1]]="-","-",Tabla4[[#This Row],[Entrada M1]]+Tabla4[[#This Row],[Tiempo Atencion ]])</f>
        <v>-</v>
      </c>
      <c r="AH53" s="2" t="str">
        <f>+IF(Tabla4[[#This Row],[Entrada M2]]="-","-",Tabla4[[#This Row],[Entrada M2]]+Tabla4[[#This Row],[Tiempo Atencion ]])</f>
        <v>-</v>
      </c>
      <c r="AI53" s="2">
        <f>+IF(Tabla4[[#This Row],[Entrada M3]]="-","-",Tabla4[[#This Row],[Entrada M3]]+Tabla4[[#This Row],[Tiempo Atencion ]])</f>
        <v>419.39417843986996</v>
      </c>
      <c r="AJ53" s="11">
        <f>+MAX(Tabla4[[#This Row],[Salida M1]:[Salida M3]])</f>
        <v>419.39417843986996</v>
      </c>
      <c r="AK53" s="11" t="str">
        <f>+IF(Tabla4[[#This Row],[Salida]]&lt;=$B$17,"Entra","No Entra")</f>
        <v>Entra</v>
      </c>
      <c r="AL53" s="11">
        <f>+IF(Tabla4[[#This Row],[Entra  a la carrera]]="Entra",0,Tabla4[[#This Row],[Grupo]])</f>
        <v>0</v>
      </c>
      <c r="AM53" s="11">
        <f>_xlfn.IFNA(VLOOKUP(Tabla4[[#This Row],[Grupo]],Tabla4[Grupos por fuera],1,FALSE),0)</f>
        <v>0</v>
      </c>
      <c r="AN53" s="11" t="str">
        <f>+IF(Tabla4[[#This Row],[Me salgo por mi amigo el lento?]]=0, "Entra", "Chao")</f>
        <v>Entra</v>
      </c>
      <c r="AO53" s="11">
        <f>+IF(Tabla4[[#This Row],[Al fin entra o no]]="Entra",MAX($AO$13:AO52)+1,"")</f>
        <v>41</v>
      </c>
      <c r="AP53" s="11">
        <f>+Tabla4[[#This Row],[Entidad]]</f>
        <v>41</v>
      </c>
      <c r="AR53">
        <v>0.22413955676842268</v>
      </c>
      <c r="AS53">
        <f>+IF(Tabla5[[#This Row],[A3]]&lt;0.5,2,3)</f>
        <v>2</v>
      </c>
      <c r="AT53">
        <f>+IF(Tabla5[[#This Row],[A3]]&lt;0.5,1,3)</f>
        <v>1</v>
      </c>
      <c r="AU53">
        <f>+IF(Tabla5[[#This Row],[A3]]&lt;0.5,1,2)</f>
        <v>1</v>
      </c>
      <c r="AV53" s="6">
        <f>+IF(Tabla5[[#This Row],[A3]]&lt;0.33,1,IF(Tabla5[[#This Row],[A3]]&lt;0.66,2,3))</f>
        <v>1</v>
      </c>
      <c r="AW5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53" s="6">
        <f>+SUM(Tabla4[[#This Row],[Ocupacion M1]:[Ocupacion M3]])</f>
        <v>3</v>
      </c>
      <c r="AY53" s="6">
        <f>+IF(Tabla4[[#This Row],[Ocupacion M1]]=1,1,IF(Tabla4[[#This Row],[Ocupacion M2]]=1,2,3))</f>
        <v>1</v>
      </c>
      <c r="AZ53" s="6">
        <f>+INDEX(Tabla5[[#This Row],[Si 1 esta ocupado]:[Si 3 esta ocupado]],Tabla5[[#This Row],[Estado si = 1]])</f>
        <v>2</v>
      </c>
      <c r="BA53" s="6">
        <f>+IF(Tabla4[[#This Row],[Ocupacion M1]]= 0,1,IF(Tabla4[[#This Row],[Ocupacion M2]]=0,2,3))</f>
        <v>3</v>
      </c>
      <c r="BB5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53">
        <f t="shared" si="6"/>
        <v>41</v>
      </c>
      <c r="BE53">
        <f>+IF(Tabla6[[#This Row],[Indice]]="","",VLOOKUP(Tabla6[[#This Row],[Indice]],Tabla4[[Corre]:[Entidad2]],2))</f>
        <v>41</v>
      </c>
      <c r="BF53">
        <f>IFERROR(+INDEX(Tabla4[Grupo],Tabla6[[#This Row],[Entidad]]),"")</f>
        <v>21</v>
      </c>
      <c r="BG53">
        <f t="shared" si="7"/>
        <v>480</v>
      </c>
      <c r="BH53">
        <v>0.79303284606159752</v>
      </c>
      <c r="BI53">
        <f>20+70*Tabla6[[#This Row],[A6]]</f>
        <v>75.512299224311818</v>
      </c>
      <c r="BJ53">
        <f>+IF(Tabla6[[#This Row],[Indice]]="","",Tabla6[[#This Row],[Empieza]]+Tabla6[[#This Row],[Tiempo carrera ]])</f>
        <v>555.51229922431185</v>
      </c>
      <c r="BK53" s="6">
        <f>IF(Tabla6[[#This Row],[Termina la carrera]]="","",IF(Tabla6[[#This Row],[Termina la carrera]]&gt;540,1,0))</f>
        <v>1</v>
      </c>
      <c r="BL53" s="6">
        <f>+IF(OR(Tabla6[[#This Row],[Despues de las 9]]=0,Tabla6[[#This Row],[Despues de las 9]]=""),"",Tabla6[[#This Row],[Despues de las 9]]*Tabla6[[#This Row],[Grupo ]])</f>
        <v>21</v>
      </c>
      <c r="BM53" s="6" t="str">
        <f>+IF(Tabla6[[#This Row],[grupo  despues de las 9]]="","",IF(MAX($BL$13:BL52)=Tabla6[[#This Row],[grupo  despues de las 9]],"",1))</f>
        <v/>
      </c>
    </row>
    <row r="54" spans="5:80" x14ac:dyDescent="0.25">
      <c r="E54" s="2">
        <v>42</v>
      </c>
      <c r="F54" s="5">
        <v>9.4863807130920019E-2</v>
      </c>
      <c r="G54" s="2">
        <f t="shared" si="2"/>
        <v>9.966985724649903E-2</v>
      </c>
      <c r="H54" s="4">
        <f>+H53+Tabla2[[#This Row],[Tiempo Entre]]</f>
        <v>401.68225475785744</v>
      </c>
      <c r="I54" s="5">
        <v>0.22131454039469334</v>
      </c>
      <c r="J54" s="2">
        <f>+IF(Tabla2[[#This Row],[A2 ]]&lt;0.5,1,IF(Tabla2[[#This Row],[A2 ]]&lt;0.8,2,3))</f>
        <v>1</v>
      </c>
      <c r="L54" s="2">
        <f>+IF(AND(Tabla2[[#This Row],[Llegada]]&lt;=$B$16,P54&gt;0),1,"-")</f>
        <v>1</v>
      </c>
      <c r="M54" s="2">
        <f t="shared" si="3"/>
        <v>42</v>
      </c>
      <c r="N54" s="4">
        <f>+IF(L54=1,Tabla2[[#This Row],[Llegada]],"-")</f>
        <v>401.68225475785744</v>
      </c>
      <c r="O54" s="2">
        <f>+IF(L54=1,Tabla2[[#This Row],[Numero de integrantes]],"-")</f>
        <v>1</v>
      </c>
      <c r="P54" s="2">
        <f t="shared" si="4"/>
        <v>25</v>
      </c>
      <c r="Q54" s="2">
        <f>+IF(Tabla3[[#This Row],[Entra?]]=1,Q53+Tabla3[[#This Row],[Numero integrantes]],Q53)</f>
        <v>76</v>
      </c>
      <c r="S54" s="2">
        <f t="shared" si="5"/>
        <v>42</v>
      </c>
      <c r="T54" s="2">
        <f>+COUNTIF(Tabla3[Cuantos van],"&lt;"&amp;Tabla4[[#This Row],[Entidad]])+1</f>
        <v>22</v>
      </c>
      <c r="U54" s="2">
        <f>+INDEX(Tabla3[Llegada],Tabla4[[#This Row],[Grupo]])</f>
        <v>382.71425195115177</v>
      </c>
      <c r="V54" s="2">
        <f>+IF(Tabla4[[#This Row],[Hora llegada]]&gt;=Tabla4[[#This Row],[Disponibilidad M1]],0,1)</f>
        <v>1</v>
      </c>
      <c r="W54" s="2">
        <f>+IF(Tabla4[[#This Row],[Hora llegada]]&gt;=Tabla4[[#This Row],[Disponibilidad M2]],0,1)</f>
        <v>1</v>
      </c>
      <c r="X54" s="2">
        <f>+IF(Tabla4[[#This Row],[Hora llegada]]&gt;=Tabla4[[#This Row],[Disponibilidad M3]],0,1)</f>
        <v>1</v>
      </c>
      <c r="Y54" s="2">
        <f>+IF(Tabla5[[#This Row],[Quien me atiende]]=1,MAX(Tabla4[[#This Row],[Disponibilidad M1]],Tabla4[[#This Row],[Hora llegada]]),"-")</f>
        <v>416.61695148361133</v>
      </c>
      <c r="Z54" s="2" t="str">
        <f>+IF(Tabla5[[#This Row],[Quien me atiende]]=2,MAX(Tabla4[[#This Row],[Disponibilidad M2]],Tabla4[[#This Row],[Hora llegada]]),"-")</f>
        <v>-</v>
      </c>
      <c r="AA54" s="2" t="str">
        <f>+IF(Tabla5[[#This Row],[Quien me atiende]]=3,MAX(Tabla4[[#This Row],[Disponibilidad M3]],Tabla4[[#This Row],[Hora llegada]]),"-")</f>
        <v>-</v>
      </c>
      <c r="AB54" s="2">
        <f>+MAX($AG$13:AG53)</f>
        <v>416.61695148361133</v>
      </c>
      <c r="AC54" s="2">
        <f>+MAX($AH$13:AH53)</f>
        <v>417.34347774391756</v>
      </c>
      <c r="AD54" s="2">
        <f>+MAX($AI$13:AI53)</f>
        <v>419.39417843986996</v>
      </c>
      <c r="AE54" s="2">
        <v>0.95204234139591215</v>
      </c>
      <c r="AF54" s="2">
        <f>2+4.5*Tabla4[[#This Row],[A5]]</f>
        <v>6.2841905362816046</v>
      </c>
      <c r="AG54" s="2">
        <f>+IF(Tabla4[[#This Row],[Entrada M1]]="-","-",Tabla4[[#This Row],[Entrada M1]]+Tabla4[[#This Row],[Tiempo Atencion ]])</f>
        <v>422.90114201989292</v>
      </c>
      <c r="AH54" s="2" t="str">
        <f>+IF(Tabla4[[#This Row],[Entrada M2]]="-","-",Tabla4[[#This Row],[Entrada M2]]+Tabla4[[#This Row],[Tiempo Atencion ]])</f>
        <v>-</v>
      </c>
      <c r="AI54" s="2" t="str">
        <f>+IF(Tabla4[[#This Row],[Entrada M3]]="-","-",Tabla4[[#This Row],[Entrada M3]]+Tabla4[[#This Row],[Tiempo Atencion ]])</f>
        <v>-</v>
      </c>
      <c r="AJ54" s="11">
        <f>+MAX(Tabla4[[#This Row],[Salida M1]:[Salida M3]])</f>
        <v>422.90114201989292</v>
      </c>
      <c r="AK54" s="11" t="str">
        <f>+IF(Tabla4[[#This Row],[Salida]]&lt;=$B$17,"Entra","No Entra")</f>
        <v>Entra</v>
      </c>
      <c r="AL54" s="11">
        <f>+IF(Tabla4[[#This Row],[Entra  a la carrera]]="Entra",0,Tabla4[[#This Row],[Grupo]])</f>
        <v>0</v>
      </c>
      <c r="AM54" s="11">
        <f>_xlfn.IFNA(VLOOKUP(Tabla4[[#This Row],[Grupo]],Tabla4[Grupos por fuera],1,FALSE),0)</f>
        <v>0</v>
      </c>
      <c r="AN54" s="11" t="str">
        <f>+IF(Tabla4[[#This Row],[Me salgo por mi amigo el lento?]]=0, "Entra", "Chao")</f>
        <v>Entra</v>
      </c>
      <c r="AO54" s="11">
        <f>+IF(Tabla4[[#This Row],[Al fin entra o no]]="Entra",MAX($AO$13:AO53)+1,"")</f>
        <v>42</v>
      </c>
      <c r="AP54" s="11">
        <f>+Tabla4[[#This Row],[Entidad]]</f>
        <v>42</v>
      </c>
      <c r="AR54">
        <v>0.85053793513339204</v>
      </c>
      <c r="AS54">
        <f>+IF(Tabla5[[#This Row],[A3]]&lt;0.5,2,3)</f>
        <v>3</v>
      </c>
      <c r="AT54">
        <f>+IF(Tabla5[[#This Row],[A3]]&lt;0.5,1,3)</f>
        <v>3</v>
      </c>
      <c r="AU54">
        <f>+IF(Tabla5[[#This Row],[A3]]&lt;0.5,1,2)</f>
        <v>2</v>
      </c>
      <c r="AV54" s="6">
        <f>+IF(Tabla5[[#This Row],[A3]]&lt;0.33,1,IF(Tabla5[[#This Row],[A3]]&lt;0.66,2,3))</f>
        <v>3</v>
      </c>
      <c r="AW5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54" s="6">
        <f>+SUM(Tabla4[[#This Row],[Ocupacion M1]:[Ocupacion M3]])</f>
        <v>3</v>
      </c>
      <c r="AY54" s="6">
        <f>+IF(Tabla4[[#This Row],[Ocupacion M1]]=1,1,IF(Tabla4[[#This Row],[Ocupacion M2]]=1,2,3))</f>
        <v>1</v>
      </c>
      <c r="AZ54" s="6">
        <f>+INDEX(Tabla5[[#This Row],[Si 1 esta ocupado]:[Si 3 esta ocupado]],Tabla5[[#This Row],[Estado si = 1]])</f>
        <v>3</v>
      </c>
      <c r="BA54" s="6">
        <f>+IF(Tabla4[[#This Row],[Ocupacion M1]]= 0,1,IF(Tabla4[[#This Row],[Ocupacion M2]]=0,2,3))</f>
        <v>3</v>
      </c>
      <c r="BB5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54">
        <f t="shared" si="6"/>
        <v>42</v>
      </c>
      <c r="BE54">
        <f>+IF(Tabla6[[#This Row],[Indice]]="","",VLOOKUP(Tabla6[[#This Row],[Indice]],Tabla4[[Corre]:[Entidad2]],2))</f>
        <v>42</v>
      </c>
      <c r="BF54">
        <f>IFERROR(+INDEX(Tabla4[Grupo],Tabla6[[#This Row],[Entidad]]),"")</f>
        <v>22</v>
      </c>
      <c r="BG54">
        <f t="shared" si="7"/>
        <v>480</v>
      </c>
      <c r="BH54">
        <v>0.32628726593372925</v>
      </c>
      <c r="BI54">
        <f>20+70*Tabla6[[#This Row],[A6]]</f>
        <v>42.840108615361046</v>
      </c>
      <c r="BJ54">
        <f>+IF(Tabla6[[#This Row],[Indice]]="","",Tabla6[[#This Row],[Empieza]]+Tabla6[[#This Row],[Tiempo carrera ]])</f>
        <v>522.84010861536103</v>
      </c>
      <c r="BK54" s="6">
        <f>IF(Tabla6[[#This Row],[Termina la carrera]]="","",IF(Tabla6[[#This Row],[Termina la carrera]]&gt;540,1,0))</f>
        <v>0</v>
      </c>
      <c r="BL54" s="6" t="str">
        <f>+IF(OR(Tabla6[[#This Row],[Despues de las 9]]=0,Tabla6[[#This Row],[Despues de las 9]]=""),"",Tabla6[[#This Row],[Despues de las 9]]*Tabla6[[#This Row],[Grupo ]])</f>
        <v/>
      </c>
      <c r="BM54" s="6" t="str">
        <f>+IF(Tabla6[[#This Row],[grupo  despues de las 9]]="","",IF(MAX($BL$13:BL53)=Tabla6[[#This Row],[grupo  despues de las 9]],"",1))</f>
        <v/>
      </c>
    </row>
    <row r="55" spans="5:80" x14ac:dyDescent="0.25">
      <c r="E55" s="2">
        <v>43</v>
      </c>
      <c r="F55" s="5">
        <v>0.25354336213014317</v>
      </c>
      <c r="G55" s="2">
        <f t="shared" si="2"/>
        <v>0.29241775093736661</v>
      </c>
      <c r="H55" s="4">
        <f>+H54+Tabla2[[#This Row],[Tiempo Entre]]</f>
        <v>401.97467250879481</v>
      </c>
      <c r="I55" s="5">
        <v>0.69871706390789157</v>
      </c>
      <c r="J55" s="2">
        <f>+IF(Tabla2[[#This Row],[A2 ]]&lt;0.5,1,IF(Tabla2[[#This Row],[A2 ]]&lt;0.8,2,3))</f>
        <v>2</v>
      </c>
      <c r="L55" s="2">
        <f>+IF(AND(Tabla2[[#This Row],[Llegada]]&lt;=$B$16,P55&gt;0),1,"-")</f>
        <v>1</v>
      </c>
      <c r="M55" s="2">
        <f t="shared" si="3"/>
        <v>43</v>
      </c>
      <c r="N55" s="4">
        <f>+IF(L55=1,Tabla2[[#This Row],[Llegada]],"-")</f>
        <v>401.97467250879481</v>
      </c>
      <c r="O55" s="2">
        <f>+IF(L55=1,Tabla2[[#This Row],[Numero de integrantes]],"-")</f>
        <v>2</v>
      </c>
      <c r="P55" s="2">
        <f t="shared" si="4"/>
        <v>24</v>
      </c>
      <c r="Q55" s="2">
        <f>+IF(Tabla3[[#This Row],[Entra?]]=1,Q54+Tabla3[[#This Row],[Numero integrantes]],Q54)</f>
        <v>78</v>
      </c>
      <c r="S55" s="2">
        <f t="shared" si="5"/>
        <v>43</v>
      </c>
      <c r="T55" s="2">
        <f>+COUNTIF(Tabla3[Cuantos van],"&lt;"&amp;Tabla4[[#This Row],[Entidad]])+1</f>
        <v>22</v>
      </c>
      <c r="U55" s="2">
        <f>+INDEX(Tabla3[Llegada],Tabla4[[#This Row],[Grupo]])</f>
        <v>382.71425195115177</v>
      </c>
      <c r="V55" s="2">
        <f>+IF(Tabla4[[#This Row],[Hora llegada]]&gt;=Tabla4[[#This Row],[Disponibilidad M1]],0,1)</f>
        <v>1</v>
      </c>
      <c r="W55" s="2">
        <f>+IF(Tabla4[[#This Row],[Hora llegada]]&gt;=Tabla4[[#This Row],[Disponibilidad M2]],0,1)</f>
        <v>1</v>
      </c>
      <c r="X55" s="2">
        <f>+IF(Tabla4[[#This Row],[Hora llegada]]&gt;=Tabla4[[#This Row],[Disponibilidad M3]],0,1)</f>
        <v>1</v>
      </c>
      <c r="Y55" s="2" t="str">
        <f>+IF(Tabla5[[#This Row],[Quien me atiende]]=1,MAX(Tabla4[[#This Row],[Disponibilidad M1]],Tabla4[[#This Row],[Hora llegada]]),"-")</f>
        <v>-</v>
      </c>
      <c r="Z55" s="2">
        <f>+IF(Tabla5[[#This Row],[Quien me atiende]]=2,MAX(Tabla4[[#This Row],[Disponibilidad M2]],Tabla4[[#This Row],[Hora llegada]]),"-")</f>
        <v>417.34347774391756</v>
      </c>
      <c r="AA55" s="2" t="str">
        <f>+IF(Tabla5[[#This Row],[Quien me atiende]]=3,MAX(Tabla4[[#This Row],[Disponibilidad M3]],Tabla4[[#This Row],[Hora llegada]]),"-")</f>
        <v>-</v>
      </c>
      <c r="AB55" s="2">
        <f>+MAX($AG$13:AG54)</f>
        <v>422.90114201989292</v>
      </c>
      <c r="AC55" s="2">
        <f>+MAX($AH$13:AH54)</f>
        <v>417.34347774391756</v>
      </c>
      <c r="AD55" s="2">
        <f>+MAX($AI$13:AI54)</f>
        <v>419.39417843986996</v>
      </c>
      <c r="AE55" s="2">
        <v>1.2185463698888954E-2</v>
      </c>
      <c r="AF55" s="2">
        <f>2+4.5*Tabla4[[#This Row],[A5]]</f>
        <v>2.0548345866450002</v>
      </c>
      <c r="AG55" s="2" t="str">
        <f>+IF(Tabla4[[#This Row],[Entrada M1]]="-","-",Tabla4[[#This Row],[Entrada M1]]+Tabla4[[#This Row],[Tiempo Atencion ]])</f>
        <v>-</v>
      </c>
      <c r="AH55" s="2">
        <f>+IF(Tabla4[[#This Row],[Entrada M2]]="-","-",Tabla4[[#This Row],[Entrada M2]]+Tabla4[[#This Row],[Tiempo Atencion ]])</f>
        <v>419.39831233056253</v>
      </c>
      <c r="AI55" s="2" t="str">
        <f>+IF(Tabla4[[#This Row],[Entrada M3]]="-","-",Tabla4[[#This Row],[Entrada M3]]+Tabla4[[#This Row],[Tiempo Atencion ]])</f>
        <v>-</v>
      </c>
      <c r="AJ55" s="11">
        <f>+MAX(Tabla4[[#This Row],[Salida M1]:[Salida M3]])</f>
        <v>419.39831233056253</v>
      </c>
      <c r="AK55" s="11" t="str">
        <f>+IF(Tabla4[[#This Row],[Salida]]&lt;=$B$17,"Entra","No Entra")</f>
        <v>Entra</v>
      </c>
      <c r="AL55" s="11">
        <f>+IF(Tabla4[[#This Row],[Entra  a la carrera]]="Entra",0,Tabla4[[#This Row],[Grupo]])</f>
        <v>0</v>
      </c>
      <c r="AM55" s="11">
        <f>_xlfn.IFNA(VLOOKUP(Tabla4[[#This Row],[Grupo]],Tabla4[Grupos por fuera],1,FALSE),0)</f>
        <v>0</v>
      </c>
      <c r="AN55" s="11" t="str">
        <f>+IF(Tabla4[[#This Row],[Me salgo por mi amigo el lento?]]=0, "Entra", "Chao")</f>
        <v>Entra</v>
      </c>
      <c r="AO55" s="11">
        <f>+IF(Tabla4[[#This Row],[Al fin entra o no]]="Entra",MAX($AO$13:AO54)+1,"")</f>
        <v>43</v>
      </c>
      <c r="AP55" s="11">
        <f>+Tabla4[[#This Row],[Entidad]]</f>
        <v>43</v>
      </c>
      <c r="AR55">
        <v>0.23861625190626556</v>
      </c>
      <c r="AS55">
        <f>+IF(Tabla5[[#This Row],[A3]]&lt;0.5,2,3)</f>
        <v>2</v>
      </c>
      <c r="AT55">
        <f>+IF(Tabla5[[#This Row],[A3]]&lt;0.5,1,3)</f>
        <v>1</v>
      </c>
      <c r="AU55">
        <f>+IF(Tabla5[[#This Row],[A3]]&lt;0.5,1,2)</f>
        <v>1</v>
      </c>
      <c r="AV55" s="6">
        <f>+IF(Tabla5[[#This Row],[A3]]&lt;0.33,1,IF(Tabla5[[#This Row],[A3]]&lt;0.66,2,3))</f>
        <v>1</v>
      </c>
      <c r="AW5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55" s="6">
        <f>+SUM(Tabla4[[#This Row],[Ocupacion M1]:[Ocupacion M3]])</f>
        <v>3</v>
      </c>
      <c r="AY55" s="6">
        <f>+IF(Tabla4[[#This Row],[Ocupacion M1]]=1,1,IF(Tabla4[[#This Row],[Ocupacion M2]]=1,2,3))</f>
        <v>1</v>
      </c>
      <c r="AZ55" s="6">
        <f>+INDEX(Tabla5[[#This Row],[Si 1 esta ocupado]:[Si 3 esta ocupado]],Tabla5[[#This Row],[Estado si = 1]])</f>
        <v>2</v>
      </c>
      <c r="BA55" s="6">
        <f>+IF(Tabla4[[#This Row],[Ocupacion M1]]= 0,1,IF(Tabla4[[#This Row],[Ocupacion M2]]=0,2,3))</f>
        <v>3</v>
      </c>
      <c r="BB5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55">
        <f t="shared" si="6"/>
        <v>43</v>
      </c>
      <c r="BE55">
        <f>+IF(Tabla6[[#This Row],[Indice]]="","",VLOOKUP(Tabla6[[#This Row],[Indice]],Tabla4[[Corre]:[Entidad2]],2))</f>
        <v>43</v>
      </c>
      <c r="BF55">
        <f>IFERROR(+INDEX(Tabla4[Grupo],Tabla6[[#This Row],[Entidad]]),"")</f>
        <v>22</v>
      </c>
      <c r="BG55">
        <f t="shared" si="7"/>
        <v>480</v>
      </c>
      <c r="BH55">
        <v>0.9555259174493651</v>
      </c>
      <c r="BI55">
        <f>20+70*Tabla6[[#This Row],[A6]]</f>
        <v>86.886814221455552</v>
      </c>
      <c r="BJ55">
        <f>+IF(Tabla6[[#This Row],[Indice]]="","",Tabla6[[#This Row],[Empieza]]+Tabla6[[#This Row],[Tiempo carrera ]])</f>
        <v>566.88681422145555</v>
      </c>
      <c r="BK55" s="6">
        <f>IF(Tabla6[[#This Row],[Termina la carrera]]="","",IF(Tabla6[[#This Row],[Termina la carrera]]&gt;540,1,0))</f>
        <v>1</v>
      </c>
      <c r="BL55" s="6">
        <f>+IF(OR(Tabla6[[#This Row],[Despues de las 9]]=0,Tabla6[[#This Row],[Despues de las 9]]=""),"",Tabla6[[#This Row],[Despues de las 9]]*Tabla6[[#This Row],[Grupo ]])</f>
        <v>22</v>
      </c>
      <c r="BM55" s="6">
        <f>+IF(Tabla6[[#This Row],[grupo  despues de las 9]]="","",IF(MAX($BL$13:BL54)=Tabla6[[#This Row],[grupo  despues de las 9]],"",1))</f>
        <v>1</v>
      </c>
    </row>
    <row r="56" spans="5:80" x14ac:dyDescent="0.25">
      <c r="E56" s="2">
        <v>44</v>
      </c>
      <c r="F56" s="5">
        <v>0.44455746936626206</v>
      </c>
      <c r="G56" s="2">
        <f t="shared" si="2"/>
        <v>0.58799013045910342</v>
      </c>
      <c r="H56" s="4">
        <f>+H55+Tabla2[[#This Row],[Tiempo Entre]]</f>
        <v>402.56266263925392</v>
      </c>
      <c r="I56" s="5">
        <v>0.72859577031716849</v>
      </c>
      <c r="J56" s="2">
        <f>+IF(Tabla2[[#This Row],[A2 ]]&lt;0.5,1,IF(Tabla2[[#This Row],[A2 ]]&lt;0.8,2,3))</f>
        <v>2</v>
      </c>
      <c r="L56" s="2">
        <f>+IF(AND(Tabla2[[#This Row],[Llegada]]&lt;=$B$16,P56&gt;0),1,"-")</f>
        <v>1</v>
      </c>
      <c r="M56" s="2">
        <f t="shared" si="3"/>
        <v>44</v>
      </c>
      <c r="N56" s="4">
        <f>+IF(L56=1,Tabla2[[#This Row],[Llegada]],"-")</f>
        <v>402.56266263925392</v>
      </c>
      <c r="O56" s="2">
        <f>+IF(L56=1,Tabla2[[#This Row],[Numero de integrantes]],"-")</f>
        <v>2</v>
      </c>
      <c r="P56" s="2">
        <f t="shared" si="4"/>
        <v>22</v>
      </c>
      <c r="Q56" s="2">
        <f>+IF(Tabla3[[#This Row],[Entra?]]=1,Q55+Tabla3[[#This Row],[Numero integrantes]],Q55)</f>
        <v>80</v>
      </c>
      <c r="S56" s="2">
        <f t="shared" si="5"/>
        <v>44</v>
      </c>
      <c r="T56" s="2">
        <f>+COUNTIF(Tabla3[Cuantos van],"&lt;"&amp;Tabla4[[#This Row],[Entidad]])+1</f>
        <v>23</v>
      </c>
      <c r="U56" s="2">
        <f>+INDEX(Tabla3[Llegada],Tabla4[[#This Row],[Grupo]])</f>
        <v>386.83880565660354</v>
      </c>
      <c r="V56" s="2">
        <f>+IF(Tabla4[[#This Row],[Hora llegada]]&gt;=Tabla4[[#This Row],[Disponibilidad M1]],0,1)</f>
        <v>1</v>
      </c>
      <c r="W56" s="2">
        <f>+IF(Tabla4[[#This Row],[Hora llegada]]&gt;=Tabla4[[#This Row],[Disponibilidad M2]],0,1)</f>
        <v>1</v>
      </c>
      <c r="X56" s="2">
        <f>+IF(Tabla4[[#This Row],[Hora llegada]]&gt;=Tabla4[[#This Row],[Disponibilidad M3]],0,1)</f>
        <v>1</v>
      </c>
      <c r="Y56" s="2" t="str">
        <f>+IF(Tabla5[[#This Row],[Quien me atiende]]=1,MAX(Tabla4[[#This Row],[Disponibilidad M1]],Tabla4[[#This Row],[Hora llegada]]),"-")</f>
        <v>-</v>
      </c>
      <c r="Z56" s="2" t="str">
        <f>+IF(Tabla5[[#This Row],[Quien me atiende]]=2,MAX(Tabla4[[#This Row],[Disponibilidad M2]],Tabla4[[#This Row],[Hora llegada]]),"-")</f>
        <v>-</v>
      </c>
      <c r="AA56" s="2">
        <f>+IF(Tabla5[[#This Row],[Quien me atiende]]=3,MAX(Tabla4[[#This Row],[Disponibilidad M3]],Tabla4[[#This Row],[Hora llegada]]),"-")</f>
        <v>419.39417843986996</v>
      </c>
      <c r="AB56" s="2">
        <f>+MAX($AG$13:AG55)</f>
        <v>422.90114201989292</v>
      </c>
      <c r="AC56" s="2">
        <f>+MAX($AH$13:AH55)</f>
        <v>419.39831233056253</v>
      </c>
      <c r="AD56" s="2">
        <f>+MAX($AI$13:AI55)</f>
        <v>419.39417843986996</v>
      </c>
      <c r="AE56" s="2">
        <v>0.7837313590654309</v>
      </c>
      <c r="AF56" s="2">
        <f>2+4.5*Tabla4[[#This Row],[A5]]</f>
        <v>5.5267911157944392</v>
      </c>
      <c r="AG56" s="2" t="str">
        <f>+IF(Tabla4[[#This Row],[Entrada M1]]="-","-",Tabla4[[#This Row],[Entrada M1]]+Tabla4[[#This Row],[Tiempo Atencion ]])</f>
        <v>-</v>
      </c>
      <c r="AH56" s="2" t="str">
        <f>+IF(Tabla4[[#This Row],[Entrada M2]]="-","-",Tabla4[[#This Row],[Entrada M2]]+Tabla4[[#This Row],[Tiempo Atencion ]])</f>
        <v>-</v>
      </c>
      <c r="AI56" s="2">
        <f>+IF(Tabla4[[#This Row],[Entrada M3]]="-","-",Tabla4[[#This Row],[Entrada M3]]+Tabla4[[#This Row],[Tiempo Atencion ]])</f>
        <v>424.92096955566439</v>
      </c>
      <c r="AJ56" s="11">
        <f>+MAX(Tabla4[[#This Row],[Salida M1]:[Salida M3]])</f>
        <v>424.92096955566439</v>
      </c>
      <c r="AK56" s="11" t="str">
        <f>+IF(Tabla4[[#This Row],[Salida]]&lt;=$B$17,"Entra","No Entra")</f>
        <v>Entra</v>
      </c>
      <c r="AL56" s="11">
        <f>+IF(Tabla4[[#This Row],[Entra  a la carrera]]="Entra",0,Tabla4[[#This Row],[Grupo]])</f>
        <v>0</v>
      </c>
      <c r="AM56" s="11">
        <f>_xlfn.IFNA(VLOOKUP(Tabla4[[#This Row],[Grupo]],Tabla4[Grupos por fuera],1,FALSE),0)</f>
        <v>0</v>
      </c>
      <c r="AN56" s="11" t="str">
        <f>+IF(Tabla4[[#This Row],[Me salgo por mi amigo el lento?]]=0, "Entra", "Chao")</f>
        <v>Entra</v>
      </c>
      <c r="AO56" s="11">
        <f>+IF(Tabla4[[#This Row],[Al fin entra o no]]="Entra",MAX($AO$13:AO55)+1,"")</f>
        <v>44</v>
      </c>
      <c r="AP56" s="11">
        <f>+Tabla4[[#This Row],[Entidad]]</f>
        <v>44</v>
      </c>
      <c r="AR56">
        <v>0.7143407162271479</v>
      </c>
      <c r="AS56">
        <f>+IF(Tabla5[[#This Row],[A3]]&lt;0.5,2,3)</f>
        <v>3</v>
      </c>
      <c r="AT56">
        <f>+IF(Tabla5[[#This Row],[A3]]&lt;0.5,1,3)</f>
        <v>3</v>
      </c>
      <c r="AU56">
        <f>+IF(Tabla5[[#This Row],[A3]]&lt;0.5,1,2)</f>
        <v>2</v>
      </c>
      <c r="AV56" s="6">
        <f>+IF(Tabla5[[#This Row],[A3]]&lt;0.33,1,IF(Tabla5[[#This Row],[A3]]&lt;0.66,2,3))</f>
        <v>3</v>
      </c>
      <c r="AW5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56" s="6">
        <f>+SUM(Tabla4[[#This Row],[Ocupacion M1]:[Ocupacion M3]])</f>
        <v>3</v>
      </c>
      <c r="AY56" s="6">
        <f>+IF(Tabla4[[#This Row],[Ocupacion M1]]=1,1,IF(Tabla4[[#This Row],[Ocupacion M2]]=1,2,3))</f>
        <v>1</v>
      </c>
      <c r="AZ56" s="6">
        <f>+INDEX(Tabla5[[#This Row],[Si 1 esta ocupado]:[Si 3 esta ocupado]],Tabla5[[#This Row],[Estado si = 1]])</f>
        <v>3</v>
      </c>
      <c r="BA56" s="6">
        <f>+IF(Tabla4[[#This Row],[Ocupacion M1]]= 0,1,IF(Tabla4[[#This Row],[Ocupacion M2]]=0,2,3))</f>
        <v>3</v>
      </c>
      <c r="BB5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56">
        <f t="shared" si="6"/>
        <v>44</v>
      </c>
      <c r="BE56">
        <f>+IF(Tabla6[[#This Row],[Indice]]="","",VLOOKUP(Tabla6[[#This Row],[Indice]],Tabla4[[Corre]:[Entidad2]],2))</f>
        <v>44</v>
      </c>
      <c r="BF56">
        <f>IFERROR(+INDEX(Tabla4[Grupo],Tabla6[[#This Row],[Entidad]]),"")</f>
        <v>23</v>
      </c>
      <c r="BG56">
        <f t="shared" si="7"/>
        <v>480</v>
      </c>
      <c r="BH56">
        <v>0.19409266762011845</v>
      </c>
      <c r="BI56">
        <f>20+70*Tabla6[[#This Row],[A6]]</f>
        <v>33.586486733408293</v>
      </c>
      <c r="BJ56">
        <f>+IF(Tabla6[[#This Row],[Indice]]="","",Tabla6[[#This Row],[Empieza]]+Tabla6[[#This Row],[Tiempo carrera ]])</f>
        <v>513.58648673340826</v>
      </c>
      <c r="BK56" s="6">
        <f>IF(Tabla6[[#This Row],[Termina la carrera]]="","",IF(Tabla6[[#This Row],[Termina la carrera]]&gt;540,1,0))</f>
        <v>0</v>
      </c>
      <c r="BL56" s="6" t="str">
        <f>+IF(OR(Tabla6[[#This Row],[Despues de las 9]]=0,Tabla6[[#This Row],[Despues de las 9]]=""),"",Tabla6[[#This Row],[Despues de las 9]]*Tabla6[[#This Row],[Grupo ]])</f>
        <v/>
      </c>
      <c r="BM56" s="6" t="str">
        <f>+IF(Tabla6[[#This Row],[grupo  despues de las 9]]="","",IF(MAX($BL$13:BL55)=Tabla6[[#This Row],[grupo  despues de las 9]],"",1))</f>
        <v/>
      </c>
    </row>
    <row r="57" spans="5:80" x14ac:dyDescent="0.25">
      <c r="E57" s="2">
        <v>45</v>
      </c>
      <c r="F57" s="5">
        <v>0.9506657326079202</v>
      </c>
      <c r="G57" s="2">
        <f t="shared" si="2"/>
        <v>3.0091363604421311</v>
      </c>
      <c r="H57" s="4">
        <f>+H56+Tabla2[[#This Row],[Tiempo Entre]]</f>
        <v>405.57179899969606</v>
      </c>
      <c r="I57" s="5">
        <v>0.28149500650984649</v>
      </c>
      <c r="J57" s="2">
        <f>+IF(Tabla2[[#This Row],[A2 ]]&lt;0.5,1,IF(Tabla2[[#This Row],[A2 ]]&lt;0.8,2,3))</f>
        <v>1</v>
      </c>
      <c r="L57" s="2">
        <f>+IF(AND(Tabla2[[#This Row],[Llegada]]&lt;=$B$16,P57&gt;0),1,"-")</f>
        <v>1</v>
      </c>
      <c r="M57" s="2">
        <f t="shared" si="3"/>
        <v>45</v>
      </c>
      <c r="N57" s="4">
        <f>+IF(L57=1,Tabla2[[#This Row],[Llegada]],"-")</f>
        <v>405.57179899969606</v>
      </c>
      <c r="O57" s="2">
        <f>+IF(L57=1,Tabla2[[#This Row],[Numero de integrantes]],"-")</f>
        <v>1</v>
      </c>
      <c r="P57" s="2">
        <f t="shared" si="4"/>
        <v>20</v>
      </c>
      <c r="Q57" s="2">
        <f>+IF(Tabla3[[#This Row],[Entra?]]=1,Q56+Tabla3[[#This Row],[Numero integrantes]],Q56)</f>
        <v>81</v>
      </c>
      <c r="S57" s="2">
        <f t="shared" si="5"/>
        <v>45</v>
      </c>
      <c r="T57" s="2">
        <f>+COUNTIF(Tabla3[Cuantos van],"&lt;"&amp;Tabla4[[#This Row],[Entidad]])+1</f>
        <v>23</v>
      </c>
      <c r="U57" s="2">
        <f>+INDEX(Tabla3[Llegada],Tabla4[[#This Row],[Grupo]])</f>
        <v>386.83880565660354</v>
      </c>
      <c r="V57" s="2">
        <f>+IF(Tabla4[[#This Row],[Hora llegada]]&gt;=Tabla4[[#This Row],[Disponibilidad M1]],0,1)</f>
        <v>1</v>
      </c>
      <c r="W57" s="2">
        <f>+IF(Tabla4[[#This Row],[Hora llegada]]&gt;=Tabla4[[#This Row],[Disponibilidad M2]],0,1)</f>
        <v>1</v>
      </c>
      <c r="X57" s="2">
        <f>+IF(Tabla4[[#This Row],[Hora llegada]]&gt;=Tabla4[[#This Row],[Disponibilidad M3]],0,1)</f>
        <v>1</v>
      </c>
      <c r="Y57" s="2" t="str">
        <f>+IF(Tabla5[[#This Row],[Quien me atiende]]=1,MAX(Tabla4[[#This Row],[Disponibilidad M1]],Tabla4[[#This Row],[Hora llegada]]),"-")</f>
        <v>-</v>
      </c>
      <c r="Z57" s="2">
        <f>+IF(Tabla5[[#This Row],[Quien me atiende]]=2,MAX(Tabla4[[#This Row],[Disponibilidad M2]],Tabla4[[#This Row],[Hora llegada]]),"-")</f>
        <v>419.39831233056253</v>
      </c>
      <c r="AA57" s="2" t="str">
        <f>+IF(Tabla5[[#This Row],[Quien me atiende]]=3,MAX(Tabla4[[#This Row],[Disponibilidad M3]],Tabla4[[#This Row],[Hora llegada]]),"-")</f>
        <v>-</v>
      </c>
      <c r="AB57" s="2">
        <f>+MAX($AG$13:AG56)</f>
        <v>422.90114201989292</v>
      </c>
      <c r="AC57" s="2">
        <f>+MAX($AH$13:AH56)</f>
        <v>419.39831233056253</v>
      </c>
      <c r="AD57" s="2">
        <f>+MAX($AI$13:AI56)</f>
        <v>424.92096955566439</v>
      </c>
      <c r="AE57" s="2">
        <v>0.50668442010555448</v>
      </c>
      <c r="AF57" s="2">
        <f>2+4.5*Tabla4[[#This Row],[A5]]</f>
        <v>4.2800798904749957</v>
      </c>
      <c r="AG57" s="2" t="str">
        <f>+IF(Tabla4[[#This Row],[Entrada M1]]="-","-",Tabla4[[#This Row],[Entrada M1]]+Tabla4[[#This Row],[Tiempo Atencion ]])</f>
        <v>-</v>
      </c>
      <c r="AH57" s="2">
        <f>+IF(Tabla4[[#This Row],[Entrada M2]]="-","-",Tabla4[[#This Row],[Entrada M2]]+Tabla4[[#This Row],[Tiempo Atencion ]])</f>
        <v>423.67839222103754</v>
      </c>
      <c r="AI57" s="2" t="str">
        <f>+IF(Tabla4[[#This Row],[Entrada M3]]="-","-",Tabla4[[#This Row],[Entrada M3]]+Tabla4[[#This Row],[Tiempo Atencion ]])</f>
        <v>-</v>
      </c>
      <c r="AJ57" s="11">
        <f>+MAX(Tabla4[[#This Row],[Salida M1]:[Salida M3]])</f>
        <v>423.67839222103754</v>
      </c>
      <c r="AK57" s="11" t="str">
        <f>+IF(Tabla4[[#This Row],[Salida]]&lt;=$B$17,"Entra","No Entra")</f>
        <v>Entra</v>
      </c>
      <c r="AL57" s="11">
        <f>+IF(Tabla4[[#This Row],[Entra  a la carrera]]="Entra",0,Tabla4[[#This Row],[Grupo]])</f>
        <v>0</v>
      </c>
      <c r="AM57" s="11">
        <f>_xlfn.IFNA(VLOOKUP(Tabla4[[#This Row],[Grupo]],Tabla4[Grupos por fuera],1,FALSE),0)</f>
        <v>0</v>
      </c>
      <c r="AN57" s="11" t="str">
        <f>+IF(Tabla4[[#This Row],[Me salgo por mi amigo el lento?]]=0, "Entra", "Chao")</f>
        <v>Entra</v>
      </c>
      <c r="AO57" s="11">
        <f>+IF(Tabla4[[#This Row],[Al fin entra o no]]="Entra",MAX($AO$13:AO56)+1,"")</f>
        <v>45</v>
      </c>
      <c r="AP57" s="11">
        <f>+Tabla4[[#This Row],[Entidad]]</f>
        <v>45</v>
      </c>
      <c r="AR57">
        <v>0.59770416516736946</v>
      </c>
      <c r="AS57">
        <f>+IF(Tabla5[[#This Row],[A3]]&lt;0.5,2,3)</f>
        <v>3</v>
      </c>
      <c r="AT57">
        <f>+IF(Tabla5[[#This Row],[A3]]&lt;0.5,1,3)</f>
        <v>3</v>
      </c>
      <c r="AU57">
        <f>+IF(Tabla5[[#This Row],[A3]]&lt;0.5,1,2)</f>
        <v>2</v>
      </c>
      <c r="AV57" s="6">
        <f>+IF(Tabla5[[#This Row],[A3]]&lt;0.33,1,IF(Tabla5[[#This Row],[A3]]&lt;0.66,2,3))</f>
        <v>2</v>
      </c>
      <c r="AW5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57" s="6">
        <f>+SUM(Tabla4[[#This Row],[Ocupacion M1]:[Ocupacion M3]])</f>
        <v>3</v>
      </c>
      <c r="AY57" s="6">
        <f>+IF(Tabla4[[#This Row],[Ocupacion M1]]=1,1,IF(Tabla4[[#This Row],[Ocupacion M2]]=1,2,3))</f>
        <v>1</v>
      </c>
      <c r="AZ57" s="6">
        <f>+INDEX(Tabla5[[#This Row],[Si 1 esta ocupado]:[Si 3 esta ocupado]],Tabla5[[#This Row],[Estado si = 1]])</f>
        <v>3</v>
      </c>
      <c r="BA57" s="6">
        <f>+IF(Tabla4[[#This Row],[Ocupacion M1]]= 0,1,IF(Tabla4[[#This Row],[Ocupacion M2]]=0,2,3))</f>
        <v>3</v>
      </c>
      <c r="BB5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57">
        <f t="shared" si="6"/>
        <v>45</v>
      </c>
      <c r="BE57">
        <f>+IF(Tabla6[[#This Row],[Indice]]="","",VLOOKUP(Tabla6[[#This Row],[Indice]],Tabla4[[Corre]:[Entidad2]],2))</f>
        <v>45</v>
      </c>
      <c r="BF57">
        <f>IFERROR(+INDEX(Tabla4[Grupo],Tabla6[[#This Row],[Entidad]]),"")</f>
        <v>23</v>
      </c>
      <c r="BG57">
        <f t="shared" si="7"/>
        <v>480</v>
      </c>
      <c r="BH57">
        <v>0.84376799811640901</v>
      </c>
      <c r="BI57">
        <f>20+70*Tabla6[[#This Row],[A6]]</f>
        <v>79.063759868148622</v>
      </c>
      <c r="BJ57">
        <f>+IF(Tabla6[[#This Row],[Indice]]="","",Tabla6[[#This Row],[Empieza]]+Tabla6[[#This Row],[Tiempo carrera ]])</f>
        <v>559.06375986814862</v>
      </c>
      <c r="BK57" s="6">
        <f>IF(Tabla6[[#This Row],[Termina la carrera]]="","",IF(Tabla6[[#This Row],[Termina la carrera]]&gt;540,1,0))</f>
        <v>1</v>
      </c>
      <c r="BL57" s="6">
        <f>+IF(OR(Tabla6[[#This Row],[Despues de las 9]]=0,Tabla6[[#This Row],[Despues de las 9]]=""),"",Tabla6[[#This Row],[Despues de las 9]]*Tabla6[[#This Row],[Grupo ]])</f>
        <v>23</v>
      </c>
      <c r="BM57" s="6">
        <f>+IF(Tabla6[[#This Row],[grupo  despues de las 9]]="","",IF(MAX($BL$13:BL56)=Tabla6[[#This Row],[grupo  despues de las 9]],"",1))</f>
        <v>1</v>
      </c>
    </row>
    <row r="58" spans="5:80" x14ac:dyDescent="0.25">
      <c r="E58" s="2">
        <v>46</v>
      </c>
      <c r="F58" s="5">
        <v>0.33508010966599977</v>
      </c>
      <c r="G58" s="2">
        <f t="shared" si="2"/>
        <v>0.40808871124601126</v>
      </c>
      <c r="H58" s="4">
        <f>+H57+Tabla2[[#This Row],[Tiempo Entre]]</f>
        <v>405.97988771094208</v>
      </c>
      <c r="I58" s="5">
        <v>0.47890900483802157</v>
      </c>
      <c r="J58" s="2">
        <f>+IF(Tabla2[[#This Row],[A2 ]]&lt;0.5,1,IF(Tabla2[[#This Row],[A2 ]]&lt;0.8,2,3))</f>
        <v>1</v>
      </c>
      <c r="L58" s="2">
        <f>+IF(AND(Tabla2[[#This Row],[Llegada]]&lt;=$B$16,P58&gt;0),1,"-")</f>
        <v>1</v>
      </c>
      <c r="M58" s="2">
        <f t="shared" si="3"/>
        <v>46</v>
      </c>
      <c r="N58" s="4">
        <f>+IF(L58=1,Tabla2[[#This Row],[Llegada]],"-")</f>
        <v>405.97988771094208</v>
      </c>
      <c r="O58" s="2">
        <f>+IF(L58=1,Tabla2[[#This Row],[Numero de integrantes]],"-")</f>
        <v>1</v>
      </c>
      <c r="P58" s="2">
        <f t="shared" si="4"/>
        <v>19</v>
      </c>
      <c r="Q58" s="2">
        <f>+IF(Tabla3[[#This Row],[Entra?]]=1,Q57+Tabla3[[#This Row],[Numero integrantes]],Q57)</f>
        <v>82</v>
      </c>
      <c r="S58" s="2">
        <f t="shared" si="5"/>
        <v>46</v>
      </c>
      <c r="T58" s="2">
        <f>+COUNTIF(Tabla3[Cuantos van],"&lt;"&amp;Tabla4[[#This Row],[Entidad]])+1</f>
        <v>24</v>
      </c>
      <c r="U58" s="2">
        <f>+INDEX(Tabla3[Llegada],Tabla4[[#This Row],[Grupo]])</f>
        <v>386.93474349906728</v>
      </c>
      <c r="V58" s="2">
        <f>+IF(Tabla4[[#This Row],[Hora llegada]]&gt;=Tabla4[[#This Row],[Disponibilidad M1]],0,1)</f>
        <v>1</v>
      </c>
      <c r="W58" s="2">
        <f>+IF(Tabla4[[#This Row],[Hora llegada]]&gt;=Tabla4[[#This Row],[Disponibilidad M2]],0,1)</f>
        <v>1</v>
      </c>
      <c r="X58" s="2">
        <f>+IF(Tabla4[[#This Row],[Hora llegada]]&gt;=Tabla4[[#This Row],[Disponibilidad M3]],0,1)</f>
        <v>1</v>
      </c>
      <c r="Y58" s="2">
        <f>+IF(Tabla5[[#This Row],[Quien me atiende]]=1,MAX(Tabla4[[#This Row],[Disponibilidad M1]],Tabla4[[#This Row],[Hora llegada]]),"-")</f>
        <v>422.90114201989292</v>
      </c>
      <c r="Z58" s="2" t="str">
        <f>+IF(Tabla5[[#This Row],[Quien me atiende]]=2,MAX(Tabla4[[#This Row],[Disponibilidad M2]],Tabla4[[#This Row],[Hora llegada]]),"-")</f>
        <v>-</v>
      </c>
      <c r="AA58" s="2" t="str">
        <f>+IF(Tabla5[[#This Row],[Quien me atiende]]=3,MAX(Tabla4[[#This Row],[Disponibilidad M3]],Tabla4[[#This Row],[Hora llegada]]),"-")</f>
        <v>-</v>
      </c>
      <c r="AB58" s="2">
        <f>+MAX($AG$13:AG57)</f>
        <v>422.90114201989292</v>
      </c>
      <c r="AC58" s="2">
        <f>+MAX($AH$13:AH57)</f>
        <v>423.67839222103754</v>
      </c>
      <c r="AD58" s="2">
        <f>+MAX($AI$13:AI57)</f>
        <v>424.92096955566439</v>
      </c>
      <c r="AE58" s="2">
        <v>0.95745353128087896</v>
      </c>
      <c r="AF58" s="2">
        <f>2+4.5*Tabla4[[#This Row],[A5]]</f>
        <v>6.3085408907639557</v>
      </c>
      <c r="AG58" s="2">
        <f>+IF(Tabla4[[#This Row],[Entrada M1]]="-","-",Tabla4[[#This Row],[Entrada M1]]+Tabla4[[#This Row],[Tiempo Atencion ]])</f>
        <v>429.20968291065685</v>
      </c>
      <c r="AH58" s="2" t="str">
        <f>+IF(Tabla4[[#This Row],[Entrada M2]]="-","-",Tabla4[[#This Row],[Entrada M2]]+Tabla4[[#This Row],[Tiempo Atencion ]])</f>
        <v>-</v>
      </c>
      <c r="AI58" s="2" t="str">
        <f>+IF(Tabla4[[#This Row],[Entrada M3]]="-","-",Tabla4[[#This Row],[Entrada M3]]+Tabla4[[#This Row],[Tiempo Atencion ]])</f>
        <v>-</v>
      </c>
      <c r="AJ58" s="11">
        <f>+MAX(Tabla4[[#This Row],[Salida M1]:[Salida M3]])</f>
        <v>429.20968291065685</v>
      </c>
      <c r="AK58" s="11" t="str">
        <f>+IF(Tabla4[[#This Row],[Salida]]&lt;=$B$17,"Entra","No Entra")</f>
        <v>Entra</v>
      </c>
      <c r="AL58" s="11">
        <f>+IF(Tabla4[[#This Row],[Entra  a la carrera]]="Entra",0,Tabla4[[#This Row],[Grupo]])</f>
        <v>0</v>
      </c>
      <c r="AM58" s="11">
        <f>_xlfn.IFNA(VLOOKUP(Tabla4[[#This Row],[Grupo]],Tabla4[Grupos por fuera],1,FALSE),0)</f>
        <v>0</v>
      </c>
      <c r="AN58" s="11" t="str">
        <f>+IF(Tabla4[[#This Row],[Me salgo por mi amigo el lento?]]=0, "Entra", "Chao")</f>
        <v>Entra</v>
      </c>
      <c r="AO58" s="11">
        <f>+IF(Tabla4[[#This Row],[Al fin entra o no]]="Entra",MAX($AO$13:AO57)+1,"")</f>
        <v>46</v>
      </c>
      <c r="AP58" s="11">
        <f>+Tabla4[[#This Row],[Entidad]]</f>
        <v>46</v>
      </c>
      <c r="AR58">
        <v>0.88846885399507525</v>
      </c>
      <c r="AS58">
        <f>+IF(Tabla5[[#This Row],[A3]]&lt;0.5,2,3)</f>
        <v>3</v>
      </c>
      <c r="AT58">
        <f>+IF(Tabla5[[#This Row],[A3]]&lt;0.5,1,3)</f>
        <v>3</v>
      </c>
      <c r="AU58">
        <f>+IF(Tabla5[[#This Row],[A3]]&lt;0.5,1,2)</f>
        <v>2</v>
      </c>
      <c r="AV58" s="6">
        <f>+IF(Tabla5[[#This Row],[A3]]&lt;0.33,1,IF(Tabla5[[#This Row],[A3]]&lt;0.66,2,3))</f>
        <v>3</v>
      </c>
      <c r="AW5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58" s="6">
        <f>+SUM(Tabla4[[#This Row],[Ocupacion M1]:[Ocupacion M3]])</f>
        <v>3</v>
      </c>
      <c r="AY58" s="6">
        <f>+IF(Tabla4[[#This Row],[Ocupacion M1]]=1,1,IF(Tabla4[[#This Row],[Ocupacion M2]]=1,2,3))</f>
        <v>1</v>
      </c>
      <c r="AZ58" s="6">
        <f>+INDEX(Tabla5[[#This Row],[Si 1 esta ocupado]:[Si 3 esta ocupado]],Tabla5[[#This Row],[Estado si = 1]])</f>
        <v>3</v>
      </c>
      <c r="BA58" s="6">
        <f>+IF(Tabla4[[#This Row],[Ocupacion M1]]= 0,1,IF(Tabla4[[#This Row],[Ocupacion M2]]=0,2,3))</f>
        <v>3</v>
      </c>
      <c r="BB5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58">
        <f t="shared" si="6"/>
        <v>46</v>
      </c>
      <c r="BE58">
        <f>+IF(Tabla6[[#This Row],[Indice]]="","",VLOOKUP(Tabla6[[#This Row],[Indice]],Tabla4[[Corre]:[Entidad2]],2))</f>
        <v>46</v>
      </c>
      <c r="BF58">
        <f>IFERROR(+INDEX(Tabla4[Grupo],Tabla6[[#This Row],[Entidad]]),"")</f>
        <v>24</v>
      </c>
      <c r="BG58">
        <f t="shared" si="7"/>
        <v>480</v>
      </c>
      <c r="BH58">
        <v>5.6289986327576202E-2</v>
      </c>
      <c r="BI58">
        <f>20+70*Tabla6[[#This Row],[A6]]</f>
        <v>23.940299042930334</v>
      </c>
      <c r="BJ58">
        <f>+IF(Tabla6[[#This Row],[Indice]]="","",Tabla6[[#This Row],[Empieza]]+Tabla6[[#This Row],[Tiempo carrera ]])</f>
        <v>503.94029904293035</v>
      </c>
      <c r="BK58" s="6">
        <f>IF(Tabla6[[#This Row],[Termina la carrera]]="","",IF(Tabla6[[#This Row],[Termina la carrera]]&gt;540,1,0))</f>
        <v>0</v>
      </c>
      <c r="BL58" s="6" t="str">
        <f>+IF(OR(Tabla6[[#This Row],[Despues de las 9]]=0,Tabla6[[#This Row],[Despues de las 9]]=""),"",Tabla6[[#This Row],[Despues de las 9]]*Tabla6[[#This Row],[Grupo ]])</f>
        <v/>
      </c>
      <c r="BM58" s="6" t="str">
        <f>+IF(Tabla6[[#This Row],[grupo  despues de las 9]]="","",IF(MAX($BL$13:BL57)=Tabla6[[#This Row],[grupo  despues de las 9]],"",1))</f>
        <v/>
      </c>
    </row>
    <row r="59" spans="5:80" x14ac:dyDescent="0.25">
      <c r="E59" s="2">
        <v>47</v>
      </c>
      <c r="F59" s="5">
        <v>0.99760809126357408</v>
      </c>
      <c r="G59" s="2">
        <f t="shared" si="2"/>
        <v>6.0356635972897159</v>
      </c>
      <c r="H59" s="4">
        <f>+H58+Tabla2[[#This Row],[Tiempo Entre]]</f>
        <v>412.01555130823181</v>
      </c>
      <c r="I59" s="5">
        <v>9.7298936578534501E-2</v>
      </c>
      <c r="J59" s="2">
        <f>+IF(Tabla2[[#This Row],[A2 ]]&lt;0.5,1,IF(Tabla2[[#This Row],[A2 ]]&lt;0.8,2,3))</f>
        <v>1</v>
      </c>
      <c r="L59" s="2">
        <f>+IF(AND(Tabla2[[#This Row],[Llegada]]&lt;=$B$16,P59&gt;0),1,"-")</f>
        <v>1</v>
      </c>
      <c r="M59" s="2">
        <f t="shared" si="3"/>
        <v>47</v>
      </c>
      <c r="N59" s="4">
        <f>+IF(L59=1,Tabla2[[#This Row],[Llegada]],"-")</f>
        <v>412.01555130823181</v>
      </c>
      <c r="O59" s="2">
        <f>+IF(L59=1,Tabla2[[#This Row],[Numero de integrantes]],"-")</f>
        <v>1</v>
      </c>
      <c r="P59" s="2">
        <f t="shared" si="4"/>
        <v>18</v>
      </c>
      <c r="Q59" s="2">
        <f>+IF(Tabla3[[#This Row],[Entra?]]=1,Q58+Tabla3[[#This Row],[Numero integrantes]],Q58)</f>
        <v>83</v>
      </c>
      <c r="S59" s="2">
        <f t="shared" si="5"/>
        <v>47</v>
      </c>
      <c r="T59" s="2">
        <f>+COUNTIF(Tabla3[Cuantos van],"&lt;"&amp;Tabla4[[#This Row],[Entidad]])+1</f>
        <v>24</v>
      </c>
      <c r="U59" s="2">
        <f>+INDEX(Tabla3[Llegada],Tabla4[[#This Row],[Grupo]])</f>
        <v>386.93474349906728</v>
      </c>
      <c r="V59" s="2">
        <f>+IF(Tabla4[[#This Row],[Hora llegada]]&gt;=Tabla4[[#This Row],[Disponibilidad M1]],0,1)</f>
        <v>1</v>
      </c>
      <c r="W59" s="2">
        <f>+IF(Tabla4[[#This Row],[Hora llegada]]&gt;=Tabla4[[#This Row],[Disponibilidad M2]],0,1)</f>
        <v>1</v>
      </c>
      <c r="X59" s="2">
        <f>+IF(Tabla4[[#This Row],[Hora llegada]]&gt;=Tabla4[[#This Row],[Disponibilidad M3]],0,1)</f>
        <v>1</v>
      </c>
      <c r="Y59" s="2" t="str">
        <f>+IF(Tabla5[[#This Row],[Quien me atiende]]=1,MAX(Tabla4[[#This Row],[Disponibilidad M1]],Tabla4[[#This Row],[Hora llegada]]),"-")</f>
        <v>-</v>
      </c>
      <c r="Z59" s="2">
        <f>+IF(Tabla5[[#This Row],[Quien me atiende]]=2,MAX(Tabla4[[#This Row],[Disponibilidad M2]],Tabla4[[#This Row],[Hora llegada]]),"-")</f>
        <v>423.67839222103754</v>
      </c>
      <c r="AA59" s="2" t="str">
        <f>+IF(Tabla5[[#This Row],[Quien me atiende]]=3,MAX(Tabla4[[#This Row],[Disponibilidad M3]],Tabla4[[#This Row],[Hora llegada]]),"-")</f>
        <v>-</v>
      </c>
      <c r="AB59" s="2">
        <f>+MAX($AG$13:AG58)</f>
        <v>429.20968291065685</v>
      </c>
      <c r="AC59" s="2">
        <f>+MAX($AH$13:AH58)</f>
        <v>423.67839222103754</v>
      </c>
      <c r="AD59" s="2">
        <f>+MAX($AI$13:AI58)</f>
        <v>424.92096955566439</v>
      </c>
      <c r="AE59" s="2">
        <v>0.5893208798222026</v>
      </c>
      <c r="AF59" s="2">
        <f>2+4.5*Tabla4[[#This Row],[A5]]</f>
        <v>4.6519439591999117</v>
      </c>
      <c r="AG59" s="2" t="str">
        <f>+IF(Tabla4[[#This Row],[Entrada M1]]="-","-",Tabla4[[#This Row],[Entrada M1]]+Tabla4[[#This Row],[Tiempo Atencion ]])</f>
        <v>-</v>
      </c>
      <c r="AH59" s="2">
        <f>+IF(Tabla4[[#This Row],[Entrada M2]]="-","-",Tabla4[[#This Row],[Entrada M2]]+Tabla4[[#This Row],[Tiempo Atencion ]])</f>
        <v>428.33033618023745</v>
      </c>
      <c r="AI59" s="2" t="str">
        <f>+IF(Tabla4[[#This Row],[Entrada M3]]="-","-",Tabla4[[#This Row],[Entrada M3]]+Tabla4[[#This Row],[Tiempo Atencion ]])</f>
        <v>-</v>
      </c>
      <c r="AJ59" s="11">
        <f>+MAX(Tabla4[[#This Row],[Salida M1]:[Salida M3]])</f>
        <v>428.33033618023745</v>
      </c>
      <c r="AK59" s="11" t="str">
        <f>+IF(Tabla4[[#This Row],[Salida]]&lt;=$B$17,"Entra","No Entra")</f>
        <v>Entra</v>
      </c>
      <c r="AL59" s="11">
        <f>+IF(Tabla4[[#This Row],[Entra  a la carrera]]="Entra",0,Tabla4[[#This Row],[Grupo]])</f>
        <v>0</v>
      </c>
      <c r="AM59" s="11">
        <f>_xlfn.IFNA(VLOOKUP(Tabla4[[#This Row],[Grupo]],Tabla4[Grupos por fuera],1,FALSE),0)</f>
        <v>0</v>
      </c>
      <c r="AN59" s="11" t="str">
        <f>+IF(Tabla4[[#This Row],[Me salgo por mi amigo el lento?]]=0, "Entra", "Chao")</f>
        <v>Entra</v>
      </c>
      <c r="AO59" s="11">
        <f>+IF(Tabla4[[#This Row],[Al fin entra o no]]="Entra",MAX($AO$13:AO58)+1,"")</f>
        <v>47</v>
      </c>
      <c r="AP59" s="11">
        <f>+Tabla4[[#This Row],[Entidad]]</f>
        <v>47</v>
      </c>
      <c r="AR59">
        <v>0.68355478580233653</v>
      </c>
      <c r="AS59">
        <f>+IF(Tabla5[[#This Row],[A3]]&lt;0.5,2,3)</f>
        <v>3</v>
      </c>
      <c r="AT59">
        <f>+IF(Tabla5[[#This Row],[A3]]&lt;0.5,1,3)</f>
        <v>3</v>
      </c>
      <c r="AU59">
        <f>+IF(Tabla5[[#This Row],[A3]]&lt;0.5,1,2)</f>
        <v>2</v>
      </c>
      <c r="AV59" s="6">
        <f>+IF(Tabla5[[#This Row],[A3]]&lt;0.33,1,IF(Tabla5[[#This Row],[A3]]&lt;0.66,2,3))</f>
        <v>3</v>
      </c>
      <c r="AW5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59" s="6">
        <f>+SUM(Tabla4[[#This Row],[Ocupacion M1]:[Ocupacion M3]])</f>
        <v>3</v>
      </c>
      <c r="AY59" s="6">
        <f>+IF(Tabla4[[#This Row],[Ocupacion M1]]=1,1,IF(Tabla4[[#This Row],[Ocupacion M2]]=1,2,3))</f>
        <v>1</v>
      </c>
      <c r="AZ59" s="6">
        <f>+INDEX(Tabla5[[#This Row],[Si 1 esta ocupado]:[Si 3 esta ocupado]],Tabla5[[#This Row],[Estado si = 1]])</f>
        <v>3</v>
      </c>
      <c r="BA59" s="6">
        <f>+IF(Tabla4[[#This Row],[Ocupacion M1]]= 0,1,IF(Tabla4[[#This Row],[Ocupacion M2]]=0,2,3))</f>
        <v>3</v>
      </c>
      <c r="BB5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59">
        <f t="shared" si="6"/>
        <v>47</v>
      </c>
      <c r="BE59">
        <f>+IF(Tabla6[[#This Row],[Indice]]="","",VLOOKUP(Tabla6[[#This Row],[Indice]],Tabla4[[Corre]:[Entidad2]],2))</f>
        <v>47</v>
      </c>
      <c r="BF59">
        <f>IFERROR(+INDEX(Tabla4[Grupo],Tabla6[[#This Row],[Entidad]]),"")</f>
        <v>24</v>
      </c>
      <c r="BG59">
        <f t="shared" si="7"/>
        <v>480</v>
      </c>
      <c r="BH59">
        <v>0.14274175841636683</v>
      </c>
      <c r="BI59">
        <f>20+70*Tabla6[[#This Row],[A6]]</f>
        <v>29.991923089145679</v>
      </c>
      <c r="BJ59">
        <f>+IF(Tabla6[[#This Row],[Indice]]="","",Tabla6[[#This Row],[Empieza]]+Tabla6[[#This Row],[Tiempo carrera ]])</f>
        <v>509.9919230891457</v>
      </c>
      <c r="BK59" s="6">
        <f>IF(Tabla6[[#This Row],[Termina la carrera]]="","",IF(Tabla6[[#This Row],[Termina la carrera]]&gt;540,1,0))</f>
        <v>0</v>
      </c>
      <c r="BL59" s="6" t="str">
        <f>+IF(OR(Tabla6[[#This Row],[Despues de las 9]]=0,Tabla6[[#This Row],[Despues de las 9]]=""),"",Tabla6[[#This Row],[Despues de las 9]]*Tabla6[[#This Row],[Grupo ]])</f>
        <v/>
      </c>
      <c r="BM59" s="6" t="str">
        <f>+IF(Tabla6[[#This Row],[grupo  despues de las 9]]="","",IF(MAX($BL$13:BL58)=Tabla6[[#This Row],[grupo  despues de las 9]],"",1))</f>
        <v/>
      </c>
    </row>
    <row r="60" spans="5:80" x14ac:dyDescent="0.25">
      <c r="E60" s="2">
        <v>48</v>
      </c>
      <c r="F60" s="5">
        <v>0.80717555075100789</v>
      </c>
      <c r="G60" s="2">
        <f t="shared" si="2"/>
        <v>1.645975093388157</v>
      </c>
      <c r="H60" s="4">
        <f>+H59+Tabla2[[#This Row],[Tiempo Entre]]</f>
        <v>413.66152640161994</v>
      </c>
      <c r="I60" s="5">
        <v>0.14720850323974133</v>
      </c>
      <c r="J60" s="2">
        <f>+IF(Tabla2[[#This Row],[A2 ]]&lt;0.5,1,IF(Tabla2[[#This Row],[A2 ]]&lt;0.8,2,3))</f>
        <v>1</v>
      </c>
      <c r="L60" s="2">
        <f>+IF(AND(Tabla2[[#This Row],[Llegada]]&lt;=$B$16,P60&gt;0),1,"-")</f>
        <v>1</v>
      </c>
      <c r="M60" s="2">
        <f t="shared" si="3"/>
        <v>48</v>
      </c>
      <c r="N60" s="4">
        <f>+IF(L60=1,Tabla2[[#This Row],[Llegada]],"-")</f>
        <v>413.66152640161994</v>
      </c>
      <c r="O60" s="2">
        <f>+IF(L60=1,Tabla2[[#This Row],[Numero de integrantes]],"-")</f>
        <v>1</v>
      </c>
      <c r="P60" s="2">
        <f t="shared" si="4"/>
        <v>17</v>
      </c>
      <c r="Q60" s="2">
        <f>+IF(Tabla3[[#This Row],[Entra?]]=1,Q59+Tabla3[[#This Row],[Numero integrantes]],Q59)</f>
        <v>84</v>
      </c>
      <c r="S60" s="2">
        <f t="shared" si="5"/>
        <v>48</v>
      </c>
      <c r="T60" s="2">
        <f>+COUNTIF(Tabla3[Cuantos van],"&lt;"&amp;Tabla4[[#This Row],[Entidad]])+1</f>
        <v>25</v>
      </c>
      <c r="U60" s="2">
        <f>+INDEX(Tabla3[Llegada],Tabla4[[#This Row],[Grupo]])</f>
        <v>390.38387980331095</v>
      </c>
      <c r="V60" s="2">
        <f>+IF(Tabla4[[#This Row],[Hora llegada]]&gt;=Tabla4[[#This Row],[Disponibilidad M1]],0,1)</f>
        <v>1</v>
      </c>
      <c r="W60" s="2">
        <f>+IF(Tabla4[[#This Row],[Hora llegada]]&gt;=Tabla4[[#This Row],[Disponibilidad M2]],0,1)</f>
        <v>1</v>
      </c>
      <c r="X60" s="2">
        <f>+IF(Tabla4[[#This Row],[Hora llegada]]&gt;=Tabla4[[#This Row],[Disponibilidad M3]],0,1)</f>
        <v>1</v>
      </c>
      <c r="Y60" s="2" t="str">
        <f>+IF(Tabla5[[#This Row],[Quien me atiende]]=1,MAX(Tabla4[[#This Row],[Disponibilidad M1]],Tabla4[[#This Row],[Hora llegada]]),"-")</f>
        <v>-</v>
      </c>
      <c r="Z60" s="2" t="str">
        <f>+IF(Tabla5[[#This Row],[Quien me atiende]]=2,MAX(Tabla4[[#This Row],[Disponibilidad M2]],Tabla4[[#This Row],[Hora llegada]]),"-")</f>
        <v>-</v>
      </c>
      <c r="AA60" s="2">
        <f>+IF(Tabla5[[#This Row],[Quien me atiende]]=3,MAX(Tabla4[[#This Row],[Disponibilidad M3]],Tabla4[[#This Row],[Hora llegada]]),"-")</f>
        <v>424.92096955566439</v>
      </c>
      <c r="AB60" s="2">
        <f>+MAX($AG$13:AG59)</f>
        <v>429.20968291065685</v>
      </c>
      <c r="AC60" s="2">
        <f>+MAX($AH$13:AH59)</f>
        <v>428.33033618023745</v>
      </c>
      <c r="AD60" s="2">
        <f>+MAX($AI$13:AI59)</f>
        <v>424.92096955566439</v>
      </c>
      <c r="AE60" s="2">
        <v>0.90807345900887559</v>
      </c>
      <c r="AF60" s="2">
        <f>2+4.5*Tabla4[[#This Row],[A5]]</f>
        <v>6.0863305655399405</v>
      </c>
      <c r="AG60" s="2" t="str">
        <f>+IF(Tabla4[[#This Row],[Entrada M1]]="-","-",Tabla4[[#This Row],[Entrada M1]]+Tabla4[[#This Row],[Tiempo Atencion ]])</f>
        <v>-</v>
      </c>
      <c r="AH60" s="2" t="str">
        <f>+IF(Tabla4[[#This Row],[Entrada M2]]="-","-",Tabla4[[#This Row],[Entrada M2]]+Tabla4[[#This Row],[Tiempo Atencion ]])</f>
        <v>-</v>
      </c>
      <c r="AI60" s="2">
        <f>+IF(Tabla4[[#This Row],[Entrada M3]]="-","-",Tabla4[[#This Row],[Entrada M3]]+Tabla4[[#This Row],[Tiempo Atencion ]])</f>
        <v>431.00730012120431</v>
      </c>
      <c r="AJ60" s="11">
        <f>+MAX(Tabla4[[#This Row],[Salida M1]:[Salida M3]])</f>
        <v>431.00730012120431</v>
      </c>
      <c r="AK60" s="11" t="str">
        <f>+IF(Tabla4[[#This Row],[Salida]]&lt;=$B$17,"Entra","No Entra")</f>
        <v>Entra</v>
      </c>
      <c r="AL60" s="11">
        <f>+IF(Tabla4[[#This Row],[Entra  a la carrera]]="Entra",0,Tabla4[[#This Row],[Grupo]])</f>
        <v>0</v>
      </c>
      <c r="AM60" s="11">
        <f>_xlfn.IFNA(VLOOKUP(Tabla4[[#This Row],[Grupo]],Tabla4[Grupos por fuera],1,FALSE),0)</f>
        <v>0</v>
      </c>
      <c r="AN60" s="11" t="str">
        <f>+IF(Tabla4[[#This Row],[Me salgo por mi amigo el lento?]]=0, "Entra", "Chao")</f>
        <v>Entra</v>
      </c>
      <c r="AO60" s="11">
        <f>+IF(Tabla4[[#This Row],[Al fin entra o no]]="Entra",MAX($AO$13:AO59)+1,"")</f>
        <v>48</v>
      </c>
      <c r="AP60" s="11">
        <f>+Tabla4[[#This Row],[Entidad]]</f>
        <v>48</v>
      </c>
      <c r="AR60">
        <v>3.3463857545921516E-2</v>
      </c>
      <c r="AS60">
        <f>+IF(Tabla5[[#This Row],[A3]]&lt;0.5,2,3)</f>
        <v>2</v>
      </c>
      <c r="AT60">
        <f>+IF(Tabla5[[#This Row],[A3]]&lt;0.5,1,3)</f>
        <v>1</v>
      </c>
      <c r="AU60">
        <f>+IF(Tabla5[[#This Row],[A3]]&lt;0.5,1,2)</f>
        <v>1</v>
      </c>
      <c r="AV60" s="6">
        <f>+IF(Tabla5[[#This Row],[A3]]&lt;0.33,1,IF(Tabla5[[#This Row],[A3]]&lt;0.66,2,3))</f>
        <v>1</v>
      </c>
      <c r="AW6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60" s="6">
        <f>+SUM(Tabla4[[#This Row],[Ocupacion M1]:[Ocupacion M3]])</f>
        <v>3</v>
      </c>
      <c r="AY60" s="6">
        <f>+IF(Tabla4[[#This Row],[Ocupacion M1]]=1,1,IF(Tabla4[[#This Row],[Ocupacion M2]]=1,2,3))</f>
        <v>1</v>
      </c>
      <c r="AZ60" s="6">
        <f>+INDEX(Tabla5[[#This Row],[Si 1 esta ocupado]:[Si 3 esta ocupado]],Tabla5[[#This Row],[Estado si = 1]])</f>
        <v>2</v>
      </c>
      <c r="BA60" s="6">
        <f>+IF(Tabla4[[#This Row],[Ocupacion M1]]= 0,1,IF(Tabla4[[#This Row],[Ocupacion M2]]=0,2,3))</f>
        <v>3</v>
      </c>
      <c r="BB6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60">
        <f t="shared" si="6"/>
        <v>48</v>
      </c>
      <c r="BE60">
        <f>+IF(Tabla6[[#This Row],[Indice]]="","",VLOOKUP(Tabla6[[#This Row],[Indice]],Tabla4[[Corre]:[Entidad2]],2))</f>
        <v>48</v>
      </c>
      <c r="BF60">
        <f>IFERROR(+INDEX(Tabla4[Grupo],Tabla6[[#This Row],[Entidad]]),"")</f>
        <v>25</v>
      </c>
      <c r="BG60">
        <f t="shared" si="7"/>
        <v>480</v>
      </c>
      <c r="BH60">
        <v>0.69151960360273657</v>
      </c>
      <c r="BI60">
        <f>20+70*Tabla6[[#This Row],[A6]]</f>
        <v>68.406372252191559</v>
      </c>
      <c r="BJ60">
        <f>+IF(Tabla6[[#This Row],[Indice]]="","",Tabla6[[#This Row],[Empieza]]+Tabla6[[#This Row],[Tiempo carrera ]])</f>
        <v>548.40637225219155</v>
      </c>
      <c r="BK60" s="6">
        <f>IF(Tabla6[[#This Row],[Termina la carrera]]="","",IF(Tabla6[[#This Row],[Termina la carrera]]&gt;540,1,0))</f>
        <v>1</v>
      </c>
      <c r="BL60" s="6">
        <f>+IF(OR(Tabla6[[#This Row],[Despues de las 9]]=0,Tabla6[[#This Row],[Despues de las 9]]=""),"",Tabla6[[#This Row],[Despues de las 9]]*Tabla6[[#This Row],[Grupo ]])</f>
        <v>25</v>
      </c>
      <c r="BM60" s="6">
        <f>+IF(Tabla6[[#This Row],[grupo  despues de las 9]]="","",IF(MAX($BL$13:BL59)=Tabla6[[#This Row],[grupo  despues de las 9]],"",1))</f>
        <v>1</v>
      </c>
    </row>
    <row r="61" spans="5:80" x14ac:dyDescent="0.25">
      <c r="E61" s="2">
        <v>49</v>
      </c>
      <c r="F61" s="5">
        <v>0.54045185874568513</v>
      </c>
      <c r="G61" s="2">
        <f t="shared" si="2"/>
        <v>0.77751157389446768</v>
      </c>
      <c r="H61" s="4">
        <f>+H60+Tabla2[[#This Row],[Tiempo Entre]]</f>
        <v>414.4390379755144</v>
      </c>
      <c r="I61" s="5">
        <v>0.37884407732936731</v>
      </c>
      <c r="J61" s="2">
        <f>+IF(Tabla2[[#This Row],[A2 ]]&lt;0.5,1,IF(Tabla2[[#This Row],[A2 ]]&lt;0.8,2,3))</f>
        <v>1</v>
      </c>
      <c r="L61" s="2">
        <f>+IF(AND(Tabla2[[#This Row],[Llegada]]&lt;=$B$16,P61&gt;0),1,"-")</f>
        <v>1</v>
      </c>
      <c r="M61" s="2">
        <f t="shared" si="3"/>
        <v>49</v>
      </c>
      <c r="N61" s="4">
        <f>+IF(L61=1,Tabla2[[#This Row],[Llegada]],"-")</f>
        <v>414.4390379755144</v>
      </c>
      <c r="O61" s="2">
        <f>+IF(L61=1,Tabla2[[#This Row],[Numero de integrantes]],"-")</f>
        <v>1</v>
      </c>
      <c r="P61" s="2">
        <f t="shared" si="4"/>
        <v>16</v>
      </c>
      <c r="Q61" s="2">
        <f>+IF(Tabla3[[#This Row],[Entra?]]=1,Q60+Tabla3[[#This Row],[Numero integrantes]],Q60)</f>
        <v>85</v>
      </c>
      <c r="S61" s="2">
        <f t="shared" si="5"/>
        <v>49</v>
      </c>
      <c r="T61" s="2">
        <f>+COUNTIF(Tabla3[Cuantos van],"&lt;"&amp;Tabla4[[#This Row],[Entidad]])+1</f>
        <v>25</v>
      </c>
      <c r="U61" s="2">
        <f>+INDEX(Tabla3[Llegada],Tabla4[[#This Row],[Grupo]])</f>
        <v>390.38387980331095</v>
      </c>
      <c r="V61" s="2">
        <f>+IF(Tabla4[[#This Row],[Hora llegada]]&gt;=Tabla4[[#This Row],[Disponibilidad M1]],0,1)</f>
        <v>1</v>
      </c>
      <c r="W61" s="2">
        <f>+IF(Tabla4[[#This Row],[Hora llegada]]&gt;=Tabla4[[#This Row],[Disponibilidad M2]],0,1)</f>
        <v>1</v>
      </c>
      <c r="X61" s="2">
        <f>+IF(Tabla4[[#This Row],[Hora llegada]]&gt;=Tabla4[[#This Row],[Disponibilidad M3]],0,1)</f>
        <v>1</v>
      </c>
      <c r="Y61" s="2" t="str">
        <f>+IF(Tabla5[[#This Row],[Quien me atiende]]=1,MAX(Tabla4[[#This Row],[Disponibilidad M1]],Tabla4[[#This Row],[Hora llegada]]),"-")</f>
        <v>-</v>
      </c>
      <c r="Z61" s="2">
        <f>+IF(Tabla5[[#This Row],[Quien me atiende]]=2,MAX(Tabla4[[#This Row],[Disponibilidad M2]],Tabla4[[#This Row],[Hora llegada]]),"-")</f>
        <v>428.33033618023745</v>
      </c>
      <c r="AA61" s="2" t="str">
        <f>+IF(Tabla5[[#This Row],[Quien me atiende]]=3,MAX(Tabla4[[#This Row],[Disponibilidad M3]],Tabla4[[#This Row],[Hora llegada]]),"-")</f>
        <v>-</v>
      </c>
      <c r="AB61" s="2">
        <f>+MAX($AG$13:AG60)</f>
        <v>429.20968291065685</v>
      </c>
      <c r="AC61" s="2">
        <f>+MAX($AH$13:AH60)</f>
        <v>428.33033618023745</v>
      </c>
      <c r="AD61" s="2">
        <f>+MAX($AI$13:AI60)</f>
        <v>431.00730012120431</v>
      </c>
      <c r="AE61" s="2">
        <v>1.131133113977334E-2</v>
      </c>
      <c r="AF61" s="2">
        <f>2+4.5*Tabla4[[#This Row],[A5]]</f>
        <v>2.0509009901289801</v>
      </c>
      <c r="AG61" s="2" t="str">
        <f>+IF(Tabla4[[#This Row],[Entrada M1]]="-","-",Tabla4[[#This Row],[Entrada M1]]+Tabla4[[#This Row],[Tiempo Atencion ]])</f>
        <v>-</v>
      </c>
      <c r="AH61" s="2">
        <f>+IF(Tabla4[[#This Row],[Entrada M2]]="-","-",Tabla4[[#This Row],[Entrada M2]]+Tabla4[[#This Row],[Tiempo Atencion ]])</f>
        <v>430.38123717036643</v>
      </c>
      <c r="AI61" s="2" t="str">
        <f>+IF(Tabla4[[#This Row],[Entrada M3]]="-","-",Tabla4[[#This Row],[Entrada M3]]+Tabla4[[#This Row],[Tiempo Atencion ]])</f>
        <v>-</v>
      </c>
      <c r="AJ61" s="11">
        <f>+MAX(Tabla4[[#This Row],[Salida M1]:[Salida M3]])</f>
        <v>430.38123717036643</v>
      </c>
      <c r="AK61" s="11" t="str">
        <f>+IF(Tabla4[[#This Row],[Salida]]&lt;=$B$17,"Entra","No Entra")</f>
        <v>Entra</v>
      </c>
      <c r="AL61" s="11">
        <f>+IF(Tabla4[[#This Row],[Entra  a la carrera]]="Entra",0,Tabla4[[#This Row],[Grupo]])</f>
        <v>0</v>
      </c>
      <c r="AM61" s="11">
        <f>_xlfn.IFNA(VLOOKUP(Tabla4[[#This Row],[Grupo]],Tabla4[Grupos por fuera],1,FALSE),0)</f>
        <v>0</v>
      </c>
      <c r="AN61" s="11" t="str">
        <f>+IF(Tabla4[[#This Row],[Me salgo por mi amigo el lento?]]=0, "Entra", "Chao")</f>
        <v>Entra</v>
      </c>
      <c r="AO61" s="11">
        <f>+IF(Tabla4[[#This Row],[Al fin entra o no]]="Entra",MAX($AO$13:AO60)+1,"")</f>
        <v>49</v>
      </c>
      <c r="AP61" s="11">
        <f>+Tabla4[[#This Row],[Entidad]]</f>
        <v>49</v>
      </c>
      <c r="AR61">
        <v>0.54035834342434708</v>
      </c>
      <c r="AS61">
        <f>+IF(Tabla5[[#This Row],[A3]]&lt;0.5,2,3)</f>
        <v>3</v>
      </c>
      <c r="AT61">
        <f>+IF(Tabla5[[#This Row],[A3]]&lt;0.5,1,3)</f>
        <v>3</v>
      </c>
      <c r="AU61">
        <f>+IF(Tabla5[[#This Row],[A3]]&lt;0.5,1,2)</f>
        <v>2</v>
      </c>
      <c r="AV61" s="6">
        <f>+IF(Tabla5[[#This Row],[A3]]&lt;0.33,1,IF(Tabla5[[#This Row],[A3]]&lt;0.66,2,3))</f>
        <v>2</v>
      </c>
      <c r="AW6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61" s="6">
        <f>+SUM(Tabla4[[#This Row],[Ocupacion M1]:[Ocupacion M3]])</f>
        <v>3</v>
      </c>
      <c r="AY61" s="6">
        <f>+IF(Tabla4[[#This Row],[Ocupacion M1]]=1,1,IF(Tabla4[[#This Row],[Ocupacion M2]]=1,2,3))</f>
        <v>1</v>
      </c>
      <c r="AZ61" s="6">
        <f>+INDEX(Tabla5[[#This Row],[Si 1 esta ocupado]:[Si 3 esta ocupado]],Tabla5[[#This Row],[Estado si = 1]])</f>
        <v>3</v>
      </c>
      <c r="BA61" s="6">
        <f>+IF(Tabla4[[#This Row],[Ocupacion M1]]= 0,1,IF(Tabla4[[#This Row],[Ocupacion M2]]=0,2,3))</f>
        <v>3</v>
      </c>
      <c r="BB6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61">
        <f t="shared" si="6"/>
        <v>49</v>
      </c>
      <c r="BE61">
        <f>+IF(Tabla6[[#This Row],[Indice]]="","",VLOOKUP(Tabla6[[#This Row],[Indice]],Tabla4[[Corre]:[Entidad2]],2))</f>
        <v>49</v>
      </c>
      <c r="BF61">
        <f>IFERROR(+INDEX(Tabla4[Grupo],Tabla6[[#This Row],[Entidad]]),"")</f>
        <v>25</v>
      </c>
      <c r="BG61">
        <f t="shared" si="7"/>
        <v>480</v>
      </c>
      <c r="BH61">
        <v>0.56330192541595214</v>
      </c>
      <c r="BI61">
        <f>20+70*Tabla6[[#This Row],[A6]]</f>
        <v>59.431134779116647</v>
      </c>
      <c r="BJ61">
        <f>+IF(Tabla6[[#This Row],[Indice]]="","",Tabla6[[#This Row],[Empieza]]+Tabla6[[#This Row],[Tiempo carrera ]])</f>
        <v>539.43113477911663</v>
      </c>
      <c r="BK61" s="6">
        <f>IF(Tabla6[[#This Row],[Termina la carrera]]="","",IF(Tabla6[[#This Row],[Termina la carrera]]&gt;540,1,0))</f>
        <v>0</v>
      </c>
      <c r="BL61" s="6" t="str">
        <f>+IF(OR(Tabla6[[#This Row],[Despues de las 9]]=0,Tabla6[[#This Row],[Despues de las 9]]=""),"",Tabla6[[#This Row],[Despues de las 9]]*Tabla6[[#This Row],[Grupo ]])</f>
        <v/>
      </c>
      <c r="BM61" s="6" t="str">
        <f>+IF(Tabla6[[#This Row],[grupo  despues de las 9]]="","",IF(MAX($BL$13:BL60)=Tabla6[[#This Row],[grupo  despues de las 9]],"",1))</f>
        <v/>
      </c>
    </row>
    <row r="62" spans="5:80" x14ac:dyDescent="0.25">
      <c r="E62" s="2">
        <v>50</v>
      </c>
      <c r="F62" s="5">
        <v>0.21102392718754337</v>
      </c>
      <c r="G62" s="2">
        <f t="shared" si="2"/>
        <v>0.23701928456257237</v>
      </c>
      <c r="H62" s="4">
        <f>+H61+Tabla2[[#This Row],[Tiempo Entre]]</f>
        <v>414.67605726007696</v>
      </c>
      <c r="I62" s="5">
        <v>2.371267276006872E-2</v>
      </c>
      <c r="J62" s="2">
        <f>+IF(Tabla2[[#This Row],[A2 ]]&lt;0.5,1,IF(Tabla2[[#This Row],[A2 ]]&lt;0.8,2,3))</f>
        <v>1</v>
      </c>
      <c r="L62" s="2">
        <f>+IF(AND(Tabla2[[#This Row],[Llegada]]&lt;=$B$16,P62&gt;0),1,"-")</f>
        <v>1</v>
      </c>
      <c r="M62" s="2">
        <f t="shared" si="3"/>
        <v>50</v>
      </c>
      <c r="N62" s="4">
        <f>+IF(L62=1,Tabla2[[#This Row],[Llegada]],"-")</f>
        <v>414.67605726007696</v>
      </c>
      <c r="O62" s="2">
        <f>+IF(L62=1,Tabla2[[#This Row],[Numero de integrantes]],"-")</f>
        <v>1</v>
      </c>
      <c r="P62" s="2">
        <f t="shared" si="4"/>
        <v>15</v>
      </c>
      <c r="Q62" s="2">
        <f>+IF(Tabla3[[#This Row],[Entra?]]=1,Q61+Tabla3[[#This Row],[Numero integrantes]],Q61)</f>
        <v>86</v>
      </c>
      <c r="S62" s="2">
        <f t="shared" si="5"/>
        <v>50</v>
      </c>
      <c r="T62" s="2">
        <f>+COUNTIF(Tabla3[Cuantos van],"&lt;"&amp;Tabla4[[#This Row],[Entidad]])+1</f>
        <v>26</v>
      </c>
      <c r="U62" s="2">
        <f>+INDEX(Tabla3[Llegada],Tabla4[[#This Row],[Grupo]])</f>
        <v>390.65663436398233</v>
      </c>
      <c r="V62" s="2">
        <f>+IF(Tabla4[[#This Row],[Hora llegada]]&gt;=Tabla4[[#This Row],[Disponibilidad M1]],0,1)</f>
        <v>1</v>
      </c>
      <c r="W62" s="2">
        <f>+IF(Tabla4[[#This Row],[Hora llegada]]&gt;=Tabla4[[#This Row],[Disponibilidad M2]],0,1)</f>
        <v>1</v>
      </c>
      <c r="X62" s="2">
        <f>+IF(Tabla4[[#This Row],[Hora llegada]]&gt;=Tabla4[[#This Row],[Disponibilidad M3]],0,1)</f>
        <v>1</v>
      </c>
      <c r="Y62" s="2">
        <f>+IF(Tabla5[[#This Row],[Quien me atiende]]=1,MAX(Tabla4[[#This Row],[Disponibilidad M1]],Tabla4[[#This Row],[Hora llegada]]),"-")</f>
        <v>429.20968291065685</v>
      </c>
      <c r="Z62" s="2" t="str">
        <f>+IF(Tabla5[[#This Row],[Quien me atiende]]=2,MAX(Tabla4[[#This Row],[Disponibilidad M2]],Tabla4[[#This Row],[Hora llegada]]),"-")</f>
        <v>-</v>
      </c>
      <c r="AA62" s="2" t="str">
        <f>+IF(Tabla5[[#This Row],[Quien me atiende]]=3,MAX(Tabla4[[#This Row],[Disponibilidad M3]],Tabla4[[#This Row],[Hora llegada]]),"-")</f>
        <v>-</v>
      </c>
      <c r="AB62" s="2">
        <f>+MAX($AG$13:AG61)</f>
        <v>429.20968291065685</v>
      </c>
      <c r="AC62" s="2">
        <f>+MAX($AH$13:AH61)</f>
        <v>430.38123717036643</v>
      </c>
      <c r="AD62" s="2">
        <f>+MAX($AI$13:AI61)</f>
        <v>431.00730012120431</v>
      </c>
      <c r="AE62" s="2">
        <v>0.84015717318937555</v>
      </c>
      <c r="AF62" s="2">
        <f>2+4.5*Tabla4[[#This Row],[A5]]</f>
        <v>5.7807072793521899</v>
      </c>
      <c r="AG62" s="2">
        <f>+IF(Tabla4[[#This Row],[Entrada M1]]="-","-",Tabla4[[#This Row],[Entrada M1]]+Tabla4[[#This Row],[Tiempo Atencion ]])</f>
        <v>434.99039019000907</v>
      </c>
      <c r="AH62" s="2" t="str">
        <f>+IF(Tabla4[[#This Row],[Entrada M2]]="-","-",Tabla4[[#This Row],[Entrada M2]]+Tabla4[[#This Row],[Tiempo Atencion ]])</f>
        <v>-</v>
      </c>
      <c r="AI62" s="2" t="str">
        <f>+IF(Tabla4[[#This Row],[Entrada M3]]="-","-",Tabla4[[#This Row],[Entrada M3]]+Tabla4[[#This Row],[Tiempo Atencion ]])</f>
        <v>-</v>
      </c>
      <c r="AJ62" s="11">
        <f>+MAX(Tabla4[[#This Row],[Salida M1]:[Salida M3]])</f>
        <v>434.99039019000907</v>
      </c>
      <c r="AK62" s="11" t="str">
        <f>+IF(Tabla4[[#This Row],[Salida]]&lt;=$B$17,"Entra","No Entra")</f>
        <v>Entra</v>
      </c>
      <c r="AL62" s="11">
        <f>+IF(Tabla4[[#This Row],[Entra  a la carrera]]="Entra",0,Tabla4[[#This Row],[Grupo]])</f>
        <v>0</v>
      </c>
      <c r="AM62" s="11">
        <f>_xlfn.IFNA(VLOOKUP(Tabla4[[#This Row],[Grupo]],Tabla4[Grupos por fuera],1,FALSE),0)</f>
        <v>0</v>
      </c>
      <c r="AN62" s="11" t="str">
        <f>+IF(Tabla4[[#This Row],[Me salgo por mi amigo el lento?]]=0, "Entra", "Chao")</f>
        <v>Entra</v>
      </c>
      <c r="AO62" s="11">
        <f>+IF(Tabla4[[#This Row],[Al fin entra o no]]="Entra",MAX($AO$13:AO61)+1,"")</f>
        <v>50</v>
      </c>
      <c r="AP62" s="11">
        <f>+Tabla4[[#This Row],[Entidad]]</f>
        <v>50</v>
      </c>
      <c r="AR62">
        <v>0.82871096223420659</v>
      </c>
      <c r="AS62">
        <f>+IF(Tabla5[[#This Row],[A3]]&lt;0.5,2,3)</f>
        <v>3</v>
      </c>
      <c r="AT62">
        <f>+IF(Tabla5[[#This Row],[A3]]&lt;0.5,1,3)</f>
        <v>3</v>
      </c>
      <c r="AU62">
        <f>+IF(Tabla5[[#This Row],[A3]]&lt;0.5,1,2)</f>
        <v>2</v>
      </c>
      <c r="AV62" s="6">
        <f>+IF(Tabla5[[#This Row],[A3]]&lt;0.33,1,IF(Tabla5[[#This Row],[A3]]&lt;0.66,2,3))</f>
        <v>3</v>
      </c>
      <c r="AW6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62" s="6">
        <f>+SUM(Tabla4[[#This Row],[Ocupacion M1]:[Ocupacion M3]])</f>
        <v>3</v>
      </c>
      <c r="AY62" s="6">
        <f>+IF(Tabla4[[#This Row],[Ocupacion M1]]=1,1,IF(Tabla4[[#This Row],[Ocupacion M2]]=1,2,3))</f>
        <v>1</v>
      </c>
      <c r="AZ62" s="6">
        <f>+INDEX(Tabla5[[#This Row],[Si 1 esta ocupado]:[Si 3 esta ocupado]],Tabla5[[#This Row],[Estado si = 1]])</f>
        <v>3</v>
      </c>
      <c r="BA62" s="6">
        <f>+IF(Tabla4[[#This Row],[Ocupacion M1]]= 0,1,IF(Tabla4[[#This Row],[Ocupacion M2]]=0,2,3))</f>
        <v>3</v>
      </c>
      <c r="BB6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62">
        <f t="shared" si="6"/>
        <v>50</v>
      </c>
      <c r="BE62">
        <f>+IF(Tabla6[[#This Row],[Indice]]="","",VLOOKUP(Tabla6[[#This Row],[Indice]],Tabla4[[Corre]:[Entidad2]],2))</f>
        <v>50</v>
      </c>
      <c r="BF62">
        <f>IFERROR(+INDEX(Tabla4[Grupo],Tabla6[[#This Row],[Entidad]]),"")</f>
        <v>26</v>
      </c>
      <c r="BG62">
        <f t="shared" si="7"/>
        <v>480</v>
      </c>
      <c r="BH62">
        <v>0.65881749025827707</v>
      </c>
      <c r="BI62">
        <f>20+70*Tabla6[[#This Row],[A6]]</f>
        <v>66.117224318079394</v>
      </c>
      <c r="BJ62">
        <f>+IF(Tabla6[[#This Row],[Indice]]="","",Tabla6[[#This Row],[Empieza]]+Tabla6[[#This Row],[Tiempo carrera ]])</f>
        <v>546.11722431807937</v>
      </c>
      <c r="BK62" s="6">
        <f>IF(Tabla6[[#This Row],[Termina la carrera]]="","",IF(Tabla6[[#This Row],[Termina la carrera]]&gt;540,1,0))</f>
        <v>1</v>
      </c>
      <c r="BL62" s="6">
        <f>+IF(OR(Tabla6[[#This Row],[Despues de las 9]]=0,Tabla6[[#This Row],[Despues de las 9]]=""),"",Tabla6[[#This Row],[Despues de las 9]]*Tabla6[[#This Row],[Grupo ]])</f>
        <v>26</v>
      </c>
      <c r="BM62" s="6">
        <f>+IF(Tabla6[[#This Row],[grupo  despues de las 9]]="","",IF(MAX($BL$13:BL61)=Tabla6[[#This Row],[grupo  despues de las 9]],"",1))</f>
        <v>1</v>
      </c>
    </row>
    <row r="63" spans="5:80" x14ac:dyDescent="0.25">
      <c r="E63" s="2">
        <v>51</v>
      </c>
      <c r="F63" s="5">
        <v>0.95166043542353018</v>
      </c>
      <c r="G63" s="2">
        <f t="shared" si="2"/>
        <v>3.0295049112676451</v>
      </c>
      <c r="H63" s="4">
        <f>+H62+Tabla2[[#This Row],[Tiempo Entre]]</f>
        <v>417.70556217134458</v>
      </c>
      <c r="I63" s="5">
        <v>0.18254881043389648</v>
      </c>
      <c r="J63" s="2">
        <f>+IF(Tabla2[[#This Row],[A2 ]]&lt;0.5,1,IF(Tabla2[[#This Row],[A2 ]]&lt;0.8,2,3))</f>
        <v>1</v>
      </c>
      <c r="L63" s="2">
        <f>+IF(AND(Tabla2[[#This Row],[Llegada]]&lt;=$B$16,P63&gt;0),1,"-")</f>
        <v>1</v>
      </c>
      <c r="M63" s="2">
        <f t="shared" si="3"/>
        <v>51</v>
      </c>
      <c r="N63" s="4">
        <f>+IF(L63=1,Tabla2[[#This Row],[Llegada]],"-")</f>
        <v>417.70556217134458</v>
      </c>
      <c r="O63" s="2">
        <f>+IF(L63=1,Tabla2[[#This Row],[Numero de integrantes]],"-")</f>
        <v>1</v>
      </c>
      <c r="P63" s="2">
        <f t="shared" si="4"/>
        <v>14</v>
      </c>
      <c r="Q63" s="2">
        <f>+IF(Tabla3[[#This Row],[Entra?]]=1,Q62+Tabla3[[#This Row],[Numero integrantes]],Q62)</f>
        <v>87</v>
      </c>
      <c r="S63" s="2">
        <f t="shared" si="5"/>
        <v>51</v>
      </c>
      <c r="T63" s="2">
        <f>+COUNTIF(Tabla3[Cuantos van],"&lt;"&amp;Tabla4[[#This Row],[Entidad]])+1</f>
        <v>27</v>
      </c>
      <c r="U63" s="2">
        <f>+INDEX(Tabla3[Llegada],Tabla4[[#This Row],[Grupo]])</f>
        <v>390.72658323905188</v>
      </c>
      <c r="V63" s="2">
        <f>+IF(Tabla4[[#This Row],[Hora llegada]]&gt;=Tabla4[[#This Row],[Disponibilidad M1]],0,1)</f>
        <v>1</v>
      </c>
      <c r="W63" s="2">
        <f>+IF(Tabla4[[#This Row],[Hora llegada]]&gt;=Tabla4[[#This Row],[Disponibilidad M2]],0,1)</f>
        <v>1</v>
      </c>
      <c r="X63" s="2">
        <f>+IF(Tabla4[[#This Row],[Hora llegada]]&gt;=Tabla4[[#This Row],[Disponibilidad M3]],0,1)</f>
        <v>1</v>
      </c>
      <c r="Y63" s="2" t="str">
        <f>+IF(Tabla5[[#This Row],[Quien me atiende]]=1,MAX(Tabla4[[#This Row],[Disponibilidad M1]],Tabla4[[#This Row],[Hora llegada]]),"-")</f>
        <v>-</v>
      </c>
      <c r="Z63" s="2">
        <f>+IF(Tabla5[[#This Row],[Quien me atiende]]=2,MAX(Tabla4[[#This Row],[Disponibilidad M2]],Tabla4[[#This Row],[Hora llegada]]),"-")</f>
        <v>430.38123717036643</v>
      </c>
      <c r="AA63" s="2" t="str">
        <f>+IF(Tabla5[[#This Row],[Quien me atiende]]=3,MAX(Tabla4[[#This Row],[Disponibilidad M3]],Tabla4[[#This Row],[Hora llegada]]),"-")</f>
        <v>-</v>
      </c>
      <c r="AB63" s="2">
        <f>+MAX($AG$13:AG62)</f>
        <v>434.99039019000907</v>
      </c>
      <c r="AC63" s="2">
        <f>+MAX($AH$13:AH62)</f>
        <v>430.38123717036643</v>
      </c>
      <c r="AD63" s="2">
        <f>+MAX($AI$13:AI62)</f>
        <v>431.00730012120431</v>
      </c>
      <c r="AE63" s="2">
        <v>0.22372540785372885</v>
      </c>
      <c r="AF63" s="2">
        <f>2+4.5*Tabla4[[#This Row],[A5]]</f>
        <v>3.0067643353417797</v>
      </c>
      <c r="AG63" s="2" t="str">
        <f>+IF(Tabla4[[#This Row],[Entrada M1]]="-","-",Tabla4[[#This Row],[Entrada M1]]+Tabla4[[#This Row],[Tiempo Atencion ]])</f>
        <v>-</v>
      </c>
      <c r="AH63" s="2">
        <f>+IF(Tabla4[[#This Row],[Entrada M2]]="-","-",Tabla4[[#This Row],[Entrada M2]]+Tabla4[[#This Row],[Tiempo Atencion ]])</f>
        <v>433.38800150570819</v>
      </c>
      <c r="AI63" s="2" t="str">
        <f>+IF(Tabla4[[#This Row],[Entrada M3]]="-","-",Tabla4[[#This Row],[Entrada M3]]+Tabla4[[#This Row],[Tiempo Atencion ]])</f>
        <v>-</v>
      </c>
      <c r="AJ63" s="11">
        <f>+MAX(Tabla4[[#This Row],[Salida M1]:[Salida M3]])</f>
        <v>433.38800150570819</v>
      </c>
      <c r="AK63" s="11" t="str">
        <f>+IF(Tabla4[[#This Row],[Salida]]&lt;=$B$17,"Entra","No Entra")</f>
        <v>Entra</v>
      </c>
      <c r="AL63" s="11">
        <f>+IF(Tabla4[[#This Row],[Entra  a la carrera]]="Entra",0,Tabla4[[#This Row],[Grupo]])</f>
        <v>0</v>
      </c>
      <c r="AM63" s="11">
        <f>_xlfn.IFNA(VLOOKUP(Tabla4[[#This Row],[Grupo]],Tabla4[Grupos por fuera],1,FALSE),0)</f>
        <v>0</v>
      </c>
      <c r="AN63" s="11" t="str">
        <f>+IF(Tabla4[[#This Row],[Me salgo por mi amigo el lento?]]=0, "Entra", "Chao")</f>
        <v>Entra</v>
      </c>
      <c r="AO63" s="11">
        <f>+IF(Tabla4[[#This Row],[Al fin entra o no]]="Entra",MAX($AO$13:AO62)+1,"")</f>
        <v>51</v>
      </c>
      <c r="AP63" s="11">
        <f>+Tabla4[[#This Row],[Entidad]]</f>
        <v>51</v>
      </c>
      <c r="AR63">
        <v>0.38129157385912593</v>
      </c>
      <c r="AS63">
        <f>+IF(Tabla5[[#This Row],[A3]]&lt;0.5,2,3)</f>
        <v>2</v>
      </c>
      <c r="AT63">
        <f>+IF(Tabla5[[#This Row],[A3]]&lt;0.5,1,3)</f>
        <v>1</v>
      </c>
      <c r="AU63">
        <f>+IF(Tabla5[[#This Row],[A3]]&lt;0.5,1,2)</f>
        <v>1</v>
      </c>
      <c r="AV63" s="6">
        <f>+IF(Tabla5[[#This Row],[A3]]&lt;0.33,1,IF(Tabla5[[#This Row],[A3]]&lt;0.66,2,3))</f>
        <v>2</v>
      </c>
      <c r="AW6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63" s="6">
        <f>+SUM(Tabla4[[#This Row],[Ocupacion M1]:[Ocupacion M3]])</f>
        <v>3</v>
      </c>
      <c r="AY63" s="6">
        <f>+IF(Tabla4[[#This Row],[Ocupacion M1]]=1,1,IF(Tabla4[[#This Row],[Ocupacion M2]]=1,2,3))</f>
        <v>1</v>
      </c>
      <c r="AZ63" s="6">
        <f>+INDEX(Tabla5[[#This Row],[Si 1 esta ocupado]:[Si 3 esta ocupado]],Tabla5[[#This Row],[Estado si = 1]])</f>
        <v>2</v>
      </c>
      <c r="BA63" s="6">
        <f>+IF(Tabla4[[#This Row],[Ocupacion M1]]= 0,1,IF(Tabla4[[#This Row],[Ocupacion M2]]=0,2,3))</f>
        <v>3</v>
      </c>
      <c r="BB6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63">
        <f t="shared" si="6"/>
        <v>51</v>
      </c>
      <c r="BE63">
        <f>+IF(Tabla6[[#This Row],[Indice]]="","",VLOOKUP(Tabla6[[#This Row],[Indice]],Tabla4[[Corre]:[Entidad2]],2))</f>
        <v>51</v>
      </c>
      <c r="BF63">
        <f>IFERROR(+INDEX(Tabla4[Grupo],Tabla6[[#This Row],[Entidad]]),"")</f>
        <v>27</v>
      </c>
      <c r="BG63">
        <f t="shared" si="7"/>
        <v>480</v>
      </c>
      <c r="BH63">
        <v>0.11575972050510719</v>
      </c>
      <c r="BI63">
        <f>20+70*Tabla6[[#This Row],[A6]]</f>
        <v>28.103180435357501</v>
      </c>
      <c r="BJ63">
        <f>+IF(Tabla6[[#This Row],[Indice]]="","",Tabla6[[#This Row],[Empieza]]+Tabla6[[#This Row],[Tiempo carrera ]])</f>
        <v>508.1031804353575</v>
      </c>
      <c r="BK63" s="6">
        <f>IF(Tabla6[[#This Row],[Termina la carrera]]="","",IF(Tabla6[[#This Row],[Termina la carrera]]&gt;540,1,0))</f>
        <v>0</v>
      </c>
      <c r="BL63" s="6" t="str">
        <f>+IF(OR(Tabla6[[#This Row],[Despues de las 9]]=0,Tabla6[[#This Row],[Despues de las 9]]=""),"",Tabla6[[#This Row],[Despues de las 9]]*Tabla6[[#This Row],[Grupo ]])</f>
        <v/>
      </c>
      <c r="BM63" s="6" t="str">
        <f>+IF(Tabla6[[#This Row],[grupo  despues de las 9]]="","",IF(MAX($BL$13:BL62)=Tabla6[[#This Row],[grupo  despues de las 9]],"",1))</f>
        <v/>
      </c>
    </row>
    <row r="64" spans="5:80" x14ac:dyDescent="0.25">
      <c r="E64" s="2">
        <v>52</v>
      </c>
      <c r="F64" s="5">
        <v>0.4641140622608243</v>
      </c>
      <c r="G64" s="2">
        <f t="shared" si="2"/>
        <v>0.62383394328246633</v>
      </c>
      <c r="H64" s="4">
        <f>+H63+Tabla2[[#This Row],[Tiempo Entre]]</f>
        <v>418.32939611462706</v>
      </c>
      <c r="I64" s="5">
        <v>0.10748792416995978</v>
      </c>
      <c r="J64" s="2">
        <f>+IF(Tabla2[[#This Row],[A2 ]]&lt;0.5,1,IF(Tabla2[[#This Row],[A2 ]]&lt;0.8,2,3))</f>
        <v>1</v>
      </c>
      <c r="L64" s="2">
        <f>+IF(AND(Tabla2[[#This Row],[Llegada]]&lt;=$B$16,P64&gt;0),1,"-")</f>
        <v>1</v>
      </c>
      <c r="M64" s="2">
        <f t="shared" si="3"/>
        <v>52</v>
      </c>
      <c r="N64" s="4">
        <f>+IF(L64=1,Tabla2[[#This Row],[Llegada]],"-")</f>
        <v>418.32939611462706</v>
      </c>
      <c r="O64" s="2">
        <f>+IF(L64=1,Tabla2[[#This Row],[Numero de integrantes]],"-")</f>
        <v>1</v>
      </c>
      <c r="P64" s="2">
        <f t="shared" si="4"/>
        <v>13</v>
      </c>
      <c r="Q64" s="2">
        <f>+IF(Tabla3[[#This Row],[Entra?]]=1,Q63+Tabla3[[#This Row],[Numero integrantes]],Q63)</f>
        <v>88</v>
      </c>
      <c r="S64" s="2">
        <f t="shared" si="5"/>
        <v>52</v>
      </c>
      <c r="T64" s="2">
        <f>+COUNTIF(Tabla3[Cuantos van],"&lt;"&amp;Tabla4[[#This Row],[Entidad]])+1</f>
        <v>28</v>
      </c>
      <c r="U64" s="2">
        <f>+INDEX(Tabla3[Llegada],Tabla4[[#This Row],[Grupo]])</f>
        <v>391.62801048874218</v>
      </c>
      <c r="V64" s="2">
        <f>+IF(Tabla4[[#This Row],[Hora llegada]]&gt;=Tabla4[[#This Row],[Disponibilidad M1]],0,1)</f>
        <v>1</v>
      </c>
      <c r="W64" s="2">
        <f>+IF(Tabla4[[#This Row],[Hora llegada]]&gt;=Tabla4[[#This Row],[Disponibilidad M2]],0,1)</f>
        <v>1</v>
      </c>
      <c r="X64" s="2">
        <f>+IF(Tabla4[[#This Row],[Hora llegada]]&gt;=Tabla4[[#This Row],[Disponibilidad M3]],0,1)</f>
        <v>1</v>
      </c>
      <c r="Y64" s="2" t="str">
        <f>+IF(Tabla5[[#This Row],[Quien me atiende]]=1,MAX(Tabla4[[#This Row],[Disponibilidad M1]],Tabla4[[#This Row],[Hora llegada]]),"-")</f>
        <v>-</v>
      </c>
      <c r="Z64" s="2" t="str">
        <f>+IF(Tabla5[[#This Row],[Quien me atiende]]=2,MAX(Tabla4[[#This Row],[Disponibilidad M2]],Tabla4[[#This Row],[Hora llegada]]),"-")</f>
        <v>-</v>
      </c>
      <c r="AA64" s="2">
        <f>+IF(Tabla5[[#This Row],[Quien me atiende]]=3,MAX(Tabla4[[#This Row],[Disponibilidad M3]],Tabla4[[#This Row],[Hora llegada]]),"-")</f>
        <v>431.00730012120431</v>
      </c>
      <c r="AB64" s="2">
        <f>+MAX($AG$13:AG63)</f>
        <v>434.99039019000907</v>
      </c>
      <c r="AC64" s="2">
        <f>+MAX($AH$13:AH63)</f>
        <v>433.38800150570819</v>
      </c>
      <c r="AD64" s="2">
        <f>+MAX($AI$13:AI63)</f>
        <v>431.00730012120431</v>
      </c>
      <c r="AE64" s="2">
        <v>0.66340467190610075</v>
      </c>
      <c r="AF64" s="2">
        <f>2+4.5*Tabla4[[#This Row],[A5]]</f>
        <v>4.9853210235774537</v>
      </c>
      <c r="AG64" s="2" t="str">
        <f>+IF(Tabla4[[#This Row],[Entrada M1]]="-","-",Tabla4[[#This Row],[Entrada M1]]+Tabla4[[#This Row],[Tiempo Atencion ]])</f>
        <v>-</v>
      </c>
      <c r="AH64" s="2" t="str">
        <f>+IF(Tabla4[[#This Row],[Entrada M2]]="-","-",Tabla4[[#This Row],[Entrada M2]]+Tabla4[[#This Row],[Tiempo Atencion ]])</f>
        <v>-</v>
      </c>
      <c r="AI64" s="2">
        <f>+IF(Tabla4[[#This Row],[Entrada M3]]="-","-",Tabla4[[#This Row],[Entrada M3]]+Tabla4[[#This Row],[Tiempo Atencion ]])</f>
        <v>435.99262114478176</v>
      </c>
      <c r="AJ64" s="11">
        <f>+MAX(Tabla4[[#This Row],[Salida M1]:[Salida M3]])</f>
        <v>435.99262114478176</v>
      </c>
      <c r="AK64" s="11" t="str">
        <f>+IF(Tabla4[[#This Row],[Salida]]&lt;=$B$17,"Entra","No Entra")</f>
        <v>Entra</v>
      </c>
      <c r="AL64" s="11">
        <f>+IF(Tabla4[[#This Row],[Entra  a la carrera]]="Entra",0,Tabla4[[#This Row],[Grupo]])</f>
        <v>0</v>
      </c>
      <c r="AM64" s="11">
        <f>_xlfn.IFNA(VLOOKUP(Tabla4[[#This Row],[Grupo]],Tabla4[Grupos por fuera],1,FALSE),0)</f>
        <v>0</v>
      </c>
      <c r="AN64" s="11" t="str">
        <f>+IF(Tabla4[[#This Row],[Me salgo por mi amigo el lento?]]=0, "Entra", "Chao")</f>
        <v>Entra</v>
      </c>
      <c r="AO64" s="11">
        <f>+IF(Tabla4[[#This Row],[Al fin entra o no]]="Entra",MAX($AO$13:AO63)+1,"")</f>
        <v>52</v>
      </c>
      <c r="AP64" s="11">
        <f>+Tabla4[[#This Row],[Entidad]]</f>
        <v>52</v>
      </c>
      <c r="AR64">
        <v>0.74812562960368068</v>
      </c>
      <c r="AS64">
        <f>+IF(Tabla5[[#This Row],[A3]]&lt;0.5,2,3)</f>
        <v>3</v>
      </c>
      <c r="AT64">
        <f>+IF(Tabla5[[#This Row],[A3]]&lt;0.5,1,3)</f>
        <v>3</v>
      </c>
      <c r="AU64">
        <f>+IF(Tabla5[[#This Row],[A3]]&lt;0.5,1,2)</f>
        <v>2</v>
      </c>
      <c r="AV64" s="6">
        <f>+IF(Tabla5[[#This Row],[A3]]&lt;0.33,1,IF(Tabla5[[#This Row],[A3]]&lt;0.66,2,3))</f>
        <v>3</v>
      </c>
      <c r="AW6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64" s="6">
        <f>+SUM(Tabla4[[#This Row],[Ocupacion M1]:[Ocupacion M3]])</f>
        <v>3</v>
      </c>
      <c r="AY64" s="6">
        <f>+IF(Tabla4[[#This Row],[Ocupacion M1]]=1,1,IF(Tabla4[[#This Row],[Ocupacion M2]]=1,2,3))</f>
        <v>1</v>
      </c>
      <c r="AZ64" s="6">
        <f>+INDEX(Tabla5[[#This Row],[Si 1 esta ocupado]:[Si 3 esta ocupado]],Tabla5[[#This Row],[Estado si = 1]])</f>
        <v>3</v>
      </c>
      <c r="BA64" s="6">
        <f>+IF(Tabla4[[#This Row],[Ocupacion M1]]= 0,1,IF(Tabla4[[#This Row],[Ocupacion M2]]=0,2,3))</f>
        <v>3</v>
      </c>
      <c r="BB6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64">
        <f t="shared" si="6"/>
        <v>52</v>
      </c>
      <c r="BE64">
        <f>+IF(Tabla6[[#This Row],[Indice]]="","",VLOOKUP(Tabla6[[#This Row],[Indice]],Tabla4[[Corre]:[Entidad2]],2))</f>
        <v>52</v>
      </c>
      <c r="BF64">
        <f>IFERROR(+INDEX(Tabla4[Grupo],Tabla6[[#This Row],[Entidad]]),"")</f>
        <v>28</v>
      </c>
      <c r="BG64">
        <f t="shared" si="7"/>
        <v>480</v>
      </c>
      <c r="BH64">
        <v>3.5401361699704537E-2</v>
      </c>
      <c r="BI64">
        <f>20+70*Tabla6[[#This Row],[A6]]</f>
        <v>22.478095318979317</v>
      </c>
      <c r="BJ64">
        <f>+IF(Tabla6[[#This Row],[Indice]]="","",Tabla6[[#This Row],[Empieza]]+Tabla6[[#This Row],[Tiempo carrera ]])</f>
        <v>502.47809531897934</v>
      </c>
      <c r="BK64" s="6">
        <f>IF(Tabla6[[#This Row],[Termina la carrera]]="","",IF(Tabla6[[#This Row],[Termina la carrera]]&gt;540,1,0))</f>
        <v>0</v>
      </c>
      <c r="BL64" s="6" t="str">
        <f>+IF(OR(Tabla6[[#This Row],[Despues de las 9]]=0,Tabla6[[#This Row],[Despues de las 9]]=""),"",Tabla6[[#This Row],[Despues de las 9]]*Tabla6[[#This Row],[Grupo ]])</f>
        <v/>
      </c>
      <c r="BM64" s="6" t="str">
        <f>+IF(Tabla6[[#This Row],[grupo  despues de las 9]]="","",IF(MAX($BL$13:BL63)=Tabla6[[#This Row],[grupo  despues de las 9]],"",1))</f>
        <v/>
      </c>
    </row>
    <row r="65" spans="5:65" x14ac:dyDescent="0.25">
      <c r="E65" s="2">
        <v>53</v>
      </c>
      <c r="F65" s="5">
        <v>0.37586368111853052</v>
      </c>
      <c r="G65" s="2">
        <f t="shared" si="2"/>
        <v>0.47138647472562029</v>
      </c>
      <c r="H65" s="4">
        <f>+H64+Tabla2[[#This Row],[Tiempo Entre]]</f>
        <v>418.80078258935271</v>
      </c>
      <c r="I65" s="5">
        <v>0.96629661000726041</v>
      </c>
      <c r="J65" s="2">
        <f>+IF(Tabla2[[#This Row],[A2 ]]&lt;0.5,1,IF(Tabla2[[#This Row],[A2 ]]&lt;0.8,2,3))</f>
        <v>3</v>
      </c>
      <c r="L65" s="2">
        <f>+IF(AND(Tabla2[[#This Row],[Llegada]]&lt;=$B$16,P65&gt;0),1,"-")</f>
        <v>1</v>
      </c>
      <c r="M65" s="2">
        <f t="shared" si="3"/>
        <v>53</v>
      </c>
      <c r="N65" s="4">
        <f>+IF(L65=1,Tabla2[[#This Row],[Llegada]],"-")</f>
        <v>418.80078258935271</v>
      </c>
      <c r="O65" s="2">
        <f>+IF(L65=1,Tabla2[[#This Row],[Numero de integrantes]],"-")</f>
        <v>3</v>
      </c>
      <c r="P65" s="2">
        <f t="shared" si="4"/>
        <v>12</v>
      </c>
      <c r="Q65" s="2">
        <f>+IF(Tabla3[[#This Row],[Entra?]]=1,Q64+Tabla3[[#This Row],[Numero integrantes]],Q64)</f>
        <v>91</v>
      </c>
      <c r="S65" s="2">
        <f t="shared" si="5"/>
        <v>53</v>
      </c>
      <c r="T65" s="2">
        <f>+COUNTIF(Tabla3[Cuantos van],"&lt;"&amp;Tabla4[[#This Row],[Entidad]])+1</f>
        <v>29</v>
      </c>
      <c r="U65" s="2">
        <f>+INDEX(Tabla3[Llegada],Tabla4[[#This Row],[Grupo]])</f>
        <v>391.65442039136241</v>
      </c>
      <c r="V65" s="2">
        <f>+IF(Tabla4[[#This Row],[Hora llegada]]&gt;=Tabla4[[#This Row],[Disponibilidad M1]],0,1)</f>
        <v>1</v>
      </c>
      <c r="W65" s="2">
        <f>+IF(Tabla4[[#This Row],[Hora llegada]]&gt;=Tabla4[[#This Row],[Disponibilidad M2]],0,1)</f>
        <v>1</v>
      </c>
      <c r="X65" s="2">
        <f>+IF(Tabla4[[#This Row],[Hora llegada]]&gt;=Tabla4[[#This Row],[Disponibilidad M3]],0,1)</f>
        <v>1</v>
      </c>
      <c r="Y65" s="2" t="str">
        <f>+IF(Tabla5[[#This Row],[Quien me atiende]]=1,MAX(Tabla4[[#This Row],[Disponibilidad M1]],Tabla4[[#This Row],[Hora llegada]]),"-")</f>
        <v>-</v>
      </c>
      <c r="Z65" s="2">
        <f>+IF(Tabla5[[#This Row],[Quien me atiende]]=2,MAX(Tabla4[[#This Row],[Disponibilidad M2]],Tabla4[[#This Row],[Hora llegada]]),"-")</f>
        <v>433.38800150570819</v>
      </c>
      <c r="AA65" s="2" t="str">
        <f>+IF(Tabla5[[#This Row],[Quien me atiende]]=3,MAX(Tabla4[[#This Row],[Disponibilidad M3]],Tabla4[[#This Row],[Hora llegada]]),"-")</f>
        <v>-</v>
      </c>
      <c r="AB65" s="2">
        <f>+MAX($AG$13:AG64)</f>
        <v>434.99039019000907</v>
      </c>
      <c r="AC65" s="2">
        <f>+MAX($AH$13:AH64)</f>
        <v>433.38800150570819</v>
      </c>
      <c r="AD65" s="2">
        <f>+MAX($AI$13:AI64)</f>
        <v>435.99262114478176</v>
      </c>
      <c r="AE65" s="2">
        <v>0.38650640430508509</v>
      </c>
      <c r="AF65" s="2">
        <f>2+4.5*Tabla4[[#This Row],[A5]]</f>
        <v>3.739278819372883</v>
      </c>
      <c r="AG65" s="2" t="str">
        <f>+IF(Tabla4[[#This Row],[Entrada M1]]="-","-",Tabla4[[#This Row],[Entrada M1]]+Tabla4[[#This Row],[Tiempo Atencion ]])</f>
        <v>-</v>
      </c>
      <c r="AH65" s="2">
        <f>+IF(Tabla4[[#This Row],[Entrada M2]]="-","-",Tabla4[[#This Row],[Entrada M2]]+Tabla4[[#This Row],[Tiempo Atencion ]])</f>
        <v>437.12728032508107</v>
      </c>
      <c r="AI65" s="2" t="str">
        <f>+IF(Tabla4[[#This Row],[Entrada M3]]="-","-",Tabla4[[#This Row],[Entrada M3]]+Tabla4[[#This Row],[Tiempo Atencion ]])</f>
        <v>-</v>
      </c>
      <c r="AJ65" s="11">
        <f>+MAX(Tabla4[[#This Row],[Salida M1]:[Salida M3]])</f>
        <v>437.12728032508107</v>
      </c>
      <c r="AK65" s="11" t="str">
        <f>+IF(Tabla4[[#This Row],[Salida]]&lt;=$B$17,"Entra","No Entra")</f>
        <v>Entra</v>
      </c>
      <c r="AL65" s="11">
        <f>+IF(Tabla4[[#This Row],[Entra  a la carrera]]="Entra",0,Tabla4[[#This Row],[Grupo]])</f>
        <v>0</v>
      </c>
      <c r="AM65" s="11">
        <f>_xlfn.IFNA(VLOOKUP(Tabla4[[#This Row],[Grupo]],Tabla4[Grupos por fuera],1,FALSE),0)</f>
        <v>0</v>
      </c>
      <c r="AN65" s="11" t="str">
        <f>+IF(Tabla4[[#This Row],[Me salgo por mi amigo el lento?]]=0, "Entra", "Chao")</f>
        <v>Entra</v>
      </c>
      <c r="AO65" s="11">
        <f>+IF(Tabla4[[#This Row],[Al fin entra o no]]="Entra",MAX($AO$13:AO64)+1,"")</f>
        <v>53</v>
      </c>
      <c r="AP65" s="11">
        <f>+Tabla4[[#This Row],[Entidad]]</f>
        <v>53</v>
      </c>
      <c r="AR65">
        <v>0.90172115118571572</v>
      </c>
      <c r="AS65">
        <f>+IF(Tabla5[[#This Row],[A3]]&lt;0.5,2,3)</f>
        <v>3</v>
      </c>
      <c r="AT65">
        <f>+IF(Tabla5[[#This Row],[A3]]&lt;0.5,1,3)</f>
        <v>3</v>
      </c>
      <c r="AU65">
        <f>+IF(Tabla5[[#This Row],[A3]]&lt;0.5,1,2)</f>
        <v>2</v>
      </c>
      <c r="AV65" s="6">
        <f>+IF(Tabla5[[#This Row],[A3]]&lt;0.33,1,IF(Tabla5[[#This Row],[A3]]&lt;0.66,2,3))</f>
        <v>3</v>
      </c>
      <c r="AW6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65" s="6">
        <f>+SUM(Tabla4[[#This Row],[Ocupacion M1]:[Ocupacion M3]])</f>
        <v>3</v>
      </c>
      <c r="AY65" s="6">
        <f>+IF(Tabla4[[#This Row],[Ocupacion M1]]=1,1,IF(Tabla4[[#This Row],[Ocupacion M2]]=1,2,3))</f>
        <v>1</v>
      </c>
      <c r="AZ65" s="6">
        <f>+INDEX(Tabla5[[#This Row],[Si 1 esta ocupado]:[Si 3 esta ocupado]],Tabla5[[#This Row],[Estado si = 1]])</f>
        <v>3</v>
      </c>
      <c r="BA65" s="6">
        <f>+IF(Tabla4[[#This Row],[Ocupacion M1]]= 0,1,IF(Tabla4[[#This Row],[Ocupacion M2]]=0,2,3))</f>
        <v>3</v>
      </c>
      <c r="BB6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65">
        <f t="shared" si="6"/>
        <v>53</v>
      </c>
      <c r="BE65">
        <f>+IF(Tabla6[[#This Row],[Indice]]="","",VLOOKUP(Tabla6[[#This Row],[Indice]],Tabla4[[Corre]:[Entidad2]],2))</f>
        <v>53</v>
      </c>
      <c r="BF65">
        <f>IFERROR(+INDEX(Tabla4[Grupo],Tabla6[[#This Row],[Entidad]]),"")</f>
        <v>29</v>
      </c>
      <c r="BG65">
        <f t="shared" si="7"/>
        <v>480</v>
      </c>
      <c r="BH65">
        <v>0.38735297227550047</v>
      </c>
      <c r="BI65">
        <f>20+70*Tabla6[[#This Row],[A6]]</f>
        <v>47.114708059285036</v>
      </c>
      <c r="BJ65">
        <f>+IF(Tabla6[[#This Row],[Indice]]="","",Tabla6[[#This Row],[Empieza]]+Tabla6[[#This Row],[Tiempo carrera ]])</f>
        <v>527.11470805928502</v>
      </c>
      <c r="BK65" s="6">
        <f>IF(Tabla6[[#This Row],[Termina la carrera]]="","",IF(Tabla6[[#This Row],[Termina la carrera]]&gt;540,1,0))</f>
        <v>0</v>
      </c>
      <c r="BL65" s="6" t="str">
        <f>+IF(OR(Tabla6[[#This Row],[Despues de las 9]]=0,Tabla6[[#This Row],[Despues de las 9]]=""),"",Tabla6[[#This Row],[Despues de las 9]]*Tabla6[[#This Row],[Grupo ]])</f>
        <v/>
      </c>
      <c r="BM65" s="6" t="str">
        <f>+IF(Tabla6[[#This Row],[grupo  despues de las 9]]="","",IF(MAX($BL$13:BL64)=Tabla6[[#This Row],[grupo  despues de las 9]],"",1))</f>
        <v/>
      </c>
    </row>
    <row r="66" spans="5:65" x14ac:dyDescent="0.25">
      <c r="E66" s="2">
        <v>54</v>
      </c>
      <c r="F66" s="5">
        <v>0.21846226635519994</v>
      </c>
      <c r="G66" s="2">
        <f t="shared" si="2"/>
        <v>0.24649184667163454</v>
      </c>
      <c r="H66" s="4">
        <f>+H65+Tabla2[[#This Row],[Tiempo Entre]]</f>
        <v>419.04727443602434</v>
      </c>
      <c r="I66" s="5">
        <v>0.79582035490074443</v>
      </c>
      <c r="J66" s="2">
        <f>+IF(Tabla2[[#This Row],[A2 ]]&lt;0.5,1,IF(Tabla2[[#This Row],[A2 ]]&lt;0.8,2,3))</f>
        <v>2</v>
      </c>
      <c r="L66" s="2">
        <f>+IF(AND(Tabla2[[#This Row],[Llegada]]&lt;=$B$16,P66&gt;0),1,"-")</f>
        <v>1</v>
      </c>
      <c r="M66" s="2">
        <f t="shared" si="3"/>
        <v>54</v>
      </c>
      <c r="N66" s="4">
        <f>+IF(L66=1,Tabla2[[#This Row],[Llegada]],"-")</f>
        <v>419.04727443602434</v>
      </c>
      <c r="O66" s="2">
        <f>+IF(L66=1,Tabla2[[#This Row],[Numero de integrantes]],"-")</f>
        <v>2</v>
      </c>
      <c r="P66" s="2">
        <f t="shared" si="4"/>
        <v>9</v>
      </c>
      <c r="Q66" s="2">
        <f>+IF(Tabla3[[#This Row],[Entra?]]=1,Q65+Tabla3[[#This Row],[Numero integrantes]],Q65)</f>
        <v>93</v>
      </c>
      <c r="S66" s="2">
        <f t="shared" si="5"/>
        <v>54</v>
      </c>
      <c r="T66" s="2">
        <f>+COUNTIF(Tabla3[Cuantos van],"&lt;"&amp;Tabla4[[#This Row],[Entidad]])+1</f>
        <v>29</v>
      </c>
      <c r="U66" s="2">
        <f>+INDEX(Tabla3[Llegada],Tabla4[[#This Row],[Grupo]])</f>
        <v>391.65442039136241</v>
      </c>
      <c r="V66" s="2">
        <f>+IF(Tabla4[[#This Row],[Hora llegada]]&gt;=Tabla4[[#This Row],[Disponibilidad M1]],0,1)</f>
        <v>1</v>
      </c>
      <c r="W66" s="2">
        <f>+IF(Tabla4[[#This Row],[Hora llegada]]&gt;=Tabla4[[#This Row],[Disponibilidad M2]],0,1)</f>
        <v>1</v>
      </c>
      <c r="X66" s="2">
        <f>+IF(Tabla4[[#This Row],[Hora llegada]]&gt;=Tabla4[[#This Row],[Disponibilidad M3]],0,1)</f>
        <v>1</v>
      </c>
      <c r="Y66" s="2">
        <f>+IF(Tabla5[[#This Row],[Quien me atiende]]=1,MAX(Tabla4[[#This Row],[Disponibilidad M1]],Tabla4[[#This Row],[Hora llegada]]),"-")</f>
        <v>434.99039019000907</v>
      </c>
      <c r="Z66" s="2" t="str">
        <f>+IF(Tabla5[[#This Row],[Quien me atiende]]=2,MAX(Tabla4[[#This Row],[Disponibilidad M2]],Tabla4[[#This Row],[Hora llegada]]),"-")</f>
        <v>-</v>
      </c>
      <c r="AA66" s="2" t="str">
        <f>+IF(Tabla5[[#This Row],[Quien me atiende]]=3,MAX(Tabla4[[#This Row],[Disponibilidad M3]],Tabla4[[#This Row],[Hora llegada]]),"-")</f>
        <v>-</v>
      </c>
      <c r="AB66" s="2">
        <f>+MAX($AG$13:AG65)</f>
        <v>434.99039019000907</v>
      </c>
      <c r="AC66" s="2">
        <f>+MAX($AH$13:AH65)</f>
        <v>437.12728032508107</v>
      </c>
      <c r="AD66" s="2">
        <f>+MAX($AI$13:AI65)</f>
        <v>435.99262114478176</v>
      </c>
      <c r="AE66" s="2">
        <v>0.35908712008796284</v>
      </c>
      <c r="AF66" s="2">
        <f>2+4.5*Tabla4[[#This Row],[A5]]</f>
        <v>3.615892040395833</v>
      </c>
      <c r="AG66" s="2">
        <f>+IF(Tabla4[[#This Row],[Entrada M1]]="-","-",Tabla4[[#This Row],[Entrada M1]]+Tabla4[[#This Row],[Tiempo Atencion ]])</f>
        <v>438.60628223040487</v>
      </c>
      <c r="AH66" s="2" t="str">
        <f>+IF(Tabla4[[#This Row],[Entrada M2]]="-","-",Tabla4[[#This Row],[Entrada M2]]+Tabla4[[#This Row],[Tiempo Atencion ]])</f>
        <v>-</v>
      </c>
      <c r="AI66" s="2" t="str">
        <f>+IF(Tabla4[[#This Row],[Entrada M3]]="-","-",Tabla4[[#This Row],[Entrada M3]]+Tabla4[[#This Row],[Tiempo Atencion ]])</f>
        <v>-</v>
      </c>
      <c r="AJ66" s="11">
        <f>+MAX(Tabla4[[#This Row],[Salida M1]:[Salida M3]])</f>
        <v>438.60628223040487</v>
      </c>
      <c r="AK66" s="11" t="str">
        <f>+IF(Tabla4[[#This Row],[Salida]]&lt;=$B$17,"Entra","No Entra")</f>
        <v>Entra</v>
      </c>
      <c r="AL66" s="11">
        <f>+IF(Tabla4[[#This Row],[Entra  a la carrera]]="Entra",0,Tabla4[[#This Row],[Grupo]])</f>
        <v>0</v>
      </c>
      <c r="AM66" s="11">
        <f>_xlfn.IFNA(VLOOKUP(Tabla4[[#This Row],[Grupo]],Tabla4[Grupos por fuera],1,FALSE),0)</f>
        <v>0</v>
      </c>
      <c r="AN66" s="11" t="str">
        <f>+IF(Tabla4[[#This Row],[Me salgo por mi amigo el lento?]]=0, "Entra", "Chao")</f>
        <v>Entra</v>
      </c>
      <c r="AO66" s="11">
        <f>+IF(Tabla4[[#This Row],[Al fin entra o no]]="Entra",MAX($AO$13:AO65)+1,"")</f>
        <v>54</v>
      </c>
      <c r="AP66" s="11">
        <f>+Tabla4[[#This Row],[Entidad]]</f>
        <v>54</v>
      </c>
      <c r="AR66">
        <v>0.55430473638850231</v>
      </c>
      <c r="AS66">
        <f>+IF(Tabla5[[#This Row],[A3]]&lt;0.5,2,3)</f>
        <v>3</v>
      </c>
      <c r="AT66">
        <f>+IF(Tabla5[[#This Row],[A3]]&lt;0.5,1,3)</f>
        <v>3</v>
      </c>
      <c r="AU66">
        <f>+IF(Tabla5[[#This Row],[A3]]&lt;0.5,1,2)</f>
        <v>2</v>
      </c>
      <c r="AV66" s="6">
        <f>+IF(Tabla5[[#This Row],[A3]]&lt;0.33,1,IF(Tabla5[[#This Row],[A3]]&lt;0.66,2,3))</f>
        <v>2</v>
      </c>
      <c r="AW6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66" s="6">
        <f>+SUM(Tabla4[[#This Row],[Ocupacion M1]:[Ocupacion M3]])</f>
        <v>3</v>
      </c>
      <c r="AY66" s="6">
        <f>+IF(Tabla4[[#This Row],[Ocupacion M1]]=1,1,IF(Tabla4[[#This Row],[Ocupacion M2]]=1,2,3))</f>
        <v>1</v>
      </c>
      <c r="AZ66" s="6">
        <f>+INDEX(Tabla5[[#This Row],[Si 1 esta ocupado]:[Si 3 esta ocupado]],Tabla5[[#This Row],[Estado si = 1]])</f>
        <v>3</v>
      </c>
      <c r="BA66" s="6">
        <f>+IF(Tabla4[[#This Row],[Ocupacion M1]]= 0,1,IF(Tabla4[[#This Row],[Ocupacion M2]]=0,2,3))</f>
        <v>3</v>
      </c>
      <c r="BB6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66">
        <f t="shared" si="6"/>
        <v>54</v>
      </c>
      <c r="BE66">
        <f>+IF(Tabla6[[#This Row],[Indice]]="","",VLOOKUP(Tabla6[[#This Row],[Indice]],Tabla4[[Corre]:[Entidad2]],2))</f>
        <v>54</v>
      </c>
      <c r="BF66">
        <f>IFERROR(+INDEX(Tabla4[Grupo],Tabla6[[#This Row],[Entidad]]),"")</f>
        <v>29</v>
      </c>
      <c r="BG66">
        <f t="shared" si="7"/>
        <v>480</v>
      </c>
      <c r="BH66">
        <v>0.11663744680600385</v>
      </c>
      <c r="BI66">
        <f>20+70*Tabla6[[#This Row],[A6]]</f>
        <v>28.16462127642027</v>
      </c>
      <c r="BJ66">
        <f>+IF(Tabla6[[#This Row],[Indice]]="","",Tabla6[[#This Row],[Empieza]]+Tabla6[[#This Row],[Tiempo carrera ]])</f>
        <v>508.16462127642029</v>
      </c>
      <c r="BK66" s="6">
        <f>IF(Tabla6[[#This Row],[Termina la carrera]]="","",IF(Tabla6[[#This Row],[Termina la carrera]]&gt;540,1,0))</f>
        <v>0</v>
      </c>
      <c r="BL66" s="6" t="str">
        <f>+IF(OR(Tabla6[[#This Row],[Despues de las 9]]=0,Tabla6[[#This Row],[Despues de las 9]]=""),"",Tabla6[[#This Row],[Despues de las 9]]*Tabla6[[#This Row],[Grupo ]])</f>
        <v/>
      </c>
      <c r="BM66" s="6" t="str">
        <f>+IF(Tabla6[[#This Row],[grupo  despues de las 9]]="","",IF(MAX($BL$13:BL65)=Tabla6[[#This Row],[grupo  despues de las 9]],"",1))</f>
        <v/>
      </c>
    </row>
    <row r="67" spans="5:65" x14ac:dyDescent="0.25">
      <c r="E67" s="2">
        <v>55</v>
      </c>
      <c r="F67" s="5">
        <v>0.57377432480911406</v>
      </c>
      <c r="G67" s="2">
        <f t="shared" si="2"/>
        <v>0.85278631901364788</v>
      </c>
      <c r="H67" s="4">
        <f>+H66+Tabla2[[#This Row],[Tiempo Entre]]</f>
        <v>419.900060755038</v>
      </c>
      <c r="I67" s="5">
        <v>0.20853935793518108</v>
      </c>
      <c r="J67" s="2">
        <f>+IF(Tabla2[[#This Row],[A2 ]]&lt;0.5,1,IF(Tabla2[[#This Row],[A2 ]]&lt;0.8,2,3))</f>
        <v>1</v>
      </c>
      <c r="L67" s="2">
        <f>+IF(AND(Tabla2[[#This Row],[Llegada]]&lt;=$B$16,P67&gt;0),1,"-")</f>
        <v>1</v>
      </c>
      <c r="M67" s="2">
        <f t="shared" si="3"/>
        <v>55</v>
      </c>
      <c r="N67" s="4">
        <f>+IF(L67=1,Tabla2[[#This Row],[Llegada]],"-")</f>
        <v>419.900060755038</v>
      </c>
      <c r="O67" s="2">
        <f>+IF(L67=1,Tabla2[[#This Row],[Numero de integrantes]],"-")</f>
        <v>1</v>
      </c>
      <c r="P67" s="2">
        <f t="shared" si="4"/>
        <v>7</v>
      </c>
      <c r="Q67" s="2">
        <f>+IF(Tabla3[[#This Row],[Entra?]]=1,Q66+Tabla3[[#This Row],[Numero integrantes]],Q66)</f>
        <v>94</v>
      </c>
      <c r="S67" s="2">
        <f t="shared" si="5"/>
        <v>55</v>
      </c>
      <c r="T67" s="2">
        <f>+COUNTIF(Tabla3[Cuantos van],"&lt;"&amp;Tabla4[[#This Row],[Entidad]])+1</f>
        <v>29</v>
      </c>
      <c r="U67" s="2">
        <f>+INDEX(Tabla3[Llegada],Tabla4[[#This Row],[Grupo]])</f>
        <v>391.65442039136241</v>
      </c>
      <c r="V67" s="2">
        <f>+IF(Tabla4[[#This Row],[Hora llegada]]&gt;=Tabla4[[#This Row],[Disponibilidad M1]],0,1)</f>
        <v>1</v>
      </c>
      <c r="W67" s="2">
        <f>+IF(Tabla4[[#This Row],[Hora llegada]]&gt;=Tabla4[[#This Row],[Disponibilidad M2]],0,1)</f>
        <v>1</v>
      </c>
      <c r="X67" s="2">
        <f>+IF(Tabla4[[#This Row],[Hora llegada]]&gt;=Tabla4[[#This Row],[Disponibilidad M3]],0,1)</f>
        <v>1</v>
      </c>
      <c r="Y67" s="2" t="str">
        <f>+IF(Tabla5[[#This Row],[Quien me atiende]]=1,MAX(Tabla4[[#This Row],[Disponibilidad M1]],Tabla4[[#This Row],[Hora llegada]]),"-")</f>
        <v>-</v>
      </c>
      <c r="Z67" s="2" t="str">
        <f>+IF(Tabla5[[#This Row],[Quien me atiende]]=2,MAX(Tabla4[[#This Row],[Disponibilidad M2]],Tabla4[[#This Row],[Hora llegada]]),"-")</f>
        <v>-</v>
      </c>
      <c r="AA67" s="2">
        <f>+IF(Tabla5[[#This Row],[Quien me atiende]]=3,MAX(Tabla4[[#This Row],[Disponibilidad M3]],Tabla4[[#This Row],[Hora llegada]]),"-")</f>
        <v>435.99262114478176</v>
      </c>
      <c r="AB67" s="2">
        <f>+MAX($AG$13:AG66)</f>
        <v>438.60628223040487</v>
      </c>
      <c r="AC67" s="2">
        <f>+MAX($AH$13:AH66)</f>
        <v>437.12728032508107</v>
      </c>
      <c r="AD67" s="2">
        <f>+MAX($AI$13:AI66)</f>
        <v>435.99262114478176</v>
      </c>
      <c r="AE67" s="2">
        <v>0.36510472959687013</v>
      </c>
      <c r="AF67" s="2">
        <f>2+4.5*Tabla4[[#This Row],[A5]]</f>
        <v>3.6429712831859158</v>
      </c>
      <c r="AG67" s="2" t="str">
        <f>+IF(Tabla4[[#This Row],[Entrada M1]]="-","-",Tabla4[[#This Row],[Entrada M1]]+Tabla4[[#This Row],[Tiempo Atencion ]])</f>
        <v>-</v>
      </c>
      <c r="AH67" s="2" t="str">
        <f>+IF(Tabla4[[#This Row],[Entrada M2]]="-","-",Tabla4[[#This Row],[Entrada M2]]+Tabla4[[#This Row],[Tiempo Atencion ]])</f>
        <v>-</v>
      </c>
      <c r="AI67" s="2">
        <f>+IF(Tabla4[[#This Row],[Entrada M3]]="-","-",Tabla4[[#This Row],[Entrada M3]]+Tabla4[[#This Row],[Tiempo Atencion ]])</f>
        <v>439.63559242796771</v>
      </c>
      <c r="AJ67" s="11">
        <f>+MAX(Tabla4[[#This Row],[Salida M1]:[Salida M3]])</f>
        <v>439.63559242796771</v>
      </c>
      <c r="AK67" s="11" t="str">
        <f>+IF(Tabla4[[#This Row],[Salida]]&lt;=$B$17,"Entra","No Entra")</f>
        <v>Entra</v>
      </c>
      <c r="AL67" s="11">
        <f>+IF(Tabla4[[#This Row],[Entra  a la carrera]]="Entra",0,Tabla4[[#This Row],[Grupo]])</f>
        <v>0</v>
      </c>
      <c r="AM67" s="11">
        <f>_xlfn.IFNA(VLOOKUP(Tabla4[[#This Row],[Grupo]],Tabla4[Grupos por fuera],1,FALSE),0)</f>
        <v>0</v>
      </c>
      <c r="AN67" s="11" t="str">
        <f>+IF(Tabla4[[#This Row],[Me salgo por mi amigo el lento?]]=0, "Entra", "Chao")</f>
        <v>Entra</v>
      </c>
      <c r="AO67" s="11">
        <f>+IF(Tabla4[[#This Row],[Al fin entra o no]]="Entra",MAX($AO$13:AO66)+1,"")</f>
        <v>55</v>
      </c>
      <c r="AP67" s="11">
        <f>+Tabla4[[#This Row],[Entidad]]</f>
        <v>55</v>
      </c>
      <c r="AR67">
        <v>0.55569848002306987</v>
      </c>
      <c r="AS67">
        <f>+IF(Tabla5[[#This Row],[A3]]&lt;0.5,2,3)</f>
        <v>3</v>
      </c>
      <c r="AT67">
        <f>+IF(Tabla5[[#This Row],[A3]]&lt;0.5,1,3)</f>
        <v>3</v>
      </c>
      <c r="AU67">
        <f>+IF(Tabla5[[#This Row],[A3]]&lt;0.5,1,2)</f>
        <v>2</v>
      </c>
      <c r="AV67" s="6">
        <f>+IF(Tabla5[[#This Row],[A3]]&lt;0.33,1,IF(Tabla5[[#This Row],[A3]]&lt;0.66,2,3))</f>
        <v>2</v>
      </c>
      <c r="AW6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67" s="6">
        <f>+SUM(Tabla4[[#This Row],[Ocupacion M1]:[Ocupacion M3]])</f>
        <v>3</v>
      </c>
      <c r="AY67" s="6">
        <f>+IF(Tabla4[[#This Row],[Ocupacion M1]]=1,1,IF(Tabla4[[#This Row],[Ocupacion M2]]=1,2,3))</f>
        <v>1</v>
      </c>
      <c r="AZ67" s="6">
        <f>+INDEX(Tabla5[[#This Row],[Si 1 esta ocupado]:[Si 3 esta ocupado]],Tabla5[[#This Row],[Estado si = 1]])</f>
        <v>3</v>
      </c>
      <c r="BA67" s="6">
        <f>+IF(Tabla4[[#This Row],[Ocupacion M1]]= 0,1,IF(Tabla4[[#This Row],[Ocupacion M2]]=0,2,3))</f>
        <v>3</v>
      </c>
      <c r="BB6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67">
        <f t="shared" si="6"/>
        <v>55</v>
      </c>
      <c r="BE67">
        <f>+IF(Tabla6[[#This Row],[Indice]]="","",VLOOKUP(Tabla6[[#This Row],[Indice]],Tabla4[[Corre]:[Entidad2]],2))</f>
        <v>55</v>
      </c>
      <c r="BF67">
        <f>IFERROR(+INDEX(Tabla4[Grupo],Tabla6[[#This Row],[Entidad]]),"")</f>
        <v>29</v>
      </c>
      <c r="BG67">
        <f t="shared" si="7"/>
        <v>480</v>
      </c>
      <c r="BH67">
        <v>0.71758689301356549</v>
      </c>
      <c r="BI67">
        <f>20+70*Tabla6[[#This Row],[A6]]</f>
        <v>70.231082510949591</v>
      </c>
      <c r="BJ67">
        <f>+IF(Tabla6[[#This Row],[Indice]]="","",Tabla6[[#This Row],[Empieza]]+Tabla6[[#This Row],[Tiempo carrera ]])</f>
        <v>550.23108251094959</v>
      </c>
      <c r="BK67" s="6">
        <f>IF(Tabla6[[#This Row],[Termina la carrera]]="","",IF(Tabla6[[#This Row],[Termina la carrera]]&gt;540,1,0))</f>
        <v>1</v>
      </c>
      <c r="BL67" s="6">
        <f>+IF(OR(Tabla6[[#This Row],[Despues de las 9]]=0,Tabla6[[#This Row],[Despues de las 9]]=""),"",Tabla6[[#This Row],[Despues de las 9]]*Tabla6[[#This Row],[Grupo ]])</f>
        <v>29</v>
      </c>
      <c r="BM67" s="6">
        <f>+IF(Tabla6[[#This Row],[grupo  despues de las 9]]="","",IF(MAX($BL$13:BL66)=Tabla6[[#This Row],[grupo  despues de las 9]],"",1))</f>
        <v>1</v>
      </c>
    </row>
    <row r="68" spans="5:65" x14ac:dyDescent="0.25">
      <c r="E68" s="2">
        <v>56</v>
      </c>
      <c r="F68" s="5">
        <v>0.23771566507946995</v>
      </c>
      <c r="G68" s="2">
        <f t="shared" si="2"/>
        <v>0.27143564995567615</v>
      </c>
      <c r="H68" s="4">
        <f>+H67+Tabla2[[#This Row],[Tiempo Entre]]</f>
        <v>420.17149640499366</v>
      </c>
      <c r="I68" s="5">
        <v>0.32678276158971409</v>
      </c>
      <c r="J68" s="2">
        <f>+IF(Tabla2[[#This Row],[A2 ]]&lt;0.5,1,IF(Tabla2[[#This Row],[A2 ]]&lt;0.8,2,3))</f>
        <v>1</v>
      </c>
      <c r="L68" s="2">
        <f>+IF(AND(Tabla2[[#This Row],[Llegada]]&lt;=$B$16,P68&gt;0),1,"-")</f>
        <v>1</v>
      </c>
      <c r="M68" s="2">
        <f t="shared" si="3"/>
        <v>56</v>
      </c>
      <c r="N68" s="4">
        <f>+IF(L68=1,Tabla2[[#This Row],[Llegada]],"-")</f>
        <v>420.17149640499366</v>
      </c>
      <c r="O68" s="2">
        <f>+IF(L68=1,Tabla2[[#This Row],[Numero de integrantes]],"-")</f>
        <v>1</v>
      </c>
      <c r="P68" s="2">
        <f t="shared" si="4"/>
        <v>6</v>
      </c>
      <c r="Q68" s="2">
        <f>+IF(Tabla3[[#This Row],[Entra?]]=1,Q67+Tabla3[[#This Row],[Numero integrantes]],Q67)</f>
        <v>95</v>
      </c>
      <c r="S68" s="2">
        <f t="shared" si="5"/>
        <v>56</v>
      </c>
      <c r="T68" s="2">
        <f>+COUNTIF(Tabla3[Cuantos van],"&lt;"&amp;Tabla4[[#This Row],[Entidad]])+1</f>
        <v>30</v>
      </c>
      <c r="U68" s="2">
        <f>+INDEX(Tabla3[Llegada],Tabla4[[#This Row],[Grupo]])</f>
        <v>392.31071794261396</v>
      </c>
      <c r="V68" s="2">
        <f>+IF(Tabla4[[#This Row],[Hora llegada]]&gt;=Tabla4[[#This Row],[Disponibilidad M1]],0,1)</f>
        <v>1</v>
      </c>
      <c r="W68" s="2">
        <f>+IF(Tabla4[[#This Row],[Hora llegada]]&gt;=Tabla4[[#This Row],[Disponibilidad M2]],0,1)</f>
        <v>1</v>
      </c>
      <c r="X68" s="2">
        <f>+IF(Tabla4[[#This Row],[Hora llegada]]&gt;=Tabla4[[#This Row],[Disponibilidad M3]],0,1)</f>
        <v>1</v>
      </c>
      <c r="Y68" s="2" t="str">
        <f>+IF(Tabla5[[#This Row],[Quien me atiende]]=1,MAX(Tabla4[[#This Row],[Disponibilidad M1]],Tabla4[[#This Row],[Hora llegada]]),"-")</f>
        <v>-</v>
      </c>
      <c r="Z68" s="2">
        <f>+IF(Tabla5[[#This Row],[Quien me atiende]]=2,MAX(Tabla4[[#This Row],[Disponibilidad M2]],Tabla4[[#This Row],[Hora llegada]]),"-")</f>
        <v>437.12728032508107</v>
      </c>
      <c r="AA68" s="2" t="str">
        <f>+IF(Tabla5[[#This Row],[Quien me atiende]]=3,MAX(Tabla4[[#This Row],[Disponibilidad M3]],Tabla4[[#This Row],[Hora llegada]]),"-")</f>
        <v>-</v>
      </c>
      <c r="AB68" s="2">
        <f>+MAX($AG$13:AG67)</f>
        <v>438.60628223040487</v>
      </c>
      <c r="AC68" s="2">
        <f>+MAX($AH$13:AH67)</f>
        <v>437.12728032508107</v>
      </c>
      <c r="AD68" s="2">
        <f>+MAX($AI$13:AI67)</f>
        <v>439.63559242796771</v>
      </c>
      <c r="AE68" s="2">
        <v>0.3961513583860552</v>
      </c>
      <c r="AF68" s="2">
        <f>2+4.5*Tabla4[[#This Row],[A5]]</f>
        <v>3.7826811127372482</v>
      </c>
      <c r="AG68" s="2" t="str">
        <f>+IF(Tabla4[[#This Row],[Entrada M1]]="-","-",Tabla4[[#This Row],[Entrada M1]]+Tabla4[[#This Row],[Tiempo Atencion ]])</f>
        <v>-</v>
      </c>
      <c r="AH68" s="2">
        <f>+IF(Tabla4[[#This Row],[Entrada M2]]="-","-",Tabla4[[#This Row],[Entrada M2]]+Tabla4[[#This Row],[Tiempo Atencion ]])</f>
        <v>440.90996143781831</v>
      </c>
      <c r="AI68" s="2" t="str">
        <f>+IF(Tabla4[[#This Row],[Entrada M3]]="-","-",Tabla4[[#This Row],[Entrada M3]]+Tabla4[[#This Row],[Tiempo Atencion ]])</f>
        <v>-</v>
      </c>
      <c r="AJ68" s="11">
        <f>+MAX(Tabla4[[#This Row],[Salida M1]:[Salida M3]])</f>
        <v>440.90996143781831</v>
      </c>
      <c r="AK68" s="11" t="str">
        <f>+IF(Tabla4[[#This Row],[Salida]]&lt;=$B$17,"Entra","No Entra")</f>
        <v>Entra</v>
      </c>
      <c r="AL68" s="11">
        <f>+IF(Tabla4[[#This Row],[Entra  a la carrera]]="Entra",0,Tabla4[[#This Row],[Grupo]])</f>
        <v>0</v>
      </c>
      <c r="AM68" s="11">
        <f>_xlfn.IFNA(VLOOKUP(Tabla4[[#This Row],[Grupo]],Tabla4[Grupos por fuera],1,FALSE),0)</f>
        <v>0</v>
      </c>
      <c r="AN68" s="11" t="str">
        <f>+IF(Tabla4[[#This Row],[Me salgo por mi amigo el lento?]]=0, "Entra", "Chao")</f>
        <v>Entra</v>
      </c>
      <c r="AO68" s="11">
        <f>+IF(Tabla4[[#This Row],[Al fin entra o no]]="Entra",MAX($AO$13:AO67)+1,"")</f>
        <v>56</v>
      </c>
      <c r="AP68" s="11">
        <f>+Tabla4[[#This Row],[Entidad]]</f>
        <v>56</v>
      </c>
      <c r="AR68">
        <v>0.78500030375807739</v>
      </c>
      <c r="AS68">
        <f>+IF(Tabla5[[#This Row],[A3]]&lt;0.5,2,3)</f>
        <v>3</v>
      </c>
      <c r="AT68">
        <f>+IF(Tabla5[[#This Row],[A3]]&lt;0.5,1,3)</f>
        <v>3</v>
      </c>
      <c r="AU68">
        <f>+IF(Tabla5[[#This Row],[A3]]&lt;0.5,1,2)</f>
        <v>2</v>
      </c>
      <c r="AV68" s="6">
        <f>+IF(Tabla5[[#This Row],[A3]]&lt;0.33,1,IF(Tabla5[[#This Row],[A3]]&lt;0.66,2,3))</f>
        <v>3</v>
      </c>
      <c r="AW6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68" s="6">
        <f>+SUM(Tabla4[[#This Row],[Ocupacion M1]:[Ocupacion M3]])</f>
        <v>3</v>
      </c>
      <c r="AY68" s="6">
        <f>+IF(Tabla4[[#This Row],[Ocupacion M1]]=1,1,IF(Tabla4[[#This Row],[Ocupacion M2]]=1,2,3))</f>
        <v>1</v>
      </c>
      <c r="AZ68" s="6">
        <f>+INDEX(Tabla5[[#This Row],[Si 1 esta ocupado]:[Si 3 esta ocupado]],Tabla5[[#This Row],[Estado si = 1]])</f>
        <v>3</v>
      </c>
      <c r="BA68" s="6">
        <f>+IF(Tabla4[[#This Row],[Ocupacion M1]]= 0,1,IF(Tabla4[[#This Row],[Ocupacion M2]]=0,2,3))</f>
        <v>3</v>
      </c>
      <c r="BB6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68">
        <f t="shared" si="6"/>
        <v>56</v>
      </c>
      <c r="BE68">
        <f>+IF(Tabla6[[#This Row],[Indice]]="","",VLOOKUP(Tabla6[[#This Row],[Indice]],Tabla4[[Corre]:[Entidad2]],2))</f>
        <v>56</v>
      </c>
      <c r="BF68">
        <f>IFERROR(+INDEX(Tabla4[Grupo],Tabla6[[#This Row],[Entidad]]),"")</f>
        <v>30</v>
      </c>
      <c r="BG68">
        <f t="shared" si="7"/>
        <v>480</v>
      </c>
      <c r="BH68">
        <v>6.2742350304794692E-2</v>
      </c>
      <c r="BI68">
        <f>20+70*Tabla6[[#This Row],[A6]]</f>
        <v>24.39196452133563</v>
      </c>
      <c r="BJ68">
        <f>+IF(Tabla6[[#This Row],[Indice]]="","",Tabla6[[#This Row],[Empieza]]+Tabla6[[#This Row],[Tiempo carrera ]])</f>
        <v>504.39196452133564</v>
      </c>
      <c r="BK68" s="6">
        <f>IF(Tabla6[[#This Row],[Termina la carrera]]="","",IF(Tabla6[[#This Row],[Termina la carrera]]&gt;540,1,0))</f>
        <v>0</v>
      </c>
      <c r="BL68" s="6" t="str">
        <f>+IF(OR(Tabla6[[#This Row],[Despues de las 9]]=0,Tabla6[[#This Row],[Despues de las 9]]=""),"",Tabla6[[#This Row],[Despues de las 9]]*Tabla6[[#This Row],[Grupo ]])</f>
        <v/>
      </c>
      <c r="BM68" s="6" t="str">
        <f>+IF(Tabla6[[#This Row],[grupo  despues de las 9]]="","",IF(MAX($BL$13:BL67)=Tabla6[[#This Row],[grupo  despues de las 9]],"",1))</f>
        <v/>
      </c>
    </row>
    <row r="69" spans="5:65" x14ac:dyDescent="0.25">
      <c r="E69" s="2">
        <v>57</v>
      </c>
      <c r="F69" s="5">
        <v>0.79360531508560939</v>
      </c>
      <c r="G69" s="2">
        <f t="shared" si="2"/>
        <v>1.5779649970900684</v>
      </c>
      <c r="H69" s="4">
        <f>+H68+Tabla2[[#This Row],[Tiempo Entre]]</f>
        <v>421.74946140208374</v>
      </c>
      <c r="I69" s="5">
        <v>0.66139500181479915</v>
      </c>
      <c r="J69" s="2">
        <f>+IF(Tabla2[[#This Row],[A2 ]]&lt;0.5,1,IF(Tabla2[[#This Row],[A2 ]]&lt;0.8,2,3))</f>
        <v>2</v>
      </c>
      <c r="L69" s="2">
        <f>+IF(AND(Tabla2[[#This Row],[Llegada]]&lt;=$B$16,P69&gt;0),1,"-")</f>
        <v>1</v>
      </c>
      <c r="M69" s="2">
        <f t="shared" si="3"/>
        <v>57</v>
      </c>
      <c r="N69" s="4">
        <f>+IF(L69=1,Tabla2[[#This Row],[Llegada]],"-")</f>
        <v>421.74946140208374</v>
      </c>
      <c r="O69" s="2">
        <f>+IF(L69=1,Tabla2[[#This Row],[Numero de integrantes]],"-")</f>
        <v>2</v>
      </c>
      <c r="P69" s="2">
        <f t="shared" si="4"/>
        <v>5</v>
      </c>
      <c r="Q69" s="2">
        <f>+IF(Tabla3[[#This Row],[Entra?]]=1,Q68+Tabla3[[#This Row],[Numero integrantes]],Q68)</f>
        <v>97</v>
      </c>
      <c r="S69" s="2">
        <f t="shared" si="5"/>
        <v>57</v>
      </c>
      <c r="T69" s="2">
        <f>+COUNTIF(Tabla3[Cuantos van],"&lt;"&amp;Tabla4[[#This Row],[Entidad]])+1</f>
        <v>31</v>
      </c>
      <c r="U69" s="2">
        <f>+INDEX(Tabla3[Llegada],Tabla4[[#This Row],[Grupo]])</f>
        <v>392.48462303485076</v>
      </c>
      <c r="V69" s="2">
        <f>+IF(Tabla4[[#This Row],[Hora llegada]]&gt;=Tabla4[[#This Row],[Disponibilidad M1]],0,1)</f>
        <v>1</v>
      </c>
      <c r="W69" s="2">
        <f>+IF(Tabla4[[#This Row],[Hora llegada]]&gt;=Tabla4[[#This Row],[Disponibilidad M2]],0,1)</f>
        <v>1</v>
      </c>
      <c r="X69" s="2">
        <f>+IF(Tabla4[[#This Row],[Hora llegada]]&gt;=Tabla4[[#This Row],[Disponibilidad M3]],0,1)</f>
        <v>1</v>
      </c>
      <c r="Y69" s="2">
        <f>+IF(Tabla5[[#This Row],[Quien me atiende]]=1,MAX(Tabla4[[#This Row],[Disponibilidad M1]],Tabla4[[#This Row],[Hora llegada]]),"-")</f>
        <v>438.60628223040487</v>
      </c>
      <c r="Z69" s="2" t="str">
        <f>+IF(Tabla5[[#This Row],[Quien me atiende]]=2,MAX(Tabla4[[#This Row],[Disponibilidad M2]],Tabla4[[#This Row],[Hora llegada]]),"-")</f>
        <v>-</v>
      </c>
      <c r="AA69" s="2" t="str">
        <f>+IF(Tabla5[[#This Row],[Quien me atiende]]=3,MAX(Tabla4[[#This Row],[Disponibilidad M3]],Tabla4[[#This Row],[Hora llegada]]),"-")</f>
        <v>-</v>
      </c>
      <c r="AB69" s="2">
        <f>+MAX($AG$13:AG68)</f>
        <v>438.60628223040487</v>
      </c>
      <c r="AC69" s="2">
        <f>+MAX($AH$13:AH68)</f>
        <v>440.90996143781831</v>
      </c>
      <c r="AD69" s="2">
        <f>+MAX($AI$13:AI68)</f>
        <v>439.63559242796771</v>
      </c>
      <c r="AE69" s="2">
        <v>0.45972681347310884</v>
      </c>
      <c r="AF69" s="2">
        <f>2+4.5*Tabla4[[#This Row],[A5]]</f>
        <v>4.0687706606289904</v>
      </c>
      <c r="AG69" s="2">
        <f>+IF(Tabla4[[#This Row],[Entrada M1]]="-","-",Tabla4[[#This Row],[Entrada M1]]+Tabla4[[#This Row],[Tiempo Atencion ]])</f>
        <v>442.67505289103389</v>
      </c>
      <c r="AH69" s="2" t="str">
        <f>+IF(Tabla4[[#This Row],[Entrada M2]]="-","-",Tabla4[[#This Row],[Entrada M2]]+Tabla4[[#This Row],[Tiempo Atencion ]])</f>
        <v>-</v>
      </c>
      <c r="AI69" s="2" t="str">
        <f>+IF(Tabla4[[#This Row],[Entrada M3]]="-","-",Tabla4[[#This Row],[Entrada M3]]+Tabla4[[#This Row],[Tiempo Atencion ]])</f>
        <v>-</v>
      </c>
      <c r="AJ69" s="11">
        <f>+MAX(Tabla4[[#This Row],[Salida M1]:[Salida M3]])</f>
        <v>442.67505289103389</v>
      </c>
      <c r="AK69" s="11" t="str">
        <f>+IF(Tabla4[[#This Row],[Salida]]&lt;=$B$17,"Entra","No Entra")</f>
        <v>Entra</v>
      </c>
      <c r="AL69" s="11">
        <f>+IF(Tabla4[[#This Row],[Entra  a la carrera]]="Entra",0,Tabla4[[#This Row],[Grupo]])</f>
        <v>0</v>
      </c>
      <c r="AM69" s="11">
        <f>_xlfn.IFNA(VLOOKUP(Tabla4[[#This Row],[Grupo]],Tabla4[Grupos por fuera],1,FALSE),0)</f>
        <v>0</v>
      </c>
      <c r="AN69" s="11" t="str">
        <f>+IF(Tabla4[[#This Row],[Me salgo por mi amigo el lento?]]=0, "Entra", "Chao")</f>
        <v>Entra</v>
      </c>
      <c r="AO69" s="11">
        <f>+IF(Tabla4[[#This Row],[Al fin entra o no]]="Entra",MAX($AO$13:AO68)+1,"")</f>
        <v>57</v>
      </c>
      <c r="AP69" s="11">
        <f>+Tabla4[[#This Row],[Entidad]]</f>
        <v>57</v>
      </c>
      <c r="AR69">
        <v>0.63152264097411703</v>
      </c>
      <c r="AS69">
        <f>+IF(Tabla5[[#This Row],[A3]]&lt;0.5,2,3)</f>
        <v>3</v>
      </c>
      <c r="AT69">
        <f>+IF(Tabla5[[#This Row],[A3]]&lt;0.5,1,3)</f>
        <v>3</v>
      </c>
      <c r="AU69">
        <f>+IF(Tabla5[[#This Row],[A3]]&lt;0.5,1,2)</f>
        <v>2</v>
      </c>
      <c r="AV69" s="6">
        <f>+IF(Tabla5[[#This Row],[A3]]&lt;0.33,1,IF(Tabla5[[#This Row],[A3]]&lt;0.66,2,3))</f>
        <v>2</v>
      </c>
      <c r="AW6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69" s="6">
        <f>+SUM(Tabla4[[#This Row],[Ocupacion M1]:[Ocupacion M3]])</f>
        <v>3</v>
      </c>
      <c r="AY69" s="6">
        <f>+IF(Tabla4[[#This Row],[Ocupacion M1]]=1,1,IF(Tabla4[[#This Row],[Ocupacion M2]]=1,2,3))</f>
        <v>1</v>
      </c>
      <c r="AZ69" s="6">
        <f>+INDEX(Tabla5[[#This Row],[Si 1 esta ocupado]:[Si 3 esta ocupado]],Tabla5[[#This Row],[Estado si = 1]])</f>
        <v>3</v>
      </c>
      <c r="BA69" s="6">
        <f>+IF(Tabla4[[#This Row],[Ocupacion M1]]= 0,1,IF(Tabla4[[#This Row],[Ocupacion M2]]=0,2,3))</f>
        <v>3</v>
      </c>
      <c r="BB6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69">
        <f t="shared" si="6"/>
        <v>57</v>
      </c>
      <c r="BE69">
        <f>+IF(Tabla6[[#This Row],[Indice]]="","",VLOOKUP(Tabla6[[#This Row],[Indice]],Tabla4[[Corre]:[Entidad2]],2))</f>
        <v>57</v>
      </c>
      <c r="BF69">
        <f>IFERROR(+INDEX(Tabla4[Grupo],Tabla6[[#This Row],[Entidad]]),"")</f>
        <v>31</v>
      </c>
      <c r="BG69">
        <f t="shared" si="7"/>
        <v>480</v>
      </c>
      <c r="BH69">
        <v>0.75310437909038819</v>
      </c>
      <c r="BI69">
        <f>20+70*Tabla6[[#This Row],[A6]]</f>
        <v>72.717306536327172</v>
      </c>
      <c r="BJ69">
        <f>+IF(Tabla6[[#This Row],[Indice]]="","",Tabla6[[#This Row],[Empieza]]+Tabla6[[#This Row],[Tiempo carrera ]])</f>
        <v>552.71730653632721</v>
      </c>
      <c r="BK69" s="6">
        <f>IF(Tabla6[[#This Row],[Termina la carrera]]="","",IF(Tabla6[[#This Row],[Termina la carrera]]&gt;540,1,0))</f>
        <v>1</v>
      </c>
      <c r="BL69" s="6">
        <f>+IF(OR(Tabla6[[#This Row],[Despues de las 9]]=0,Tabla6[[#This Row],[Despues de las 9]]=""),"",Tabla6[[#This Row],[Despues de las 9]]*Tabla6[[#This Row],[Grupo ]])</f>
        <v>31</v>
      </c>
      <c r="BM69" s="6">
        <f>+IF(Tabla6[[#This Row],[grupo  despues de las 9]]="","",IF(MAX($BL$13:BL68)=Tabla6[[#This Row],[grupo  despues de las 9]],"",1))</f>
        <v>1</v>
      </c>
    </row>
    <row r="70" spans="5:65" x14ac:dyDescent="0.25">
      <c r="E70" s="2">
        <v>58</v>
      </c>
      <c r="F70" s="5">
        <v>0.86832296162459677</v>
      </c>
      <c r="G70" s="2">
        <f t="shared" si="2"/>
        <v>2.0274030333800961</v>
      </c>
      <c r="H70" s="4">
        <f>+H69+Tabla2[[#This Row],[Tiempo Entre]]</f>
        <v>423.77686443546384</v>
      </c>
      <c r="I70" s="5">
        <v>0.84392180810224693</v>
      </c>
      <c r="J70" s="2">
        <f>+IF(Tabla2[[#This Row],[A2 ]]&lt;0.5,1,IF(Tabla2[[#This Row],[A2 ]]&lt;0.8,2,3))</f>
        <v>3</v>
      </c>
      <c r="L70" s="2">
        <f>+IF(AND(Tabla2[[#This Row],[Llegada]]&lt;=$B$16,P70&gt;0),1,"-")</f>
        <v>1</v>
      </c>
      <c r="M70" s="2">
        <f t="shared" si="3"/>
        <v>58</v>
      </c>
      <c r="N70" s="4">
        <f>+IF(L70=1,Tabla2[[#This Row],[Llegada]],"-")</f>
        <v>423.77686443546384</v>
      </c>
      <c r="O70" s="2">
        <f>+IF(L70=1,Tabla2[[#This Row],[Numero de integrantes]],"-")</f>
        <v>3</v>
      </c>
      <c r="P70" s="2">
        <f t="shared" si="4"/>
        <v>3</v>
      </c>
      <c r="Q70" s="2">
        <f>+IF(Tabla3[[#This Row],[Entra?]]=1,Q69+Tabla3[[#This Row],[Numero integrantes]],Q69)</f>
        <v>100</v>
      </c>
      <c r="S70" s="2">
        <f t="shared" si="5"/>
        <v>58</v>
      </c>
      <c r="T70" s="2">
        <f>+COUNTIF(Tabla3[Cuantos van],"&lt;"&amp;Tabla4[[#This Row],[Entidad]])+1</f>
        <v>32</v>
      </c>
      <c r="U70" s="2">
        <f>+INDEX(Tabla3[Llegada],Tabla4[[#This Row],[Grupo]])</f>
        <v>393.64030616018971</v>
      </c>
      <c r="V70" s="2">
        <f>+IF(Tabla4[[#This Row],[Hora llegada]]&gt;=Tabla4[[#This Row],[Disponibilidad M1]],0,1)</f>
        <v>1</v>
      </c>
      <c r="W70" s="2">
        <f>+IF(Tabla4[[#This Row],[Hora llegada]]&gt;=Tabla4[[#This Row],[Disponibilidad M2]],0,1)</f>
        <v>1</v>
      </c>
      <c r="X70" s="2">
        <f>+IF(Tabla4[[#This Row],[Hora llegada]]&gt;=Tabla4[[#This Row],[Disponibilidad M3]],0,1)</f>
        <v>1</v>
      </c>
      <c r="Y70" s="2" t="str">
        <f>+IF(Tabla5[[#This Row],[Quien me atiende]]=1,MAX(Tabla4[[#This Row],[Disponibilidad M1]],Tabla4[[#This Row],[Hora llegada]]),"-")</f>
        <v>-</v>
      </c>
      <c r="Z70" s="2" t="str">
        <f>+IF(Tabla5[[#This Row],[Quien me atiende]]=2,MAX(Tabla4[[#This Row],[Disponibilidad M2]],Tabla4[[#This Row],[Hora llegada]]),"-")</f>
        <v>-</v>
      </c>
      <c r="AA70" s="2">
        <f>+IF(Tabla5[[#This Row],[Quien me atiende]]=3,MAX(Tabla4[[#This Row],[Disponibilidad M3]],Tabla4[[#This Row],[Hora llegada]]),"-")</f>
        <v>439.63559242796771</v>
      </c>
      <c r="AB70" s="2">
        <f>+MAX($AG$13:AG69)</f>
        <v>442.67505289103389</v>
      </c>
      <c r="AC70" s="2">
        <f>+MAX($AH$13:AH69)</f>
        <v>440.90996143781831</v>
      </c>
      <c r="AD70" s="2">
        <f>+MAX($AI$13:AI69)</f>
        <v>439.63559242796771</v>
      </c>
      <c r="AE70" s="2">
        <v>0.54329243834782914</v>
      </c>
      <c r="AF70" s="2">
        <f>2+4.5*Tabla4[[#This Row],[A5]]</f>
        <v>4.4448159725652312</v>
      </c>
      <c r="AG70" s="2" t="str">
        <f>+IF(Tabla4[[#This Row],[Entrada M1]]="-","-",Tabla4[[#This Row],[Entrada M1]]+Tabla4[[#This Row],[Tiempo Atencion ]])</f>
        <v>-</v>
      </c>
      <c r="AH70" s="2" t="str">
        <f>+IF(Tabla4[[#This Row],[Entrada M2]]="-","-",Tabla4[[#This Row],[Entrada M2]]+Tabla4[[#This Row],[Tiempo Atencion ]])</f>
        <v>-</v>
      </c>
      <c r="AI70" s="2">
        <f>+IF(Tabla4[[#This Row],[Entrada M3]]="-","-",Tabla4[[#This Row],[Entrada M3]]+Tabla4[[#This Row],[Tiempo Atencion ]])</f>
        <v>444.08040840053292</v>
      </c>
      <c r="AJ70" s="11">
        <f>+MAX(Tabla4[[#This Row],[Salida M1]:[Salida M3]])</f>
        <v>444.08040840053292</v>
      </c>
      <c r="AK70" s="11" t="str">
        <f>+IF(Tabla4[[#This Row],[Salida]]&lt;=$B$17,"Entra","No Entra")</f>
        <v>Entra</v>
      </c>
      <c r="AL70" s="11">
        <f>+IF(Tabla4[[#This Row],[Entra  a la carrera]]="Entra",0,Tabla4[[#This Row],[Grupo]])</f>
        <v>0</v>
      </c>
      <c r="AM70" s="11">
        <f>_xlfn.IFNA(VLOOKUP(Tabla4[[#This Row],[Grupo]],Tabla4[Grupos por fuera],1,FALSE),0)</f>
        <v>0</v>
      </c>
      <c r="AN70" s="11" t="str">
        <f>+IF(Tabla4[[#This Row],[Me salgo por mi amigo el lento?]]=0, "Entra", "Chao")</f>
        <v>Entra</v>
      </c>
      <c r="AO70" s="11">
        <f>+IF(Tabla4[[#This Row],[Al fin entra o no]]="Entra",MAX($AO$13:AO69)+1,"")</f>
        <v>58</v>
      </c>
      <c r="AP70" s="11">
        <f>+Tabla4[[#This Row],[Entidad]]</f>
        <v>58</v>
      </c>
      <c r="AR70">
        <v>0.83487537400599565</v>
      </c>
      <c r="AS70">
        <f>+IF(Tabla5[[#This Row],[A3]]&lt;0.5,2,3)</f>
        <v>3</v>
      </c>
      <c r="AT70">
        <f>+IF(Tabla5[[#This Row],[A3]]&lt;0.5,1,3)</f>
        <v>3</v>
      </c>
      <c r="AU70">
        <f>+IF(Tabla5[[#This Row],[A3]]&lt;0.5,1,2)</f>
        <v>2</v>
      </c>
      <c r="AV70" s="6">
        <f>+IF(Tabla5[[#This Row],[A3]]&lt;0.33,1,IF(Tabla5[[#This Row],[A3]]&lt;0.66,2,3))</f>
        <v>3</v>
      </c>
      <c r="AW7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70" s="6">
        <f>+SUM(Tabla4[[#This Row],[Ocupacion M1]:[Ocupacion M3]])</f>
        <v>3</v>
      </c>
      <c r="AY70" s="6">
        <f>+IF(Tabla4[[#This Row],[Ocupacion M1]]=1,1,IF(Tabla4[[#This Row],[Ocupacion M2]]=1,2,3))</f>
        <v>1</v>
      </c>
      <c r="AZ70" s="6">
        <f>+INDEX(Tabla5[[#This Row],[Si 1 esta ocupado]:[Si 3 esta ocupado]],Tabla5[[#This Row],[Estado si = 1]])</f>
        <v>3</v>
      </c>
      <c r="BA70" s="6">
        <f>+IF(Tabla4[[#This Row],[Ocupacion M1]]= 0,1,IF(Tabla4[[#This Row],[Ocupacion M2]]=0,2,3))</f>
        <v>3</v>
      </c>
      <c r="BB7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70">
        <f t="shared" si="6"/>
        <v>58</v>
      </c>
      <c r="BE70">
        <f>+IF(Tabla6[[#This Row],[Indice]]="","",VLOOKUP(Tabla6[[#This Row],[Indice]],Tabla4[[Corre]:[Entidad2]],2))</f>
        <v>58</v>
      </c>
      <c r="BF70">
        <f>IFERROR(+INDEX(Tabla4[Grupo],Tabla6[[#This Row],[Entidad]]),"")</f>
        <v>32</v>
      </c>
      <c r="BG70">
        <f t="shared" si="7"/>
        <v>480</v>
      </c>
      <c r="BH70">
        <v>0.81183746341327045</v>
      </c>
      <c r="BI70">
        <f>20+70*Tabla6[[#This Row],[A6]]</f>
        <v>76.828622438928932</v>
      </c>
      <c r="BJ70">
        <f>+IF(Tabla6[[#This Row],[Indice]]="","",Tabla6[[#This Row],[Empieza]]+Tabla6[[#This Row],[Tiempo carrera ]])</f>
        <v>556.82862243892896</v>
      </c>
      <c r="BK70" s="6">
        <f>IF(Tabla6[[#This Row],[Termina la carrera]]="","",IF(Tabla6[[#This Row],[Termina la carrera]]&gt;540,1,0))</f>
        <v>1</v>
      </c>
      <c r="BL70" s="6">
        <f>+IF(OR(Tabla6[[#This Row],[Despues de las 9]]=0,Tabla6[[#This Row],[Despues de las 9]]=""),"",Tabla6[[#This Row],[Despues de las 9]]*Tabla6[[#This Row],[Grupo ]])</f>
        <v>32</v>
      </c>
      <c r="BM70" s="6">
        <f>+IF(Tabla6[[#This Row],[grupo  despues de las 9]]="","",IF(MAX($BL$13:BL69)=Tabla6[[#This Row],[grupo  despues de las 9]],"",1))</f>
        <v>1</v>
      </c>
    </row>
    <row r="71" spans="5:65" x14ac:dyDescent="0.25">
      <c r="E71" s="2">
        <v>59</v>
      </c>
      <c r="F71" s="5">
        <v>0.33868986125977796</v>
      </c>
      <c r="G71" s="2">
        <f t="shared" si="2"/>
        <v>0.41353235288990442</v>
      </c>
      <c r="H71" s="4">
        <f>+H70+Tabla2[[#This Row],[Tiempo Entre]]</f>
        <v>424.19039678835372</v>
      </c>
      <c r="I71" s="5">
        <v>0.42949624073720261</v>
      </c>
      <c r="J71" s="2">
        <f>+IF(Tabla2[[#This Row],[A2 ]]&lt;0.5,1,IF(Tabla2[[#This Row],[A2 ]]&lt;0.8,2,3))</f>
        <v>1</v>
      </c>
      <c r="L71" s="2" t="str">
        <f>+IF(AND(Tabla2[[#This Row],[Llegada]]&lt;=$B$16,P71&gt;0),1,"-")</f>
        <v>-</v>
      </c>
      <c r="M71" s="2" t="str">
        <f t="shared" si="3"/>
        <v>-</v>
      </c>
      <c r="N71" s="4" t="str">
        <f>+IF(L71=1,Tabla2[[#This Row],[Llegada]],"-")</f>
        <v>-</v>
      </c>
      <c r="O71" s="2" t="str">
        <f>+IF(L71=1,Tabla2[[#This Row],[Numero de integrantes]],"-")</f>
        <v>-</v>
      </c>
      <c r="P71" s="2">
        <f t="shared" si="4"/>
        <v>0</v>
      </c>
      <c r="Q71" s="2">
        <f>+IF(Tabla3[[#This Row],[Entra?]]=1,Q70+Tabla3[[#This Row],[Numero integrantes]],Q70)</f>
        <v>100</v>
      </c>
      <c r="S71" s="2">
        <f t="shared" si="5"/>
        <v>59</v>
      </c>
      <c r="T71" s="2">
        <f>+COUNTIF(Tabla3[Cuantos van],"&lt;"&amp;Tabla4[[#This Row],[Entidad]])+1</f>
        <v>33</v>
      </c>
      <c r="U71" s="2">
        <f>+INDEX(Tabla3[Llegada],Tabla4[[#This Row],[Grupo]])</f>
        <v>394.16892160547116</v>
      </c>
      <c r="V71" s="2">
        <f>+IF(Tabla4[[#This Row],[Hora llegada]]&gt;=Tabla4[[#This Row],[Disponibilidad M1]],0,1)</f>
        <v>1</v>
      </c>
      <c r="W71" s="2">
        <f>+IF(Tabla4[[#This Row],[Hora llegada]]&gt;=Tabla4[[#This Row],[Disponibilidad M2]],0,1)</f>
        <v>1</v>
      </c>
      <c r="X71" s="2">
        <f>+IF(Tabla4[[#This Row],[Hora llegada]]&gt;=Tabla4[[#This Row],[Disponibilidad M3]],0,1)</f>
        <v>1</v>
      </c>
      <c r="Y71" s="2" t="str">
        <f>+IF(Tabla5[[#This Row],[Quien me atiende]]=1,MAX(Tabla4[[#This Row],[Disponibilidad M1]],Tabla4[[#This Row],[Hora llegada]]),"-")</f>
        <v>-</v>
      </c>
      <c r="Z71" s="2">
        <f>+IF(Tabla5[[#This Row],[Quien me atiende]]=2,MAX(Tabla4[[#This Row],[Disponibilidad M2]],Tabla4[[#This Row],[Hora llegada]]),"-")</f>
        <v>440.90996143781831</v>
      </c>
      <c r="AA71" s="2" t="str">
        <f>+IF(Tabla5[[#This Row],[Quien me atiende]]=3,MAX(Tabla4[[#This Row],[Disponibilidad M3]],Tabla4[[#This Row],[Hora llegada]]),"-")</f>
        <v>-</v>
      </c>
      <c r="AB71" s="2">
        <f>+MAX($AG$13:AG70)</f>
        <v>442.67505289103389</v>
      </c>
      <c r="AC71" s="2">
        <f>+MAX($AH$13:AH70)</f>
        <v>440.90996143781831</v>
      </c>
      <c r="AD71" s="2">
        <f>+MAX($AI$13:AI70)</f>
        <v>444.08040840053292</v>
      </c>
      <c r="AE71" s="2">
        <v>0.90842886707928328</v>
      </c>
      <c r="AF71" s="2">
        <f>2+4.5*Tabla4[[#This Row],[A5]]</f>
        <v>6.087929901856775</v>
      </c>
      <c r="AG71" s="2" t="str">
        <f>+IF(Tabla4[[#This Row],[Entrada M1]]="-","-",Tabla4[[#This Row],[Entrada M1]]+Tabla4[[#This Row],[Tiempo Atencion ]])</f>
        <v>-</v>
      </c>
      <c r="AH71" s="2">
        <f>+IF(Tabla4[[#This Row],[Entrada M2]]="-","-",Tabla4[[#This Row],[Entrada M2]]+Tabla4[[#This Row],[Tiempo Atencion ]])</f>
        <v>446.99789133967511</v>
      </c>
      <c r="AI71" s="2" t="str">
        <f>+IF(Tabla4[[#This Row],[Entrada M3]]="-","-",Tabla4[[#This Row],[Entrada M3]]+Tabla4[[#This Row],[Tiempo Atencion ]])</f>
        <v>-</v>
      </c>
      <c r="AJ71" s="11">
        <f>+MAX(Tabla4[[#This Row],[Salida M1]:[Salida M3]])</f>
        <v>446.99789133967511</v>
      </c>
      <c r="AK71" s="11" t="str">
        <f>+IF(Tabla4[[#This Row],[Salida]]&lt;=$B$17,"Entra","No Entra")</f>
        <v>Entra</v>
      </c>
      <c r="AL71" s="11">
        <f>+IF(Tabla4[[#This Row],[Entra  a la carrera]]="Entra",0,Tabla4[[#This Row],[Grupo]])</f>
        <v>0</v>
      </c>
      <c r="AM71" s="11">
        <f>_xlfn.IFNA(VLOOKUP(Tabla4[[#This Row],[Grupo]],Tabla4[Grupos por fuera],1,FALSE),0)</f>
        <v>0</v>
      </c>
      <c r="AN71" s="11" t="str">
        <f>+IF(Tabla4[[#This Row],[Me salgo por mi amigo el lento?]]=0, "Entra", "Chao")</f>
        <v>Entra</v>
      </c>
      <c r="AO71" s="11">
        <f>+IF(Tabla4[[#This Row],[Al fin entra o no]]="Entra",MAX($AO$13:AO70)+1,"")</f>
        <v>59</v>
      </c>
      <c r="AP71" s="11">
        <f>+Tabla4[[#This Row],[Entidad]]</f>
        <v>59</v>
      </c>
      <c r="AR71">
        <v>0.21770069770089884</v>
      </c>
      <c r="AS71">
        <f>+IF(Tabla5[[#This Row],[A3]]&lt;0.5,2,3)</f>
        <v>2</v>
      </c>
      <c r="AT71">
        <f>+IF(Tabla5[[#This Row],[A3]]&lt;0.5,1,3)</f>
        <v>1</v>
      </c>
      <c r="AU71">
        <f>+IF(Tabla5[[#This Row],[A3]]&lt;0.5,1,2)</f>
        <v>1</v>
      </c>
      <c r="AV71" s="6">
        <f>+IF(Tabla5[[#This Row],[A3]]&lt;0.33,1,IF(Tabla5[[#This Row],[A3]]&lt;0.66,2,3))</f>
        <v>1</v>
      </c>
      <c r="AW7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71" s="6">
        <f>+SUM(Tabla4[[#This Row],[Ocupacion M1]:[Ocupacion M3]])</f>
        <v>3</v>
      </c>
      <c r="AY71" s="6">
        <f>+IF(Tabla4[[#This Row],[Ocupacion M1]]=1,1,IF(Tabla4[[#This Row],[Ocupacion M2]]=1,2,3))</f>
        <v>1</v>
      </c>
      <c r="AZ71" s="6">
        <f>+INDEX(Tabla5[[#This Row],[Si 1 esta ocupado]:[Si 3 esta ocupado]],Tabla5[[#This Row],[Estado si = 1]])</f>
        <v>2</v>
      </c>
      <c r="BA71" s="6">
        <f>+IF(Tabla4[[#This Row],[Ocupacion M1]]= 0,1,IF(Tabla4[[#This Row],[Ocupacion M2]]=0,2,3))</f>
        <v>3</v>
      </c>
      <c r="BB7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71">
        <f t="shared" si="6"/>
        <v>59</v>
      </c>
      <c r="BE71">
        <f>+IF(Tabla6[[#This Row],[Indice]]="","",VLOOKUP(Tabla6[[#This Row],[Indice]],Tabla4[[Corre]:[Entidad2]],2))</f>
        <v>59</v>
      </c>
      <c r="BF71">
        <f>IFERROR(+INDEX(Tabla4[Grupo],Tabla6[[#This Row],[Entidad]]),"")</f>
        <v>33</v>
      </c>
      <c r="BG71">
        <f t="shared" si="7"/>
        <v>480</v>
      </c>
      <c r="BH71">
        <v>0.41096141009112819</v>
      </c>
      <c r="BI71">
        <f>20+70*Tabla6[[#This Row],[A6]]</f>
        <v>48.767298706378973</v>
      </c>
      <c r="BJ71">
        <f>+IF(Tabla6[[#This Row],[Indice]]="","",Tabla6[[#This Row],[Empieza]]+Tabla6[[#This Row],[Tiempo carrera ]])</f>
        <v>528.76729870637894</v>
      </c>
      <c r="BK71" s="6">
        <f>IF(Tabla6[[#This Row],[Termina la carrera]]="","",IF(Tabla6[[#This Row],[Termina la carrera]]&gt;540,1,0))</f>
        <v>0</v>
      </c>
      <c r="BL71" s="6" t="str">
        <f>+IF(OR(Tabla6[[#This Row],[Despues de las 9]]=0,Tabla6[[#This Row],[Despues de las 9]]=""),"",Tabla6[[#This Row],[Despues de las 9]]*Tabla6[[#This Row],[Grupo ]])</f>
        <v/>
      </c>
      <c r="BM71" s="6" t="str">
        <f>+IF(Tabla6[[#This Row],[grupo  despues de las 9]]="","",IF(MAX($BL$13:BL70)=Tabla6[[#This Row],[grupo  despues de las 9]],"",1))</f>
        <v/>
      </c>
    </row>
    <row r="72" spans="5:65" x14ac:dyDescent="0.25">
      <c r="E72" s="2">
        <v>60</v>
      </c>
      <c r="F72" s="5">
        <v>1.1407324634238547E-2</v>
      </c>
      <c r="G72" s="2">
        <f t="shared" si="2"/>
        <v>1.147288723468087E-2</v>
      </c>
      <c r="H72" s="4">
        <f>+H71+Tabla2[[#This Row],[Tiempo Entre]]</f>
        <v>424.2018696755884</v>
      </c>
      <c r="I72" s="5">
        <v>0.33113998013176726</v>
      </c>
      <c r="J72" s="2">
        <f>+IF(Tabla2[[#This Row],[A2 ]]&lt;0.5,1,IF(Tabla2[[#This Row],[A2 ]]&lt;0.8,2,3))</f>
        <v>1</v>
      </c>
      <c r="L72" s="2" t="str">
        <f>+IF(AND(Tabla2[[#This Row],[Llegada]]&lt;=$B$16,P72&gt;0),1,"-")</f>
        <v>-</v>
      </c>
      <c r="M72" s="2" t="str">
        <f t="shared" si="3"/>
        <v>-</v>
      </c>
      <c r="N72" s="4" t="str">
        <f>+IF(L72=1,Tabla2[[#This Row],[Llegada]],"-")</f>
        <v>-</v>
      </c>
      <c r="O72" s="2" t="str">
        <f>+IF(L72=1,Tabla2[[#This Row],[Numero de integrantes]],"-")</f>
        <v>-</v>
      </c>
      <c r="P72" s="2">
        <f t="shared" si="4"/>
        <v>0</v>
      </c>
      <c r="Q72" s="2">
        <f>+IF(Tabla3[[#This Row],[Entra?]]=1,Q71+Tabla3[[#This Row],[Numero integrantes]],Q71)</f>
        <v>100</v>
      </c>
      <c r="S72" s="2">
        <f t="shared" si="5"/>
        <v>60</v>
      </c>
      <c r="T72" s="2">
        <f>+COUNTIF(Tabla3[Cuantos van],"&lt;"&amp;Tabla4[[#This Row],[Entidad]])+1</f>
        <v>33</v>
      </c>
      <c r="U72" s="2">
        <f>+INDEX(Tabla3[Llegada],Tabla4[[#This Row],[Grupo]])</f>
        <v>394.16892160547116</v>
      </c>
      <c r="V72" s="2">
        <f>+IF(Tabla4[[#This Row],[Hora llegada]]&gt;=Tabla4[[#This Row],[Disponibilidad M1]],0,1)</f>
        <v>1</v>
      </c>
      <c r="W72" s="2">
        <f>+IF(Tabla4[[#This Row],[Hora llegada]]&gt;=Tabla4[[#This Row],[Disponibilidad M2]],0,1)</f>
        <v>1</v>
      </c>
      <c r="X72" s="2">
        <f>+IF(Tabla4[[#This Row],[Hora llegada]]&gt;=Tabla4[[#This Row],[Disponibilidad M3]],0,1)</f>
        <v>1</v>
      </c>
      <c r="Y72" s="2">
        <f>+IF(Tabla5[[#This Row],[Quien me atiende]]=1,MAX(Tabla4[[#This Row],[Disponibilidad M1]],Tabla4[[#This Row],[Hora llegada]]),"-")</f>
        <v>442.67505289103389</v>
      </c>
      <c r="Z72" s="2" t="str">
        <f>+IF(Tabla5[[#This Row],[Quien me atiende]]=2,MAX(Tabla4[[#This Row],[Disponibilidad M2]],Tabla4[[#This Row],[Hora llegada]]),"-")</f>
        <v>-</v>
      </c>
      <c r="AA72" s="2" t="str">
        <f>+IF(Tabla5[[#This Row],[Quien me atiende]]=3,MAX(Tabla4[[#This Row],[Disponibilidad M3]],Tabla4[[#This Row],[Hora llegada]]),"-")</f>
        <v>-</v>
      </c>
      <c r="AB72" s="2">
        <f>+MAX($AG$13:AG71)</f>
        <v>442.67505289103389</v>
      </c>
      <c r="AC72" s="2">
        <f>+MAX($AH$13:AH71)</f>
        <v>446.99789133967511</v>
      </c>
      <c r="AD72" s="2">
        <f>+MAX($AI$13:AI71)</f>
        <v>444.08040840053292</v>
      </c>
      <c r="AE72" s="2">
        <v>0.37513025504231656</v>
      </c>
      <c r="AF72" s="2">
        <f>2+4.5*Tabla4[[#This Row],[A5]]</f>
        <v>3.6880861476904245</v>
      </c>
      <c r="AG72" s="2">
        <f>+IF(Tabla4[[#This Row],[Entrada M1]]="-","-",Tabla4[[#This Row],[Entrada M1]]+Tabla4[[#This Row],[Tiempo Atencion ]])</f>
        <v>446.36313903872428</v>
      </c>
      <c r="AH72" s="2" t="str">
        <f>+IF(Tabla4[[#This Row],[Entrada M2]]="-","-",Tabla4[[#This Row],[Entrada M2]]+Tabla4[[#This Row],[Tiempo Atencion ]])</f>
        <v>-</v>
      </c>
      <c r="AI72" s="2" t="str">
        <f>+IF(Tabla4[[#This Row],[Entrada M3]]="-","-",Tabla4[[#This Row],[Entrada M3]]+Tabla4[[#This Row],[Tiempo Atencion ]])</f>
        <v>-</v>
      </c>
      <c r="AJ72" s="11">
        <f>+MAX(Tabla4[[#This Row],[Salida M1]:[Salida M3]])</f>
        <v>446.36313903872428</v>
      </c>
      <c r="AK72" s="11" t="str">
        <f>+IF(Tabla4[[#This Row],[Salida]]&lt;=$B$17,"Entra","No Entra")</f>
        <v>Entra</v>
      </c>
      <c r="AL72" s="11">
        <f>+IF(Tabla4[[#This Row],[Entra  a la carrera]]="Entra",0,Tabla4[[#This Row],[Grupo]])</f>
        <v>0</v>
      </c>
      <c r="AM72" s="11">
        <f>_xlfn.IFNA(VLOOKUP(Tabla4[[#This Row],[Grupo]],Tabla4[Grupos por fuera],1,FALSE),0)</f>
        <v>0</v>
      </c>
      <c r="AN72" s="11" t="str">
        <f>+IF(Tabla4[[#This Row],[Me salgo por mi amigo el lento?]]=0, "Entra", "Chao")</f>
        <v>Entra</v>
      </c>
      <c r="AO72" s="11">
        <f>+IF(Tabla4[[#This Row],[Al fin entra o no]]="Entra",MAX($AO$13:AO71)+1,"")</f>
        <v>60</v>
      </c>
      <c r="AP72" s="11">
        <f>+Tabla4[[#This Row],[Entidad]]</f>
        <v>60</v>
      </c>
      <c r="AR72">
        <v>0.55523365000570579</v>
      </c>
      <c r="AS72">
        <f>+IF(Tabla5[[#This Row],[A3]]&lt;0.5,2,3)</f>
        <v>3</v>
      </c>
      <c r="AT72">
        <f>+IF(Tabla5[[#This Row],[A3]]&lt;0.5,1,3)</f>
        <v>3</v>
      </c>
      <c r="AU72">
        <f>+IF(Tabla5[[#This Row],[A3]]&lt;0.5,1,2)</f>
        <v>2</v>
      </c>
      <c r="AV72" s="6">
        <f>+IF(Tabla5[[#This Row],[A3]]&lt;0.33,1,IF(Tabla5[[#This Row],[A3]]&lt;0.66,2,3))</f>
        <v>2</v>
      </c>
      <c r="AW7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72" s="6">
        <f>+SUM(Tabla4[[#This Row],[Ocupacion M1]:[Ocupacion M3]])</f>
        <v>3</v>
      </c>
      <c r="AY72" s="6">
        <f>+IF(Tabla4[[#This Row],[Ocupacion M1]]=1,1,IF(Tabla4[[#This Row],[Ocupacion M2]]=1,2,3))</f>
        <v>1</v>
      </c>
      <c r="AZ72" s="6">
        <f>+INDEX(Tabla5[[#This Row],[Si 1 esta ocupado]:[Si 3 esta ocupado]],Tabla5[[#This Row],[Estado si = 1]])</f>
        <v>3</v>
      </c>
      <c r="BA72" s="6">
        <f>+IF(Tabla4[[#This Row],[Ocupacion M1]]= 0,1,IF(Tabla4[[#This Row],[Ocupacion M2]]=0,2,3))</f>
        <v>3</v>
      </c>
      <c r="BB7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72">
        <f t="shared" si="6"/>
        <v>60</v>
      </c>
      <c r="BE72">
        <f>+IF(Tabla6[[#This Row],[Indice]]="","",VLOOKUP(Tabla6[[#This Row],[Indice]],Tabla4[[Corre]:[Entidad2]],2))</f>
        <v>60</v>
      </c>
      <c r="BF72">
        <f>IFERROR(+INDEX(Tabla4[Grupo],Tabla6[[#This Row],[Entidad]]),"")</f>
        <v>33</v>
      </c>
      <c r="BG72">
        <f t="shared" si="7"/>
        <v>480</v>
      </c>
      <c r="BH72">
        <v>4.8374985622939959E-2</v>
      </c>
      <c r="BI72">
        <f>20+70*Tabla6[[#This Row],[A6]]</f>
        <v>23.386248993605797</v>
      </c>
      <c r="BJ72">
        <f>+IF(Tabla6[[#This Row],[Indice]]="","",Tabla6[[#This Row],[Empieza]]+Tabla6[[#This Row],[Tiempo carrera ]])</f>
        <v>503.38624899360582</v>
      </c>
      <c r="BK72" s="6">
        <f>IF(Tabla6[[#This Row],[Termina la carrera]]="","",IF(Tabla6[[#This Row],[Termina la carrera]]&gt;540,1,0))</f>
        <v>0</v>
      </c>
      <c r="BL72" s="6" t="str">
        <f>+IF(OR(Tabla6[[#This Row],[Despues de las 9]]=0,Tabla6[[#This Row],[Despues de las 9]]=""),"",Tabla6[[#This Row],[Despues de las 9]]*Tabla6[[#This Row],[Grupo ]])</f>
        <v/>
      </c>
      <c r="BM72" s="6" t="str">
        <f>+IF(Tabla6[[#This Row],[grupo  despues de las 9]]="","",IF(MAX($BL$13:BL71)=Tabla6[[#This Row],[grupo  despues de las 9]],"",1))</f>
        <v/>
      </c>
    </row>
    <row r="73" spans="5:65" x14ac:dyDescent="0.25">
      <c r="E73" s="2">
        <v>61</v>
      </c>
      <c r="F73" s="5">
        <v>0.93149781792892072</v>
      </c>
      <c r="G73" s="2">
        <f t="shared" si="2"/>
        <v>2.6808896791690668</v>
      </c>
      <c r="H73" s="4">
        <f>+H72+Tabla2[[#This Row],[Tiempo Entre]]</f>
        <v>426.88275935475747</v>
      </c>
      <c r="I73" s="5">
        <v>0.71714742926916497</v>
      </c>
      <c r="J73" s="2">
        <f>+IF(Tabla2[[#This Row],[A2 ]]&lt;0.5,1,IF(Tabla2[[#This Row],[A2 ]]&lt;0.8,2,3))</f>
        <v>2</v>
      </c>
      <c r="L73" s="2" t="str">
        <f>+IF(AND(Tabla2[[#This Row],[Llegada]]&lt;=$B$16,P73&gt;0),1,"-")</f>
        <v>-</v>
      </c>
      <c r="M73" s="2" t="str">
        <f t="shared" si="3"/>
        <v>-</v>
      </c>
      <c r="N73" s="4" t="str">
        <f>+IF(L73=1,Tabla2[[#This Row],[Llegada]],"-")</f>
        <v>-</v>
      </c>
      <c r="O73" s="2" t="str">
        <f>+IF(L73=1,Tabla2[[#This Row],[Numero de integrantes]],"-")</f>
        <v>-</v>
      </c>
      <c r="P73" s="2">
        <f t="shared" si="4"/>
        <v>0</v>
      </c>
      <c r="Q73" s="2">
        <f>+IF(Tabla3[[#This Row],[Entra?]]=1,Q72+Tabla3[[#This Row],[Numero integrantes]],Q72)</f>
        <v>100</v>
      </c>
      <c r="S73" s="2">
        <f t="shared" si="5"/>
        <v>61</v>
      </c>
      <c r="T73" s="2">
        <f>+COUNTIF(Tabla3[Cuantos van],"&lt;"&amp;Tabla4[[#This Row],[Entidad]])+1</f>
        <v>34</v>
      </c>
      <c r="U73" s="2">
        <f>+INDEX(Tabla3[Llegada],Tabla4[[#This Row],[Grupo]])</f>
        <v>394.3251922842519</v>
      </c>
      <c r="V73" s="2">
        <f>+IF(Tabla4[[#This Row],[Hora llegada]]&gt;=Tabla4[[#This Row],[Disponibilidad M1]],0,1)</f>
        <v>1</v>
      </c>
      <c r="W73" s="2">
        <f>+IF(Tabla4[[#This Row],[Hora llegada]]&gt;=Tabla4[[#This Row],[Disponibilidad M2]],0,1)</f>
        <v>1</v>
      </c>
      <c r="X73" s="2">
        <f>+IF(Tabla4[[#This Row],[Hora llegada]]&gt;=Tabla4[[#This Row],[Disponibilidad M3]],0,1)</f>
        <v>1</v>
      </c>
      <c r="Y73" s="2" t="str">
        <f>+IF(Tabla5[[#This Row],[Quien me atiende]]=1,MAX(Tabla4[[#This Row],[Disponibilidad M1]],Tabla4[[#This Row],[Hora llegada]]),"-")</f>
        <v>-</v>
      </c>
      <c r="Z73" s="2" t="str">
        <f>+IF(Tabla5[[#This Row],[Quien me atiende]]=2,MAX(Tabla4[[#This Row],[Disponibilidad M2]],Tabla4[[#This Row],[Hora llegada]]),"-")</f>
        <v>-</v>
      </c>
      <c r="AA73" s="2">
        <f>+IF(Tabla5[[#This Row],[Quien me atiende]]=3,MAX(Tabla4[[#This Row],[Disponibilidad M3]],Tabla4[[#This Row],[Hora llegada]]),"-")</f>
        <v>444.08040840053292</v>
      </c>
      <c r="AB73" s="2">
        <f>+MAX($AG$13:AG72)</f>
        <v>446.36313903872428</v>
      </c>
      <c r="AC73" s="2">
        <f>+MAX($AH$13:AH72)</f>
        <v>446.99789133967511</v>
      </c>
      <c r="AD73" s="2">
        <f>+MAX($AI$13:AI72)</f>
        <v>444.08040840053292</v>
      </c>
      <c r="AE73" s="2">
        <v>0.10814954095672669</v>
      </c>
      <c r="AF73" s="2">
        <f>2+4.5*Tabla4[[#This Row],[A5]]</f>
        <v>2.48667293430527</v>
      </c>
      <c r="AG73" s="2" t="str">
        <f>+IF(Tabla4[[#This Row],[Entrada M1]]="-","-",Tabla4[[#This Row],[Entrada M1]]+Tabla4[[#This Row],[Tiempo Atencion ]])</f>
        <v>-</v>
      </c>
      <c r="AH73" s="2" t="str">
        <f>+IF(Tabla4[[#This Row],[Entrada M2]]="-","-",Tabla4[[#This Row],[Entrada M2]]+Tabla4[[#This Row],[Tiempo Atencion ]])</f>
        <v>-</v>
      </c>
      <c r="AI73" s="2">
        <f>+IF(Tabla4[[#This Row],[Entrada M3]]="-","-",Tabla4[[#This Row],[Entrada M3]]+Tabla4[[#This Row],[Tiempo Atencion ]])</f>
        <v>446.56708133483818</v>
      </c>
      <c r="AJ73" s="11">
        <f>+MAX(Tabla4[[#This Row],[Salida M1]:[Salida M3]])</f>
        <v>446.56708133483818</v>
      </c>
      <c r="AK73" s="11" t="str">
        <f>+IF(Tabla4[[#This Row],[Salida]]&lt;=$B$17,"Entra","No Entra")</f>
        <v>Entra</v>
      </c>
      <c r="AL73" s="11">
        <f>+IF(Tabla4[[#This Row],[Entra  a la carrera]]="Entra",0,Tabla4[[#This Row],[Grupo]])</f>
        <v>0</v>
      </c>
      <c r="AM73" s="11">
        <f>_xlfn.IFNA(VLOOKUP(Tabla4[[#This Row],[Grupo]],Tabla4[Grupos por fuera],1,FALSE),0)</f>
        <v>0</v>
      </c>
      <c r="AN73" s="11" t="str">
        <f>+IF(Tabla4[[#This Row],[Me salgo por mi amigo el lento?]]=0, "Entra", "Chao")</f>
        <v>Entra</v>
      </c>
      <c r="AO73" s="11">
        <f>+IF(Tabla4[[#This Row],[Al fin entra o no]]="Entra",MAX($AO$13:AO72)+1,"")</f>
        <v>61</v>
      </c>
      <c r="AP73" s="11">
        <f>+Tabla4[[#This Row],[Entidad]]</f>
        <v>61</v>
      </c>
      <c r="AR73">
        <v>5.1239880150140138E-2</v>
      </c>
      <c r="AS73">
        <f>+IF(Tabla5[[#This Row],[A3]]&lt;0.5,2,3)</f>
        <v>2</v>
      </c>
      <c r="AT73">
        <f>+IF(Tabla5[[#This Row],[A3]]&lt;0.5,1,3)</f>
        <v>1</v>
      </c>
      <c r="AU73">
        <f>+IF(Tabla5[[#This Row],[A3]]&lt;0.5,1,2)</f>
        <v>1</v>
      </c>
      <c r="AV73" s="6">
        <f>+IF(Tabla5[[#This Row],[A3]]&lt;0.33,1,IF(Tabla5[[#This Row],[A3]]&lt;0.66,2,3))</f>
        <v>1</v>
      </c>
      <c r="AW7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73" s="6">
        <f>+SUM(Tabla4[[#This Row],[Ocupacion M1]:[Ocupacion M3]])</f>
        <v>3</v>
      </c>
      <c r="AY73" s="6">
        <f>+IF(Tabla4[[#This Row],[Ocupacion M1]]=1,1,IF(Tabla4[[#This Row],[Ocupacion M2]]=1,2,3))</f>
        <v>1</v>
      </c>
      <c r="AZ73" s="6">
        <f>+INDEX(Tabla5[[#This Row],[Si 1 esta ocupado]:[Si 3 esta ocupado]],Tabla5[[#This Row],[Estado si = 1]])</f>
        <v>2</v>
      </c>
      <c r="BA73" s="6">
        <f>+IF(Tabla4[[#This Row],[Ocupacion M1]]= 0,1,IF(Tabla4[[#This Row],[Ocupacion M2]]=0,2,3))</f>
        <v>3</v>
      </c>
      <c r="BB7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73">
        <f t="shared" si="6"/>
        <v>61</v>
      </c>
      <c r="BE73">
        <f>+IF(Tabla6[[#This Row],[Indice]]="","",VLOOKUP(Tabla6[[#This Row],[Indice]],Tabla4[[Corre]:[Entidad2]],2))</f>
        <v>61</v>
      </c>
      <c r="BF73">
        <f>IFERROR(+INDEX(Tabla4[Grupo],Tabla6[[#This Row],[Entidad]]),"")</f>
        <v>34</v>
      </c>
      <c r="BG73">
        <f t="shared" si="7"/>
        <v>480</v>
      </c>
      <c r="BH73">
        <v>0.37632296925402153</v>
      </c>
      <c r="BI73">
        <f>20+70*Tabla6[[#This Row],[A6]]</f>
        <v>46.342607847781508</v>
      </c>
      <c r="BJ73">
        <f>+IF(Tabla6[[#This Row],[Indice]]="","",Tabla6[[#This Row],[Empieza]]+Tabla6[[#This Row],[Tiempo carrera ]])</f>
        <v>526.34260784778155</v>
      </c>
      <c r="BK73" s="6">
        <f>IF(Tabla6[[#This Row],[Termina la carrera]]="","",IF(Tabla6[[#This Row],[Termina la carrera]]&gt;540,1,0))</f>
        <v>0</v>
      </c>
      <c r="BL73" s="6" t="str">
        <f>+IF(OR(Tabla6[[#This Row],[Despues de las 9]]=0,Tabla6[[#This Row],[Despues de las 9]]=""),"",Tabla6[[#This Row],[Despues de las 9]]*Tabla6[[#This Row],[Grupo ]])</f>
        <v/>
      </c>
      <c r="BM73" s="6" t="str">
        <f>+IF(Tabla6[[#This Row],[grupo  despues de las 9]]="","",IF(MAX($BL$13:BL72)=Tabla6[[#This Row],[grupo  despues de las 9]],"",1))</f>
        <v/>
      </c>
    </row>
    <row r="74" spans="5:65" x14ac:dyDescent="0.25">
      <c r="E74" s="2">
        <v>62</v>
      </c>
      <c r="F74" s="5">
        <v>4.8880051147942916E-2</v>
      </c>
      <c r="G74" s="2">
        <f t="shared" si="2"/>
        <v>5.0115095208389436E-2</v>
      </c>
      <c r="H74" s="4">
        <f>+H73+Tabla2[[#This Row],[Tiempo Entre]]</f>
        <v>426.93287444996588</v>
      </c>
      <c r="I74" s="5">
        <v>0.94606987094205652</v>
      </c>
      <c r="J74" s="2">
        <f>+IF(Tabla2[[#This Row],[A2 ]]&lt;0.5,1,IF(Tabla2[[#This Row],[A2 ]]&lt;0.8,2,3))</f>
        <v>3</v>
      </c>
      <c r="L74" s="2" t="str">
        <f>+IF(AND(Tabla2[[#This Row],[Llegada]]&lt;=$B$16,P74&gt;0),1,"-")</f>
        <v>-</v>
      </c>
      <c r="M74" s="2" t="str">
        <f t="shared" si="3"/>
        <v>-</v>
      </c>
      <c r="N74" s="4" t="str">
        <f>+IF(L74=1,Tabla2[[#This Row],[Llegada]],"-")</f>
        <v>-</v>
      </c>
      <c r="O74" s="2" t="str">
        <f>+IF(L74=1,Tabla2[[#This Row],[Numero de integrantes]],"-")</f>
        <v>-</v>
      </c>
      <c r="P74" s="2">
        <f t="shared" si="4"/>
        <v>0</v>
      </c>
      <c r="Q74" s="2">
        <f>+IF(Tabla3[[#This Row],[Entra?]]=1,Q73+Tabla3[[#This Row],[Numero integrantes]],Q73)</f>
        <v>100</v>
      </c>
      <c r="S74" s="2">
        <f t="shared" si="5"/>
        <v>62</v>
      </c>
      <c r="T74" s="2">
        <f>+COUNTIF(Tabla3[Cuantos van],"&lt;"&amp;Tabla4[[#This Row],[Entidad]])+1</f>
        <v>34</v>
      </c>
      <c r="U74" s="2">
        <f>+INDEX(Tabla3[Llegada],Tabla4[[#This Row],[Grupo]])</f>
        <v>394.3251922842519</v>
      </c>
      <c r="V74" s="2">
        <f>+IF(Tabla4[[#This Row],[Hora llegada]]&gt;=Tabla4[[#This Row],[Disponibilidad M1]],0,1)</f>
        <v>1</v>
      </c>
      <c r="W74" s="2">
        <f>+IF(Tabla4[[#This Row],[Hora llegada]]&gt;=Tabla4[[#This Row],[Disponibilidad M2]],0,1)</f>
        <v>1</v>
      </c>
      <c r="X74" s="2">
        <f>+IF(Tabla4[[#This Row],[Hora llegada]]&gt;=Tabla4[[#This Row],[Disponibilidad M3]],0,1)</f>
        <v>1</v>
      </c>
      <c r="Y74" s="2">
        <f>+IF(Tabla5[[#This Row],[Quien me atiende]]=1,MAX(Tabla4[[#This Row],[Disponibilidad M1]],Tabla4[[#This Row],[Hora llegada]]),"-")</f>
        <v>446.36313903872428</v>
      </c>
      <c r="Z74" s="2" t="str">
        <f>+IF(Tabla5[[#This Row],[Quien me atiende]]=2,MAX(Tabla4[[#This Row],[Disponibilidad M2]],Tabla4[[#This Row],[Hora llegada]]),"-")</f>
        <v>-</v>
      </c>
      <c r="AA74" s="2" t="str">
        <f>+IF(Tabla5[[#This Row],[Quien me atiende]]=3,MAX(Tabla4[[#This Row],[Disponibilidad M3]],Tabla4[[#This Row],[Hora llegada]]),"-")</f>
        <v>-</v>
      </c>
      <c r="AB74" s="2">
        <f>+MAX($AG$13:AG73)</f>
        <v>446.36313903872428</v>
      </c>
      <c r="AC74" s="2">
        <f>+MAX($AH$13:AH73)</f>
        <v>446.99789133967511</v>
      </c>
      <c r="AD74" s="2">
        <f>+MAX($AI$13:AI73)</f>
        <v>446.56708133483818</v>
      </c>
      <c r="AE74" s="2">
        <v>0.7793434290315856</v>
      </c>
      <c r="AF74" s="2">
        <f>2+4.5*Tabla4[[#This Row],[A5]]</f>
        <v>5.507045430642135</v>
      </c>
      <c r="AG74" s="2">
        <f>+IF(Tabla4[[#This Row],[Entrada M1]]="-","-",Tabla4[[#This Row],[Entrada M1]]+Tabla4[[#This Row],[Tiempo Atencion ]])</f>
        <v>451.87018446936639</v>
      </c>
      <c r="AH74" s="2" t="str">
        <f>+IF(Tabla4[[#This Row],[Entrada M2]]="-","-",Tabla4[[#This Row],[Entrada M2]]+Tabla4[[#This Row],[Tiempo Atencion ]])</f>
        <v>-</v>
      </c>
      <c r="AI74" s="2" t="str">
        <f>+IF(Tabla4[[#This Row],[Entrada M3]]="-","-",Tabla4[[#This Row],[Entrada M3]]+Tabla4[[#This Row],[Tiempo Atencion ]])</f>
        <v>-</v>
      </c>
      <c r="AJ74" s="11">
        <f>+MAX(Tabla4[[#This Row],[Salida M1]:[Salida M3]])</f>
        <v>451.87018446936639</v>
      </c>
      <c r="AK74" s="11" t="str">
        <f>+IF(Tabla4[[#This Row],[Salida]]&lt;=$B$17,"Entra","No Entra")</f>
        <v>Entra</v>
      </c>
      <c r="AL74" s="11">
        <f>+IF(Tabla4[[#This Row],[Entra  a la carrera]]="Entra",0,Tabla4[[#This Row],[Grupo]])</f>
        <v>0</v>
      </c>
      <c r="AM74" s="11">
        <f>_xlfn.IFNA(VLOOKUP(Tabla4[[#This Row],[Grupo]],Tabla4[Grupos por fuera],1,FALSE),0)</f>
        <v>0</v>
      </c>
      <c r="AN74" s="11" t="str">
        <f>+IF(Tabla4[[#This Row],[Me salgo por mi amigo el lento?]]=0, "Entra", "Chao")</f>
        <v>Entra</v>
      </c>
      <c r="AO74" s="11">
        <f>+IF(Tabla4[[#This Row],[Al fin entra o no]]="Entra",MAX($AO$13:AO73)+1,"")</f>
        <v>62</v>
      </c>
      <c r="AP74" s="11">
        <f>+Tabla4[[#This Row],[Entidad]]</f>
        <v>62</v>
      </c>
      <c r="AR74">
        <v>0.81190697507637533</v>
      </c>
      <c r="AS74">
        <f>+IF(Tabla5[[#This Row],[A3]]&lt;0.5,2,3)</f>
        <v>3</v>
      </c>
      <c r="AT74">
        <f>+IF(Tabla5[[#This Row],[A3]]&lt;0.5,1,3)</f>
        <v>3</v>
      </c>
      <c r="AU74">
        <f>+IF(Tabla5[[#This Row],[A3]]&lt;0.5,1,2)</f>
        <v>2</v>
      </c>
      <c r="AV74" s="6">
        <f>+IF(Tabla5[[#This Row],[A3]]&lt;0.33,1,IF(Tabla5[[#This Row],[A3]]&lt;0.66,2,3))</f>
        <v>3</v>
      </c>
      <c r="AW7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74" s="6">
        <f>+SUM(Tabla4[[#This Row],[Ocupacion M1]:[Ocupacion M3]])</f>
        <v>3</v>
      </c>
      <c r="AY74" s="6">
        <f>+IF(Tabla4[[#This Row],[Ocupacion M1]]=1,1,IF(Tabla4[[#This Row],[Ocupacion M2]]=1,2,3))</f>
        <v>1</v>
      </c>
      <c r="AZ74" s="6">
        <f>+INDEX(Tabla5[[#This Row],[Si 1 esta ocupado]:[Si 3 esta ocupado]],Tabla5[[#This Row],[Estado si = 1]])</f>
        <v>3</v>
      </c>
      <c r="BA74" s="6">
        <f>+IF(Tabla4[[#This Row],[Ocupacion M1]]= 0,1,IF(Tabla4[[#This Row],[Ocupacion M2]]=0,2,3))</f>
        <v>3</v>
      </c>
      <c r="BB7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74">
        <f t="shared" si="6"/>
        <v>62</v>
      </c>
      <c r="BE74">
        <f>+IF(Tabla6[[#This Row],[Indice]]="","",VLOOKUP(Tabla6[[#This Row],[Indice]],Tabla4[[Corre]:[Entidad2]],2))</f>
        <v>62</v>
      </c>
      <c r="BF74">
        <f>IFERROR(+INDEX(Tabla4[Grupo],Tabla6[[#This Row],[Entidad]]),"")</f>
        <v>34</v>
      </c>
      <c r="BG74">
        <f t="shared" si="7"/>
        <v>480</v>
      </c>
      <c r="BH74">
        <v>0.65095816795015482</v>
      </c>
      <c r="BI74">
        <f>20+70*Tabla6[[#This Row],[A6]]</f>
        <v>65.567071756510842</v>
      </c>
      <c r="BJ74">
        <f>+IF(Tabla6[[#This Row],[Indice]]="","",Tabla6[[#This Row],[Empieza]]+Tabla6[[#This Row],[Tiempo carrera ]])</f>
        <v>545.56707175651081</v>
      </c>
      <c r="BK74" s="6">
        <f>IF(Tabla6[[#This Row],[Termina la carrera]]="","",IF(Tabla6[[#This Row],[Termina la carrera]]&gt;540,1,0))</f>
        <v>1</v>
      </c>
      <c r="BL74" s="6">
        <f>+IF(OR(Tabla6[[#This Row],[Despues de las 9]]=0,Tabla6[[#This Row],[Despues de las 9]]=""),"",Tabla6[[#This Row],[Despues de las 9]]*Tabla6[[#This Row],[Grupo ]])</f>
        <v>34</v>
      </c>
      <c r="BM74" s="6">
        <f>+IF(Tabla6[[#This Row],[grupo  despues de las 9]]="","",IF(MAX($BL$13:BL73)=Tabla6[[#This Row],[grupo  despues de las 9]],"",1))</f>
        <v>1</v>
      </c>
    </row>
    <row r="75" spans="5:65" x14ac:dyDescent="0.25">
      <c r="E75" s="2">
        <v>63</v>
      </c>
      <c r="F75" s="5">
        <v>0.87695733303789314</v>
      </c>
      <c r="G75" s="2">
        <f t="shared" si="2"/>
        <v>2.0952240978899259</v>
      </c>
      <c r="H75" s="4">
        <f>+H74+Tabla2[[#This Row],[Tiempo Entre]]</f>
        <v>429.02809854785579</v>
      </c>
      <c r="I75" s="5">
        <v>0.19544092198071494</v>
      </c>
      <c r="J75" s="2">
        <f>+IF(Tabla2[[#This Row],[A2 ]]&lt;0.5,1,IF(Tabla2[[#This Row],[A2 ]]&lt;0.8,2,3))</f>
        <v>1</v>
      </c>
      <c r="L75" s="2" t="str">
        <f>+IF(AND(Tabla2[[#This Row],[Llegada]]&lt;=$B$16,P75&gt;0),1,"-")</f>
        <v>-</v>
      </c>
      <c r="M75" s="2" t="str">
        <f t="shared" si="3"/>
        <v>-</v>
      </c>
      <c r="N75" s="4" t="str">
        <f>+IF(L75=1,Tabla2[[#This Row],[Llegada]],"-")</f>
        <v>-</v>
      </c>
      <c r="O75" s="2" t="str">
        <f>+IF(L75=1,Tabla2[[#This Row],[Numero de integrantes]],"-")</f>
        <v>-</v>
      </c>
      <c r="P75" s="2">
        <f t="shared" si="4"/>
        <v>0</v>
      </c>
      <c r="Q75" s="2">
        <f>+IF(Tabla3[[#This Row],[Entra?]]=1,Q74+Tabla3[[#This Row],[Numero integrantes]],Q74)</f>
        <v>100</v>
      </c>
      <c r="S75" s="2">
        <f t="shared" si="5"/>
        <v>63</v>
      </c>
      <c r="T75" s="2">
        <f>+COUNTIF(Tabla3[Cuantos van],"&lt;"&amp;Tabla4[[#This Row],[Entidad]])+1</f>
        <v>34</v>
      </c>
      <c r="U75" s="2">
        <f>+INDEX(Tabla3[Llegada],Tabla4[[#This Row],[Grupo]])</f>
        <v>394.3251922842519</v>
      </c>
      <c r="V75" s="2">
        <f>+IF(Tabla4[[#This Row],[Hora llegada]]&gt;=Tabla4[[#This Row],[Disponibilidad M1]],0,1)</f>
        <v>1</v>
      </c>
      <c r="W75" s="2">
        <f>+IF(Tabla4[[#This Row],[Hora llegada]]&gt;=Tabla4[[#This Row],[Disponibilidad M2]],0,1)</f>
        <v>1</v>
      </c>
      <c r="X75" s="2">
        <f>+IF(Tabla4[[#This Row],[Hora llegada]]&gt;=Tabla4[[#This Row],[Disponibilidad M3]],0,1)</f>
        <v>1</v>
      </c>
      <c r="Y75" s="2" t="str">
        <f>+IF(Tabla5[[#This Row],[Quien me atiende]]=1,MAX(Tabla4[[#This Row],[Disponibilidad M1]],Tabla4[[#This Row],[Hora llegada]]),"-")</f>
        <v>-</v>
      </c>
      <c r="Z75" s="2" t="str">
        <f>+IF(Tabla5[[#This Row],[Quien me atiende]]=2,MAX(Tabla4[[#This Row],[Disponibilidad M2]],Tabla4[[#This Row],[Hora llegada]]),"-")</f>
        <v>-</v>
      </c>
      <c r="AA75" s="2">
        <f>+IF(Tabla5[[#This Row],[Quien me atiende]]=3,MAX(Tabla4[[#This Row],[Disponibilidad M3]],Tabla4[[#This Row],[Hora llegada]]),"-")</f>
        <v>446.56708133483818</v>
      </c>
      <c r="AB75" s="2">
        <f>+MAX($AG$13:AG74)</f>
        <v>451.87018446936639</v>
      </c>
      <c r="AC75" s="2">
        <f>+MAX($AH$13:AH74)</f>
        <v>446.99789133967511</v>
      </c>
      <c r="AD75" s="2">
        <f>+MAX($AI$13:AI74)</f>
        <v>446.56708133483818</v>
      </c>
      <c r="AE75" s="2">
        <v>0.58759626421743583</v>
      </c>
      <c r="AF75" s="2">
        <f>2+4.5*Tabla4[[#This Row],[A5]]</f>
        <v>4.6441831889784613</v>
      </c>
      <c r="AG75" s="2" t="str">
        <f>+IF(Tabla4[[#This Row],[Entrada M1]]="-","-",Tabla4[[#This Row],[Entrada M1]]+Tabla4[[#This Row],[Tiempo Atencion ]])</f>
        <v>-</v>
      </c>
      <c r="AH75" s="2" t="str">
        <f>+IF(Tabla4[[#This Row],[Entrada M2]]="-","-",Tabla4[[#This Row],[Entrada M2]]+Tabla4[[#This Row],[Tiempo Atencion ]])</f>
        <v>-</v>
      </c>
      <c r="AI75" s="2">
        <f>+IF(Tabla4[[#This Row],[Entrada M3]]="-","-",Tabla4[[#This Row],[Entrada M3]]+Tabla4[[#This Row],[Tiempo Atencion ]])</f>
        <v>451.21126452381662</v>
      </c>
      <c r="AJ75" s="11">
        <f>+MAX(Tabla4[[#This Row],[Salida M1]:[Salida M3]])</f>
        <v>451.21126452381662</v>
      </c>
      <c r="AK75" s="11" t="str">
        <f>+IF(Tabla4[[#This Row],[Salida]]&lt;=$B$17,"Entra","No Entra")</f>
        <v>Entra</v>
      </c>
      <c r="AL75" s="11">
        <f>+IF(Tabla4[[#This Row],[Entra  a la carrera]]="Entra",0,Tabla4[[#This Row],[Grupo]])</f>
        <v>0</v>
      </c>
      <c r="AM75" s="11">
        <f>_xlfn.IFNA(VLOOKUP(Tabla4[[#This Row],[Grupo]],Tabla4[Grupos por fuera],1,FALSE),0)</f>
        <v>0</v>
      </c>
      <c r="AN75" s="11" t="str">
        <f>+IF(Tabla4[[#This Row],[Me salgo por mi amigo el lento?]]=0, "Entra", "Chao")</f>
        <v>Entra</v>
      </c>
      <c r="AO75" s="11">
        <f>+IF(Tabla4[[#This Row],[Al fin entra o no]]="Entra",MAX($AO$13:AO74)+1,"")</f>
        <v>63</v>
      </c>
      <c r="AP75" s="11">
        <f>+Tabla4[[#This Row],[Entidad]]</f>
        <v>63</v>
      </c>
      <c r="AR75">
        <v>0.85858751840743941</v>
      </c>
      <c r="AS75">
        <f>+IF(Tabla5[[#This Row],[A3]]&lt;0.5,2,3)</f>
        <v>3</v>
      </c>
      <c r="AT75">
        <f>+IF(Tabla5[[#This Row],[A3]]&lt;0.5,1,3)</f>
        <v>3</v>
      </c>
      <c r="AU75">
        <f>+IF(Tabla5[[#This Row],[A3]]&lt;0.5,1,2)</f>
        <v>2</v>
      </c>
      <c r="AV75" s="6">
        <f>+IF(Tabla5[[#This Row],[A3]]&lt;0.33,1,IF(Tabla5[[#This Row],[A3]]&lt;0.66,2,3))</f>
        <v>3</v>
      </c>
      <c r="AW7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75" s="6">
        <f>+SUM(Tabla4[[#This Row],[Ocupacion M1]:[Ocupacion M3]])</f>
        <v>3</v>
      </c>
      <c r="AY75" s="6">
        <f>+IF(Tabla4[[#This Row],[Ocupacion M1]]=1,1,IF(Tabla4[[#This Row],[Ocupacion M2]]=1,2,3))</f>
        <v>1</v>
      </c>
      <c r="AZ75" s="6">
        <f>+INDEX(Tabla5[[#This Row],[Si 1 esta ocupado]:[Si 3 esta ocupado]],Tabla5[[#This Row],[Estado si = 1]])</f>
        <v>3</v>
      </c>
      <c r="BA75" s="6">
        <f>+IF(Tabla4[[#This Row],[Ocupacion M1]]= 0,1,IF(Tabla4[[#This Row],[Ocupacion M2]]=0,2,3))</f>
        <v>3</v>
      </c>
      <c r="BB7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75">
        <f t="shared" si="6"/>
        <v>63</v>
      </c>
      <c r="BE75">
        <f>+IF(Tabla6[[#This Row],[Indice]]="","",VLOOKUP(Tabla6[[#This Row],[Indice]],Tabla4[[Corre]:[Entidad2]],2))</f>
        <v>63</v>
      </c>
      <c r="BF75">
        <f>IFERROR(+INDEX(Tabla4[Grupo],Tabla6[[#This Row],[Entidad]]),"")</f>
        <v>34</v>
      </c>
      <c r="BG75">
        <f t="shared" si="7"/>
        <v>480</v>
      </c>
      <c r="BH75">
        <v>0.1980292228256646</v>
      </c>
      <c r="BI75">
        <f>20+70*Tabla6[[#This Row],[A6]]</f>
        <v>33.862045597796524</v>
      </c>
      <c r="BJ75">
        <f>+IF(Tabla6[[#This Row],[Indice]]="","",Tabla6[[#This Row],[Empieza]]+Tabla6[[#This Row],[Tiempo carrera ]])</f>
        <v>513.86204559779651</v>
      </c>
      <c r="BK75" s="6">
        <f>IF(Tabla6[[#This Row],[Termina la carrera]]="","",IF(Tabla6[[#This Row],[Termina la carrera]]&gt;540,1,0))</f>
        <v>0</v>
      </c>
      <c r="BL75" s="6" t="str">
        <f>+IF(OR(Tabla6[[#This Row],[Despues de las 9]]=0,Tabla6[[#This Row],[Despues de las 9]]=""),"",Tabla6[[#This Row],[Despues de las 9]]*Tabla6[[#This Row],[Grupo ]])</f>
        <v/>
      </c>
      <c r="BM75" s="6" t="str">
        <f>+IF(Tabla6[[#This Row],[grupo  despues de las 9]]="","",IF(MAX($BL$13:BL74)=Tabla6[[#This Row],[grupo  despues de las 9]],"",1))</f>
        <v/>
      </c>
    </row>
    <row r="76" spans="5:65" x14ac:dyDescent="0.25">
      <c r="E76" s="2">
        <v>64</v>
      </c>
      <c r="F76" s="5">
        <v>0.72378345055013749</v>
      </c>
      <c r="G76" s="2">
        <f t="shared" si="2"/>
        <v>1.2865701214462124</v>
      </c>
      <c r="H76" s="4">
        <f>+H75+Tabla2[[#This Row],[Tiempo Entre]]</f>
        <v>430.31466866930202</v>
      </c>
      <c r="I76" s="5">
        <v>0.84197731797692488</v>
      </c>
      <c r="J76" s="2">
        <f>+IF(Tabla2[[#This Row],[A2 ]]&lt;0.5,1,IF(Tabla2[[#This Row],[A2 ]]&lt;0.8,2,3))</f>
        <v>3</v>
      </c>
      <c r="L76" s="2" t="str">
        <f>+IF(AND(Tabla2[[#This Row],[Llegada]]&lt;=$B$16,P76&gt;0),1,"-")</f>
        <v>-</v>
      </c>
      <c r="M76" s="2" t="str">
        <f t="shared" si="3"/>
        <v>-</v>
      </c>
      <c r="N76" s="4" t="str">
        <f>+IF(L76=1,Tabla2[[#This Row],[Llegada]],"-")</f>
        <v>-</v>
      </c>
      <c r="O76" s="2" t="str">
        <f>+IF(L76=1,Tabla2[[#This Row],[Numero de integrantes]],"-")</f>
        <v>-</v>
      </c>
      <c r="P76" s="2">
        <f t="shared" si="4"/>
        <v>0</v>
      </c>
      <c r="Q76" s="2">
        <f>+IF(Tabla3[[#This Row],[Entra?]]=1,Q75+Tabla3[[#This Row],[Numero integrantes]],Q75)</f>
        <v>100</v>
      </c>
      <c r="S76" s="2">
        <f t="shared" si="5"/>
        <v>64</v>
      </c>
      <c r="T76" s="2">
        <f>+COUNTIF(Tabla3[Cuantos van],"&lt;"&amp;Tabla4[[#This Row],[Entidad]])+1</f>
        <v>35</v>
      </c>
      <c r="U76" s="2">
        <f>+INDEX(Tabla3[Llegada],Tabla4[[#This Row],[Grupo]])</f>
        <v>394.70014309310966</v>
      </c>
      <c r="V76" s="2">
        <f>+IF(Tabla4[[#This Row],[Hora llegada]]&gt;=Tabla4[[#This Row],[Disponibilidad M1]],0,1)</f>
        <v>1</v>
      </c>
      <c r="W76" s="2">
        <f>+IF(Tabla4[[#This Row],[Hora llegada]]&gt;=Tabla4[[#This Row],[Disponibilidad M2]],0,1)</f>
        <v>1</v>
      </c>
      <c r="X76" s="2">
        <f>+IF(Tabla4[[#This Row],[Hora llegada]]&gt;=Tabla4[[#This Row],[Disponibilidad M3]],0,1)</f>
        <v>1</v>
      </c>
      <c r="Y76" s="2" t="str">
        <f>+IF(Tabla5[[#This Row],[Quien me atiende]]=1,MAX(Tabla4[[#This Row],[Disponibilidad M1]],Tabla4[[#This Row],[Hora llegada]]),"-")</f>
        <v>-</v>
      </c>
      <c r="Z76" s="2">
        <f>+IF(Tabla5[[#This Row],[Quien me atiende]]=2,MAX(Tabla4[[#This Row],[Disponibilidad M2]],Tabla4[[#This Row],[Hora llegada]]),"-")</f>
        <v>446.99789133967511</v>
      </c>
      <c r="AA76" s="2" t="str">
        <f>+IF(Tabla5[[#This Row],[Quien me atiende]]=3,MAX(Tabla4[[#This Row],[Disponibilidad M3]],Tabla4[[#This Row],[Hora llegada]]),"-")</f>
        <v>-</v>
      </c>
      <c r="AB76" s="2">
        <f>+MAX($AG$13:AG75)</f>
        <v>451.87018446936639</v>
      </c>
      <c r="AC76" s="2">
        <f>+MAX($AH$13:AH75)</f>
        <v>446.99789133967511</v>
      </c>
      <c r="AD76" s="2">
        <f>+MAX($AI$13:AI75)</f>
        <v>451.21126452381662</v>
      </c>
      <c r="AE76" s="2">
        <v>0.42412184305901224</v>
      </c>
      <c r="AF76" s="2">
        <f>2+4.5*Tabla4[[#This Row],[A5]]</f>
        <v>3.9085482937655551</v>
      </c>
      <c r="AG76" s="2" t="str">
        <f>+IF(Tabla4[[#This Row],[Entrada M1]]="-","-",Tabla4[[#This Row],[Entrada M1]]+Tabla4[[#This Row],[Tiempo Atencion ]])</f>
        <v>-</v>
      </c>
      <c r="AH76" s="2">
        <f>+IF(Tabla4[[#This Row],[Entrada M2]]="-","-",Tabla4[[#This Row],[Entrada M2]]+Tabla4[[#This Row],[Tiempo Atencion ]])</f>
        <v>450.90643963344064</v>
      </c>
      <c r="AI76" s="2" t="str">
        <f>+IF(Tabla4[[#This Row],[Entrada M3]]="-","-",Tabla4[[#This Row],[Entrada M3]]+Tabla4[[#This Row],[Tiempo Atencion ]])</f>
        <v>-</v>
      </c>
      <c r="AJ76" s="11">
        <f>+MAX(Tabla4[[#This Row],[Salida M1]:[Salida M3]])</f>
        <v>450.90643963344064</v>
      </c>
      <c r="AK76" s="11" t="str">
        <f>+IF(Tabla4[[#This Row],[Salida]]&lt;=$B$17,"Entra","No Entra")</f>
        <v>Entra</v>
      </c>
      <c r="AL76" s="11">
        <f>+IF(Tabla4[[#This Row],[Entra  a la carrera]]="Entra",0,Tabla4[[#This Row],[Grupo]])</f>
        <v>0</v>
      </c>
      <c r="AM76" s="11">
        <f>_xlfn.IFNA(VLOOKUP(Tabla4[[#This Row],[Grupo]],Tabla4[Grupos por fuera],1,FALSE),0)</f>
        <v>0</v>
      </c>
      <c r="AN76" s="11" t="str">
        <f>+IF(Tabla4[[#This Row],[Me salgo por mi amigo el lento?]]=0, "Entra", "Chao")</f>
        <v>Entra</v>
      </c>
      <c r="AO76" s="11">
        <f>+IF(Tabla4[[#This Row],[Al fin entra o no]]="Entra",MAX($AO$13:AO75)+1,"")</f>
        <v>64</v>
      </c>
      <c r="AP76" s="11">
        <f>+Tabla4[[#This Row],[Entidad]]</f>
        <v>64</v>
      </c>
      <c r="AR76">
        <v>0.95559308842912594</v>
      </c>
      <c r="AS76">
        <f>+IF(Tabla5[[#This Row],[A3]]&lt;0.5,2,3)</f>
        <v>3</v>
      </c>
      <c r="AT76">
        <f>+IF(Tabla5[[#This Row],[A3]]&lt;0.5,1,3)</f>
        <v>3</v>
      </c>
      <c r="AU76">
        <f>+IF(Tabla5[[#This Row],[A3]]&lt;0.5,1,2)</f>
        <v>2</v>
      </c>
      <c r="AV76" s="6">
        <f>+IF(Tabla5[[#This Row],[A3]]&lt;0.33,1,IF(Tabla5[[#This Row],[A3]]&lt;0.66,2,3))</f>
        <v>3</v>
      </c>
      <c r="AW7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76" s="6">
        <f>+SUM(Tabla4[[#This Row],[Ocupacion M1]:[Ocupacion M3]])</f>
        <v>3</v>
      </c>
      <c r="AY76" s="6">
        <f>+IF(Tabla4[[#This Row],[Ocupacion M1]]=1,1,IF(Tabla4[[#This Row],[Ocupacion M2]]=1,2,3))</f>
        <v>1</v>
      </c>
      <c r="AZ76" s="6">
        <f>+INDEX(Tabla5[[#This Row],[Si 1 esta ocupado]:[Si 3 esta ocupado]],Tabla5[[#This Row],[Estado si = 1]])</f>
        <v>3</v>
      </c>
      <c r="BA76" s="6">
        <f>+IF(Tabla4[[#This Row],[Ocupacion M1]]= 0,1,IF(Tabla4[[#This Row],[Ocupacion M2]]=0,2,3))</f>
        <v>3</v>
      </c>
      <c r="BB7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76">
        <f t="shared" si="6"/>
        <v>64</v>
      </c>
      <c r="BE76">
        <f>+IF(Tabla6[[#This Row],[Indice]]="","",VLOOKUP(Tabla6[[#This Row],[Indice]],Tabla4[[Corre]:[Entidad2]],2))</f>
        <v>64</v>
      </c>
      <c r="BF76">
        <f>IFERROR(+INDEX(Tabla4[Grupo],Tabla6[[#This Row],[Entidad]]),"")</f>
        <v>35</v>
      </c>
      <c r="BG76">
        <f t="shared" si="7"/>
        <v>480</v>
      </c>
      <c r="BH76">
        <v>0.36871256780881245</v>
      </c>
      <c r="BI76">
        <f>20+70*Tabla6[[#This Row],[A6]]</f>
        <v>45.809879746616872</v>
      </c>
      <c r="BJ76">
        <f>+IF(Tabla6[[#This Row],[Indice]]="","",Tabla6[[#This Row],[Empieza]]+Tabla6[[#This Row],[Tiempo carrera ]])</f>
        <v>525.80987974661684</v>
      </c>
      <c r="BK76" s="6">
        <f>IF(Tabla6[[#This Row],[Termina la carrera]]="","",IF(Tabla6[[#This Row],[Termina la carrera]]&gt;540,1,0))</f>
        <v>0</v>
      </c>
      <c r="BL76" s="6" t="str">
        <f>+IF(OR(Tabla6[[#This Row],[Despues de las 9]]=0,Tabla6[[#This Row],[Despues de las 9]]=""),"",Tabla6[[#This Row],[Despues de las 9]]*Tabla6[[#This Row],[Grupo ]])</f>
        <v/>
      </c>
      <c r="BM76" s="6" t="str">
        <f>+IF(Tabla6[[#This Row],[grupo  despues de las 9]]="","",IF(MAX($BL$13:BL75)=Tabla6[[#This Row],[grupo  despues de las 9]],"",1))</f>
        <v/>
      </c>
    </row>
    <row r="77" spans="5:65" x14ac:dyDescent="0.25">
      <c r="E77" s="2">
        <v>65</v>
      </c>
      <c r="F77" s="5">
        <v>0.65589682272807359</v>
      </c>
      <c r="G77" s="2">
        <f t="shared" si="2"/>
        <v>1.0668137326499092</v>
      </c>
      <c r="H77" s="4">
        <f>+H76+Tabla2[[#This Row],[Tiempo Entre]]</f>
        <v>431.38148240195193</v>
      </c>
      <c r="I77" s="5">
        <v>0.20598381385147602</v>
      </c>
      <c r="J77" s="2">
        <f>+IF(Tabla2[[#This Row],[A2 ]]&lt;0.5,1,IF(Tabla2[[#This Row],[A2 ]]&lt;0.8,2,3))</f>
        <v>1</v>
      </c>
      <c r="L77" s="2" t="str">
        <f>+IF(AND(Tabla2[[#This Row],[Llegada]]&lt;=$B$16,P77&gt;0),1,"-")</f>
        <v>-</v>
      </c>
      <c r="M77" s="2" t="str">
        <f t="shared" si="3"/>
        <v>-</v>
      </c>
      <c r="N77" s="4" t="str">
        <f>+IF(L77=1,Tabla2[[#This Row],[Llegada]],"-")</f>
        <v>-</v>
      </c>
      <c r="O77" s="2" t="str">
        <f>+IF(L77=1,Tabla2[[#This Row],[Numero de integrantes]],"-")</f>
        <v>-</v>
      </c>
      <c r="P77" s="2">
        <f t="shared" si="4"/>
        <v>0</v>
      </c>
      <c r="Q77" s="2">
        <f>+IF(Tabla3[[#This Row],[Entra?]]=1,Q76+Tabla3[[#This Row],[Numero integrantes]],Q76)</f>
        <v>100</v>
      </c>
      <c r="S77" s="2">
        <f t="shared" si="5"/>
        <v>65</v>
      </c>
      <c r="T77" s="2">
        <f>+COUNTIF(Tabla3[Cuantos van],"&lt;"&amp;Tabla4[[#This Row],[Entidad]])+1</f>
        <v>35</v>
      </c>
      <c r="U77" s="2">
        <f>+INDEX(Tabla3[Llegada],Tabla4[[#This Row],[Grupo]])</f>
        <v>394.70014309310966</v>
      </c>
      <c r="V77" s="2">
        <f>+IF(Tabla4[[#This Row],[Hora llegada]]&gt;=Tabla4[[#This Row],[Disponibilidad M1]],0,1)</f>
        <v>1</v>
      </c>
      <c r="W77" s="2">
        <f>+IF(Tabla4[[#This Row],[Hora llegada]]&gt;=Tabla4[[#This Row],[Disponibilidad M2]],0,1)</f>
        <v>1</v>
      </c>
      <c r="X77" s="2">
        <f>+IF(Tabla4[[#This Row],[Hora llegada]]&gt;=Tabla4[[#This Row],[Disponibilidad M3]],0,1)</f>
        <v>1</v>
      </c>
      <c r="Y77" s="2" t="str">
        <f>+IF(Tabla5[[#This Row],[Quien me atiende]]=1,MAX(Tabla4[[#This Row],[Disponibilidad M1]],Tabla4[[#This Row],[Hora llegada]]),"-")</f>
        <v>-</v>
      </c>
      <c r="Z77" s="2">
        <f>+IF(Tabla5[[#This Row],[Quien me atiende]]=2,MAX(Tabla4[[#This Row],[Disponibilidad M2]],Tabla4[[#This Row],[Hora llegada]]),"-")</f>
        <v>450.90643963344064</v>
      </c>
      <c r="AA77" s="2" t="str">
        <f>+IF(Tabla5[[#This Row],[Quien me atiende]]=3,MAX(Tabla4[[#This Row],[Disponibilidad M3]],Tabla4[[#This Row],[Hora llegada]]),"-")</f>
        <v>-</v>
      </c>
      <c r="AB77" s="2">
        <f>+MAX($AG$13:AG76)</f>
        <v>451.87018446936639</v>
      </c>
      <c r="AC77" s="2">
        <f>+MAX($AH$13:AH76)</f>
        <v>450.90643963344064</v>
      </c>
      <c r="AD77" s="2">
        <f>+MAX($AI$13:AI76)</f>
        <v>451.21126452381662</v>
      </c>
      <c r="AE77" s="2">
        <v>0.3602031796054499</v>
      </c>
      <c r="AF77" s="2">
        <f>2+4.5*Tabla4[[#This Row],[A5]]</f>
        <v>3.6209143082245245</v>
      </c>
      <c r="AG77" s="2" t="str">
        <f>+IF(Tabla4[[#This Row],[Entrada M1]]="-","-",Tabla4[[#This Row],[Entrada M1]]+Tabla4[[#This Row],[Tiempo Atencion ]])</f>
        <v>-</v>
      </c>
      <c r="AH77" s="2">
        <f>+IF(Tabla4[[#This Row],[Entrada M2]]="-","-",Tabla4[[#This Row],[Entrada M2]]+Tabla4[[#This Row],[Tiempo Atencion ]])</f>
        <v>454.52735394166518</v>
      </c>
      <c r="AI77" s="2" t="str">
        <f>+IF(Tabla4[[#This Row],[Entrada M3]]="-","-",Tabla4[[#This Row],[Entrada M3]]+Tabla4[[#This Row],[Tiempo Atencion ]])</f>
        <v>-</v>
      </c>
      <c r="AJ77" s="11">
        <f>+MAX(Tabla4[[#This Row],[Salida M1]:[Salida M3]])</f>
        <v>454.52735394166518</v>
      </c>
      <c r="AK77" s="11" t="str">
        <f>+IF(Tabla4[[#This Row],[Salida]]&lt;=$B$17,"Entra","No Entra")</f>
        <v>Entra</v>
      </c>
      <c r="AL77" s="11">
        <f>+IF(Tabla4[[#This Row],[Entra  a la carrera]]="Entra",0,Tabla4[[#This Row],[Grupo]])</f>
        <v>0</v>
      </c>
      <c r="AM77" s="11">
        <f>_xlfn.IFNA(VLOOKUP(Tabla4[[#This Row],[Grupo]],Tabla4[Grupos por fuera],1,FALSE),0)</f>
        <v>0</v>
      </c>
      <c r="AN77" s="11" t="str">
        <f>+IF(Tabla4[[#This Row],[Me salgo por mi amigo el lento?]]=0, "Entra", "Chao")</f>
        <v>Entra</v>
      </c>
      <c r="AO77" s="11">
        <f>+IF(Tabla4[[#This Row],[Al fin entra o no]]="Entra",MAX($AO$13:AO76)+1,"")</f>
        <v>65</v>
      </c>
      <c r="AP77" s="11">
        <f>+Tabla4[[#This Row],[Entidad]]</f>
        <v>65</v>
      </c>
      <c r="AR77">
        <v>0.13770536575061376</v>
      </c>
      <c r="AS77">
        <f>+IF(Tabla5[[#This Row],[A3]]&lt;0.5,2,3)</f>
        <v>2</v>
      </c>
      <c r="AT77">
        <f>+IF(Tabla5[[#This Row],[A3]]&lt;0.5,1,3)</f>
        <v>1</v>
      </c>
      <c r="AU77">
        <f>+IF(Tabla5[[#This Row],[A3]]&lt;0.5,1,2)</f>
        <v>1</v>
      </c>
      <c r="AV77" s="6">
        <f>+IF(Tabla5[[#This Row],[A3]]&lt;0.33,1,IF(Tabla5[[#This Row],[A3]]&lt;0.66,2,3))</f>
        <v>1</v>
      </c>
      <c r="AW7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77" s="6">
        <f>+SUM(Tabla4[[#This Row],[Ocupacion M1]:[Ocupacion M3]])</f>
        <v>3</v>
      </c>
      <c r="AY77" s="6">
        <f>+IF(Tabla4[[#This Row],[Ocupacion M1]]=1,1,IF(Tabla4[[#This Row],[Ocupacion M2]]=1,2,3))</f>
        <v>1</v>
      </c>
      <c r="AZ77" s="6">
        <f>+INDEX(Tabla5[[#This Row],[Si 1 esta ocupado]:[Si 3 esta ocupado]],Tabla5[[#This Row],[Estado si = 1]])</f>
        <v>2</v>
      </c>
      <c r="BA77" s="6">
        <f>+IF(Tabla4[[#This Row],[Ocupacion M1]]= 0,1,IF(Tabla4[[#This Row],[Ocupacion M2]]=0,2,3))</f>
        <v>3</v>
      </c>
      <c r="BB7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77">
        <f t="shared" si="6"/>
        <v>65</v>
      </c>
      <c r="BE77">
        <f>+IF(Tabla6[[#This Row],[Indice]]="","",VLOOKUP(Tabla6[[#This Row],[Indice]],Tabla4[[Corre]:[Entidad2]],2))</f>
        <v>65</v>
      </c>
      <c r="BF77">
        <f>IFERROR(+INDEX(Tabla4[Grupo],Tabla6[[#This Row],[Entidad]]),"")</f>
        <v>35</v>
      </c>
      <c r="BG77">
        <f t="shared" ref="BG77:BG112" si="8">+$B$17</f>
        <v>480</v>
      </c>
      <c r="BH77">
        <v>0.12933170834038177</v>
      </c>
      <c r="BI77">
        <f>20+70*Tabla6[[#This Row],[A6]]</f>
        <v>29.053219583826724</v>
      </c>
      <c r="BJ77">
        <f>+IF(Tabla6[[#This Row],[Indice]]="","",Tabla6[[#This Row],[Empieza]]+Tabla6[[#This Row],[Tiempo carrera ]])</f>
        <v>509.05321958382672</v>
      </c>
      <c r="BK77" s="6">
        <f>IF(Tabla6[[#This Row],[Termina la carrera]]="","",IF(Tabla6[[#This Row],[Termina la carrera]]&gt;540,1,0))</f>
        <v>0</v>
      </c>
      <c r="BL77" s="6" t="str">
        <f>+IF(OR(Tabla6[[#This Row],[Despues de las 9]]=0,Tabla6[[#This Row],[Despues de las 9]]=""),"",Tabla6[[#This Row],[Despues de las 9]]*Tabla6[[#This Row],[Grupo ]])</f>
        <v/>
      </c>
      <c r="BM77" s="6" t="str">
        <f>+IF(Tabla6[[#This Row],[grupo  despues de las 9]]="","",IF(MAX($BL$13:BL76)=Tabla6[[#This Row],[grupo  despues de las 9]],"",1))</f>
        <v/>
      </c>
    </row>
    <row r="78" spans="5:65" x14ac:dyDescent="0.25">
      <c r="E78" s="2">
        <v>66</v>
      </c>
      <c r="F78" s="5">
        <v>0.9474016938023575</v>
      </c>
      <c r="G78" s="2">
        <f t="shared" ref="G78:G112" si="9">-1*LN(1-F78)</f>
        <v>2.9450713613226864</v>
      </c>
      <c r="H78" s="4">
        <f>+H77+Tabla2[[#This Row],[Tiempo Entre]]</f>
        <v>434.3265537632746</v>
      </c>
      <c r="I78" s="5">
        <v>0.40392150394362702</v>
      </c>
      <c r="J78" s="2">
        <f>+IF(Tabla2[[#This Row],[A2 ]]&lt;0.5,1,IF(Tabla2[[#This Row],[A2 ]]&lt;0.8,2,3))</f>
        <v>1</v>
      </c>
      <c r="L78" s="2" t="str">
        <f>+IF(AND(Tabla2[[#This Row],[Llegada]]&lt;=$B$16,P78&gt;0),1,"-")</f>
        <v>-</v>
      </c>
      <c r="M78" s="2" t="str">
        <f t="shared" si="3"/>
        <v>-</v>
      </c>
      <c r="N78" s="4" t="str">
        <f>+IF(L78=1,Tabla2[[#This Row],[Llegada]],"-")</f>
        <v>-</v>
      </c>
      <c r="O78" s="2" t="str">
        <f>+IF(L78=1,Tabla2[[#This Row],[Numero de integrantes]],"-")</f>
        <v>-</v>
      </c>
      <c r="P78" s="2">
        <f t="shared" si="4"/>
        <v>0</v>
      </c>
      <c r="Q78" s="2">
        <f>+IF(Tabla3[[#This Row],[Entra?]]=1,Q77+Tabla3[[#This Row],[Numero integrantes]],Q77)</f>
        <v>100</v>
      </c>
      <c r="S78" s="2">
        <f t="shared" si="5"/>
        <v>66</v>
      </c>
      <c r="T78" s="2">
        <f>+COUNTIF(Tabla3[Cuantos van],"&lt;"&amp;Tabla4[[#This Row],[Entidad]])+1</f>
        <v>36</v>
      </c>
      <c r="U78" s="2">
        <f>+INDEX(Tabla3[Llegada],Tabla4[[#This Row],[Grupo]])</f>
        <v>395.04114277718901</v>
      </c>
      <c r="V78" s="2">
        <f>+IF(Tabla4[[#This Row],[Hora llegada]]&gt;=Tabla4[[#This Row],[Disponibilidad M1]],0,1)</f>
        <v>1</v>
      </c>
      <c r="W78" s="2">
        <f>+IF(Tabla4[[#This Row],[Hora llegada]]&gt;=Tabla4[[#This Row],[Disponibilidad M2]],0,1)</f>
        <v>1</v>
      </c>
      <c r="X78" s="2">
        <f>+IF(Tabla4[[#This Row],[Hora llegada]]&gt;=Tabla4[[#This Row],[Disponibilidad M3]],0,1)</f>
        <v>1</v>
      </c>
      <c r="Y78" s="2" t="str">
        <f>+IF(Tabla5[[#This Row],[Quien me atiende]]=1,MAX(Tabla4[[#This Row],[Disponibilidad M1]],Tabla4[[#This Row],[Hora llegada]]),"-")</f>
        <v>-</v>
      </c>
      <c r="Z78" s="2" t="str">
        <f>+IF(Tabla5[[#This Row],[Quien me atiende]]=2,MAX(Tabla4[[#This Row],[Disponibilidad M2]],Tabla4[[#This Row],[Hora llegada]]),"-")</f>
        <v>-</v>
      </c>
      <c r="AA78" s="2">
        <f>+IF(Tabla5[[#This Row],[Quien me atiende]]=3,MAX(Tabla4[[#This Row],[Disponibilidad M3]],Tabla4[[#This Row],[Hora llegada]]),"-")</f>
        <v>451.21126452381662</v>
      </c>
      <c r="AB78" s="2">
        <f>+MAX($AG$13:AG77)</f>
        <v>451.87018446936639</v>
      </c>
      <c r="AC78" s="2">
        <f>+MAX($AH$13:AH77)</f>
        <v>454.52735394166518</v>
      </c>
      <c r="AD78" s="2">
        <f>+MAX($AI$13:AI77)</f>
        <v>451.21126452381662</v>
      </c>
      <c r="AE78" s="2">
        <v>0.76079220536219461</v>
      </c>
      <c r="AF78" s="2">
        <f>2+4.5*Tabla4[[#This Row],[A5]]</f>
        <v>5.4235649241298756</v>
      </c>
      <c r="AG78" s="2" t="str">
        <f>+IF(Tabla4[[#This Row],[Entrada M1]]="-","-",Tabla4[[#This Row],[Entrada M1]]+Tabla4[[#This Row],[Tiempo Atencion ]])</f>
        <v>-</v>
      </c>
      <c r="AH78" s="2" t="str">
        <f>+IF(Tabla4[[#This Row],[Entrada M2]]="-","-",Tabla4[[#This Row],[Entrada M2]]+Tabla4[[#This Row],[Tiempo Atencion ]])</f>
        <v>-</v>
      </c>
      <c r="AI78" s="2">
        <f>+IF(Tabla4[[#This Row],[Entrada M3]]="-","-",Tabla4[[#This Row],[Entrada M3]]+Tabla4[[#This Row],[Tiempo Atencion ]])</f>
        <v>456.63482944794652</v>
      </c>
      <c r="AJ78" s="11">
        <f>+MAX(Tabla4[[#This Row],[Salida M1]:[Salida M3]])</f>
        <v>456.63482944794652</v>
      </c>
      <c r="AK78" s="11" t="str">
        <f>+IF(Tabla4[[#This Row],[Salida]]&lt;=$B$17,"Entra","No Entra")</f>
        <v>Entra</v>
      </c>
      <c r="AL78" s="11">
        <f>+IF(Tabla4[[#This Row],[Entra  a la carrera]]="Entra",0,Tabla4[[#This Row],[Grupo]])</f>
        <v>0</v>
      </c>
      <c r="AM78" s="11">
        <f>_xlfn.IFNA(VLOOKUP(Tabla4[[#This Row],[Grupo]],Tabla4[Grupos por fuera],1,FALSE),0)</f>
        <v>0</v>
      </c>
      <c r="AN78" s="11" t="str">
        <f>+IF(Tabla4[[#This Row],[Me salgo por mi amigo el lento?]]=0, "Entra", "Chao")</f>
        <v>Entra</v>
      </c>
      <c r="AO78" s="11">
        <f>+IF(Tabla4[[#This Row],[Al fin entra o no]]="Entra",MAX($AO$13:AO77)+1,"")</f>
        <v>66</v>
      </c>
      <c r="AP78" s="11">
        <f>+Tabla4[[#This Row],[Entidad]]</f>
        <v>66</v>
      </c>
      <c r="AR78">
        <v>5.9525880475861603E-2</v>
      </c>
      <c r="AS78">
        <f>+IF(Tabla5[[#This Row],[A3]]&lt;0.5,2,3)</f>
        <v>2</v>
      </c>
      <c r="AT78">
        <f>+IF(Tabla5[[#This Row],[A3]]&lt;0.5,1,3)</f>
        <v>1</v>
      </c>
      <c r="AU78">
        <f>+IF(Tabla5[[#This Row],[A3]]&lt;0.5,1,2)</f>
        <v>1</v>
      </c>
      <c r="AV78" s="6">
        <f>+IF(Tabla5[[#This Row],[A3]]&lt;0.33,1,IF(Tabla5[[#This Row],[A3]]&lt;0.66,2,3))</f>
        <v>1</v>
      </c>
      <c r="AW7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78" s="6">
        <f>+SUM(Tabla4[[#This Row],[Ocupacion M1]:[Ocupacion M3]])</f>
        <v>3</v>
      </c>
      <c r="AY78" s="6">
        <f>+IF(Tabla4[[#This Row],[Ocupacion M1]]=1,1,IF(Tabla4[[#This Row],[Ocupacion M2]]=1,2,3))</f>
        <v>1</v>
      </c>
      <c r="AZ78" s="6">
        <f>+INDEX(Tabla5[[#This Row],[Si 1 esta ocupado]:[Si 3 esta ocupado]],Tabla5[[#This Row],[Estado si = 1]])</f>
        <v>2</v>
      </c>
      <c r="BA78" s="6">
        <f>+IF(Tabla4[[#This Row],[Ocupacion M1]]= 0,1,IF(Tabla4[[#This Row],[Ocupacion M2]]=0,2,3))</f>
        <v>3</v>
      </c>
      <c r="BB7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78">
        <f t="shared" si="6"/>
        <v>66</v>
      </c>
      <c r="BE78">
        <f>+IF(Tabla6[[#This Row],[Indice]]="","",VLOOKUP(Tabla6[[#This Row],[Indice]],Tabla4[[Corre]:[Entidad2]],2))</f>
        <v>66</v>
      </c>
      <c r="BF78">
        <f>IFERROR(+INDEX(Tabla4[Grupo],Tabla6[[#This Row],[Entidad]]),"")</f>
        <v>36</v>
      </c>
      <c r="BG78">
        <f t="shared" si="8"/>
        <v>480</v>
      </c>
      <c r="BH78">
        <v>0.79910823484461724</v>
      </c>
      <c r="BI78">
        <f>20+70*Tabla6[[#This Row],[A6]]</f>
        <v>75.937576439123205</v>
      </c>
      <c r="BJ78">
        <f>+IF(Tabla6[[#This Row],[Indice]]="","",Tabla6[[#This Row],[Empieza]]+Tabla6[[#This Row],[Tiempo carrera ]])</f>
        <v>555.93757643912318</v>
      </c>
      <c r="BK78" s="6">
        <f>IF(Tabla6[[#This Row],[Termina la carrera]]="","",IF(Tabla6[[#This Row],[Termina la carrera]]&gt;540,1,0))</f>
        <v>1</v>
      </c>
      <c r="BL78" s="6">
        <f>+IF(OR(Tabla6[[#This Row],[Despues de las 9]]=0,Tabla6[[#This Row],[Despues de las 9]]=""),"",Tabla6[[#This Row],[Despues de las 9]]*Tabla6[[#This Row],[Grupo ]])</f>
        <v>36</v>
      </c>
      <c r="BM78" s="6">
        <f>+IF(Tabla6[[#This Row],[grupo  despues de las 9]]="","",IF(MAX($BL$13:BL77)=Tabla6[[#This Row],[grupo  despues de las 9]],"",1))</f>
        <v>1</v>
      </c>
    </row>
    <row r="79" spans="5:65" x14ac:dyDescent="0.25">
      <c r="E79" s="2">
        <v>67</v>
      </c>
      <c r="F79" s="5">
        <v>0.26759789561884806</v>
      </c>
      <c r="G79" s="2">
        <f t="shared" si="9"/>
        <v>0.31142559291836153</v>
      </c>
      <c r="H79" s="4">
        <f>+H78+Tabla2[[#This Row],[Tiempo Entre]]</f>
        <v>434.63797935619294</v>
      </c>
      <c r="I79" s="5">
        <v>8.3015163858690011E-2</v>
      </c>
      <c r="J79" s="2">
        <f>+IF(Tabla2[[#This Row],[A2 ]]&lt;0.5,1,IF(Tabla2[[#This Row],[A2 ]]&lt;0.8,2,3))</f>
        <v>1</v>
      </c>
      <c r="L79" s="2" t="str">
        <f>+IF(AND(Tabla2[[#This Row],[Llegada]]&lt;=$B$16,P79&gt;0),1,"-")</f>
        <v>-</v>
      </c>
      <c r="M79" s="2" t="str">
        <f t="shared" ref="M79:M112" si="10">+IF(L79=1,M78+1,"-")</f>
        <v>-</v>
      </c>
      <c r="N79" s="4" t="str">
        <f>+IF(L79=1,Tabla2[[#This Row],[Llegada]],"-")</f>
        <v>-</v>
      </c>
      <c r="O79" s="2" t="str">
        <f>+IF(L79=1,Tabla2[[#This Row],[Numero de integrantes]],"-")</f>
        <v>-</v>
      </c>
      <c r="P79" s="2">
        <f t="shared" ref="P79:P112" si="11">+IF(O78="-",P78,P78-O78)</f>
        <v>0</v>
      </c>
      <c r="Q79" s="2">
        <f>+IF(Tabla3[[#This Row],[Entra?]]=1,Q78+Tabla3[[#This Row],[Numero integrantes]],Q78)</f>
        <v>100</v>
      </c>
      <c r="S79" s="2">
        <f t="shared" ref="S79:S112" si="12">+IF(S78&lt;$Q$10,S78+1,"-")</f>
        <v>67</v>
      </c>
      <c r="T79" s="2">
        <f>+COUNTIF(Tabla3[Cuantos van],"&lt;"&amp;Tabla4[[#This Row],[Entidad]])+1</f>
        <v>37</v>
      </c>
      <c r="U79" s="2">
        <f>+INDEX(Tabla3[Llegada],Tabla4[[#This Row],[Grupo]])</f>
        <v>396.41125048476022</v>
      </c>
      <c r="V79" s="2">
        <f>+IF(Tabla4[[#This Row],[Hora llegada]]&gt;=Tabla4[[#This Row],[Disponibilidad M1]],0,1)</f>
        <v>1</v>
      </c>
      <c r="W79" s="2">
        <f>+IF(Tabla4[[#This Row],[Hora llegada]]&gt;=Tabla4[[#This Row],[Disponibilidad M2]],0,1)</f>
        <v>1</v>
      </c>
      <c r="X79" s="2">
        <f>+IF(Tabla4[[#This Row],[Hora llegada]]&gt;=Tabla4[[#This Row],[Disponibilidad M3]],0,1)</f>
        <v>1</v>
      </c>
      <c r="Y79" s="2">
        <f>+IF(Tabla5[[#This Row],[Quien me atiende]]=1,MAX(Tabla4[[#This Row],[Disponibilidad M1]],Tabla4[[#This Row],[Hora llegada]]),"-")</f>
        <v>451.87018446936639</v>
      </c>
      <c r="Z79" s="2" t="str">
        <f>+IF(Tabla5[[#This Row],[Quien me atiende]]=2,MAX(Tabla4[[#This Row],[Disponibilidad M2]],Tabla4[[#This Row],[Hora llegada]]),"-")</f>
        <v>-</v>
      </c>
      <c r="AA79" s="2" t="str">
        <f>+IF(Tabla5[[#This Row],[Quien me atiende]]=3,MAX(Tabla4[[#This Row],[Disponibilidad M3]],Tabla4[[#This Row],[Hora llegada]]),"-")</f>
        <v>-</v>
      </c>
      <c r="AB79" s="2">
        <f>+MAX($AG$13:AG78)</f>
        <v>451.87018446936639</v>
      </c>
      <c r="AC79" s="2">
        <f>+MAX($AH$13:AH78)</f>
        <v>454.52735394166518</v>
      </c>
      <c r="AD79" s="2">
        <f>+MAX($AI$13:AI78)</f>
        <v>456.63482944794652</v>
      </c>
      <c r="AE79" s="2">
        <v>0.55641054493956188</v>
      </c>
      <c r="AF79" s="2">
        <f>2+4.5*Tabla4[[#This Row],[A5]]</f>
        <v>4.5038474522280278</v>
      </c>
      <c r="AG79" s="2">
        <f>+IF(Tabla4[[#This Row],[Entrada M1]]="-","-",Tabla4[[#This Row],[Entrada M1]]+Tabla4[[#This Row],[Tiempo Atencion ]])</f>
        <v>456.37403192159439</v>
      </c>
      <c r="AH79" s="2" t="str">
        <f>+IF(Tabla4[[#This Row],[Entrada M2]]="-","-",Tabla4[[#This Row],[Entrada M2]]+Tabla4[[#This Row],[Tiempo Atencion ]])</f>
        <v>-</v>
      </c>
      <c r="AI79" s="2" t="str">
        <f>+IF(Tabla4[[#This Row],[Entrada M3]]="-","-",Tabla4[[#This Row],[Entrada M3]]+Tabla4[[#This Row],[Tiempo Atencion ]])</f>
        <v>-</v>
      </c>
      <c r="AJ79" s="11">
        <f>+MAX(Tabla4[[#This Row],[Salida M1]:[Salida M3]])</f>
        <v>456.37403192159439</v>
      </c>
      <c r="AK79" s="11" t="str">
        <f>+IF(Tabla4[[#This Row],[Salida]]&lt;=$B$17,"Entra","No Entra")</f>
        <v>Entra</v>
      </c>
      <c r="AL79" s="11">
        <f>+IF(Tabla4[[#This Row],[Entra  a la carrera]]="Entra",0,Tabla4[[#This Row],[Grupo]])</f>
        <v>0</v>
      </c>
      <c r="AM79" s="11">
        <f>_xlfn.IFNA(VLOOKUP(Tabla4[[#This Row],[Grupo]],Tabla4[Grupos por fuera],1,FALSE),0)</f>
        <v>0</v>
      </c>
      <c r="AN79" s="11" t="str">
        <f>+IF(Tabla4[[#This Row],[Me salgo por mi amigo el lento?]]=0, "Entra", "Chao")</f>
        <v>Entra</v>
      </c>
      <c r="AO79" s="11">
        <f>+IF(Tabla4[[#This Row],[Al fin entra o no]]="Entra",MAX($AO$13:AO78)+1,"")</f>
        <v>67</v>
      </c>
      <c r="AP79" s="11">
        <f>+Tabla4[[#This Row],[Entidad]]</f>
        <v>67</v>
      </c>
      <c r="AR79">
        <v>0.16512323902674342</v>
      </c>
      <c r="AS79">
        <f>+IF(Tabla5[[#This Row],[A3]]&lt;0.5,2,3)</f>
        <v>2</v>
      </c>
      <c r="AT79">
        <f>+IF(Tabla5[[#This Row],[A3]]&lt;0.5,1,3)</f>
        <v>1</v>
      </c>
      <c r="AU79">
        <f>+IF(Tabla5[[#This Row],[A3]]&lt;0.5,1,2)</f>
        <v>1</v>
      </c>
      <c r="AV79" s="6">
        <f>+IF(Tabla5[[#This Row],[A3]]&lt;0.33,1,IF(Tabla5[[#This Row],[A3]]&lt;0.66,2,3))</f>
        <v>1</v>
      </c>
      <c r="AW7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79" s="6">
        <f>+SUM(Tabla4[[#This Row],[Ocupacion M1]:[Ocupacion M3]])</f>
        <v>3</v>
      </c>
      <c r="AY79" s="6">
        <f>+IF(Tabla4[[#This Row],[Ocupacion M1]]=1,1,IF(Tabla4[[#This Row],[Ocupacion M2]]=1,2,3))</f>
        <v>1</v>
      </c>
      <c r="AZ79" s="6">
        <f>+INDEX(Tabla5[[#This Row],[Si 1 esta ocupado]:[Si 3 esta ocupado]],Tabla5[[#This Row],[Estado si = 1]])</f>
        <v>2</v>
      </c>
      <c r="BA79" s="6">
        <f>+IF(Tabla4[[#This Row],[Ocupacion M1]]= 0,1,IF(Tabla4[[#This Row],[Ocupacion M2]]=0,2,3))</f>
        <v>3</v>
      </c>
      <c r="BB7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79">
        <f t="shared" ref="BD79:BD112" si="13">+IF(BD78&lt;$AO$10,BD78+1,"")</f>
        <v>67</v>
      </c>
      <c r="BE79">
        <f>+IF(Tabla6[[#This Row],[Indice]]="","",VLOOKUP(Tabla6[[#This Row],[Indice]],Tabla4[[Corre]:[Entidad2]],2))</f>
        <v>67</v>
      </c>
      <c r="BF79">
        <f>IFERROR(+INDEX(Tabla4[Grupo],Tabla6[[#This Row],[Entidad]]),"")</f>
        <v>37</v>
      </c>
      <c r="BG79">
        <f t="shared" si="8"/>
        <v>480</v>
      </c>
      <c r="BH79">
        <v>0.58397004065445246</v>
      </c>
      <c r="BI79">
        <f>20+70*Tabla6[[#This Row],[A6]]</f>
        <v>60.877902845811676</v>
      </c>
      <c r="BJ79">
        <f>+IF(Tabla6[[#This Row],[Indice]]="","",Tabla6[[#This Row],[Empieza]]+Tabla6[[#This Row],[Tiempo carrera ]])</f>
        <v>540.87790284581172</v>
      </c>
      <c r="BK79" s="6">
        <f>IF(Tabla6[[#This Row],[Termina la carrera]]="","",IF(Tabla6[[#This Row],[Termina la carrera]]&gt;540,1,0))</f>
        <v>1</v>
      </c>
      <c r="BL79" s="6">
        <f>+IF(OR(Tabla6[[#This Row],[Despues de las 9]]=0,Tabla6[[#This Row],[Despues de las 9]]=""),"",Tabla6[[#This Row],[Despues de las 9]]*Tabla6[[#This Row],[Grupo ]])</f>
        <v>37</v>
      </c>
      <c r="BM79" s="6">
        <f>+IF(Tabla6[[#This Row],[grupo  despues de las 9]]="","",IF(MAX($BL$13:BL78)=Tabla6[[#This Row],[grupo  despues de las 9]],"",1))</f>
        <v>1</v>
      </c>
    </row>
    <row r="80" spans="5:65" x14ac:dyDescent="0.25">
      <c r="E80" s="2">
        <v>68</v>
      </c>
      <c r="F80" s="5">
        <v>0.83565452745232671</v>
      </c>
      <c r="G80" s="2">
        <f t="shared" si="9"/>
        <v>1.8057845268773125</v>
      </c>
      <c r="H80" s="4">
        <f>+H79+Tabla2[[#This Row],[Tiempo Entre]]</f>
        <v>436.44376388307023</v>
      </c>
      <c r="I80" s="5">
        <v>0.71923851862211907</v>
      </c>
      <c r="J80" s="2">
        <f>+IF(Tabla2[[#This Row],[A2 ]]&lt;0.5,1,IF(Tabla2[[#This Row],[A2 ]]&lt;0.8,2,3))</f>
        <v>2</v>
      </c>
      <c r="L80" s="2" t="str">
        <f>+IF(AND(Tabla2[[#This Row],[Llegada]]&lt;=$B$16,P80&gt;0),1,"-")</f>
        <v>-</v>
      </c>
      <c r="M80" s="2" t="str">
        <f t="shared" si="10"/>
        <v>-</v>
      </c>
      <c r="N80" s="4" t="str">
        <f>+IF(L80=1,Tabla2[[#This Row],[Llegada]],"-")</f>
        <v>-</v>
      </c>
      <c r="O80" s="2" t="str">
        <f>+IF(L80=1,Tabla2[[#This Row],[Numero de integrantes]],"-")</f>
        <v>-</v>
      </c>
      <c r="P80" s="2">
        <f t="shared" si="11"/>
        <v>0</v>
      </c>
      <c r="Q80" s="2">
        <f>+IF(Tabla3[[#This Row],[Entra?]]=1,Q79+Tabla3[[#This Row],[Numero integrantes]],Q79)</f>
        <v>100</v>
      </c>
      <c r="S80" s="2">
        <f t="shared" si="12"/>
        <v>68</v>
      </c>
      <c r="T80" s="2">
        <f>+COUNTIF(Tabla3[Cuantos van],"&lt;"&amp;Tabla4[[#This Row],[Entidad]])+1</f>
        <v>37</v>
      </c>
      <c r="U80" s="2">
        <f>+INDEX(Tabla3[Llegada],Tabla4[[#This Row],[Grupo]])</f>
        <v>396.41125048476022</v>
      </c>
      <c r="V80" s="2">
        <f>+IF(Tabla4[[#This Row],[Hora llegada]]&gt;=Tabla4[[#This Row],[Disponibilidad M1]],0,1)</f>
        <v>1</v>
      </c>
      <c r="W80" s="2">
        <f>+IF(Tabla4[[#This Row],[Hora llegada]]&gt;=Tabla4[[#This Row],[Disponibilidad M2]],0,1)</f>
        <v>1</v>
      </c>
      <c r="X80" s="2">
        <f>+IF(Tabla4[[#This Row],[Hora llegada]]&gt;=Tabla4[[#This Row],[Disponibilidad M3]],0,1)</f>
        <v>1</v>
      </c>
      <c r="Y80" s="2" t="str">
        <f>+IF(Tabla5[[#This Row],[Quien me atiende]]=1,MAX(Tabla4[[#This Row],[Disponibilidad M1]],Tabla4[[#This Row],[Hora llegada]]),"-")</f>
        <v>-</v>
      </c>
      <c r="Z80" s="2">
        <f>+IF(Tabla5[[#This Row],[Quien me atiende]]=2,MAX(Tabla4[[#This Row],[Disponibilidad M2]],Tabla4[[#This Row],[Hora llegada]]),"-")</f>
        <v>454.52735394166518</v>
      </c>
      <c r="AA80" s="2" t="str">
        <f>+IF(Tabla5[[#This Row],[Quien me atiende]]=3,MAX(Tabla4[[#This Row],[Disponibilidad M3]],Tabla4[[#This Row],[Hora llegada]]),"-")</f>
        <v>-</v>
      </c>
      <c r="AB80" s="2">
        <f>+MAX($AG$13:AG79)</f>
        <v>456.37403192159439</v>
      </c>
      <c r="AC80" s="2">
        <f>+MAX($AH$13:AH79)</f>
        <v>454.52735394166518</v>
      </c>
      <c r="AD80" s="2">
        <f>+MAX($AI$13:AI79)</f>
        <v>456.63482944794652</v>
      </c>
      <c r="AE80" s="2">
        <v>3.1636460174834902E-2</v>
      </c>
      <c r="AF80" s="2">
        <f>2+4.5*Tabla4[[#This Row],[A5]]</f>
        <v>2.1423640707867571</v>
      </c>
      <c r="AG80" s="2" t="str">
        <f>+IF(Tabla4[[#This Row],[Entrada M1]]="-","-",Tabla4[[#This Row],[Entrada M1]]+Tabla4[[#This Row],[Tiempo Atencion ]])</f>
        <v>-</v>
      </c>
      <c r="AH80" s="2">
        <f>+IF(Tabla4[[#This Row],[Entrada M2]]="-","-",Tabla4[[#This Row],[Entrada M2]]+Tabla4[[#This Row],[Tiempo Atencion ]])</f>
        <v>456.66971801245194</v>
      </c>
      <c r="AI80" s="2" t="str">
        <f>+IF(Tabla4[[#This Row],[Entrada M3]]="-","-",Tabla4[[#This Row],[Entrada M3]]+Tabla4[[#This Row],[Tiempo Atencion ]])</f>
        <v>-</v>
      </c>
      <c r="AJ80" s="11">
        <f>+MAX(Tabla4[[#This Row],[Salida M1]:[Salida M3]])</f>
        <v>456.66971801245194</v>
      </c>
      <c r="AK80" s="11" t="str">
        <f>+IF(Tabla4[[#This Row],[Salida]]&lt;=$B$17,"Entra","No Entra")</f>
        <v>Entra</v>
      </c>
      <c r="AL80" s="11">
        <f>+IF(Tabla4[[#This Row],[Entra  a la carrera]]="Entra",0,Tabla4[[#This Row],[Grupo]])</f>
        <v>0</v>
      </c>
      <c r="AM80" s="11">
        <f>_xlfn.IFNA(VLOOKUP(Tabla4[[#This Row],[Grupo]],Tabla4[Grupos por fuera],1,FALSE),0)</f>
        <v>0</v>
      </c>
      <c r="AN80" s="11" t="str">
        <f>+IF(Tabla4[[#This Row],[Me salgo por mi amigo el lento?]]=0, "Entra", "Chao")</f>
        <v>Entra</v>
      </c>
      <c r="AO80" s="11">
        <f>+IF(Tabla4[[#This Row],[Al fin entra o no]]="Entra",MAX($AO$13:AO79)+1,"")</f>
        <v>68</v>
      </c>
      <c r="AP80" s="11">
        <f>+Tabla4[[#This Row],[Entidad]]</f>
        <v>68</v>
      </c>
      <c r="AR80">
        <v>0.98464705624380522</v>
      </c>
      <c r="AS80">
        <f>+IF(Tabla5[[#This Row],[A3]]&lt;0.5,2,3)</f>
        <v>3</v>
      </c>
      <c r="AT80">
        <f>+IF(Tabla5[[#This Row],[A3]]&lt;0.5,1,3)</f>
        <v>3</v>
      </c>
      <c r="AU80">
        <f>+IF(Tabla5[[#This Row],[A3]]&lt;0.5,1,2)</f>
        <v>2</v>
      </c>
      <c r="AV80" s="6">
        <f>+IF(Tabla5[[#This Row],[A3]]&lt;0.33,1,IF(Tabla5[[#This Row],[A3]]&lt;0.66,2,3))</f>
        <v>3</v>
      </c>
      <c r="AW8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80" s="6">
        <f>+SUM(Tabla4[[#This Row],[Ocupacion M1]:[Ocupacion M3]])</f>
        <v>3</v>
      </c>
      <c r="AY80" s="6">
        <f>+IF(Tabla4[[#This Row],[Ocupacion M1]]=1,1,IF(Tabla4[[#This Row],[Ocupacion M2]]=1,2,3))</f>
        <v>1</v>
      </c>
      <c r="AZ80" s="6">
        <f>+INDEX(Tabla5[[#This Row],[Si 1 esta ocupado]:[Si 3 esta ocupado]],Tabla5[[#This Row],[Estado si = 1]])</f>
        <v>3</v>
      </c>
      <c r="BA80" s="6">
        <f>+IF(Tabla4[[#This Row],[Ocupacion M1]]= 0,1,IF(Tabla4[[#This Row],[Ocupacion M2]]=0,2,3))</f>
        <v>3</v>
      </c>
      <c r="BB8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80">
        <f t="shared" si="13"/>
        <v>68</v>
      </c>
      <c r="BE80">
        <f>+IF(Tabla6[[#This Row],[Indice]]="","",VLOOKUP(Tabla6[[#This Row],[Indice]],Tabla4[[Corre]:[Entidad2]],2))</f>
        <v>68</v>
      </c>
      <c r="BF80">
        <f>IFERROR(+INDEX(Tabla4[Grupo],Tabla6[[#This Row],[Entidad]]),"")</f>
        <v>37</v>
      </c>
      <c r="BG80">
        <f t="shared" si="8"/>
        <v>480</v>
      </c>
      <c r="BH80">
        <v>0.18981433309147677</v>
      </c>
      <c r="BI80">
        <f>20+70*Tabla6[[#This Row],[A6]]</f>
        <v>33.287003316403371</v>
      </c>
      <c r="BJ80">
        <f>+IF(Tabla6[[#This Row],[Indice]]="","",Tabla6[[#This Row],[Empieza]]+Tabla6[[#This Row],[Tiempo carrera ]])</f>
        <v>513.28700331640334</v>
      </c>
      <c r="BK80" s="6">
        <f>IF(Tabla6[[#This Row],[Termina la carrera]]="","",IF(Tabla6[[#This Row],[Termina la carrera]]&gt;540,1,0))</f>
        <v>0</v>
      </c>
      <c r="BL80" s="6" t="str">
        <f>+IF(OR(Tabla6[[#This Row],[Despues de las 9]]=0,Tabla6[[#This Row],[Despues de las 9]]=""),"",Tabla6[[#This Row],[Despues de las 9]]*Tabla6[[#This Row],[Grupo ]])</f>
        <v/>
      </c>
      <c r="BM80" s="6" t="str">
        <f>+IF(Tabla6[[#This Row],[grupo  despues de las 9]]="","",IF(MAX($BL$13:BL79)=Tabla6[[#This Row],[grupo  despues de las 9]],"",1))</f>
        <v/>
      </c>
    </row>
    <row r="81" spans="5:65" x14ac:dyDescent="0.25">
      <c r="E81" s="2">
        <v>69</v>
      </c>
      <c r="F81" s="5">
        <v>0.2931926020948189</v>
      </c>
      <c r="G81" s="2">
        <f t="shared" si="9"/>
        <v>0.34699707183248518</v>
      </c>
      <c r="H81" s="4">
        <f>+H80+Tabla2[[#This Row],[Tiempo Entre]]</f>
        <v>436.79076095490274</v>
      </c>
      <c r="I81" s="5">
        <v>0.40653012777858388</v>
      </c>
      <c r="J81" s="2">
        <f>+IF(Tabla2[[#This Row],[A2 ]]&lt;0.5,1,IF(Tabla2[[#This Row],[A2 ]]&lt;0.8,2,3))</f>
        <v>1</v>
      </c>
      <c r="L81" s="2" t="str">
        <f>+IF(AND(Tabla2[[#This Row],[Llegada]]&lt;=$B$16,P81&gt;0),1,"-")</f>
        <v>-</v>
      </c>
      <c r="M81" s="2" t="str">
        <f t="shared" si="10"/>
        <v>-</v>
      </c>
      <c r="N81" s="4" t="str">
        <f>+IF(L81=1,Tabla2[[#This Row],[Llegada]],"-")</f>
        <v>-</v>
      </c>
      <c r="O81" s="2" t="str">
        <f>+IF(L81=1,Tabla2[[#This Row],[Numero de integrantes]],"-")</f>
        <v>-</v>
      </c>
      <c r="P81" s="2">
        <f t="shared" si="11"/>
        <v>0</v>
      </c>
      <c r="Q81" s="2">
        <f>+IF(Tabla3[[#This Row],[Entra?]]=1,Q80+Tabla3[[#This Row],[Numero integrantes]],Q80)</f>
        <v>100</v>
      </c>
      <c r="S81" s="2">
        <f t="shared" si="12"/>
        <v>69</v>
      </c>
      <c r="T81" s="2">
        <f>+COUNTIF(Tabla3[Cuantos van],"&lt;"&amp;Tabla4[[#This Row],[Entidad]])+1</f>
        <v>38</v>
      </c>
      <c r="U81" s="2">
        <f>+INDEX(Tabla3[Llegada],Tabla4[[#This Row],[Grupo]])</f>
        <v>398.8492004583432</v>
      </c>
      <c r="V81" s="2">
        <f>+IF(Tabla4[[#This Row],[Hora llegada]]&gt;=Tabla4[[#This Row],[Disponibilidad M1]],0,1)</f>
        <v>1</v>
      </c>
      <c r="W81" s="2">
        <f>+IF(Tabla4[[#This Row],[Hora llegada]]&gt;=Tabla4[[#This Row],[Disponibilidad M2]],0,1)</f>
        <v>1</v>
      </c>
      <c r="X81" s="2">
        <f>+IF(Tabla4[[#This Row],[Hora llegada]]&gt;=Tabla4[[#This Row],[Disponibilidad M3]],0,1)</f>
        <v>1</v>
      </c>
      <c r="Y81" s="2">
        <f>+IF(Tabla5[[#This Row],[Quien me atiende]]=1,MAX(Tabla4[[#This Row],[Disponibilidad M1]],Tabla4[[#This Row],[Hora llegada]]),"-")</f>
        <v>456.37403192159439</v>
      </c>
      <c r="Z81" s="2" t="str">
        <f>+IF(Tabla5[[#This Row],[Quien me atiende]]=2,MAX(Tabla4[[#This Row],[Disponibilidad M2]],Tabla4[[#This Row],[Hora llegada]]),"-")</f>
        <v>-</v>
      </c>
      <c r="AA81" s="2" t="str">
        <f>+IF(Tabla5[[#This Row],[Quien me atiende]]=3,MAX(Tabla4[[#This Row],[Disponibilidad M3]],Tabla4[[#This Row],[Hora llegada]]),"-")</f>
        <v>-</v>
      </c>
      <c r="AB81" s="2">
        <f>+MAX($AG$13:AG80)</f>
        <v>456.37403192159439</v>
      </c>
      <c r="AC81" s="2">
        <f>+MAX($AH$13:AH80)</f>
        <v>456.66971801245194</v>
      </c>
      <c r="AD81" s="2">
        <f>+MAX($AI$13:AI80)</f>
        <v>456.63482944794652</v>
      </c>
      <c r="AE81" s="2">
        <v>0.76289928860370515</v>
      </c>
      <c r="AF81" s="2">
        <f>2+4.5*Tabla4[[#This Row],[A5]]</f>
        <v>5.4330467987166733</v>
      </c>
      <c r="AG81" s="2">
        <f>+IF(Tabla4[[#This Row],[Entrada M1]]="-","-",Tabla4[[#This Row],[Entrada M1]]+Tabla4[[#This Row],[Tiempo Atencion ]])</f>
        <v>461.80707872031104</v>
      </c>
      <c r="AH81" s="2" t="str">
        <f>+IF(Tabla4[[#This Row],[Entrada M2]]="-","-",Tabla4[[#This Row],[Entrada M2]]+Tabla4[[#This Row],[Tiempo Atencion ]])</f>
        <v>-</v>
      </c>
      <c r="AI81" s="2" t="str">
        <f>+IF(Tabla4[[#This Row],[Entrada M3]]="-","-",Tabla4[[#This Row],[Entrada M3]]+Tabla4[[#This Row],[Tiempo Atencion ]])</f>
        <v>-</v>
      </c>
      <c r="AJ81" s="11">
        <f>+MAX(Tabla4[[#This Row],[Salida M1]:[Salida M3]])</f>
        <v>461.80707872031104</v>
      </c>
      <c r="AK81" s="11" t="str">
        <f>+IF(Tabla4[[#This Row],[Salida]]&lt;=$B$17,"Entra","No Entra")</f>
        <v>Entra</v>
      </c>
      <c r="AL81" s="11">
        <f>+IF(Tabla4[[#This Row],[Entra  a la carrera]]="Entra",0,Tabla4[[#This Row],[Grupo]])</f>
        <v>0</v>
      </c>
      <c r="AM81" s="11">
        <f>_xlfn.IFNA(VLOOKUP(Tabla4[[#This Row],[Grupo]],Tabla4[Grupos por fuera],1,FALSE),0)</f>
        <v>0</v>
      </c>
      <c r="AN81" s="11" t="str">
        <f>+IF(Tabla4[[#This Row],[Me salgo por mi amigo el lento?]]=0, "Entra", "Chao")</f>
        <v>Entra</v>
      </c>
      <c r="AO81" s="11">
        <f>+IF(Tabla4[[#This Row],[Al fin entra o no]]="Entra",MAX($AO$13:AO80)+1,"")</f>
        <v>69</v>
      </c>
      <c r="AP81" s="11">
        <f>+Tabla4[[#This Row],[Entidad]]</f>
        <v>69</v>
      </c>
      <c r="AR81">
        <v>0.40555227813260963</v>
      </c>
      <c r="AS81">
        <f>+IF(Tabla5[[#This Row],[A3]]&lt;0.5,2,3)</f>
        <v>2</v>
      </c>
      <c r="AT81">
        <f>+IF(Tabla5[[#This Row],[A3]]&lt;0.5,1,3)</f>
        <v>1</v>
      </c>
      <c r="AU81">
        <f>+IF(Tabla5[[#This Row],[A3]]&lt;0.5,1,2)</f>
        <v>1</v>
      </c>
      <c r="AV81" s="6">
        <f>+IF(Tabla5[[#This Row],[A3]]&lt;0.33,1,IF(Tabla5[[#This Row],[A3]]&lt;0.66,2,3))</f>
        <v>2</v>
      </c>
      <c r="AW8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81" s="6">
        <f>+SUM(Tabla4[[#This Row],[Ocupacion M1]:[Ocupacion M3]])</f>
        <v>3</v>
      </c>
      <c r="AY81" s="6">
        <f>+IF(Tabla4[[#This Row],[Ocupacion M1]]=1,1,IF(Tabla4[[#This Row],[Ocupacion M2]]=1,2,3))</f>
        <v>1</v>
      </c>
      <c r="AZ81" s="6">
        <f>+INDEX(Tabla5[[#This Row],[Si 1 esta ocupado]:[Si 3 esta ocupado]],Tabla5[[#This Row],[Estado si = 1]])</f>
        <v>2</v>
      </c>
      <c r="BA81" s="6">
        <f>+IF(Tabla4[[#This Row],[Ocupacion M1]]= 0,1,IF(Tabla4[[#This Row],[Ocupacion M2]]=0,2,3))</f>
        <v>3</v>
      </c>
      <c r="BB8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81">
        <f t="shared" si="13"/>
        <v>69</v>
      </c>
      <c r="BE81">
        <f>+IF(Tabla6[[#This Row],[Indice]]="","",VLOOKUP(Tabla6[[#This Row],[Indice]],Tabla4[[Corre]:[Entidad2]],2))</f>
        <v>69</v>
      </c>
      <c r="BF81">
        <f>IFERROR(+INDEX(Tabla4[Grupo],Tabla6[[#This Row],[Entidad]]),"")</f>
        <v>38</v>
      </c>
      <c r="BG81">
        <f t="shared" si="8"/>
        <v>480</v>
      </c>
      <c r="BH81">
        <v>0.65230038488994935</v>
      </c>
      <c r="BI81">
        <f>20+70*Tabla6[[#This Row],[A6]]</f>
        <v>65.661026942296445</v>
      </c>
      <c r="BJ81">
        <f>+IF(Tabla6[[#This Row],[Indice]]="","",Tabla6[[#This Row],[Empieza]]+Tabla6[[#This Row],[Tiempo carrera ]])</f>
        <v>545.66102694229642</v>
      </c>
      <c r="BK81" s="6">
        <f>IF(Tabla6[[#This Row],[Termina la carrera]]="","",IF(Tabla6[[#This Row],[Termina la carrera]]&gt;540,1,0))</f>
        <v>1</v>
      </c>
      <c r="BL81" s="6">
        <f>+IF(OR(Tabla6[[#This Row],[Despues de las 9]]=0,Tabla6[[#This Row],[Despues de las 9]]=""),"",Tabla6[[#This Row],[Despues de las 9]]*Tabla6[[#This Row],[Grupo ]])</f>
        <v>38</v>
      </c>
      <c r="BM81" s="6">
        <f>+IF(Tabla6[[#This Row],[grupo  despues de las 9]]="","",IF(MAX($BL$13:BL80)=Tabla6[[#This Row],[grupo  despues de las 9]],"",1))</f>
        <v>1</v>
      </c>
    </row>
    <row r="82" spans="5:65" x14ac:dyDescent="0.25">
      <c r="E82" s="2">
        <v>70</v>
      </c>
      <c r="F82" s="5">
        <v>0.77416223014475016</v>
      </c>
      <c r="G82" s="2">
        <f t="shared" si="9"/>
        <v>1.4879383699738562</v>
      </c>
      <c r="H82" s="4">
        <f>+H81+Tabla2[[#This Row],[Tiempo Entre]]</f>
        <v>438.27869932487658</v>
      </c>
      <c r="I82" s="5">
        <v>6.7116181882774906E-2</v>
      </c>
      <c r="J82" s="2">
        <f>+IF(Tabla2[[#This Row],[A2 ]]&lt;0.5,1,IF(Tabla2[[#This Row],[A2 ]]&lt;0.8,2,3))</f>
        <v>1</v>
      </c>
      <c r="L82" s="2" t="str">
        <f>+IF(AND(Tabla2[[#This Row],[Llegada]]&lt;=$B$16,P82&gt;0),1,"-")</f>
        <v>-</v>
      </c>
      <c r="M82" s="2" t="str">
        <f t="shared" si="10"/>
        <v>-</v>
      </c>
      <c r="N82" s="4" t="str">
        <f>+IF(L82=1,Tabla2[[#This Row],[Llegada]],"-")</f>
        <v>-</v>
      </c>
      <c r="O82" s="2" t="str">
        <f>+IF(L82=1,Tabla2[[#This Row],[Numero de integrantes]],"-")</f>
        <v>-</v>
      </c>
      <c r="P82" s="2">
        <f t="shared" si="11"/>
        <v>0</v>
      </c>
      <c r="Q82" s="2">
        <f>+IF(Tabla3[[#This Row],[Entra?]]=1,Q81+Tabla3[[#This Row],[Numero integrantes]],Q81)</f>
        <v>100</v>
      </c>
      <c r="S82" s="2">
        <f t="shared" si="12"/>
        <v>70</v>
      </c>
      <c r="T82" s="2">
        <f>+COUNTIF(Tabla3[Cuantos van],"&lt;"&amp;Tabla4[[#This Row],[Entidad]])+1</f>
        <v>38</v>
      </c>
      <c r="U82" s="2">
        <f>+INDEX(Tabla3[Llegada],Tabla4[[#This Row],[Grupo]])</f>
        <v>398.8492004583432</v>
      </c>
      <c r="V82" s="2">
        <f>+IF(Tabla4[[#This Row],[Hora llegada]]&gt;=Tabla4[[#This Row],[Disponibilidad M1]],0,1)</f>
        <v>1</v>
      </c>
      <c r="W82" s="2">
        <f>+IF(Tabla4[[#This Row],[Hora llegada]]&gt;=Tabla4[[#This Row],[Disponibilidad M2]],0,1)</f>
        <v>1</v>
      </c>
      <c r="X82" s="2">
        <f>+IF(Tabla4[[#This Row],[Hora llegada]]&gt;=Tabla4[[#This Row],[Disponibilidad M3]],0,1)</f>
        <v>1</v>
      </c>
      <c r="Y82" s="2" t="str">
        <f>+IF(Tabla5[[#This Row],[Quien me atiende]]=1,MAX(Tabla4[[#This Row],[Disponibilidad M1]],Tabla4[[#This Row],[Hora llegada]]),"-")</f>
        <v>-</v>
      </c>
      <c r="Z82" s="2" t="str">
        <f>+IF(Tabla5[[#This Row],[Quien me atiende]]=2,MAX(Tabla4[[#This Row],[Disponibilidad M2]],Tabla4[[#This Row],[Hora llegada]]),"-")</f>
        <v>-</v>
      </c>
      <c r="AA82" s="2">
        <f>+IF(Tabla5[[#This Row],[Quien me atiende]]=3,MAX(Tabla4[[#This Row],[Disponibilidad M3]],Tabla4[[#This Row],[Hora llegada]]),"-")</f>
        <v>456.63482944794652</v>
      </c>
      <c r="AB82" s="2">
        <f>+MAX($AG$13:AG81)</f>
        <v>461.80707872031104</v>
      </c>
      <c r="AC82" s="2">
        <f>+MAX($AH$13:AH81)</f>
        <v>456.66971801245194</v>
      </c>
      <c r="AD82" s="2">
        <f>+MAX($AI$13:AI81)</f>
        <v>456.63482944794652</v>
      </c>
      <c r="AE82" s="2">
        <v>0.66478295036287149</v>
      </c>
      <c r="AF82" s="2">
        <f>2+4.5*Tabla4[[#This Row],[A5]]</f>
        <v>4.9915232766329218</v>
      </c>
      <c r="AG82" s="2" t="str">
        <f>+IF(Tabla4[[#This Row],[Entrada M1]]="-","-",Tabla4[[#This Row],[Entrada M1]]+Tabla4[[#This Row],[Tiempo Atencion ]])</f>
        <v>-</v>
      </c>
      <c r="AH82" s="2" t="str">
        <f>+IF(Tabla4[[#This Row],[Entrada M2]]="-","-",Tabla4[[#This Row],[Entrada M2]]+Tabla4[[#This Row],[Tiempo Atencion ]])</f>
        <v>-</v>
      </c>
      <c r="AI82" s="2">
        <f>+IF(Tabla4[[#This Row],[Entrada M3]]="-","-",Tabla4[[#This Row],[Entrada M3]]+Tabla4[[#This Row],[Tiempo Atencion ]])</f>
        <v>461.62635272457942</v>
      </c>
      <c r="AJ82" s="11">
        <f>+MAX(Tabla4[[#This Row],[Salida M1]:[Salida M3]])</f>
        <v>461.62635272457942</v>
      </c>
      <c r="AK82" s="11" t="str">
        <f>+IF(Tabla4[[#This Row],[Salida]]&lt;=$B$17,"Entra","No Entra")</f>
        <v>Entra</v>
      </c>
      <c r="AL82" s="11">
        <f>+IF(Tabla4[[#This Row],[Entra  a la carrera]]="Entra",0,Tabla4[[#This Row],[Grupo]])</f>
        <v>0</v>
      </c>
      <c r="AM82" s="11">
        <f>_xlfn.IFNA(VLOOKUP(Tabla4[[#This Row],[Grupo]],Tabla4[Grupos por fuera],1,FALSE),0)</f>
        <v>0</v>
      </c>
      <c r="AN82" s="11" t="str">
        <f>+IF(Tabla4[[#This Row],[Me salgo por mi amigo el lento?]]=0, "Entra", "Chao")</f>
        <v>Entra</v>
      </c>
      <c r="AO82" s="11">
        <f>+IF(Tabla4[[#This Row],[Al fin entra o no]]="Entra",MAX($AO$13:AO81)+1,"")</f>
        <v>70</v>
      </c>
      <c r="AP82" s="11">
        <f>+Tabla4[[#This Row],[Entidad]]</f>
        <v>70</v>
      </c>
      <c r="AR82">
        <v>0.3798108231568833</v>
      </c>
      <c r="AS82">
        <f>+IF(Tabla5[[#This Row],[A3]]&lt;0.5,2,3)</f>
        <v>2</v>
      </c>
      <c r="AT82">
        <f>+IF(Tabla5[[#This Row],[A3]]&lt;0.5,1,3)</f>
        <v>1</v>
      </c>
      <c r="AU82">
        <f>+IF(Tabla5[[#This Row],[A3]]&lt;0.5,1,2)</f>
        <v>1</v>
      </c>
      <c r="AV82" s="6">
        <f>+IF(Tabla5[[#This Row],[A3]]&lt;0.33,1,IF(Tabla5[[#This Row],[A3]]&lt;0.66,2,3))</f>
        <v>2</v>
      </c>
      <c r="AW8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82" s="6">
        <f>+SUM(Tabla4[[#This Row],[Ocupacion M1]:[Ocupacion M3]])</f>
        <v>3</v>
      </c>
      <c r="AY82" s="6">
        <f>+IF(Tabla4[[#This Row],[Ocupacion M1]]=1,1,IF(Tabla4[[#This Row],[Ocupacion M2]]=1,2,3))</f>
        <v>1</v>
      </c>
      <c r="AZ82" s="6">
        <f>+INDEX(Tabla5[[#This Row],[Si 1 esta ocupado]:[Si 3 esta ocupado]],Tabla5[[#This Row],[Estado si = 1]])</f>
        <v>2</v>
      </c>
      <c r="BA82" s="6">
        <f>+IF(Tabla4[[#This Row],[Ocupacion M1]]= 0,1,IF(Tabla4[[#This Row],[Ocupacion M2]]=0,2,3))</f>
        <v>3</v>
      </c>
      <c r="BB8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82">
        <f t="shared" si="13"/>
        <v>70</v>
      </c>
      <c r="BE82">
        <f>+IF(Tabla6[[#This Row],[Indice]]="","",VLOOKUP(Tabla6[[#This Row],[Indice]],Tabla4[[Corre]:[Entidad2]],2))</f>
        <v>70</v>
      </c>
      <c r="BF82">
        <f>IFERROR(+INDEX(Tabla4[Grupo],Tabla6[[#This Row],[Entidad]]),"")</f>
        <v>38</v>
      </c>
      <c r="BG82">
        <f t="shared" si="8"/>
        <v>480</v>
      </c>
      <c r="BH82">
        <v>0.6263985523989738</v>
      </c>
      <c r="BI82">
        <f>20+70*Tabla6[[#This Row],[A6]]</f>
        <v>63.847898667928163</v>
      </c>
      <c r="BJ82">
        <f>+IF(Tabla6[[#This Row],[Indice]]="","",Tabla6[[#This Row],[Empieza]]+Tabla6[[#This Row],[Tiempo carrera ]])</f>
        <v>543.84789866792812</v>
      </c>
      <c r="BK82" s="6">
        <f>IF(Tabla6[[#This Row],[Termina la carrera]]="","",IF(Tabla6[[#This Row],[Termina la carrera]]&gt;540,1,0))</f>
        <v>1</v>
      </c>
      <c r="BL82" s="6">
        <f>+IF(OR(Tabla6[[#This Row],[Despues de las 9]]=0,Tabla6[[#This Row],[Despues de las 9]]=""),"",Tabla6[[#This Row],[Despues de las 9]]*Tabla6[[#This Row],[Grupo ]])</f>
        <v>38</v>
      </c>
      <c r="BM82" s="6" t="str">
        <f>+IF(Tabla6[[#This Row],[grupo  despues de las 9]]="","",IF(MAX($BL$13:BL81)=Tabla6[[#This Row],[grupo  despues de las 9]],"",1))</f>
        <v/>
      </c>
    </row>
    <row r="83" spans="5:65" x14ac:dyDescent="0.25">
      <c r="E83" s="2">
        <v>71</v>
      </c>
      <c r="F83" s="5">
        <v>0.92247987799057163</v>
      </c>
      <c r="G83" s="2">
        <f t="shared" si="9"/>
        <v>2.5572177374918303</v>
      </c>
      <c r="H83" s="4">
        <f>+H82+Tabla2[[#This Row],[Tiempo Entre]]</f>
        <v>440.83591706236842</v>
      </c>
      <c r="I83" s="5">
        <v>2.225997576350236E-2</v>
      </c>
      <c r="J83" s="2">
        <f>+IF(Tabla2[[#This Row],[A2 ]]&lt;0.5,1,IF(Tabla2[[#This Row],[A2 ]]&lt;0.8,2,3))</f>
        <v>1</v>
      </c>
      <c r="L83" s="2" t="str">
        <f>+IF(AND(Tabla2[[#This Row],[Llegada]]&lt;=$B$16,P83&gt;0),1,"-")</f>
        <v>-</v>
      </c>
      <c r="M83" s="2" t="str">
        <f t="shared" si="10"/>
        <v>-</v>
      </c>
      <c r="N83" s="4" t="str">
        <f>+IF(L83=1,Tabla2[[#This Row],[Llegada]],"-")</f>
        <v>-</v>
      </c>
      <c r="O83" s="2" t="str">
        <f>+IF(L83=1,Tabla2[[#This Row],[Numero de integrantes]],"-")</f>
        <v>-</v>
      </c>
      <c r="P83" s="2">
        <f t="shared" si="11"/>
        <v>0</v>
      </c>
      <c r="Q83" s="2">
        <f>+IF(Tabla3[[#This Row],[Entra?]]=1,Q82+Tabla3[[#This Row],[Numero integrantes]],Q82)</f>
        <v>100</v>
      </c>
      <c r="S83" s="2">
        <f t="shared" si="12"/>
        <v>71</v>
      </c>
      <c r="T83" s="2">
        <f>+COUNTIF(Tabla3[Cuantos van],"&lt;"&amp;Tabla4[[#This Row],[Entidad]])+1</f>
        <v>39</v>
      </c>
      <c r="U83" s="2">
        <f>+INDEX(Tabla3[Llegada],Tabla4[[#This Row],[Grupo]])</f>
        <v>398.95877046890121</v>
      </c>
      <c r="V83" s="2">
        <f>+IF(Tabla4[[#This Row],[Hora llegada]]&gt;=Tabla4[[#This Row],[Disponibilidad M1]],0,1)</f>
        <v>1</v>
      </c>
      <c r="W83" s="2">
        <f>+IF(Tabla4[[#This Row],[Hora llegada]]&gt;=Tabla4[[#This Row],[Disponibilidad M2]],0,1)</f>
        <v>1</v>
      </c>
      <c r="X83" s="2">
        <f>+IF(Tabla4[[#This Row],[Hora llegada]]&gt;=Tabla4[[#This Row],[Disponibilidad M3]],0,1)</f>
        <v>1</v>
      </c>
      <c r="Y83" s="2" t="str">
        <f>+IF(Tabla5[[#This Row],[Quien me atiende]]=1,MAX(Tabla4[[#This Row],[Disponibilidad M1]],Tabla4[[#This Row],[Hora llegada]]),"-")</f>
        <v>-</v>
      </c>
      <c r="Z83" s="2">
        <f>+IF(Tabla5[[#This Row],[Quien me atiende]]=2,MAX(Tabla4[[#This Row],[Disponibilidad M2]],Tabla4[[#This Row],[Hora llegada]]),"-")</f>
        <v>456.66971801245194</v>
      </c>
      <c r="AA83" s="2" t="str">
        <f>+IF(Tabla5[[#This Row],[Quien me atiende]]=3,MAX(Tabla4[[#This Row],[Disponibilidad M3]],Tabla4[[#This Row],[Hora llegada]]),"-")</f>
        <v>-</v>
      </c>
      <c r="AB83" s="2">
        <f>+MAX($AG$13:AG82)</f>
        <v>461.80707872031104</v>
      </c>
      <c r="AC83" s="2">
        <f>+MAX($AH$13:AH82)</f>
        <v>456.66971801245194</v>
      </c>
      <c r="AD83" s="2">
        <f>+MAX($AI$13:AI82)</f>
        <v>461.62635272457942</v>
      </c>
      <c r="AE83" s="2">
        <v>0.68659485708804335</v>
      </c>
      <c r="AF83" s="2">
        <f>2+4.5*Tabla4[[#This Row],[A5]]</f>
        <v>5.0896768568961956</v>
      </c>
      <c r="AG83" s="2" t="str">
        <f>+IF(Tabla4[[#This Row],[Entrada M1]]="-","-",Tabla4[[#This Row],[Entrada M1]]+Tabla4[[#This Row],[Tiempo Atencion ]])</f>
        <v>-</v>
      </c>
      <c r="AH83" s="2">
        <f>+IF(Tabla4[[#This Row],[Entrada M2]]="-","-",Tabla4[[#This Row],[Entrada M2]]+Tabla4[[#This Row],[Tiempo Atencion ]])</f>
        <v>461.75939486934811</v>
      </c>
      <c r="AI83" s="2" t="str">
        <f>+IF(Tabla4[[#This Row],[Entrada M3]]="-","-",Tabla4[[#This Row],[Entrada M3]]+Tabla4[[#This Row],[Tiempo Atencion ]])</f>
        <v>-</v>
      </c>
      <c r="AJ83" s="11">
        <f>+MAX(Tabla4[[#This Row],[Salida M1]:[Salida M3]])</f>
        <v>461.75939486934811</v>
      </c>
      <c r="AK83" s="11" t="str">
        <f>+IF(Tabla4[[#This Row],[Salida]]&lt;=$B$17,"Entra","No Entra")</f>
        <v>Entra</v>
      </c>
      <c r="AL83" s="11">
        <f>+IF(Tabla4[[#This Row],[Entra  a la carrera]]="Entra",0,Tabla4[[#This Row],[Grupo]])</f>
        <v>0</v>
      </c>
      <c r="AM83" s="11">
        <f>_xlfn.IFNA(VLOOKUP(Tabla4[[#This Row],[Grupo]],Tabla4[Grupos por fuera],1,FALSE),0)</f>
        <v>0</v>
      </c>
      <c r="AN83" s="11" t="str">
        <f>+IF(Tabla4[[#This Row],[Me salgo por mi amigo el lento?]]=0, "Entra", "Chao")</f>
        <v>Entra</v>
      </c>
      <c r="AO83" s="11">
        <f>+IF(Tabla4[[#This Row],[Al fin entra o no]]="Entra",MAX($AO$13:AO82)+1,"")</f>
        <v>71</v>
      </c>
      <c r="AP83" s="11">
        <f>+Tabla4[[#This Row],[Entidad]]</f>
        <v>71</v>
      </c>
      <c r="AR83">
        <v>0.69628553184995601</v>
      </c>
      <c r="AS83">
        <f>+IF(Tabla5[[#This Row],[A3]]&lt;0.5,2,3)</f>
        <v>3</v>
      </c>
      <c r="AT83">
        <f>+IF(Tabla5[[#This Row],[A3]]&lt;0.5,1,3)</f>
        <v>3</v>
      </c>
      <c r="AU83">
        <f>+IF(Tabla5[[#This Row],[A3]]&lt;0.5,1,2)</f>
        <v>2</v>
      </c>
      <c r="AV83" s="6">
        <f>+IF(Tabla5[[#This Row],[A3]]&lt;0.33,1,IF(Tabla5[[#This Row],[A3]]&lt;0.66,2,3))</f>
        <v>3</v>
      </c>
      <c r="AW8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83" s="6">
        <f>+SUM(Tabla4[[#This Row],[Ocupacion M1]:[Ocupacion M3]])</f>
        <v>3</v>
      </c>
      <c r="AY83" s="6">
        <f>+IF(Tabla4[[#This Row],[Ocupacion M1]]=1,1,IF(Tabla4[[#This Row],[Ocupacion M2]]=1,2,3))</f>
        <v>1</v>
      </c>
      <c r="AZ83" s="6">
        <f>+INDEX(Tabla5[[#This Row],[Si 1 esta ocupado]:[Si 3 esta ocupado]],Tabla5[[#This Row],[Estado si = 1]])</f>
        <v>3</v>
      </c>
      <c r="BA83" s="6">
        <f>+IF(Tabla4[[#This Row],[Ocupacion M1]]= 0,1,IF(Tabla4[[#This Row],[Ocupacion M2]]=0,2,3))</f>
        <v>3</v>
      </c>
      <c r="BB8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83">
        <f t="shared" si="13"/>
        <v>71</v>
      </c>
      <c r="BE83">
        <f>+IF(Tabla6[[#This Row],[Indice]]="","",VLOOKUP(Tabla6[[#This Row],[Indice]],Tabla4[[Corre]:[Entidad2]],2))</f>
        <v>71</v>
      </c>
      <c r="BF83">
        <f>IFERROR(+INDEX(Tabla4[Grupo],Tabla6[[#This Row],[Entidad]]),"")</f>
        <v>39</v>
      </c>
      <c r="BG83">
        <f t="shared" si="8"/>
        <v>480</v>
      </c>
      <c r="BH83">
        <v>0.86344442459312543</v>
      </c>
      <c r="BI83">
        <f>20+70*Tabla6[[#This Row],[A6]]</f>
        <v>80.441109721518785</v>
      </c>
      <c r="BJ83">
        <f>+IF(Tabla6[[#This Row],[Indice]]="","",Tabla6[[#This Row],[Empieza]]+Tabla6[[#This Row],[Tiempo carrera ]])</f>
        <v>560.44110972151884</v>
      </c>
      <c r="BK83" s="6">
        <f>IF(Tabla6[[#This Row],[Termina la carrera]]="","",IF(Tabla6[[#This Row],[Termina la carrera]]&gt;540,1,0))</f>
        <v>1</v>
      </c>
      <c r="BL83" s="6">
        <f>+IF(OR(Tabla6[[#This Row],[Despues de las 9]]=0,Tabla6[[#This Row],[Despues de las 9]]=""),"",Tabla6[[#This Row],[Despues de las 9]]*Tabla6[[#This Row],[Grupo ]])</f>
        <v>39</v>
      </c>
      <c r="BM83" s="6">
        <f>+IF(Tabla6[[#This Row],[grupo  despues de las 9]]="","",IF(MAX($BL$13:BL82)=Tabla6[[#This Row],[grupo  despues de las 9]],"",1))</f>
        <v>1</v>
      </c>
    </row>
    <row r="84" spans="5:65" x14ac:dyDescent="0.25">
      <c r="E84" s="2">
        <v>72</v>
      </c>
      <c r="F84" s="5">
        <v>0.21855863199439307</v>
      </c>
      <c r="G84" s="2">
        <f t="shared" si="9"/>
        <v>0.24661515687995847</v>
      </c>
      <c r="H84" s="4">
        <f>+H83+Tabla2[[#This Row],[Tiempo Entre]]</f>
        <v>441.08253221924838</v>
      </c>
      <c r="I84" s="5">
        <v>0.50390661474266119</v>
      </c>
      <c r="J84" s="2">
        <f>+IF(Tabla2[[#This Row],[A2 ]]&lt;0.5,1,IF(Tabla2[[#This Row],[A2 ]]&lt;0.8,2,3))</f>
        <v>2</v>
      </c>
      <c r="L84" s="2" t="str">
        <f>+IF(AND(Tabla2[[#This Row],[Llegada]]&lt;=$B$16,P84&gt;0),1,"-")</f>
        <v>-</v>
      </c>
      <c r="M84" s="2" t="str">
        <f t="shared" si="10"/>
        <v>-</v>
      </c>
      <c r="N84" s="4" t="str">
        <f>+IF(L84=1,Tabla2[[#This Row],[Llegada]],"-")</f>
        <v>-</v>
      </c>
      <c r="O84" s="2" t="str">
        <f>+IF(L84=1,Tabla2[[#This Row],[Numero de integrantes]],"-")</f>
        <v>-</v>
      </c>
      <c r="P84" s="2">
        <f t="shared" si="11"/>
        <v>0</v>
      </c>
      <c r="Q84" s="2">
        <f>+IF(Tabla3[[#This Row],[Entra?]]=1,Q83+Tabla3[[#This Row],[Numero integrantes]],Q83)</f>
        <v>100</v>
      </c>
      <c r="S84" s="2">
        <f t="shared" si="12"/>
        <v>72</v>
      </c>
      <c r="T84" s="2">
        <f>+COUNTIF(Tabla3[Cuantos van],"&lt;"&amp;Tabla4[[#This Row],[Entidad]])+1</f>
        <v>40</v>
      </c>
      <c r="U84" s="2">
        <f>+INDEX(Tabla3[Llegada],Tabla4[[#This Row],[Grupo]])</f>
        <v>401.15709514775915</v>
      </c>
      <c r="V84" s="2">
        <f>+IF(Tabla4[[#This Row],[Hora llegada]]&gt;=Tabla4[[#This Row],[Disponibilidad M1]],0,1)</f>
        <v>1</v>
      </c>
      <c r="W84" s="2">
        <f>+IF(Tabla4[[#This Row],[Hora llegada]]&gt;=Tabla4[[#This Row],[Disponibilidad M2]],0,1)</f>
        <v>1</v>
      </c>
      <c r="X84" s="2">
        <f>+IF(Tabla4[[#This Row],[Hora llegada]]&gt;=Tabla4[[#This Row],[Disponibilidad M3]],0,1)</f>
        <v>1</v>
      </c>
      <c r="Y84" s="2" t="str">
        <f>+IF(Tabla5[[#This Row],[Quien me atiende]]=1,MAX(Tabla4[[#This Row],[Disponibilidad M1]],Tabla4[[#This Row],[Hora llegada]]),"-")</f>
        <v>-</v>
      </c>
      <c r="Z84" s="2" t="str">
        <f>+IF(Tabla5[[#This Row],[Quien me atiende]]=2,MAX(Tabla4[[#This Row],[Disponibilidad M2]],Tabla4[[#This Row],[Hora llegada]]),"-")</f>
        <v>-</v>
      </c>
      <c r="AA84" s="2">
        <f>+IF(Tabla5[[#This Row],[Quien me atiende]]=3,MAX(Tabla4[[#This Row],[Disponibilidad M3]],Tabla4[[#This Row],[Hora llegada]]),"-")</f>
        <v>461.62635272457942</v>
      </c>
      <c r="AB84" s="2">
        <f>+MAX($AG$13:AG83)</f>
        <v>461.80707872031104</v>
      </c>
      <c r="AC84" s="2">
        <f>+MAX($AH$13:AH83)</f>
        <v>461.75939486934811</v>
      </c>
      <c r="AD84" s="2">
        <f>+MAX($AI$13:AI83)</f>
        <v>461.62635272457942</v>
      </c>
      <c r="AE84" s="2">
        <v>0.98411806654896727</v>
      </c>
      <c r="AF84" s="2">
        <f>2+4.5*Tabla4[[#This Row],[A5]]</f>
        <v>6.428531299470353</v>
      </c>
      <c r="AG84" s="2" t="str">
        <f>+IF(Tabla4[[#This Row],[Entrada M1]]="-","-",Tabla4[[#This Row],[Entrada M1]]+Tabla4[[#This Row],[Tiempo Atencion ]])</f>
        <v>-</v>
      </c>
      <c r="AH84" s="2" t="str">
        <f>+IF(Tabla4[[#This Row],[Entrada M2]]="-","-",Tabla4[[#This Row],[Entrada M2]]+Tabla4[[#This Row],[Tiempo Atencion ]])</f>
        <v>-</v>
      </c>
      <c r="AI84" s="2">
        <f>+IF(Tabla4[[#This Row],[Entrada M3]]="-","-",Tabla4[[#This Row],[Entrada M3]]+Tabla4[[#This Row],[Tiempo Atencion ]])</f>
        <v>468.05488402404978</v>
      </c>
      <c r="AJ84" s="11">
        <f>+MAX(Tabla4[[#This Row],[Salida M1]:[Salida M3]])</f>
        <v>468.05488402404978</v>
      </c>
      <c r="AK84" s="11" t="str">
        <f>+IF(Tabla4[[#This Row],[Salida]]&lt;=$B$17,"Entra","No Entra")</f>
        <v>Entra</v>
      </c>
      <c r="AL84" s="11">
        <f>+IF(Tabla4[[#This Row],[Entra  a la carrera]]="Entra",0,Tabla4[[#This Row],[Grupo]])</f>
        <v>0</v>
      </c>
      <c r="AM84" s="11">
        <f>_xlfn.IFNA(VLOOKUP(Tabla4[[#This Row],[Grupo]],Tabla4[Grupos por fuera],1,FALSE),0)</f>
        <v>0</v>
      </c>
      <c r="AN84" s="11" t="str">
        <f>+IF(Tabla4[[#This Row],[Me salgo por mi amigo el lento?]]=0, "Entra", "Chao")</f>
        <v>Entra</v>
      </c>
      <c r="AO84" s="11">
        <f>+IF(Tabla4[[#This Row],[Al fin entra o no]]="Entra",MAX($AO$13:AO83)+1,"")</f>
        <v>72</v>
      </c>
      <c r="AP84" s="11">
        <f>+Tabla4[[#This Row],[Entidad]]</f>
        <v>72</v>
      </c>
      <c r="AR84">
        <v>0.1903891368442</v>
      </c>
      <c r="AS84">
        <f>+IF(Tabla5[[#This Row],[A3]]&lt;0.5,2,3)</f>
        <v>2</v>
      </c>
      <c r="AT84">
        <f>+IF(Tabla5[[#This Row],[A3]]&lt;0.5,1,3)</f>
        <v>1</v>
      </c>
      <c r="AU84">
        <f>+IF(Tabla5[[#This Row],[A3]]&lt;0.5,1,2)</f>
        <v>1</v>
      </c>
      <c r="AV84" s="6">
        <f>+IF(Tabla5[[#This Row],[A3]]&lt;0.33,1,IF(Tabla5[[#This Row],[A3]]&lt;0.66,2,3))</f>
        <v>1</v>
      </c>
      <c r="AW8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84" s="6">
        <f>+SUM(Tabla4[[#This Row],[Ocupacion M1]:[Ocupacion M3]])</f>
        <v>3</v>
      </c>
      <c r="AY84" s="6">
        <f>+IF(Tabla4[[#This Row],[Ocupacion M1]]=1,1,IF(Tabla4[[#This Row],[Ocupacion M2]]=1,2,3))</f>
        <v>1</v>
      </c>
      <c r="AZ84" s="6">
        <f>+INDEX(Tabla5[[#This Row],[Si 1 esta ocupado]:[Si 3 esta ocupado]],Tabla5[[#This Row],[Estado si = 1]])</f>
        <v>2</v>
      </c>
      <c r="BA84" s="6">
        <f>+IF(Tabla4[[#This Row],[Ocupacion M1]]= 0,1,IF(Tabla4[[#This Row],[Ocupacion M2]]=0,2,3))</f>
        <v>3</v>
      </c>
      <c r="BB8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84">
        <f t="shared" si="13"/>
        <v>72</v>
      </c>
      <c r="BE84">
        <f>+IF(Tabla6[[#This Row],[Indice]]="","",VLOOKUP(Tabla6[[#This Row],[Indice]],Tabla4[[Corre]:[Entidad2]],2))</f>
        <v>72</v>
      </c>
      <c r="BF84">
        <f>IFERROR(+INDEX(Tabla4[Grupo],Tabla6[[#This Row],[Entidad]]),"")</f>
        <v>40</v>
      </c>
      <c r="BG84">
        <f t="shared" si="8"/>
        <v>480</v>
      </c>
      <c r="BH84">
        <v>0.90563179848223874</v>
      </c>
      <c r="BI84">
        <f>20+70*Tabla6[[#This Row],[A6]]</f>
        <v>83.394225893756712</v>
      </c>
      <c r="BJ84">
        <f>+IF(Tabla6[[#This Row],[Indice]]="","",Tabla6[[#This Row],[Empieza]]+Tabla6[[#This Row],[Tiempo carrera ]])</f>
        <v>563.3942258937567</v>
      </c>
      <c r="BK84" s="6">
        <f>IF(Tabla6[[#This Row],[Termina la carrera]]="","",IF(Tabla6[[#This Row],[Termina la carrera]]&gt;540,1,0))</f>
        <v>1</v>
      </c>
      <c r="BL84" s="6">
        <f>+IF(OR(Tabla6[[#This Row],[Despues de las 9]]=0,Tabla6[[#This Row],[Despues de las 9]]=""),"",Tabla6[[#This Row],[Despues de las 9]]*Tabla6[[#This Row],[Grupo ]])</f>
        <v>40</v>
      </c>
      <c r="BM84" s="6">
        <f>+IF(Tabla6[[#This Row],[grupo  despues de las 9]]="","",IF(MAX($BL$13:BL83)=Tabla6[[#This Row],[grupo  despues de las 9]],"",1))</f>
        <v>1</v>
      </c>
    </row>
    <row r="85" spans="5:65" x14ac:dyDescent="0.25">
      <c r="E85" s="2">
        <v>73</v>
      </c>
      <c r="F85" s="5">
        <v>0.29776771849321015</v>
      </c>
      <c r="G85" s="2">
        <f t="shared" si="9"/>
        <v>0.35349104434949902</v>
      </c>
      <c r="H85" s="4">
        <f>+H84+Tabla2[[#This Row],[Tiempo Entre]]</f>
        <v>441.43602326359786</v>
      </c>
      <c r="I85" s="5">
        <v>0.86869817373979863</v>
      </c>
      <c r="J85" s="2">
        <f>+IF(Tabla2[[#This Row],[A2 ]]&lt;0.5,1,IF(Tabla2[[#This Row],[A2 ]]&lt;0.8,2,3))</f>
        <v>3</v>
      </c>
      <c r="L85" s="2" t="str">
        <f>+IF(AND(Tabla2[[#This Row],[Llegada]]&lt;=$B$16,P85&gt;0),1,"-")</f>
        <v>-</v>
      </c>
      <c r="M85" s="2" t="str">
        <f t="shared" si="10"/>
        <v>-</v>
      </c>
      <c r="N85" s="4" t="str">
        <f>+IF(L85=1,Tabla2[[#This Row],[Llegada]],"-")</f>
        <v>-</v>
      </c>
      <c r="O85" s="2" t="str">
        <f>+IF(L85=1,Tabla2[[#This Row],[Numero de integrantes]],"-")</f>
        <v>-</v>
      </c>
      <c r="P85" s="2">
        <f t="shared" si="11"/>
        <v>0</v>
      </c>
      <c r="Q85" s="2">
        <f>+IF(Tabla3[[#This Row],[Entra?]]=1,Q84+Tabla3[[#This Row],[Numero integrantes]],Q84)</f>
        <v>100</v>
      </c>
      <c r="S85" s="2">
        <f t="shared" si="12"/>
        <v>73</v>
      </c>
      <c r="T85" s="2">
        <f>+COUNTIF(Tabla3[Cuantos van],"&lt;"&amp;Tabla4[[#This Row],[Entidad]])+1</f>
        <v>40</v>
      </c>
      <c r="U85" s="2">
        <f>+INDEX(Tabla3[Llegada],Tabla4[[#This Row],[Grupo]])</f>
        <v>401.15709514775915</v>
      </c>
      <c r="V85" s="2">
        <f>+IF(Tabla4[[#This Row],[Hora llegada]]&gt;=Tabla4[[#This Row],[Disponibilidad M1]],0,1)</f>
        <v>1</v>
      </c>
      <c r="W85" s="2">
        <f>+IF(Tabla4[[#This Row],[Hora llegada]]&gt;=Tabla4[[#This Row],[Disponibilidad M2]],0,1)</f>
        <v>1</v>
      </c>
      <c r="X85" s="2">
        <f>+IF(Tabla4[[#This Row],[Hora llegada]]&gt;=Tabla4[[#This Row],[Disponibilidad M3]],0,1)</f>
        <v>1</v>
      </c>
      <c r="Y85" s="2" t="str">
        <f>+IF(Tabla5[[#This Row],[Quien me atiende]]=1,MAX(Tabla4[[#This Row],[Disponibilidad M1]],Tabla4[[#This Row],[Hora llegada]]),"-")</f>
        <v>-</v>
      </c>
      <c r="Z85" s="2">
        <f>+IF(Tabla5[[#This Row],[Quien me atiende]]=2,MAX(Tabla4[[#This Row],[Disponibilidad M2]],Tabla4[[#This Row],[Hora llegada]]),"-")</f>
        <v>461.75939486934811</v>
      </c>
      <c r="AA85" s="2" t="str">
        <f>+IF(Tabla5[[#This Row],[Quien me atiende]]=3,MAX(Tabla4[[#This Row],[Disponibilidad M3]],Tabla4[[#This Row],[Hora llegada]]),"-")</f>
        <v>-</v>
      </c>
      <c r="AB85" s="2">
        <f>+MAX($AG$13:AG84)</f>
        <v>461.80707872031104</v>
      </c>
      <c r="AC85" s="2">
        <f>+MAX($AH$13:AH84)</f>
        <v>461.75939486934811</v>
      </c>
      <c r="AD85" s="2">
        <f>+MAX($AI$13:AI84)</f>
        <v>468.05488402404978</v>
      </c>
      <c r="AE85" s="2">
        <v>0.21167356802475934</v>
      </c>
      <c r="AF85" s="2">
        <f>2+4.5*Tabla4[[#This Row],[A5]]</f>
        <v>2.9525310561114173</v>
      </c>
      <c r="AG85" s="2" t="str">
        <f>+IF(Tabla4[[#This Row],[Entrada M1]]="-","-",Tabla4[[#This Row],[Entrada M1]]+Tabla4[[#This Row],[Tiempo Atencion ]])</f>
        <v>-</v>
      </c>
      <c r="AH85" s="2">
        <f>+IF(Tabla4[[#This Row],[Entrada M2]]="-","-",Tabla4[[#This Row],[Entrada M2]]+Tabla4[[#This Row],[Tiempo Atencion ]])</f>
        <v>464.71192592545952</v>
      </c>
      <c r="AI85" s="2" t="str">
        <f>+IF(Tabla4[[#This Row],[Entrada M3]]="-","-",Tabla4[[#This Row],[Entrada M3]]+Tabla4[[#This Row],[Tiempo Atencion ]])</f>
        <v>-</v>
      </c>
      <c r="AJ85" s="11">
        <f>+MAX(Tabla4[[#This Row],[Salida M1]:[Salida M3]])</f>
        <v>464.71192592545952</v>
      </c>
      <c r="AK85" s="11" t="str">
        <f>+IF(Tabla4[[#This Row],[Salida]]&lt;=$B$17,"Entra","No Entra")</f>
        <v>Entra</v>
      </c>
      <c r="AL85" s="11">
        <f>+IF(Tabla4[[#This Row],[Entra  a la carrera]]="Entra",0,Tabla4[[#This Row],[Grupo]])</f>
        <v>0</v>
      </c>
      <c r="AM85" s="11">
        <f>_xlfn.IFNA(VLOOKUP(Tabla4[[#This Row],[Grupo]],Tabla4[Grupos por fuera],1,FALSE),0)</f>
        <v>0</v>
      </c>
      <c r="AN85" s="11" t="str">
        <f>+IF(Tabla4[[#This Row],[Me salgo por mi amigo el lento?]]=0, "Entra", "Chao")</f>
        <v>Entra</v>
      </c>
      <c r="AO85" s="11">
        <f>+IF(Tabla4[[#This Row],[Al fin entra o no]]="Entra",MAX($AO$13:AO84)+1,"")</f>
        <v>73</v>
      </c>
      <c r="AP85" s="11">
        <f>+Tabla4[[#This Row],[Entidad]]</f>
        <v>73</v>
      </c>
      <c r="AR85">
        <v>0.38494759577290094</v>
      </c>
      <c r="AS85">
        <f>+IF(Tabla5[[#This Row],[A3]]&lt;0.5,2,3)</f>
        <v>2</v>
      </c>
      <c r="AT85">
        <f>+IF(Tabla5[[#This Row],[A3]]&lt;0.5,1,3)</f>
        <v>1</v>
      </c>
      <c r="AU85">
        <f>+IF(Tabla5[[#This Row],[A3]]&lt;0.5,1,2)</f>
        <v>1</v>
      </c>
      <c r="AV85" s="6">
        <f>+IF(Tabla5[[#This Row],[A3]]&lt;0.33,1,IF(Tabla5[[#This Row],[A3]]&lt;0.66,2,3))</f>
        <v>2</v>
      </c>
      <c r="AW8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85" s="6">
        <f>+SUM(Tabla4[[#This Row],[Ocupacion M1]:[Ocupacion M3]])</f>
        <v>3</v>
      </c>
      <c r="AY85" s="6">
        <f>+IF(Tabla4[[#This Row],[Ocupacion M1]]=1,1,IF(Tabla4[[#This Row],[Ocupacion M2]]=1,2,3))</f>
        <v>1</v>
      </c>
      <c r="AZ85" s="6">
        <f>+INDEX(Tabla5[[#This Row],[Si 1 esta ocupado]:[Si 3 esta ocupado]],Tabla5[[#This Row],[Estado si = 1]])</f>
        <v>2</v>
      </c>
      <c r="BA85" s="6">
        <f>+IF(Tabla4[[#This Row],[Ocupacion M1]]= 0,1,IF(Tabla4[[#This Row],[Ocupacion M2]]=0,2,3))</f>
        <v>3</v>
      </c>
      <c r="BB8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85">
        <f t="shared" si="13"/>
        <v>73</v>
      </c>
      <c r="BE85">
        <f>+IF(Tabla6[[#This Row],[Indice]]="","",VLOOKUP(Tabla6[[#This Row],[Indice]],Tabla4[[Corre]:[Entidad2]],2))</f>
        <v>73</v>
      </c>
      <c r="BF85">
        <f>IFERROR(+INDEX(Tabla4[Grupo],Tabla6[[#This Row],[Entidad]]),"")</f>
        <v>40</v>
      </c>
      <c r="BG85">
        <f t="shared" si="8"/>
        <v>480</v>
      </c>
      <c r="BH85">
        <v>0.25416872491230735</v>
      </c>
      <c r="BI85">
        <f>20+70*Tabla6[[#This Row],[A6]]</f>
        <v>37.791810743861518</v>
      </c>
      <c r="BJ85">
        <f>+IF(Tabla6[[#This Row],[Indice]]="","",Tabla6[[#This Row],[Empieza]]+Tabla6[[#This Row],[Tiempo carrera ]])</f>
        <v>517.79181074386156</v>
      </c>
      <c r="BK85" s="6">
        <f>IF(Tabla6[[#This Row],[Termina la carrera]]="","",IF(Tabla6[[#This Row],[Termina la carrera]]&gt;540,1,0))</f>
        <v>0</v>
      </c>
      <c r="BL85" s="6" t="str">
        <f>+IF(OR(Tabla6[[#This Row],[Despues de las 9]]=0,Tabla6[[#This Row],[Despues de las 9]]=""),"",Tabla6[[#This Row],[Despues de las 9]]*Tabla6[[#This Row],[Grupo ]])</f>
        <v/>
      </c>
      <c r="BM85" s="6" t="str">
        <f>+IF(Tabla6[[#This Row],[grupo  despues de las 9]]="","",IF(MAX($BL$13:BL84)=Tabla6[[#This Row],[grupo  despues de las 9]],"",1))</f>
        <v/>
      </c>
    </row>
    <row r="86" spans="5:65" x14ac:dyDescent="0.25">
      <c r="E86" s="2">
        <v>74</v>
      </c>
      <c r="F86" s="5">
        <v>0.59371888113898774</v>
      </c>
      <c r="G86" s="2">
        <f t="shared" si="9"/>
        <v>0.90070994799857995</v>
      </c>
      <c r="H86" s="4">
        <f>+H85+Tabla2[[#This Row],[Tiempo Entre]]</f>
        <v>442.33673321159642</v>
      </c>
      <c r="I86" s="5">
        <v>0.4412223734815609</v>
      </c>
      <c r="J86" s="2">
        <f>+IF(Tabla2[[#This Row],[A2 ]]&lt;0.5,1,IF(Tabla2[[#This Row],[A2 ]]&lt;0.8,2,3))</f>
        <v>1</v>
      </c>
      <c r="L86" s="2" t="str">
        <f>+IF(AND(Tabla2[[#This Row],[Llegada]]&lt;=$B$16,P86&gt;0),1,"-")</f>
        <v>-</v>
      </c>
      <c r="M86" s="2" t="str">
        <f t="shared" si="10"/>
        <v>-</v>
      </c>
      <c r="N86" s="4" t="str">
        <f>+IF(L86=1,Tabla2[[#This Row],[Llegada]],"-")</f>
        <v>-</v>
      </c>
      <c r="O86" s="2" t="str">
        <f>+IF(L86=1,Tabla2[[#This Row],[Numero de integrantes]],"-")</f>
        <v>-</v>
      </c>
      <c r="P86" s="2">
        <f t="shared" si="11"/>
        <v>0</v>
      </c>
      <c r="Q86" s="2">
        <f>+IF(Tabla3[[#This Row],[Entra?]]=1,Q85+Tabla3[[#This Row],[Numero integrantes]],Q85)</f>
        <v>100</v>
      </c>
      <c r="S86" s="2">
        <f t="shared" si="12"/>
        <v>74</v>
      </c>
      <c r="T86" s="2">
        <f>+COUNTIF(Tabla3[Cuantos van],"&lt;"&amp;Tabla4[[#This Row],[Entidad]])+1</f>
        <v>41</v>
      </c>
      <c r="U86" s="2">
        <f>+INDEX(Tabla3[Llegada],Tabla4[[#This Row],[Grupo]])</f>
        <v>401.58258490061093</v>
      </c>
      <c r="V86" s="2">
        <f>+IF(Tabla4[[#This Row],[Hora llegada]]&gt;=Tabla4[[#This Row],[Disponibilidad M1]],0,1)</f>
        <v>1</v>
      </c>
      <c r="W86" s="2">
        <f>+IF(Tabla4[[#This Row],[Hora llegada]]&gt;=Tabla4[[#This Row],[Disponibilidad M2]],0,1)</f>
        <v>1</v>
      </c>
      <c r="X86" s="2">
        <f>+IF(Tabla4[[#This Row],[Hora llegada]]&gt;=Tabla4[[#This Row],[Disponibilidad M3]],0,1)</f>
        <v>1</v>
      </c>
      <c r="Y86" s="2">
        <f>+IF(Tabla5[[#This Row],[Quien me atiende]]=1,MAX(Tabla4[[#This Row],[Disponibilidad M1]],Tabla4[[#This Row],[Hora llegada]]),"-")</f>
        <v>461.80707872031104</v>
      </c>
      <c r="Z86" s="2" t="str">
        <f>+IF(Tabla5[[#This Row],[Quien me atiende]]=2,MAX(Tabla4[[#This Row],[Disponibilidad M2]],Tabla4[[#This Row],[Hora llegada]]),"-")</f>
        <v>-</v>
      </c>
      <c r="AA86" s="2" t="str">
        <f>+IF(Tabla5[[#This Row],[Quien me atiende]]=3,MAX(Tabla4[[#This Row],[Disponibilidad M3]],Tabla4[[#This Row],[Hora llegada]]),"-")</f>
        <v>-</v>
      </c>
      <c r="AB86" s="2">
        <f>+MAX($AG$13:AG85)</f>
        <v>461.80707872031104</v>
      </c>
      <c r="AC86" s="2">
        <f>+MAX($AH$13:AH85)</f>
        <v>464.71192592545952</v>
      </c>
      <c r="AD86" s="2">
        <f>+MAX($AI$13:AI85)</f>
        <v>468.05488402404978</v>
      </c>
      <c r="AE86" s="2">
        <v>5.3933604996816431E-2</v>
      </c>
      <c r="AF86" s="2">
        <f>2+4.5*Tabla4[[#This Row],[A5]]</f>
        <v>2.2427012224856737</v>
      </c>
      <c r="AG86" s="2">
        <f>+IF(Tabla4[[#This Row],[Entrada M1]]="-","-",Tabla4[[#This Row],[Entrada M1]]+Tabla4[[#This Row],[Tiempo Atencion ]])</f>
        <v>464.0497799427967</v>
      </c>
      <c r="AH86" s="2" t="str">
        <f>+IF(Tabla4[[#This Row],[Entrada M2]]="-","-",Tabla4[[#This Row],[Entrada M2]]+Tabla4[[#This Row],[Tiempo Atencion ]])</f>
        <v>-</v>
      </c>
      <c r="AI86" s="2" t="str">
        <f>+IF(Tabla4[[#This Row],[Entrada M3]]="-","-",Tabla4[[#This Row],[Entrada M3]]+Tabla4[[#This Row],[Tiempo Atencion ]])</f>
        <v>-</v>
      </c>
      <c r="AJ86" s="11">
        <f>+MAX(Tabla4[[#This Row],[Salida M1]:[Salida M3]])</f>
        <v>464.0497799427967</v>
      </c>
      <c r="AK86" s="11" t="str">
        <f>+IF(Tabla4[[#This Row],[Salida]]&lt;=$B$17,"Entra","No Entra")</f>
        <v>Entra</v>
      </c>
      <c r="AL86" s="11">
        <f>+IF(Tabla4[[#This Row],[Entra  a la carrera]]="Entra",0,Tabla4[[#This Row],[Grupo]])</f>
        <v>0</v>
      </c>
      <c r="AM86" s="11">
        <f>_xlfn.IFNA(VLOOKUP(Tabla4[[#This Row],[Grupo]],Tabla4[Grupos por fuera],1,FALSE),0)</f>
        <v>0</v>
      </c>
      <c r="AN86" s="11" t="str">
        <f>+IF(Tabla4[[#This Row],[Me salgo por mi amigo el lento?]]=0, "Entra", "Chao")</f>
        <v>Entra</v>
      </c>
      <c r="AO86" s="11">
        <f>+IF(Tabla4[[#This Row],[Al fin entra o no]]="Entra",MAX($AO$13:AO85)+1,"")</f>
        <v>74</v>
      </c>
      <c r="AP86" s="11">
        <f>+Tabla4[[#This Row],[Entidad]]</f>
        <v>74</v>
      </c>
      <c r="AR86">
        <v>0.41494083340269439</v>
      </c>
      <c r="AS86">
        <f>+IF(Tabla5[[#This Row],[A3]]&lt;0.5,2,3)</f>
        <v>2</v>
      </c>
      <c r="AT86">
        <f>+IF(Tabla5[[#This Row],[A3]]&lt;0.5,1,3)</f>
        <v>1</v>
      </c>
      <c r="AU86">
        <f>+IF(Tabla5[[#This Row],[A3]]&lt;0.5,1,2)</f>
        <v>1</v>
      </c>
      <c r="AV86" s="6">
        <f>+IF(Tabla5[[#This Row],[A3]]&lt;0.33,1,IF(Tabla5[[#This Row],[A3]]&lt;0.66,2,3))</f>
        <v>2</v>
      </c>
      <c r="AW8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86" s="6">
        <f>+SUM(Tabla4[[#This Row],[Ocupacion M1]:[Ocupacion M3]])</f>
        <v>3</v>
      </c>
      <c r="AY86" s="6">
        <f>+IF(Tabla4[[#This Row],[Ocupacion M1]]=1,1,IF(Tabla4[[#This Row],[Ocupacion M2]]=1,2,3))</f>
        <v>1</v>
      </c>
      <c r="AZ86" s="6">
        <f>+INDEX(Tabla5[[#This Row],[Si 1 esta ocupado]:[Si 3 esta ocupado]],Tabla5[[#This Row],[Estado si = 1]])</f>
        <v>2</v>
      </c>
      <c r="BA86" s="6">
        <f>+IF(Tabla4[[#This Row],[Ocupacion M1]]= 0,1,IF(Tabla4[[#This Row],[Ocupacion M2]]=0,2,3))</f>
        <v>3</v>
      </c>
      <c r="BB8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86">
        <f t="shared" si="13"/>
        <v>74</v>
      </c>
      <c r="BE86">
        <f>+IF(Tabla6[[#This Row],[Indice]]="","",VLOOKUP(Tabla6[[#This Row],[Indice]],Tabla4[[Corre]:[Entidad2]],2))</f>
        <v>74</v>
      </c>
      <c r="BF86">
        <f>IFERROR(+INDEX(Tabla4[Grupo],Tabla6[[#This Row],[Entidad]]),"")</f>
        <v>41</v>
      </c>
      <c r="BG86">
        <f t="shared" si="8"/>
        <v>480</v>
      </c>
      <c r="BH86">
        <v>0.78105723745316569</v>
      </c>
      <c r="BI86">
        <f>20+70*Tabla6[[#This Row],[A6]]</f>
        <v>74.674006621721588</v>
      </c>
      <c r="BJ86">
        <f>+IF(Tabla6[[#This Row],[Indice]]="","",Tabla6[[#This Row],[Empieza]]+Tabla6[[#This Row],[Tiempo carrera ]])</f>
        <v>554.67400662172156</v>
      </c>
      <c r="BK86" s="6">
        <f>IF(Tabla6[[#This Row],[Termina la carrera]]="","",IF(Tabla6[[#This Row],[Termina la carrera]]&gt;540,1,0))</f>
        <v>1</v>
      </c>
      <c r="BL86" s="6">
        <f>+IF(OR(Tabla6[[#This Row],[Despues de las 9]]=0,Tabla6[[#This Row],[Despues de las 9]]=""),"",Tabla6[[#This Row],[Despues de las 9]]*Tabla6[[#This Row],[Grupo ]])</f>
        <v>41</v>
      </c>
      <c r="BM86" s="6">
        <f>+IF(Tabla6[[#This Row],[grupo  despues de las 9]]="","",IF(MAX($BL$13:BL85)=Tabla6[[#This Row],[grupo  despues de las 9]],"",1))</f>
        <v>1</v>
      </c>
    </row>
    <row r="87" spans="5:65" x14ac:dyDescent="0.25">
      <c r="E87" s="2">
        <v>75</v>
      </c>
      <c r="F87" s="5">
        <v>0.90973000564021367</v>
      </c>
      <c r="G87" s="2">
        <f t="shared" si="9"/>
        <v>2.4049501621536713</v>
      </c>
      <c r="H87" s="4">
        <f>+H86+Tabla2[[#This Row],[Tiempo Entre]]</f>
        <v>444.74168337375011</v>
      </c>
      <c r="I87" s="5">
        <v>0.65671370881519586</v>
      </c>
      <c r="J87" s="2">
        <f>+IF(Tabla2[[#This Row],[A2 ]]&lt;0.5,1,IF(Tabla2[[#This Row],[A2 ]]&lt;0.8,2,3))</f>
        <v>2</v>
      </c>
      <c r="L87" s="2" t="str">
        <f>+IF(AND(Tabla2[[#This Row],[Llegada]]&lt;=$B$16,P87&gt;0),1,"-")</f>
        <v>-</v>
      </c>
      <c r="M87" s="2" t="str">
        <f t="shared" si="10"/>
        <v>-</v>
      </c>
      <c r="N87" s="4" t="str">
        <f>+IF(L87=1,Tabla2[[#This Row],[Llegada]],"-")</f>
        <v>-</v>
      </c>
      <c r="O87" s="2" t="str">
        <f>+IF(L87=1,Tabla2[[#This Row],[Numero de integrantes]],"-")</f>
        <v>-</v>
      </c>
      <c r="P87" s="2">
        <f t="shared" si="11"/>
        <v>0</v>
      </c>
      <c r="Q87" s="2">
        <f>+IF(Tabla3[[#This Row],[Entra?]]=1,Q86+Tabla3[[#This Row],[Numero integrantes]],Q86)</f>
        <v>100</v>
      </c>
      <c r="S87" s="2">
        <f t="shared" si="12"/>
        <v>75</v>
      </c>
      <c r="T87" s="2">
        <f>+COUNTIF(Tabla3[Cuantos van],"&lt;"&amp;Tabla4[[#This Row],[Entidad]])+1</f>
        <v>41</v>
      </c>
      <c r="U87" s="2">
        <f>+INDEX(Tabla3[Llegada],Tabla4[[#This Row],[Grupo]])</f>
        <v>401.58258490061093</v>
      </c>
      <c r="V87" s="2">
        <f>+IF(Tabla4[[#This Row],[Hora llegada]]&gt;=Tabla4[[#This Row],[Disponibilidad M1]],0,1)</f>
        <v>1</v>
      </c>
      <c r="W87" s="2">
        <f>+IF(Tabla4[[#This Row],[Hora llegada]]&gt;=Tabla4[[#This Row],[Disponibilidad M2]],0,1)</f>
        <v>1</v>
      </c>
      <c r="X87" s="2">
        <f>+IF(Tabla4[[#This Row],[Hora llegada]]&gt;=Tabla4[[#This Row],[Disponibilidad M3]],0,1)</f>
        <v>1</v>
      </c>
      <c r="Y87" s="2">
        <f>+IF(Tabla5[[#This Row],[Quien me atiende]]=1,MAX(Tabla4[[#This Row],[Disponibilidad M1]],Tabla4[[#This Row],[Hora llegada]]),"-")</f>
        <v>464.0497799427967</v>
      </c>
      <c r="Z87" s="2" t="str">
        <f>+IF(Tabla5[[#This Row],[Quien me atiende]]=2,MAX(Tabla4[[#This Row],[Disponibilidad M2]],Tabla4[[#This Row],[Hora llegada]]),"-")</f>
        <v>-</v>
      </c>
      <c r="AA87" s="2" t="str">
        <f>+IF(Tabla5[[#This Row],[Quien me atiende]]=3,MAX(Tabla4[[#This Row],[Disponibilidad M3]],Tabla4[[#This Row],[Hora llegada]]),"-")</f>
        <v>-</v>
      </c>
      <c r="AB87" s="2">
        <f>+MAX($AG$13:AG86)</f>
        <v>464.0497799427967</v>
      </c>
      <c r="AC87" s="2">
        <f>+MAX($AH$13:AH86)</f>
        <v>464.71192592545952</v>
      </c>
      <c r="AD87" s="2">
        <f>+MAX($AI$13:AI86)</f>
        <v>468.05488402404978</v>
      </c>
      <c r="AE87" s="2">
        <v>0.191752901411122</v>
      </c>
      <c r="AF87" s="2">
        <f>2+4.5*Tabla4[[#This Row],[A5]]</f>
        <v>2.8628880563500489</v>
      </c>
      <c r="AG87" s="2">
        <f>+IF(Tabla4[[#This Row],[Entrada M1]]="-","-",Tabla4[[#This Row],[Entrada M1]]+Tabla4[[#This Row],[Tiempo Atencion ]])</f>
        <v>466.91266799914678</v>
      </c>
      <c r="AH87" s="2" t="str">
        <f>+IF(Tabla4[[#This Row],[Entrada M2]]="-","-",Tabla4[[#This Row],[Entrada M2]]+Tabla4[[#This Row],[Tiempo Atencion ]])</f>
        <v>-</v>
      </c>
      <c r="AI87" s="2" t="str">
        <f>+IF(Tabla4[[#This Row],[Entrada M3]]="-","-",Tabla4[[#This Row],[Entrada M3]]+Tabla4[[#This Row],[Tiempo Atencion ]])</f>
        <v>-</v>
      </c>
      <c r="AJ87" s="11">
        <f>+MAX(Tabla4[[#This Row],[Salida M1]:[Salida M3]])</f>
        <v>466.91266799914678</v>
      </c>
      <c r="AK87" s="11" t="str">
        <f>+IF(Tabla4[[#This Row],[Salida]]&lt;=$B$17,"Entra","No Entra")</f>
        <v>Entra</v>
      </c>
      <c r="AL87" s="11">
        <f>+IF(Tabla4[[#This Row],[Entra  a la carrera]]="Entra",0,Tabla4[[#This Row],[Grupo]])</f>
        <v>0</v>
      </c>
      <c r="AM87" s="11">
        <f>_xlfn.IFNA(VLOOKUP(Tabla4[[#This Row],[Grupo]],Tabla4[Grupos por fuera],1,FALSE),0)</f>
        <v>0</v>
      </c>
      <c r="AN87" s="11" t="str">
        <f>+IF(Tabla4[[#This Row],[Me salgo por mi amigo el lento?]]=0, "Entra", "Chao")</f>
        <v>Entra</v>
      </c>
      <c r="AO87" s="11">
        <f>+IF(Tabla4[[#This Row],[Al fin entra o no]]="Entra",MAX($AO$13:AO86)+1,"")</f>
        <v>75</v>
      </c>
      <c r="AP87" s="11">
        <f>+Tabla4[[#This Row],[Entidad]]</f>
        <v>75</v>
      </c>
      <c r="AR87">
        <v>0.11306592079692934</v>
      </c>
      <c r="AS87">
        <f>+IF(Tabla5[[#This Row],[A3]]&lt;0.5,2,3)</f>
        <v>2</v>
      </c>
      <c r="AT87">
        <f>+IF(Tabla5[[#This Row],[A3]]&lt;0.5,1,3)</f>
        <v>1</v>
      </c>
      <c r="AU87">
        <f>+IF(Tabla5[[#This Row],[A3]]&lt;0.5,1,2)</f>
        <v>1</v>
      </c>
      <c r="AV87" s="6">
        <f>+IF(Tabla5[[#This Row],[A3]]&lt;0.33,1,IF(Tabla5[[#This Row],[A3]]&lt;0.66,2,3))</f>
        <v>1</v>
      </c>
      <c r="AW8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87" s="6">
        <f>+SUM(Tabla4[[#This Row],[Ocupacion M1]:[Ocupacion M3]])</f>
        <v>3</v>
      </c>
      <c r="AY87" s="6">
        <f>+IF(Tabla4[[#This Row],[Ocupacion M1]]=1,1,IF(Tabla4[[#This Row],[Ocupacion M2]]=1,2,3))</f>
        <v>1</v>
      </c>
      <c r="AZ87" s="6">
        <f>+INDEX(Tabla5[[#This Row],[Si 1 esta ocupado]:[Si 3 esta ocupado]],Tabla5[[#This Row],[Estado si = 1]])</f>
        <v>2</v>
      </c>
      <c r="BA87" s="6">
        <f>+IF(Tabla4[[#This Row],[Ocupacion M1]]= 0,1,IF(Tabla4[[#This Row],[Ocupacion M2]]=0,2,3))</f>
        <v>3</v>
      </c>
      <c r="BB8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87">
        <f t="shared" si="13"/>
        <v>75</v>
      </c>
      <c r="BE87">
        <f>+IF(Tabla6[[#This Row],[Indice]]="","",VLOOKUP(Tabla6[[#This Row],[Indice]],Tabla4[[Corre]:[Entidad2]],2))</f>
        <v>75</v>
      </c>
      <c r="BF87">
        <f>IFERROR(+INDEX(Tabla4[Grupo],Tabla6[[#This Row],[Entidad]]),"")</f>
        <v>41</v>
      </c>
      <c r="BG87">
        <f t="shared" si="8"/>
        <v>480</v>
      </c>
      <c r="BH87">
        <v>0.48230867060731897</v>
      </c>
      <c r="BI87">
        <f>20+70*Tabla6[[#This Row],[A6]]</f>
        <v>53.76160694251233</v>
      </c>
      <c r="BJ87">
        <f>+IF(Tabla6[[#This Row],[Indice]]="","",Tabla6[[#This Row],[Empieza]]+Tabla6[[#This Row],[Tiempo carrera ]])</f>
        <v>533.76160694251234</v>
      </c>
      <c r="BK87" s="6">
        <f>IF(Tabla6[[#This Row],[Termina la carrera]]="","",IF(Tabla6[[#This Row],[Termina la carrera]]&gt;540,1,0))</f>
        <v>0</v>
      </c>
      <c r="BL87" s="6" t="str">
        <f>+IF(OR(Tabla6[[#This Row],[Despues de las 9]]=0,Tabla6[[#This Row],[Despues de las 9]]=""),"",Tabla6[[#This Row],[Despues de las 9]]*Tabla6[[#This Row],[Grupo ]])</f>
        <v/>
      </c>
      <c r="BM87" s="6" t="str">
        <f>+IF(Tabla6[[#This Row],[grupo  despues de las 9]]="","",IF(MAX($BL$13:BL86)=Tabla6[[#This Row],[grupo  despues de las 9]],"",1))</f>
        <v/>
      </c>
    </row>
    <row r="88" spans="5:65" x14ac:dyDescent="0.25">
      <c r="E88" s="2">
        <v>76</v>
      </c>
      <c r="F88" s="5">
        <v>3.4242474293862957E-3</v>
      </c>
      <c r="G88" s="2">
        <f t="shared" si="9"/>
        <v>3.4301235827185741E-3</v>
      </c>
      <c r="H88" s="4">
        <f>+H87+Tabla2[[#This Row],[Tiempo Entre]]</f>
        <v>444.74511349733285</v>
      </c>
      <c r="I88" s="5">
        <v>1.6129943059024487E-3</v>
      </c>
      <c r="J88" s="2">
        <f>+IF(Tabla2[[#This Row],[A2 ]]&lt;0.5,1,IF(Tabla2[[#This Row],[A2 ]]&lt;0.8,2,3))</f>
        <v>1</v>
      </c>
      <c r="L88" s="2" t="str">
        <f>+IF(AND(Tabla2[[#This Row],[Llegada]]&lt;=$B$16,P88&gt;0),1,"-")</f>
        <v>-</v>
      </c>
      <c r="M88" s="2" t="str">
        <f t="shared" si="10"/>
        <v>-</v>
      </c>
      <c r="N88" s="4" t="str">
        <f>+IF(L88=1,Tabla2[[#This Row],[Llegada]],"-")</f>
        <v>-</v>
      </c>
      <c r="O88" s="2" t="str">
        <f>+IF(L88=1,Tabla2[[#This Row],[Numero de integrantes]],"-")</f>
        <v>-</v>
      </c>
      <c r="P88" s="2">
        <f t="shared" si="11"/>
        <v>0</v>
      </c>
      <c r="Q88" s="2">
        <f>+IF(Tabla3[[#This Row],[Entra?]]=1,Q87+Tabla3[[#This Row],[Numero integrantes]],Q87)</f>
        <v>100</v>
      </c>
      <c r="S88" s="2">
        <f t="shared" si="12"/>
        <v>76</v>
      </c>
      <c r="T88" s="2">
        <f>+COUNTIF(Tabla3[Cuantos van],"&lt;"&amp;Tabla4[[#This Row],[Entidad]])+1</f>
        <v>42</v>
      </c>
      <c r="U88" s="2">
        <f>+INDEX(Tabla3[Llegada],Tabla4[[#This Row],[Grupo]])</f>
        <v>401.68225475785744</v>
      </c>
      <c r="V88" s="2">
        <f>+IF(Tabla4[[#This Row],[Hora llegada]]&gt;=Tabla4[[#This Row],[Disponibilidad M1]],0,1)</f>
        <v>1</v>
      </c>
      <c r="W88" s="2">
        <f>+IF(Tabla4[[#This Row],[Hora llegada]]&gt;=Tabla4[[#This Row],[Disponibilidad M2]],0,1)</f>
        <v>1</v>
      </c>
      <c r="X88" s="2">
        <f>+IF(Tabla4[[#This Row],[Hora llegada]]&gt;=Tabla4[[#This Row],[Disponibilidad M3]],0,1)</f>
        <v>1</v>
      </c>
      <c r="Y88" s="2" t="str">
        <f>+IF(Tabla5[[#This Row],[Quien me atiende]]=1,MAX(Tabla4[[#This Row],[Disponibilidad M1]],Tabla4[[#This Row],[Hora llegada]]),"-")</f>
        <v>-</v>
      </c>
      <c r="Z88" s="2">
        <f>+IF(Tabla5[[#This Row],[Quien me atiende]]=2,MAX(Tabla4[[#This Row],[Disponibilidad M2]],Tabla4[[#This Row],[Hora llegada]]),"-")</f>
        <v>464.71192592545952</v>
      </c>
      <c r="AA88" s="2" t="str">
        <f>+IF(Tabla5[[#This Row],[Quien me atiende]]=3,MAX(Tabla4[[#This Row],[Disponibilidad M3]],Tabla4[[#This Row],[Hora llegada]]),"-")</f>
        <v>-</v>
      </c>
      <c r="AB88" s="2">
        <f>+MAX($AG$13:AG87)</f>
        <v>466.91266799914678</v>
      </c>
      <c r="AC88" s="2">
        <f>+MAX($AH$13:AH87)</f>
        <v>464.71192592545952</v>
      </c>
      <c r="AD88" s="2">
        <f>+MAX($AI$13:AI87)</f>
        <v>468.05488402404978</v>
      </c>
      <c r="AE88" s="2">
        <v>0.64229019040521174</v>
      </c>
      <c r="AF88" s="2">
        <f>2+4.5*Tabla4[[#This Row],[A5]]</f>
        <v>4.8903058568234528</v>
      </c>
      <c r="AG88" s="2" t="str">
        <f>+IF(Tabla4[[#This Row],[Entrada M1]]="-","-",Tabla4[[#This Row],[Entrada M1]]+Tabla4[[#This Row],[Tiempo Atencion ]])</f>
        <v>-</v>
      </c>
      <c r="AH88" s="2">
        <f>+IF(Tabla4[[#This Row],[Entrada M2]]="-","-",Tabla4[[#This Row],[Entrada M2]]+Tabla4[[#This Row],[Tiempo Atencion ]])</f>
        <v>469.60223178228296</v>
      </c>
      <c r="AI88" s="2" t="str">
        <f>+IF(Tabla4[[#This Row],[Entrada M3]]="-","-",Tabla4[[#This Row],[Entrada M3]]+Tabla4[[#This Row],[Tiempo Atencion ]])</f>
        <v>-</v>
      </c>
      <c r="AJ88" s="11">
        <f>+MAX(Tabla4[[#This Row],[Salida M1]:[Salida M3]])</f>
        <v>469.60223178228296</v>
      </c>
      <c r="AK88" s="11" t="str">
        <f>+IF(Tabla4[[#This Row],[Salida]]&lt;=$B$17,"Entra","No Entra")</f>
        <v>Entra</v>
      </c>
      <c r="AL88" s="11">
        <f>+IF(Tabla4[[#This Row],[Entra  a la carrera]]="Entra",0,Tabla4[[#This Row],[Grupo]])</f>
        <v>0</v>
      </c>
      <c r="AM88" s="11">
        <f>_xlfn.IFNA(VLOOKUP(Tabla4[[#This Row],[Grupo]],Tabla4[Grupos por fuera],1,FALSE),0)</f>
        <v>0</v>
      </c>
      <c r="AN88" s="11" t="str">
        <f>+IF(Tabla4[[#This Row],[Me salgo por mi amigo el lento?]]=0, "Entra", "Chao")</f>
        <v>Entra</v>
      </c>
      <c r="AO88" s="11">
        <f>+IF(Tabla4[[#This Row],[Al fin entra o no]]="Entra",MAX($AO$13:AO87)+1,"")</f>
        <v>76</v>
      </c>
      <c r="AP88" s="11">
        <f>+Tabla4[[#This Row],[Entidad]]</f>
        <v>76</v>
      </c>
      <c r="AR88">
        <v>0.83077622515898997</v>
      </c>
      <c r="AS88">
        <f>+IF(Tabla5[[#This Row],[A3]]&lt;0.5,2,3)</f>
        <v>3</v>
      </c>
      <c r="AT88">
        <f>+IF(Tabla5[[#This Row],[A3]]&lt;0.5,1,3)</f>
        <v>3</v>
      </c>
      <c r="AU88">
        <f>+IF(Tabla5[[#This Row],[A3]]&lt;0.5,1,2)</f>
        <v>2</v>
      </c>
      <c r="AV88" s="6">
        <f>+IF(Tabla5[[#This Row],[A3]]&lt;0.33,1,IF(Tabla5[[#This Row],[A3]]&lt;0.66,2,3))</f>
        <v>3</v>
      </c>
      <c r="AW8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88" s="6">
        <f>+SUM(Tabla4[[#This Row],[Ocupacion M1]:[Ocupacion M3]])</f>
        <v>3</v>
      </c>
      <c r="AY88" s="6">
        <f>+IF(Tabla4[[#This Row],[Ocupacion M1]]=1,1,IF(Tabla4[[#This Row],[Ocupacion M2]]=1,2,3))</f>
        <v>1</v>
      </c>
      <c r="AZ88" s="6">
        <f>+INDEX(Tabla5[[#This Row],[Si 1 esta ocupado]:[Si 3 esta ocupado]],Tabla5[[#This Row],[Estado si = 1]])</f>
        <v>3</v>
      </c>
      <c r="BA88" s="6">
        <f>+IF(Tabla4[[#This Row],[Ocupacion M1]]= 0,1,IF(Tabla4[[#This Row],[Ocupacion M2]]=0,2,3))</f>
        <v>3</v>
      </c>
      <c r="BB8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88">
        <f t="shared" si="13"/>
        <v>76</v>
      </c>
      <c r="BE88">
        <f>+IF(Tabla6[[#This Row],[Indice]]="","",VLOOKUP(Tabla6[[#This Row],[Indice]],Tabla4[[Corre]:[Entidad2]],2))</f>
        <v>76</v>
      </c>
      <c r="BF88">
        <f>IFERROR(+INDEX(Tabla4[Grupo],Tabla6[[#This Row],[Entidad]]),"")</f>
        <v>42</v>
      </c>
      <c r="BG88">
        <f t="shared" si="8"/>
        <v>480</v>
      </c>
      <c r="BH88">
        <v>0.80564011670974855</v>
      </c>
      <c r="BI88">
        <f>20+70*Tabla6[[#This Row],[A6]]</f>
        <v>76.394808169682392</v>
      </c>
      <c r="BJ88">
        <f>+IF(Tabla6[[#This Row],[Indice]]="","",Tabla6[[#This Row],[Empieza]]+Tabla6[[#This Row],[Tiempo carrera ]])</f>
        <v>556.39480816968239</v>
      </c>
      <c r="BK88" s="6">
        <f>IF(Tabla6[[#This Row],[Termina la carrera]]="","",IF(Tabla6[[#This Row],[Termina la carrera]]&gt;540,1,0))</f>
        <v>1</v>
      </c>
      <c r="BL88" s="6">
        <f>+IF(OR(Tabla6[[#This Row],[Despues de las 9]]=0,Tabla6[[#This Row],[Despues de las 9]]=""),"",Tabla6[[#This Row],[Despues de las 9]]*Tabla6[[#This Row],[Grupo ]])</f>
        <v>42</v>
      </c>
      <c r="BM88" s="6">
        <f>+IF(Tabla6[[#This Row],[grupo  despues de las 9]]="","",IF(MAX($BL$13:BL87)=Tabla6[[#This Row],[grupo  despues de las 9]],"",1))</f>
        <v>1</v>
      </c>
    </row>
    <row r="89" spans="5:65" x14ac:dyDescent="0.25">
      <c r="E89" s="2">
        <v>77</v>
      </c>
      <c r="F89" s="5">
        <v>0.70344751521291249</v>
      </c>
      <c r="G89" s="2">
        <f t="shared" si="9"/>
        <v>1.2155310617505879</v>
      </c>
      <c r="H89" s="4">
        <f>+H88+Tabla2[[#This Row],[Tiempo Entre]]</f>
        <v>445.96064455908345</v>
      </c>
      <c r="I89" s="5">
        <v>0.65396796306238547</v>
      </c>
      <c r="J89" s="2">
        <f>+IF(Tabla2[[#This Row],[A2 ]]&lt;0.5,1,IF(Tabla2[[#This Row],[A2 ]]&lt;0.8,2,3))</f>
        <v>2</v>
      </c>
      <c r="L89" s="2" t="str">
        <f>+IF(AND(Tabla2[[#This Row],[Llegada]]&lt;=$B$16,P89&gt;0),1,"-")</f>
        <v>-</v>
      </c>
      <c r="M89" s="2" t="str">
        <f t="shared" si="10"/>
        <v>-</v>
      </c>
      <c r="N89" s="4" t="str">
        <f>+IF(L89=1,Tabla2[[#This Row],[Llegada]],"-")</f>
        <v>-</v>
      </c>
      <c r="O89" s="2" t="str">
        <f>+IF(L89=1,Tabla2[[#This Row],[Numero de integrantes]],"-")</f>
        <v>-</v>
      </c>
      <c r="P89" s="2">
        <f t="shared" si="11"/>
        <v>0</v>
      </c>
      <c r="Q89" s="2">
        <f>+IF(Tabla3[[#This Row],[Entra?]]=1,Q88+Tabla3[[#This Row],[Numero integrantes]],Q88)</f>
        <v>100</v>
      </c>
      <c r="S89" s="2">
        <f t="shared" si="12"/>
        <v>77</v>
      </c>
      <c r="T89" s="2">
        <f>+COUNTIF(Tabla3[Cuantos van],"&lt;"&amp;Tabla4[[#This Row],[Entidad]])+1</f>
        <v>43</v>
      </c>
      <c r="U89" s="2">
        <f>+INDEX(Tabla3[Llegada],Tabla4[[#This Row],[Grupo]])</f>
        <v>401.97467250879481</v>
      </c>
      <c r="V89" s="2">
        <f>+IF(Tabla4[[#This Row],[Hora llegada]]&gt;=Tabla4[[#This Row],[Disponibilidad M1]],0,1)</f>
        <v>1</v>
      </c>
      <c r="W89" s="2">
        <f>+IF(Tabla4[[#This Row],[Hora llegada]]&gt;=Tabla4[[#This Row],[Disponibilidad M2]],0,1)</f>
        <v>1</v>
      </c>
      <c r="X89" s="2">
        <f>+IF(Tabla4[[#This Row],[Hora llegada]]&gt;=Tabla4[[#This Row],[Disponibilidad M3]],0,1)</f>
        <v>1</v>
      </c>
      <c r="Y89" s="2">
        <f>+IF(Tabla5[[#This Row],[Quien me atiende]]=1,MAX(Tabla4[[#This Row],[Disponibilidad M1]],Tabla4[[#This Row],[Hora llegada]]),"-")</f>
        <v>466.91266799914678</v>
      </c>
      <c r="Z89" s="2" t="str">
        <f>+IF(Tabla5[[#This Row],[Quien me atiende]]=2,MAX(Tabla4[[#This Row],[Disponibilidad M2]],Tabla4[[#This Row],[Hora llegada]]),"-")</f>
        <v>-</v>
      </c>
      <c r="AA89" s="2" t="str">
        <f>+IF(Tabla5[[#This Row],[Quien me atiende]]=3,MAX(Tabla4[[#This Row],[Disponibilidad M3]],Tabla4[[#This Row],[Hora llegada]]),"-")</f>
        <v>-</v>
      </c>
      <c r="AB89" s="2">
        <f>+MAX($AG$13:AG88)</f>
        <v>466.91266799914678</v>
      </c>
      <c r="AC89" s="2">
        <f>+MAX($AH$13:AH88)</f>
        <v>469.60223178228296</v>
      </c>
      <c r="AD89" s="2">
        <f>+MAX($AI$13:AI88)</f>
        <v>468.05488402404978</v>
      </c>
      <c r="AE89" s="2">
        <v>0.53549310592541144</v>
      </c>
      <c r="AF89" s="2">
        <f>2+4.5*Tabla4[[#This Row],[A5]]</f>
        <v>4.409718976664351</v>
      </c>
      <c r="AG89" s="2">
        <f>+IF(Tabla4[[#This Row],[Entrada M1]]="-","-",Tabla4[[#This Row],[Entrada M1]]+Tabla4[[#This Row],[Tiempo Atencion ]])</f>
        <v>471.32238697581113</v>
      </c>
      <c r="AH89" s="2" t="str">
        <f>+IF(Tabla4[[#This Row],[Entrada M2]]="-","-",Tabla4[[#This Row],[Entrada M2]]+Tabla4[[#This Row],[Tiempo Atencion ]])</f>
        <v>-</v>
      </c>
      <c r="AI89" s="2" t="str">
        <f>+IF(Tabla4[[#This Row],[Entrada M3]]="-","-",Tabla4[[#This Row],[Entrada M3]]+Tabla4[[#This Row],[Tiempo Atencion ]])</f>
        <v>-</v>
      </c>
      <c r="AJ89" s="11">
        <f>+MAX(Tabla4[[#This Row],[Salida M1]:[Salida M3]])</f>
        <v>471.32238697581113</v>
      </c>
      <c r="AK89" s="11" t="str">
        <f>+IF(Tabla4[[#This Row],[Salida]]&lt;=$B$17,"Entra","No Entra")</f>
        <v>Entra</v>
      </c>
      <c r="AL89" s="11">
        <f>+IF(Tabla4[[#This Row],[Entra  a la carrera]]="Entra",0,Tabla4[[#This Row],[Grupo]])</f>
        <v>0</v>
      </c>
      <c r="AM89" s="11">
        <f>_xlfn.IFNA(VLOOKUP(Tabla4[[#This Row],[Grupo]],Tabla4[Grupos por fuera],1,FALSE),0)</f>
        <v>0</v>
      </c>
      <c r="AN89" s="11" t="str">
        <f>+IF(Tabla4[[#This Row],[Me salgo por mi amigo el lento?]]=0, "Entra", "Chao")</f>
        <v>Entra</v>
      </c>
      <c r="AO89" s="11">
        <f>+IF(Tabla4[[#This Row],[Al fin entra o no]]="Entra",MAX($AO$13:AO88)+1,"")</f>
        <v>77</v>
      </c>
      <c r="AP89" s="11">
        <f>+Tabla4[[#This Row],[Entidad]]</f>
        <v>77</v>
      </c>
      <c r="AR89">
        <v>0.29606710253822166</v>
      </c>
      <c r="AS89">
        <f>+IF(Tabla5[[#This Row],[A3]]&lt;0.5,2,3)</f>
        <v>2</v>
      </c>
      <c r="AT89">
        <f>+IF(Tabla5[[#This Row],[A3]]&lt;0.5,1,3)</f>
        <v>1</v>
      </c>
      <c r="AU89">
        <f>+IF(Tabla5[[#This Row],[A3]]&lt;0.5,1,2)</f>
        <v>1</v>
      </c>
      <c r="AV89" s="6">
        <f>+IF(Tabla5[[#This Row],[A3]]&lt;0.33,1,IF(Tabla5[[#This Row],[A3]]&lt;0.66,2,3))</f>
        <v>1</v>
      </c>
      <c r="AW8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89" s="6">
        <f>+SUM(Tabla4[[#This Row],[Ocupacion M1]:[Ocupacion M3]])</f>
        <v>3</v>
      </c>
      <c r="AY89" s="6">
        <f>+IF(Tabla4[[#This Row],[Ocupacion M1]]=1,1,IF(Tabla4[[#This Row],[Ocupacion M2]]=1,2,3))</f>
        <v>1</v>
      </c>
      <c r="AZ89" s="6">
        <f>+INDEX(Tabla5[[#This Row],[Si 1 esta ocupado]:[Si 3 esta ocupado]],Tabla5[[#This Row],[Estado si = 1]])</f>
        <v>2</v>
      </c>
      <c r="BA89" s="6">
        <f>+IF(Tabla4[[#This Row],[Ocupacion M1]]= 0,1,IF(Tabla4[[#This Row],[Ocupacion M2]]=0,2,3))</f>
        <v>3</v>
      </c>
      <c r="BB8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89">
        <f t="shared" si="13"/>
        <v>77</v>
      </c>
      <c r="BE89">
        <f>+IF(Tabla6[[#This Row],[Indice]]="","",VLOOKUP(Tabla6[[#This Row],[Indice]],Tabla4[[Corre]:[Entidad2]],2))</f>
        <v>77</v>
      </c>
      <c r="BF89">
        <f>IFERROR(+INDEX(Tabla4[Grupo],Tabla6[[#This Row],[Entidad]]),"")</f>
        <v>43</v>
      </c>
      <c r="BG89">
        <f t="shared" si="8"/>
        <v>480</v>
      </c>
      <c r="BH89">
        <v>0.75109749028724182</v>
      </c>
      <c r="BI89">
        <f>20+70*Tabla6[[#This Row],[A6]]</f>
        <v>72.576824320106937</v>
      </c>
      <c r="BJ89">
        <f>+IF(Tabla6[[#This Row],[Indice]]="","",Tabla6[[#This Row],[Empieza]]+Tabla6[[#This Row],[Tiempo carrera ]])</f>
        <v>552.57682432010688</v>
      </c>
      <c r="BK89" s="6">
        <f>IF(Tabla6[[#This Row],[Termina la carrera]]="","",IF(Tabla6[[#This Row],[Termina la carrera]]&gt;540,1,0))</f>
        <v>1</v>
      </c>
      <c r="BL89" s="6">
        <f>+IF(OR(Tabla6[[#This Row],[Despues de las 9]]=0,Tabla6[[#This Row],[Despues de las 9]]=""),"",Tabla6[[#This Row],[Despues de las 9]]*Tabla6[[#This Row],[Grupo ]])</f>
        <v>43</v>
      </c>
      <c r="BM89" s="6">
        <f>+IF(Tabla6[[#This Row],[grupo  despues de las 9]]="","",IF(MAX($BL$13:BL88)=Tabla6[[#This Row],[grupo  despues de las 9]],"",1))</f>
        <v>1</v>
      </c>
    </row>
    <row r="90" spans="5:65" x14ac:dyDescent="0.25">
      <c r="E90" s="2">
        <v>78</v>
      </c>
      <c r="F90" s="5">
        <v>0.87802322946037059</v>
      </c>
      <c r="G90" s="2">
        <f t="shared" si="9"/>
        <v>2.1039246577911661</v>
      </c>
      <c r="H90" s="4">
        <f>+H89+Tabla2[[#This Row],[Tiempo Entre]]</f>
        <v>448.06456921687459</v>
      </c>
      <c r="I90" s="5">
        <v>0.59945650974617826</v>
      </c>
      <c r="J90" s="2">
        <f>+IF(Tabla2[[#This Row],[A2 ]]&lt;0.5,1,IF(Tabla2[[#This Row],[A2 ]]&lt;0.8,2,3))</f>
        <v>2</v>
      </c>
      <c r="L90" s="2" t="str">
        <f>+IF(AND(Tabla2[[#This Row],[Llegada]]&lt;=$B$16,P90&gt;0),1,"-")</f>
        <v>-</v>
      </c>
      <c r="M90" s="2" t="str">
        <f t="shared" si="10"/>
        <v>-</v>
      </c>
      <c r="N90" s="4" t="str">
        <f>+IF(L90=1,Tabla2[[#This Row],[Llegada]],"-")</f>
        <v>-</v>
      </c>
      <c r="O90" s="2" t="str">
        <f>+IF(L90=1,Tabla2[[#This Row],[Numero de integrantes]],"-")</f>
        <v>-</v>
      </c>
      <c r="P90" s="2">
        <f t="shared" si="11"/>
        <v>0</v>
      </c>
      <c r="Q90" s="2">
        <f>+IF(Tabla3[[#This Row],[Entra?]]=1,Q89+Tabla3[[#This Row],[Numero integrantes]],Q89)</f>
        <v>100</v>
      </c>
      <c r="S90" s="2">
        <f t="shared" si="12"/>
        <v>78</v>
      </c>
      <c r="T90" s="2">
        <f>+COUNTIF(Tabla3[Cuantos van],"&lt;"&amp;Tabla4[[#This Row],[Entidad]])+1</f>
        <v>43</v>
      </c>
      <c r="U90" s="2">
        <f>+INDEX(Tabla3[Llegada],Tabla4[[#This Row],[Grupo]])</f>
        <v>401.97467250879481</v>
      </c>
      <c r="V90" s="2">
        <f>+IF(Tabla4[[#This Row],[Hora llegada]]&gt;=Tabla4[[#This Row],[Disponibilidad M1]],0,1)</f>
        <v>1</v>
      </c>
      <c r="W90" s="2">
        <f>+IF(Tabla4[[#This Row],[Hora llegada]]&gt;=Tabla4[[#This Row],[Disponibilidad M2]],0,1)</f>
        <v>1</v>
      </c>
      <c r="X90" s="2">
        <f>+IF(Tabla4[[#This Row],[Hora llegada]]&gt;=Tabla4[[#This Row],[Disponibilidad M3]],0,1)</f>
        <v>1</v>
      </c>
      <c r="Y90" s="2" t="str">
        <f>+IF(Tabla5[[#This Row],[Quien me atiende]]=1,MAX(Tabla4[[#This Row],[Disponibilidad M1]],Tabla4[[#This Row],[Hora llegada]]),"-")</f>
        <v>-</v>
      </c>
      <c r="Z90" s="2" t="str">
        <f>+IF(Tabla5[[#This Row],[Quien me atiende]]=2,MAX(Tabla4[[#This Row],[Disponibilidad M2]],Tabla4[[#This Row],[Hora llegada]]),"-")</f>
        <v>-</v>
      </c>
      <c r="AA90" s="2">
        <f>+IF(Tabla5[[#This Row],[Quien me atiende]]=3,MAX(Tabla4[[#This Row],[Disponibilidad M3]],Tabla4[[#This Row],[Hora llegada]]),"-")</f>
        <v>468.05488402404978</v>
      </c>
      <c r="AB90" s="2">
        <f>+MAX($AG$13:AG89)</f>
        <v>471.32238697581113</v>
      </c>
      <c r="AC90" s="2">
        <f>+MAX($AH$13:AH89)</f>
        <v>469.60223178228296</v>
      </c>
      <c r="AD90" s="2">
        <f>+MAX($AI$13:AI89)</f>
        <v>468.05488402404978</v>
      </c>
      <c r="AE90" s="2">
        <v>0.74744856968318973</v>
      </c>
      <c r="AF90" s="2">
        <f>2+4.5*Tabla4[[#This Row],[A5]]</f>
        <v>5.3635185635743543</v>
      </c>
      <c r="AG90" s="2" t="str">
        <f>+IF(Tabla4[[#This Row],[Entrada M1]]="-","-",Tabla4[[#This Row],[Entrada M1]]+Tabla4[[#This Row],[Tiempo Atencion ]])</f>
        <v>-</v>
      </c>
      <c r="AH90" s="2" t="str">
        <f>+IF(Tabla4[[#This Row],[Entrada M2]]="-","-",Tabla4[[#This Row],[Entrada M2]]+Tabla4[[#This Row],[Tiempo Atencion ]])</f>
        <v>-</v>
      </c>
      <c r="AI90" s="2">
        <f>+IF(Tabla4[[#This Row],[Entrada M3]]="-","-",Tabla4[[#This Row],[Entrada M3]]+Tabla4[[#This Row],[Tiempo Atencion ]])</f>
        <v>473.41840258762414</v>
      </c>
      <c r="AJ90" s="11">
        <f>+MAX(Tabla4[[#This Row],[Salida M1]:[Salida M3]])</f>
        <v>473.41840258762414</v>
      </c>
      <c r="AK90" s="11" t="str">
        <f>+IF(Tabla4[[#This Row],[Salida]]&lt;=$B$17,"Entra","No Entra")</f>
        <v>Entra</v>
      </c>
      <c r="AL90" s="11">
        <f>+IF(Tabla4[[#This Row],[Entra  a la carrera]]="Entra",0,Tabla4[[#This Row],[Grupo]])</f>
        <v>0</v>
      </c>
      <c r="AM90" s="11">
        <f>_xlfn.IFNA(VLOOKUP(Tabla4[[#This Row],[Grupo]],Tabla4[Grupos por fuera],1,FALSE),0)</f>
        <v>0</v>
      </c>
      <c r="AN90" s="11" t="str">
        <f>+IF(Tabla4[[#This Row],[Me salgo por mi amigo el lento?]]=0, "Entra", "Chao")</f>
        <v>Entra</v>
      </c>
      <c r="AO90" s="11">
        <f>+IF(Tabla4[[#This Row],[Al fin entra o no]]="Entra",MAX($AO$13:AO89)+1,"")</f>
        <v>78</v>
      </c>
      <c r="AP90" s="11">
        <f>+Tabla4[[#This Row],[Entidad]]</f>
        <v>78</v>
      </c>
      <c r="AR90">
        <v>0.75743930738702048</v>
      </c>
      <c r="AS90">
        <f>+IF(Tabla5[[#This Row],[A3]]&lt;0.5,2,3)</f>
        <v>3</v>
      </c>
      <c r="AT90">
        <f>+IF(Tabla5[[#This Row],[A3]]&lt;0.5,1,3)</f>
        <v>3</v>
      </c>
      <c r="AU90">
        <f>+IF(Tabla5[[#This Row],[A3]]&lt;0.5,1,2)</f>
        <v>2</v>
      </c>
      <c r="AV90" s="6">
        <f>+IF(Tabla5[[#This Row],[A3]]&lt;0.33,1,IF(Tabla5[[#This Row],[A3]]&lt;0.66,2,3))</f>
        <v>3</v>
      </c>
      <c r="AW9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90" s="6">
        <f>+SUM(Tabla4[[#This Row],[Ocupacion M1]:[Ocupacion M3]])</f>
        <v>3</v>
      </c>
      <c r="AY90" s="6">
        <f>+IF(Tabla4[[#This Row],[Ocupacion M1]]=1,1,IF(Tabla4[[#This Row],[Ocupacion M2]]=1,2,3))</f>
        <v>1</v>
      </c>
      <c r="AZ90" s="6">
        <f>+INDEX(Tabla5[[#This Row],[Si 1 esta ocupado]:[Si 3 esta ocupado]],Tabla5[[#This Row],[Estado si = 1]])</f>
        <v>3</v>
      </c>
      <c r="BA90" s="6">
        <f>+IF(Tabla4[[#This Row],[Ocupacion M1]]= 0,1,IF(Tabla4[[#This Row],[Ocupacion M2]]=0,2,3))</f>
        <v>3</v>
      </c>
      <c r="BB9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90">
        <f t="shared" si="13"/>
        <v>78</v>
      </c>
      <c r="BE90">
        <f>+IF(Tabla6[[#This Row],[Indice]]="","",VLOOKUP(Tabla6[[#This Row],[Indice]],Tabla4[[Corre]:[Entidad2]],2))</f>
        <v>78</v>
      </c>
      <c r="BF90">
        <f>IFERROR(+INDEX(Tabla4[Grupo],Tabla6[[#This Row],[Entidad]]),"")</f>
        <v>43</v>
      </c>
      <c r="BG90">
        <f t="shared" si="8"/>
        <v>480</v>
      </c>
      <c r="BH90">
        <v>0.21870037747939075</v>
      </c>
      <c r="BI90">
        <f>20+70*Tabla6[[#This Row],[A6]]</f>
        <v>35.309026423557356</v>
      </c>
      <c r="BJ90">
        <f>+IF(Tabla6[[#This Row],[Indice]]="","",Tabla6[[#This Row],[Empieza]]+Tabla6[[#This Row],[Tiempo carrera ]])</f>
        <v>515.30902642355738</v>
      </c>
      <c r="BK90" s="6">
        <f>IF(Tabla6[[#This Row],[Termina la carrera]]="","",IF(Tabla6[[#This Row],[Termina la carrera]]&gt;540,1,0))</f>
        <v>0</v>
      </c>
      <c r="BL90" s="6" t="str">
        <f>+IF(OR(Tabla6[[#This Row],[Despues de las 9]]=0,Tabla6[[#This Row],[Despues de las 9]]=""),"",Tabla6[[#This Row],[Despues de las 9]]*Tabla6[[#This Row],[Grupo ]])</f>
        <v/>
      </c>
      <c r="BM90" s="6" t="str">
        <f>+IF(Tabla6[[#This Row],[grupo  despues de las 9]]="","",IF(MAX($BL$13:BL89)=Tabla6[[#This Row],[grupo  despues de las 9]],"",1))</f>
        <v/>
      </c>
    </row>
    <row r="91" spans="5:65" x14ac:dyDescent="0.25">
      <c r="E91" s="2">
        <v>79</v>
      </c>
      <c r="F91" s="5">
        <v>0.52138348039385818</v>
      </c>
      <c r="G91" s="2">
        <f t="shared" si="9"/>
        <v>0.73685558758423531</v>
      </c>
      <c r="H91" s="4">
        <f>+H90+Tabla2[[#This Row],[Tiempo Entre]]</f>
        <v>448.8014248044588</v>
      </c>
      <c r="I91" s="5">
        <v>0.54639998705849169</v>
      </c>
      <c r="J91" s="2">
        <f>+IF(Tabla2[[#This Row],[A2 ]]&lt;0.5,1,IF(Tabla2[[#This Row],[A2 ]]&lt;0.8,2,3))</f>
        <v>2</v>
      </c>
      <c r="L91" s="2" t="str">
        <f>+IF(AND(Tabla2[[#This Row],[Llegada]]&lt;=$B$16,P91&gt;0),1,"-")</f>
        <v>-</v>
      </c>
      <c r="M91" s="2" t="str">
        <f t="shared" si="10"/>
        <v>-</v>
      </c>
      <c r="N91" s="4" t="str">
        <f>+IF(L91=1,Tabla2[[#This Row],[Llegada]],"-")</f>
        <v>-</v>
      </c>
      <c r="O91" s="2" t="str">
        <f>+IF(L91=1,Tabla2[[#This Row],[Numero de integrantes]],"-")</f>
        <v>-</v>
      </c>
      <c r="P91" s="2">
        <f t="shared" si="11"/>
        <v>0</v>
      </c>
      <c r="Q91" s="2">
        <f>+IF(Tabla3[[#This Row],[Entra?]]=1,Q90+Tabla3[[#This Row],[Numero integrantes]],Q90)</f>
        <v>100</v>
      </c>
      <c r="S91" s="2">
        <f t="shared" si="12"/>
        <v>79</v>
      </c>
      <c r="T91" s="2">
        <v>44</v>
      </c>
      <c r="U91" s="2">
        <f>+INDEX(Tabla3[Llegada],Tabla4[[#This Row],[Grupo]])</f>
        <v>402.56266263925392</v>
      </c>
      <c r="V91" s="2">
        <f>+IF(Tabla4[[#This Row],[Hora llegada]]&gt;=Tabla4[[#This Row],[Disponibilidad M1]],0,1)</f>
        <v>1</v>
      </c>
      <c r="W91" s="2">
        <f>+IF(Tabla4[[#This Row],[Hora llegada]]&gt;=Tabla4[[#This Row],[Disponibilidad M2]],0,1)</f>
        <v>1</v>
      </c>
      <c r="X91" s="2">
        <f>+IF(Tabla4[[#This Row],[Hora llegada]]&gt;=Tabla4[[#This Row],[Disponibilidad M3]],0,1)</f>
        <v>1</v>
      </c>
      <c r="Y91" s="2" t="str">
        <f>+IF(Tabla5[[#This Row],[Quien me atiende]]=1,MAX(Tabla4[[#This Row],[Disponibilidad M1]],Tabla4[[#This Row],[Hora llegada]]),"-")</f>
        <v>-</v>
      </c>
      <c r="Z91" s="2">
        <f>+IF(Tabla5[[#This Row],[Quien me atiende]]=2,MAX(Tabla4[[#This Row],[Disponibilidad M2]],Tabla4[[#This Row],[Hora llegada]]),"-")</f>
        <v>469.60223178228296</v>
      </c>
      <c r="AA91" s="2" t="str">
        <f>+IF(Tabla5[[#This Row],[Quien me atiende]]=3,MAX(Tabla4[[#This Row],[Disponibilidad M3]],Tabla4[[#This Row],[Hora llegada]]),"-")</f>
        <v>-</v>
      </c>
      <c r="AB91" s="2">
        <f>+MAX($AG$13:AG90)</f>
        <v>471.32238697581113</v>
      </c>
      <c r="AC91" s="2">
        <f>+MAX($AH$13:AH90)</f>
        <v>469.60223178228296</v>
      </c>
      <c r="AD91" s="2">
        <f>+MAX($AI$13:AI90)</f>
        <v>473.41840258762414</v>
      </c>
      <c r="AE91" s="2">
        <v>0.32749415773535706</v>
      </c>
      <c r="AF91" s="2">
        <f>2+4.5*Tabla4[[#This Row],[A5]]</f>
        <v>3.4737237098091067</v>
      </c>
      <c r="AG91" s="2" t="str">
        <f>+IF(Tabla4[[#This Row],[Entrada M1]]="-","-",Tabla4[[#This Row],[Entrada M1]]+Tabla4[[#This Row],[Tiempo Atencion ]])</f>
        <v>-</v>
      </c>
      <c r="AH91" s="2">
        <f>+IF(Tabla4[[#This Row],[Entrada M2]]="-","-",Tabla4[[#This Row],[Entrada M2]]+Tabla4[[#This Row],[Tiempo Atencion ]])</f>
        <v>473.07595549209208</v>
      </c>
      <c r="AI91" s="2" t="str">
        <f>+IF(Tabla4[[#This Row],[Entrada M3]]="-","-",Tabla4[[#This Row],[Entrada M3]]+Tabla4[[#This Row],[Tiempo Atencion ]])</f>
        <v>-</v>
      </c>
      <c r="AJ91" s="11">
        <f>+MAX(Tabla4[[#This Row],[Salida M1]:[Salida M3]])</f>
        <v>473.07595549209208</v>
      </c>
      <c r="AK91" s="11" t="str">
        <f>+IF(Tabla4[[#This Row],[Salida]]&lt;=$B$17,"Entra","No Entra")</f>
        <v>Entra</v>
      </c>
      <c r="AL91" s="11">
        <f>+IF(Tabla4[[#This Row],[Entra  a la carrera]]="Entra",0,Tabla4[[#This Row],[Grupo]])</f>
        <v>0</v>
      </c>
      <c r="AM91" s="11">
        <f>_xlfn.IFNA(VLOOKUP(Tabla4[[#This Row],[Grupo]],Tabla4[Grupos por fuera],1,FALSE),0)</f>
        <v>0</v>
      </c>
      <c r="AN91" s="11" t="str">
        <f>+IF(Tabla4[[#This Row],[Me salgo por mi amigo el lento?]]=0, "Entra", "Chao")</f>
        <v>Entra</v>
      </c>
      <c r="AO91" s="11">
        <f>+IF(Tabla4[[#This Row],[Al fin entra o no]]="Entra",MAX($AO$13:AO90)+1,"")</f>
        <v>79</v>
      </c>
      <c r="AP91" s="11">
        <f>+Tabla4[[#This Row],[Entidad]]</f>
        <v>79</v>
      </c>
      <c r="AR91">
        <v>0.1503679664511397</v>
      </c>
      <c r="AS91">
        <f>+IF(Tabla5[[#This Row],[A3]]&lt;0.5,2,3)</f>
        <v>2</v>
      </c>
      <c r="AT91">
        <f>+IF(Tabla5[[#This Row],[A3]]&lt;0.5,1,3)</f>
        <v>1</v>
      </c>
      <c r="AU91">
        <f>+IF(Tabla5[[#This Row],[A3]]&lt;0.5,1,2)</f>
        <v>1</v>
      </c>
      <c r="AV91" s="6">
        <f>+IF(Tabla5[[#This Row],[A3]]&lt;0.33,1,IF(Tabla5[[#This Row],[A3]]&lt;0.66,2,3))</f>
        <v>1</v>
      </c>
      <c r="AW9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91" s="6">
        <f>+SUM(Tabla4[[#This Row],[Ocupacion M1]:[Ocupacion M3]])</f>
        <v>3</v>
      </c>
      <c r="AY91" s="6">
        <f>+IF(Tabla4[[#This Row],[Ocupacion M1]]=1,1,IF(Tabla4[[#This Row],[Ocupacion M2]]=1,2,3))</f>
        <v>1</v>
      </c>
      <c r="AZ91" s="6">
        <f>+INDEX(Tabla5[[#This Row],[Si 1 esta ocupado]:[Si 3 esta ocupado]],Tabla5[[#This Row],[Estado si = 1]])</f>
        <v>2</v>
      </c>
      <c r="BA91" s="6">
        <f>+IF(Tabla4[[#This Row],[Ocupacion M1]]= 0,1,IF(Tabla4[[#This Row],[Ocupacion M2]]=0,2,3))</f>
        <v>3</v>
      </c>
      <c r="BB9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91">
        <f t="shared" si="13"/>
        <v>79</v>
      </c>
      <c r="BE91">
        <f>+IF(Tabla6[[#This Row],[Indice]]="","",VLOOKUP(Tabla6[[#This Row],[Indice]],Tabla4[[Corre]:[Entidad2]],2))</f>
        <v>79</v>
      </c>
      <c r="BF91">
        <f>IFERROR(+INDEX(Tabla4[Grupo],Tabla6[[#This Row],[Entidad]]),"")</f>
        <v>44</v>
      </c>
      <c r="BG91">
        <f t="shared" si="8"/>
        <v>480</v>
      </c>
      <c r="BH91">
        <v>0.86140116205871287</v>
      </c>
      <c r="BI91">
        <f>20+70*Tabla6[[#This Row],[A6]]</f>
        <v>80.298081344109903</v>
      </c>
      <c r="BJ91">
        <f>+IF(Tabla6[[#This Row],[Indice]]="","",Tabla6[[#This Row],[Empieza]]+Tabla6[[#This Row],[Tiempo carrera ]])</f>
        <v>560.29808134410996</v>
      </c>
      <c r="BK91" s="6">
        <f>IF(Tabla6[[#This Row],[Termina la carrera]]="","",IF(Tabla6[[#This Row],[Termina la carrera]]&gt;540,1,0))</f>
        <v>1</v>
      </c>
      <c r="BL91" s="6">
        <f>+IF(OR(Tabla6[[#This Row],[Despues de las 9]]=0,Tabla6[[#This Row],[Despues de las 9]]=""),"",Tabla6[[#This Row],[Despues de las 9]]*Tabla6[[#This Row],[Grupo ]])</f>
        <v>44</v>
      </c>
      <c r="BM91" s="6">
        <f>+IF(Tabla6[[#This Row],[grupo  despues de las 9]]="","",IF(MAX($BL$13:BL90)=Tabla6[[#This Row],[grupo  despues de las 9]],"",1))</f>
        <v>1</v>
      </c>
    </row>
    <row r="92" spans="5:65" x14ac:dyDescent="0.25">
      <c r="E92" s="2">
        <v>80</v>
      </c>
      <c r="F92" s="5">
        <v>0.93351968739305569</v>
      </c>
      <c r="G92" s="2">
        <f t="shared" si="9"/>
        <v>2.7108494261754776</v>
      </c>
      <c r="H92" s="4">
        <f>+H91+Tabla2[[#This Row],[Tiempo Entre]]</f>
        <v>451.51227423063426</v>
      </c>
      <c r="I92" s="5">
        <v>0.41560971491319354</v>
      </c>
      <c r="J92" s="2">
        <f>+IF(Tabla2[[#This Row],[A2 ]]&lt;0.5,1,IF(Tabla2[[#This Row],[A2 ]]&lt;0.8,2,3))</f>
        <v>1</v>
      </c>
      <c r="L92" s="2" t="str">
        <f>+IF(AND(Tabla2[[#This Row],[Llegada]]&lt;=$B$16,P92&gt;0),1,"-")</f>
        <v>-</v>
      </c>
      <c r="M92" s="2" t="str">
        <f t="shared" si="10"/>
        <v>-</v>
      </c>
      <c r="N92" s="4" t="str">
        <f>+IF(L92=1,Tabla2[[#This Row],[Llegada]],"-")</f>
        <v>-</v>
      </c>
      <c r="O92" s="2" t="str">
        <f>+IF(L92=1,Tabla2[[#This Row],[Numero de integrantes]],"-")</f>
        <v>-</v>
      </c>
      <c r="P92" s="2">
        <f t="shared" si="11"/>
        <v>0</v>
      </c>
      <c r="Q92" s="2">
        <f>+IF(Tabla3[[#This Row],[Entra?]]=1,Q91+Tabla3[[#This Row],[Numero integrantes]],Q91)</f>
        <v>100</v>
      </c>
      <c r="S92" s="2">
        <f t="shared" si="12"/>
        <v>80</v>
      </c>
      <c r="T92" s="2">
        <v>44</v>
      </c>
      <c r="U92" s="2">
        <f>+INDEX(Tabla3[Llegada],Tabla4[[#This Row],[Grupo]])</f>
        <v>402.56266263925392</v>
      </c>
      <c r="V92" s="2">
        <f>+IF(Tabla4[[#This Row],[Hora llegada]]&gt;=Tabla4[[#This Row],[Disponibilidad M1]],0,1)</f>
        <v>1</v>
      </c>
      <c r="W92" s="2">
        <f>+IF(Tabla4[[#This Row],[Hora llegada]]&gt;=Tabla4[[#This Row],[Disponibilidad M2]],0,1)</f>
        <v>1</v>
      </c>
      <c r="X92" s="2">
        <f>+IF(Tabla4[[#This Row],[Hora llegada]]&gt;=Tabla4[[#This Row],[Disponibilidad M3]],0,1)</f>
        <v>1</v>
      </c>
      <c r="Y92" s="2">
        <f>+IF(Tabla5[[#This Row],[Quien me atiende]]=1,MAX(Tabla4[[#This Row],[Disponibilidad M1]],Tabla4[[#This Row],[Hora llegada]]),"-")</f>
        <v>471.32238697581113</v>
      </c>
      <c r="Z92" s="2" t="str">
        <f>+IF(Tabla5[[#This Row],[Quien me atiende]]=2,MAX(Tabla4[[#This Row],[Disponibilidad M2]],Tabla4[[#This Row],[Hora llegada]]),"-")</f>
        <v>-</v>
      </c>
      <c r="AA92" s="2" t="str">
        <f>+IF(Tabla5[[#This Row],[Quien me atiende]]=3,MAX(Tabla4[[#This Row],[Disponibilidad M3]],Tabla4[[#This Row],[Hora llegada]]),"-")</f>
        <v>-</v>
      </c>
      <c r="AB92" s="2">
        <f>+MAX($AG$13:AG91)</f>
        <v>471.32238697581113</v>
      </c>
      <c r="AC92" s="2">
        <f>+MAX($AH$13:AH91)</f>
        <v>473.07595549209208</v>
      </c>
      <c r="AD92" s="2">
        <f>+MAX($AI$13:AI91)</f>
        <v>473.41840258762414</v>
      </c>
      <c r="AE92" s="2">
        <v>0.39264817894761916</v>
      </c>
      <c r="AF92" s="2">
        <f>2+4.5*Tabla4[[#This Row],[A5]]</f>
        <v>3.7669168052642865</v>
      </c>
      <c r="AG92" s="2">
        <f>+IF(Tabla4[[#This Row],[Entrada M1]]="-","-",Tabla4[[#This Row],[Entrada M1]]+Tabla4[[#This Row],[Tiempo Atencion ]])</f>
        <v>475.08930378107539</v>
      </c>
      <c r="AH92" s="2" t="str">
        <f>+IF(Tabla4[[#This Row],[Entrada M2]]="-","-",Tabla4[[#This Row],[Entrada M2]]+Tabla4[[#This Row],[Tiempo Atencion ]])</f>
        <v>-</v>
      </c>
      <c r="AI92" s="2" t="str">
        <f>+IF(Tabla4[[#This Row],[Entrada M3]]="-","-",Tabla4[[#This Row],[Entrada M3]]+Tabla4[[#This Row],[Tiempo Atencion ]])</f>
        <v>-</v>
      </c>
      <c r="AJ92" s="11">
        <f>+MAX(Tabla4[[#This Row],[Salida M1]:[Salida M3]])</f>
        <v>475.08930378107539</v>
      </c>
      <c r="AK92" s="11" t="str">
        <f>+IF(Tabla4[[#This Row],[Salida]]&lt;=$B$17,"Entra","No Entra")</f>
        <v>Entra</v>
      </c>
      <c r="AL92" s="11">
        <f>+IF(Tabla4[[#This Row],[Entra  a la carrera]]="Entra",0,Tabla4[[#This Row],[Grupo]])</f>
        <v>0</v>
      </c>
      <c r="AM92" s="11">
        <f>_xlfn.IFNA(VLOOKUP(Tabla4[[#This Row],[Grupo]],Tabla4[Grupos por fuera],1,FALSE),0)</f>
        <v>0</v>
      </c>
      <c r="AN92" s="11" t="str">
        <f>+IF(Tabla4[[#This Row],[Me salgo por mi amigo el lento?]]=0, "Entra", "Chao")</f>
        <v>Entra</v>
      </c>
      <c r="AO92" s="11">
        <f>+IF(Tabla4[[#This Row],[Al fin entra o no]]="Entra",MAX($AO$13:AO91)+1,"")</f>
        <v>80</v>
      </c>
      <c r="AP92" s="11">
        <f>+Tabla4[[#This Row],[Entidad]]</f>
        <v>80</v>
      </c>
      <c r="AR92">
        <v>0.57235388837350765</v>
      </c>
      <c r="AS92">
        <f>+IF(Tabla5[[#This Row],[A3]]&lt;0.5,2,3)</f>
        <v>3</v>
      </c>
      <c r="AT92">
        <f>+IF(Tabla5[[#This Row],[A3]]&lt;0.5,1,3)</f>
        <v>3</v>
      </c>
      <c r="AU92">
        <f>+IF(Tabla5[[#This Row],[A3]]&lt;0.5,1,2)</f>
        <v>2</v>
      </c>
      <c r="AV92" s="6">
        <f>+IF(Tabla5[[#This Row],[A3]]&lt;0.33,1,IF(Tabla5[[#This Row],[A3]]&lt;0.66,2,3))</f>
        <v>2</v>
      </c>
      <c r="AW9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92" s="6">
        <f>+SUM(Tabla4[[#This Row],[Ocupacion M1]:[Ocupacion M3]])</f>
        <v>3</v>
      </c>
      <c r="AY92" s="6">
        <f>+IF(Tabla4[[#This Row],[Ocupacion M1]]=1,1,IF(Tabla4[[#This Row],[Ocupacion M2]]=1,2,3))</f>
        <v>1</v>
      </c>
      <c r="AZ92" s="6">
        <f>+INDEX(Tabla5[[#This Row],[Si 1 esta ocupado]:[Si 3 esta ocupado]],Tabla5[[#This Row],[Estado si = 1]])</f>
        <v>3</v>
      </c>
      <c r="BA92" s="6">
        <f>+IF(Tabla4[[#This Row],[Ocupacion M1]]= 0,1,IF(Tabla4[[#This Row],[Ocupacion M2]]=0,2,3))</f>
        <v>3</v>
      </c>
      <c r="BB9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92">
        <f t="shared" si="13"/>
        <v>80</v>
      </c>
      <c r="BE92">
        <f>+IF(Tabla6[[#This Row],[Indice]]="","",VLOOKUP(Tabla6[[#This Row],[Indice]],Tabla4[[Corre]:[Entidad2]],2))</f>
        <v>80</v>
      </c>
      <c r="BF92">
        <f>IFERROR(+INDEX(Tabla4[Grupo],Tabla6[[#This Row],[Entidad]]),"")</f>
        <v>44</v>
      </c>
      <c r="BG92">
        <f t="shared" si="8"/>
        <v>480</v>
      </c>
      <c r="BH92">
        <v>0.21593830775740508</v>
      </c>
      <c r="BI92">
        <f>20+70*Tabla6[[#This Row],[A6]]</f>
        <v>35.115681543018354</v>
      </c>
      <c r="BJ92">
        <f>+IF(Tabla6[[#This Row],[Indice]]="","",Tabla6[[#This Row],[Empieza]]+Tabla6[[#This Row],[Tiempo carrera ]])</f>
        <v>515.11568154301835</v>
      </c>
      <c r="BK92" s="6">
        <f>IF(Tabla6[[#This Row],[Termina la carrera]]="","",IF(Tabla6[[#This Row],[Termina la carrera]]&gt;540,1,0))</f>
        <v>0</v>
      </c>
      <c r="BL92" s="6" t="str">
        <f>+IF(OR(Tabla6[[#This Row],[Despues de las 9]]=0,Tabla6[[#This Row],[Despues de las 9]]=""),"",Tabla6[[#This Row],[Despues de las 9]]*Tabla6[[#This Row],[Grupo ]])</f>
        <v/>
      </c>
      <c r="BM92" s="6" t="str">
        <f>+IF(Tabla6[[#This Row],[grupo  despues de las 9]]="","",IF(MAX($BL$13:BL91)=Tabla6[[#This Row],[grupo  despues de las 9]],"",1))</f>
        <v/>
      </c>
    </row>
    <row r="93" spans="5:65" x14ac:dyDescent="0.25">
      <c r="E93" s="2">
        <v>81</v>
      </c>
      <c r="F93" s="5">
        <v>4.7460958765569661E-2</v>
      </c>
      <c r="G93" s="2">
        <f t="shared" si="9"/>
        <v>4.8624184648642939E-2</v>
      </c>
      <c r="H93" s="4">
        <f>+H92+Tabla2[[#This Row],[Tiempo Entre]]</f>
        <v>451.56089841528291</v>
      </c>
      <c r="I93" s="5">
        <v>0.5034971877715847</v>
      </c>
      <c r="J93" s="2">
        <f>+IF(Tabla2[[#This Row],[A2 ]]&lt;0.5,1,IF(Tabla2[[#This Row],[A2 ]]&lt;0.8,2,3))</f>
        <v>2</v>
      </c>
      <c r="L93" s="2" t="str">
        <f>+IF(AND(Tabla2[[#This Row],[Llegada]]&lt;=$B$16,P93&gt;0),1,"-")</f>
        <v>-</v>
      </c>
      <c r="M93" s="2" t="str">
        <f t="shared" si="10"/>
        <v>-</v>
      </c>
      <c r="N93" s="4" t="str">
        <f>+IF(L93=1,Tabla2[[#This Row],[Llegada]],"-")</f>
        <v>-</v>
      </c>
      <c r="O93" s="2" t="str">
        <f>+IF(L93=1,Tabla2[[#This Row],[Numero de integrantes]],"-")</f>
        <v>-</v>
      </c>
      <c r="P93" s="2">
        <f t="shared" si="11"/>
        <v>0</v>
      </c>
      <c r="Q93" s="2">
        <f>+IF(Tabla3[[#This Row],[Entra?]]=1,Q92+Tabla3[[#This Row],[Numero integrantes]],Q92)</f>
        <v>100</v>
      </c>
      <c r="S93" s="2">
        <f t="shared" si="12"/>
        <v>81</v>
      </c>
      <c r="T93" s="2">
        <f>+COUNTIF(Tabla3[Cuantos van],"&lt;"&amp;Tabla4[[#This Row],[Entidad]])+1</f>
        <v>45</v>
      </c>
      <c r="U93" s="2">
        <f>+INDEX(Tabla3[Llegada],Tabla4[[#This Row],[Grupo]])</f>
        <v>405.57179899969606</v>
      </c>
      <c r="V93" s="2">
        <f>+IF(Tabla4[[#This Row],[Hora llegada]]&gt;=Tabla4[[#This Row],[Disponibilidad M1]],0,1)</f>
        <v>1</v>
      </c>
      <c r="W93" s="2">
        <f>+IF(Tabla4[[#This Row],[Hora llegada]]&gt;=Tabla4[[#This Row],[Disponibilidad M2]],0,1)</f>
        <v>1</v>
      </c>
      <c r="X93" s="2">
        <f>+IF(Tabla4[[#This Row],[Hora llegada]]&gt;=Tabla4[[#This Row],[Disponibilidad M3]],0,1)</f>
        <v>1</v>
      </c>
      <c r="Y93" s="2" t="str">
        <f>+IF(Tabla5[[#This Row],[Quien me atiende]]=1,MAX(Tabla4[[#This Row],[Disponibilidad M1]],Tabla4[[#This Row],[Hora llegada]]),"-")</f>
        <v>-</v>
      </c>
      <c r="Z93" s="2">
        <f>+IF(Tabla5[[#This Row],[Quien me atiende]]=2,MAX(Tabla4[[#This Row],[Disponibilidad M2]],Tabla4[[#This Row],[Hora llegada]]),"-")</f>
        <v>473.07595549209208</v>
      </c>
      <c r="AA93" s="2" t="str">
        <f>+IF(Tabla5[[#This Row],[Quien me atiende]]=3,MAX(Tabla4[[#This Row],[Disponibilidad M3]],Tabla4[[#This Row],[Hora llegada]]),"-")</f>
        <v>-</v>
      </c>
      <c r="AB93" s="2">
        <f>+MAX($AG$13:AG92)</f>
        <v>475.08930378107539</v>
      </c>
      <c r="AC93" s="2">
        <f>+MAX($AH$13:AH92)</f>
        <v>473.07595549209208</v>
      </c>
      <c r="AD93" s="2">
        <f>+MAX($AI$13:AI92)</f>
        <v>473.41840258762414</v>
      </c>
      <c r="AE93" s="2">
        <v>0.26037363339338127</v>
      </c>
      <c r="AF93" s="2">
        <f>2+4.5*Tabla4[[#This Row],[A5]]</f>
        <v>3.1716813502702159</v>
      </c>
      <c r="AG93" s="2" t="str">
        <f>+IF(Tabla4[[#This Row],[Entrada M1]]="-","-",Tabla4[[#This Row],[Entrada M1]]+Tabla4[[#This Row],[Tiempo Atencion ]])</f>
        <v>-</v>
      </c>
      <c r="AH93" s="2">
        <f>+IF(Tabla4[[#This Row],[Entrada M2]]="-","-",Tabla4[[#This Row],[Entrada M2]]+Tabla4[[#This Row],[Tiempo Atencion ]])</f>
        <v>476.24763684236228</v>
      </c>
      <c r="AI93" s="2" t="str">
        <f>+IF(Tabla4[[#This Row],[Entrada M3]]="-","-",Tabla4[[#This Row],[Entrada M3]]+Tabla4[[#This Row],[Tiempo Atencion ]])</f>
        <v>-</v>
      </c>
      <c r="AJ93" s="11">
        <f>+MAX(Tabla4[[#This Row],[Salida M1]:[Salida M3]])</f>
        <v>476.24763684236228</v>
      </c>
      <c r="AK93" s="11" t="str">
        <f>+IF(Tabla4[[#This Row],[Salida]]&lt;=$B$17,"Entra","No Entra")</f>
        <v>Entra</v>
      </c>
      <c r="AL93" s="11">
        <f>+IF(Tabla4[[#This Row],[Entra  a la carrera]]="Entra",0,Tabla4[[#This Row],[Grupo]])</f>
        <v>0</v>
      </c>
      <c r="AM93" s="11">
        <f>_xlfn.IFNA(VLOOKUP(Tabla4[[#This Row],[Grupo]],Tabla4[Grupos por fuera],1,FALSE),0)</f>
        <v>0</v>
      </c>
      <c r="AN93" s="11" t="str">
        <f>+IF(Tabla4[[#This Row],[Me salgo por mi amigo el lento?]]=0, "Entra", "Chao")</f>
        <v>Entra</v>
      </c>
      <c r="AO93" s="11">
        <f>+IF(Tabla4[[#This Row],[Al fin entra o no]]="Entra",MAX($AO$13:AO92)+1,"")</f>
        <v>81</v>
      </c>
      <c r="AP93" s="11">
        <f>+Tabla4[[#This Row],[Entidad]]</f>
        <v>81</v>
      </c>
      <c r="AR93">
        <v>0.43694727690991153</v>
      </c>
      <c r="AS93">
        <f>+IF(Tabla5[[#This Row],[A3]]&lt;0.5,2,3)</f>
        <v>2</v>
      </c>
      <c r="AT93">
        <f>+IF(Tabla5[[#This Row],[A3]]&lt;0.5,1,3)</f>
        <v>1</v>
      </c>
      <c r="AU93">
        <f>+IF(Tabla5[[#This Row],[A3]]&lt;0.5,1,2)</f>
        <v>1</v>
      </c>
      <c r="AV93" s="6">
        <f>+IF(Tabla5[[#This Row],[A3]]&lt;0.33,1,IF(Tabla5[[#This Row],[A3]]&lt;0.66,2,3))</f>
        <v>2</v>
      </c>
      <c r="AW9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93" s="6">
        <f>+SUM(Tabla4[[#This Row],[Ocupacion M1]:[Ocupacion M3]])</f>
        <v>3</v>
      </c>
      <c r="AY93" s="6">
        <f>+IF(Tabla4[[#This Row],[Ocupacion M1]]=1,1,IF(Tabla4[[#This Row],[Ocupacion M2]]=1,2,3))</f>
        <v>1</v>
      </c>
      <c r="AZ93" s="6">
        <f>+INDEX(Tabla5[[#This Row],[Si 1 esta ocupado]:[Si 3 esta ocupado]],Tabla5[[#This Row],[Estado si = 1]])</f>
        <v>2</v>
      </c>
      <c r="BA93" s="6">
        <f>+IF(Tabla4[[#This Row],[Ocupacion M1]]= 0,1,IF(Tabla4[[#This Row],[Ocupacion M2]]=0,2,3))</f>
        <v>3</v>
      </c>
      <c r="BB9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93">
        <f t="shared" si="13"/>
        <v>81</v>
      </c>
      <c r="BE93">
        <f>+IF(Tabla6[[#This Row],[Indice]]="","",VLOOKUP(Tabla6[[#This Row],[Indice]],Tabla4[[Corre]:[Entidad2]],2))</f>
        <v>81</v>
      </c>
      <c r="BF93">
        <f>IFERROR(+INDEX(Tabla4[Grupo],Tabla6[[#This Row],[Entidad]]),"")</f>
        <v>45</v>
      </c>
      <c r="BG93">
        <f t="shared" si="8"/>
        <v>480</v>
      </c>
      <c r="BH93">
        <v>0.608305474047107</v>
      </c>
      <c r="BI93">
        <f>20+70*Tabla6[[#This Row],[A6]]</f>
        <v>62.58138318329749</v>
      </c>
      <c r="BJ93">
        <f>+IF(Tabla6[[#This Row],[Indice]]="","",Tabla6[[#This Row],[Empieza]]+Tabla6[[#This Row],[Tiempo carrera ]])</f>
        <v>542.58138318329748</v>
      </c>
      <c r="BK93" s="6">
        <f>IF(Tabla6[[#This Row],[Termina la carrera]]="","",IF(Tabla6[[#This Row],[Termina la carrera]]&gt;540,1,0))</f>
        <v>1</v>
      </c>
      <c r="BL93" s="6">
        <f>+IF(OR(Tabla6[[#This Row],[Despues de las 9]]=0,Tabla6[[#This Row],[Despues de las 9]]=""),"",Tabla6[[#This Row],[Despues de las 9]]*Tabla6[[#This Row],[Grupo ]])</f>
        <v>45</v>
      </c>
      <c r="BM93" s="6">
        <f>+IF(Tabla6[[#This Row],[grupo  despues de las 9]]="","",IF(MAX($BL$13:BL92)=Tabla6[[#This Row],[grupo  despues de las 9]],"",1))</f>
        <v>1</v>
      </c>
    </row>
    <row r="94" spans="5:65" x14ac:dyDescent="0.25">
      <c r="E94" s="2">
        <v>82</v>
      </c>
      <c r="F94" s="5">
        <v>0.14171787408837744</v>
      </c>
      <c r="G94" s="2">
        <f t="shared" si="9"/>
        <v>0.15282241546417724</v>
      </c>
      <c r="H94" s="4">
        <f>+H93+Tabla2[[#This Row],[Tiempo Entre]]</f>
        <v>451.71372083074709</v>
      </c>
      <c r="I94" s="5">
        <v>0.94385611475344433</v>
      </c>
      <c r="J94" s="2">
        <f>+IF(Tabla2[[#This Row],[A2 ]]&lt;0.5,1,IF(Tabla2[[#This Row],[A2 ]]&lt;0.8,2,3))</f>
        <v>3</v>
      </c>
      <c r="L94" s="2" t="str">
        <f>+IF(AND(Tabla2[[#This Row],[Llegada]]&lt;=$B$16,P94&gt;0),1,"-")</f>
        <v>-</v>
      </c>
      <c r="M94" s="2" t="str">
        <f t="shared" si="10"/>
        <v>-</v>
      </c>
      <c r="N94" s="4" t="str">
        <f>+IF(L94=1,Tabla2[[#This Row],[Llegada]],"-")</f>
        <v>-</v>
      </c>
      <c r="O94" s="2" t="str">
        <f>+IF(L94=1,Tabla2[[#This Row],[Numero de integrantes]],"-")</f>
        <v>-</v>
      </c>
      <c r="P94" s="2">
        <f t="shared" si="11"/>
        <v>0</v>
      </c>
      <c r="Q94" s="2">
        <f>+IF(Tabla3[[#This Row],[Entra?]]=1,Q93+Tabla3[[#This Row],[Numero integrantes]],Q93)</f>
        <v>100</v>
      </c>
      <c r="S94" s="2">
        <f t="shared" si="12"/>
        <v>82</v>
      </c>
      <c r="T94" s="2">
        <f>+COUNTIF(Tabla3[Cuantos van],"&lt;"&amp;Tabla4[[#This Row],[Entidad]])+1</f>
        <v>46</v>
      </c>
      <c r="U94" s="2">
        <f>+INDEX(Tabla3[Llegada],Tabla4[[#This Row],[Grupo]])</f>
        <v>405.97988771094208</v>
      </c>
      <c r="V94" s="2">
        <f>+IF(Tabla4[[#This Row],[Hora llegada]]&gt;=Tabla4[[#This Row],[Disponibilidad M1]],0,1)</f>
        <v>1</v>
      </c>
      <c r="W94" s="2">
        <f>+IF(Tabla4[[#This Row],[Hora llegada]]&gt;=Tabla4[[#This Row],[Disponibilidad M2]],0,1)</f>
        <v>1</v>
      </c>
      <c r="X94" s="2">
        <f>+IF(Tabla4[[#This Row],[Hora llegada]]&gt;=Tabla4[[#This Row],[Disponibilidad M3]],0,1)</f>
        <v>1</v>
      </c>
      <c r="Y94" s="2" t="str">
        <f>+IF(Tabla5[[#This Row],[Quien me atiende]]=1,MAX(Tabla4[[#This Row],[Disponibilidad M1]],Tabla4[[#This Row],[Hora llegada]]),"-")</f>
        <v>-</v>
      </c>
      <c r="Z94" s="2" t="str">
        <f>+IF(Tabla5[[#This Row],[Quien me atiende]]=2,MAX(Tabla4[[#This Row],[Disponibilidad M2]],Tabla4[[#This Row],[Hora llegada]]),"-")</f>
        <v>-</v>
      </c>
      <c r="AA94" s="2">
        <f>+IF(Tabla5[[#This Row],[Quien me atiende]]=3,MAX(Tabla4[[#This Row],[Disponibilidad M3]],Tabla4[[#This Row],[Hora llegada]]),"-")</f>
        <v>473.41840258762414</v>
      </c>
      <c r="AB94" s="2">
        <f>+MAX($AG$13:AG93)</f>
        <v>475.08930378107539</v>
      </c>
      <c r="AC94" s="2">
        <f>+MAX($AH$13:AH93)</f>
        <v>476.24763684236228</v>
      </c>
      <c r="AD94" s="2">
        <f>+MAX($AI$13:AI93)</f>
        <v>473.41840258762414</v>
      </c>
      <c r="AE94" s="2">
        <v>0.10613720969589702</v>
      </c>
      <c r="AF94" s="2">
        <f>2+4.5*Tabla4[[#This Row],[A5]]</f>
        <v>2.4776174436315364</v>
      </c>
      <c r="AG94" s="2" t="str">
        <f>+IF(Tabla4[[#This Row],[Entrada M1]]="-","-",Tabla4[[#This Row],[Entrada M1]]+Tabla4[[#This Row],[Tiempo Atencion ]])</f>
        <v>-</v>
      </c>
      <c r="AH94" s="2" t="str">
        <f>+IF(Tabla4[[#This Row],[Entrada M2]]="-","-",Tabla4[[#This Row],[Entrada M2]]+Tabla4[[#This Row],[Tiempo Atencion ]])</f>
        <v>-</v>
      </c>
      <c r="AI94" s="2">
        <f>+IF(Tabla4[[#This Row],[Entrada M3]]="-","-",Tabla4[[#This Row],[Entrada M3]]+Tabla4[[#This Row],[Tiempo Atencion ]])</f>
        <v>475.89602003125566</v>
      </c>
      <c r="AJ94" s="11">
        <f>+MAX(Tabla4[[#This Row],[Salida M1]:[Salida M3]])</f>
        <v>475.89602003125566</v>
      </c>
      <c r="AK94" s="11" t="str">
        <f>+IF(Tabla4[[#This Row],[Salida]]&lt;=$B$17,"Entra","No Entra")</f>
        <v>Entra</v>
      </c>
      <c r="AL94" s="11">
        <f>+IF(Tabla4[[#This Row],[Entra  a la carrera]]="Entra",0,Tabla4[[#This Row],[Grupo]])</f>
        <v>0</v>
      </c>
      <c r="AM94" s="11">
        <f>_xlfn.IFNA(VLOOKUP(Tabla4[[#This Row],[Grupo]],Tabla4[Grupos por fuera],1,FALSE),0)</f>
        <v>0</v>
      </c>
      <c r="AN94" s="11" t="str">
        <f>+IF(Tabla4[[#This Row],[Me salgo por mi amigo el lento?]]=0, "Entra", "Chao")</f>
        <v>Entra</v>
      </c>
      <c r="AO94" s="11">
        <f>+IF(Tabla4[[#This Row],[Al fin entra o no]]="Entra",MAX($AO$13:AO93)+1,"")</f>
        <v>82</v>
      </c>
      <c r="AP94" s="11">
        <f>+Tabla4[[#This Row],[Entidad]]</f>
        <v>82</v>
      </c>
      <c r="AR94">
        <v>9.876783795016264E-2</v>
      </c>
      <c r="AS94">
        <f>+IF(Tabla5[[#This Row],[A3]]&lt;0.5,2,3)</f>
        <v>2</v>
      </c>
      <c r="AT94">
        <f>+IF(Tabla5[[#This Row],[A3]]&lt;0.5,1,3)</f>
        <v>1</v>
      </c>
      <c r="AU94">
        <f>+IF(Tabla5[[#This Row],[A3]]&lt;0.5,1,2)</f>
        <v>1</v>
      </c>
      <c r="AV94" s="6">
        <f>+IF(Tabla5[[#This Row],[A3]]&lt;0.33,1,IF(Tabla5[[#This Row],[A3]]&lt;0.66,2,3))</f>
        <v>1</v>
      </c>
      <c r="AW9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94" s="6">
        <f>+SUM(Tabla4[[#This Row],[Ocupacion M1]:[Ocupacion M3]])</f>
        <v>3</v>
      </c>
      <c r="AY94" s="6">
        <f>+IF(Tabla4[[#This Row],[Ocupacion M1]]=1,1,IF(Tabla4[[#This Row],[Ocupacion M2]]=1,2,3))</f>
        <v>1</v>
      </c>
      <c r="AZ94" s="6">
        <f>+INDEX(Tabla5[[#This Row],[Si 1 esta ocupado]:[Si 3 esta ocupado]],Tabla5[[#This Row],[Estado si = 1]])</f>
        <v>2</v>
      </c>
      <c r="BA94" s="6">
        <f>+IF(Tabla4[[#This Row],[Ocupacion M1]]= 0,1,IF(Tabla4[[#This Row],[Ocupacion M2]]=0,2,3))</f>
        <v>3</v>
      </c>
      <c r="BB9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94">
        <f t="shared" si="13"/>
        <v>82</v>
      </c>
      <c r="BE94">
        <f>+IF(Tabla6[[#This Row],[Indice]]="","",VLOOKUP(Tabla6[[#This Row],[Indice]],Tabla4[[Corre]:[Entidad2]],2))</f>
        <v>82</v>
      </c>
      <c r="BF94">
        <f>IFERROR(+INDEX(Tabla4[Grupo],Tabla6[[#This Row],[Entidad]]),"")</f>
        <v>46</v>
      </c>
      <c r="BG94">
        <f t="shared" si="8"/>
        <v>480</v>
      </c>
      <c r="BH94">
        <v>0.95419903540454776</v>
      </c>
      <c r="BI94">
        <f>20+70*Tabla6[[#This Row],[A6]]</f>
        <v>86.793932478318339</v>
      </c>
      <c r="BJ94">
        <f>+IF(Tabla6[[#This Row],[Indice]]="","",Tabla6[[#This Row],[Empieza]]+Tabla6[[#This Row],[Tiempo carrera ]])</f>
        <v>566.79393247831831</v>
      </c>
      <c r="BK94" s="6">
        <f>IF(Tabla6[[#This Row],[Termina la carrera]]="","",IF(Tabla6[[#This Row],[Termina la carrera]]&gt;540,1,0))</f>
        <v>1</v>
      </c>
      <c r="BL94" s="6">
        <f>+IF(OR(Tabla6[[#This Row],[Despues de las 9]]=0,Tabla6[[#This Row],[Despues de las 9]]=""),"",Tabla6[[#This Row],[Despues de las 9]]*Tabla6[[#This Row],[Grupo ]])</f>
        <v>46</v>
      </c>
      <c r="BM94" s="6">
        <f>+IF(Tabla6[[#This Row],[grupo  despues de las 9]]="","",IF(MAX($BL$13:BL93)=Tabla6[[#This Row],[grupo  despues de las 9]],"",1))</f>
        <v>1</v>
      </c>
    </row>
    <row r="95" spans="5:65" x14ac:dyDescent="0.25">
      <c r="E95" s="2">
        <v>83</v>
      </c>
      <c r="F95" s="5">
        <v>0.37363650265660142</v>
      </c>
      <c r="G95" s="2">
        <f t="shared" si="9"/>
        <v>0.46782440972095796</v>
      </c>
      <c r="H95" s="4">
        <f>+H94+Tabla2[[#This Row],[Tiempo Entre]]</f>
        <v>452.18154524046804</v>
      </c>
      <c r="I95" s="5">
        <v>0.30367861258522699</v>
      </c>
      <c r="J95" s="2">
        <f>+IF(Tabla2[[#This Row],[A2 ]]&lt;0.5,1,IF(Tabla2[[#This Row],[A2 ]]&lt;0.8,2,3))</f>
        <v>1</v>
      </c>
      <c r="L95" s="2" t="str">
        <f>+IF(AND(Tabla2[[#This Row],[Llegada]]&lt;=$B$16,P95&gt;0),1,"-")</f>
        <v>-</v>
      </c>
      <c r="M95" s="2" t="str">
        <f t="shared" si="10"/>
        <v>-</v>
      </c>
      <c r="N95" s="4" t="str">
        <f>+IF(L95=1,Tabla2[[#This Row],[Llegada]],"-")</f>
        <v>-</v>
      </c>
      <c r="O95" s="2" t="str">
        <f>+IF(L95=1,Tabla2[[#This Row],[Numero de integrantes]],"-")</f>
        <v>-</v>
      </c>
      <c r="P95" s="2">
        <f t="shared" si="11"/>
        <v>0</v>
      </c>
      <c r="Q95" s="2">
        <f>+IF(Tabla3[[#This Row],[Entra?]]=1,Q94+Tabla3[[#This Row],[Numero integrantes]],Q94)</f>
        <v>100</v>
      </c>
      <c r="S95" s="2">
        <f t="shared" si="12"/>
        <v>83</v>
      </c>
      <c r="T95" s="2">
        <f>+COUNTIF(Tabla3[Cuantos van],"&lt;"&amp;Tabla4[[#This Row],[Entidad]])+1</f>
        <v>47</v>
      </c>
      <c r="U95" s="2">
        <f>+INDEX(Tabla3[Llegada],Tabla4[[#This Row],[Grupo]])</f>
        <v>412.01555130823181</v>
      </c>
      <c r="V95" s="2">
        <f>+IF(Tabla4[[#This Row],[Hora llegada]]&gt;=Tabla4[[#This Row],[Disponibilidad M1]],0,1)</f>
        <v>1</v>
      </c>
      <c r="W95" s="2">
        <f>+IF(Tabla4[[#This Row],[Hora llegada]]&gt;=Tabla4[[#This Row],[Disponibilidad M2]],0,1)</f>
        <v>1</v>
      </c>
      <c r="X95" s="2">
        <f>+IF(Tabla4[[#This Row],[Hora llegada]]&gt;=Tabla4[[#This Row],[Disponibilidad M3]],0,1)</f>
        <v>1</v>
      </c>
      <c r="Y95" s="2">
        <f>+IF(Tabla5[[#This Row],[Quien me atiende]]=1,MAX(Tabla4[[#This Row],[Disponibilidad M1]],Tabla4[[#This Row],[Hora llegada]]),"-")</f>
        <v>475.08930378107539</v>
      </c>
      <c r="Z95" s="2" t="str">
        <f>+IF(Tabla5[[#This Row],[Quien me atiende]]=2,MAX(Tabla4[[#This Row],[Disponibilidad M2]],Tabla4[[#This Row],[Hora llegada]]),"-")</f>
        <v>-</v>
      </c>
      <c r="AA95" s="2" t="str">
        <f>+IF(Tabla5[[#This Row],[Quien me atiende]]=3,MAX(Tabla4[[#This Row],[Disponibilidad M3]],Tabla4[[#This Row],[Hora llegada]]),"-")</f>
        <v>-</v>
      </c>
      <c r="AB95" s="2">
        <f>+MAX($AG$13:AG94)</f>
        <v>475.08930378107539</v>
      </c>
      <c r="AC95" s="2">
        <f>+MAX($AH$13:AH94)</f>
        <v>476.24763684236228</v>
      </c>
      <c r="AD95" s="2">
        <f>+MAX($AI$13:AI94)</f>
        <v>475.89602003125566</v>
      </c>
      <c r="AE95" s="2">
        <v>0.76692093561596508</v>
      </c>
      <c r="AF95" s="2">
        <f>2+4.5*Tabla4[[#This Row],[A5]]</f>
        <v>5.4511442102718428</v>
      </c>
      <c r="AG95" s="2">
        <f>+IF(Tabla4[[#This Row],[Entrada M1]]="-","-",Tabla4[[#This Row],[Entrada M1]]+Tabla4[[#This Row],[Tiempo Atencion ]])</f>
        <v>480.54044799134721</v>
      </c>
      <c r="AH95" s="2" t="str">
        <f>+IF(Tabla4[[#This Row],[Entrada M2]]="-","-",Tabla4[[#This Row],[Entrada M2]]+Tabla4[[#This Row],[Tiempo Atencion ]])</f>
        <v>-</v>
      </c>
      <c r="AI95" s="2" t="str">
        <f>+IF(Tabla4[[#This Row],[Entrada M3]]="-","-",Tabla4[[#This Row],[Entrada M3]]+Tabla4[[#This Row],[Tiempo Atencion ]])</f>
        <v>-</v>
      </c>
      <c r="AJ95" s="11">
        <f>+MAX(Tabla4[[#This Row],[Salida M1]:[Salida M3]])</f>
        <v>480.54044799134721</v>
      </c>
      <c r="AK95" s="11" t="str">
        <f>+IF(Tabla4[[#This Row],[Salida]]&lt;=$B$17,"Entra","No Entra")</f>
        <v>No Entra</v>
      </c>
      <c r="AL95" s="11">
        <f>+IF(Tabla4[[#This Row],[Entra  a la carrera]]="Entra",0,Tabla4[[#This Row],[Grupo]])</f>
        <v>47</v>
      </c>
      <c r="AM95" s="11">
        <f>_xlfn.IFNA(VLOOKUP(Tabla4[[#This Row],[Grupo]],Tabla4[Grupos por fuera],1,FALSE),0)</f>
        <v>47</v>
      </c>
      <c r="AN95" s="11" t="str">
        <f>+IF(Tabla4[[#This Row],[Me salgo por mi amigo el lento?]]=0, "Entra", "Chao")</f>
        <v>Chao</v>
      </c>
      <c r="AO95" s="11" t="str">
        <f>+IF(Tabla4[[#This Row],[Al fin entra o no]]="Entra",MAX($AO$13:AO94)+1,"")</f>
        <v/>
      </c>
      <c r="AP95" s="11">
        <f>+Tabla4[[#This Row],[Entidad]]</f>
        <v>83</v>
      </c>
      <c r="AR95">
        <v>0.12799753539217895</v>
      </c>
      <c r="AS95">
        <f>+IF(Tabla5[[#This Row],[A3]]&lt;0.5,2,3)</f>
        <v>2</v>
      </c>
      <c r="AT95">
        <f>+IF(Tabla5[[#This Row],[A3]]&lt;0.5,1,3)</f>
        <v>1</v>
      </c>
      <c r="AU95">
        <f>+IF(Tabla5[[#This Row],[A3]]&lt;0.5,1,2)</f>
        <v>1</v>
      </c>
      <c r="AV95" s="6">
        <f>+IF(Tabla5[[#This Row],[A3]]&lt;0.33,1,IF(Tabla5[[#This Row],[A3]]&lt;0.66,2,3))</f>
        <v>1</v>
      </c>
      <c r="AW9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95" s="6">
        <f>+SUM(Tabla4[[#This Row],[Ocupacion M1]:[Ocupacion M3]])</f>
        <v>3</v>
      </c>
      <c r="AY95" s="6">
        <f>+IF(Tabla4[[#This Row],[Ocupacion M1]]=1,1,IF(Tabla4[[#This Row],[Ocupacion M2]]=1,2,3))</f>
        <v>1</v>
      </c>
      <c r="AZ95" s="6">
        <f>+INDEX(Tabla5[[#This Row],[Si 1 esta ocupado]:[Si 3 esta ocupado]],Tabla5[[#This Row],[Estado si = 1]])</f>
        <v>2</v>
      </c>
      <c r="BA95" s="6">
        <f>+IF(Tabla4[[#This Row],[Ocupacion M1]]= 0,1,IF(Tabla4[[#This Row],[Ocupacion M2]]=0,2,3))</f>
        <v>3</v>
      </c>
      <c r="BB9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95" t="str">
        <f t="shared" si="13"/>
        <v/>
      </c>
      <c r="BE95" t="str">
        <f>+IF(Tabla6[[#This Row],[Indice]]="","",VLOOKUP(Tabla6[[#This Row],[Indice]],Tabla4[[Corre]:[Entidad2]],2))</f>
        <v/>
      </c>
      <c r="BF95" t="str">
        <f>IFERROR(+INDEX(Tabla4[Grupo],Tabla6[[#This Row],[Entidad]]),"")</f>
        <v/>
      </c>
      <c r="BG95">
        <f t="shared" si="8"/>
        <v>480</v>
      </c>
      <c r="BH95">
        <v>0.60733661862664712</v>
      </c>
      <c r="BI95">
        <f>20+70*Tabla6[[#This Row],[A6]]</f>
        <v>62.513563303865297</v>
      </c>
      <c r="BJ95" t="str">
        <f>+IF(Tabla6[[#This Row],[Indice]]="","",Tabla6[[#This Row],[Empieza]]+Tabla6[[#This Row],[Tiempo carrera ]])</f>
        <v/>
      </c>
      <c r="BK95" s="6" t="str">
        <f>IF(Tabla6[[#This Row],[Termina la carrera]]="","",IF(Tabla6[[#This Row],[Termina la carrera]]&gt;540,1,0))</f>
        <v/>
      </c>
      <c r="BL95" s="6" t="str">
        <f>+IF(OR(Tabla6[[#This Row],[Despues de las 9]]=0,Tabla6[[#This Row],[Despues de las 9]]=""),"",Tabla6[[#This Row],[Despues de las 9]]*Tabla6[[#This Row],[Grupo ]])</f>
        <v/>
      </c>
      <c r="BM95" s="6" t="str">
        <f>+IF(Tabla6[[#This Row],[grupo  despues de las 9]]="","",IF(MAX($BL$13:BL94)=Tabla6[[#This Row],[grupo  despues de las 9]],"",1))</f>
        <v/>
      </c>
    </row>
    <row r="96" spans="5:65" x14ac:dyDescent="0.25">
      <c r="E96" s="2">
        <v>84</v>
      </c>
      <c r="F96" s="5">
        <v>0.71168960045350527</v>
      </c>
      <c r="G96" s="2">
        <f t="shared" si="9"/>
        <v>1.2437176030268779</v>
      </c>
      <c r="H96" s="4">
        <f>+H95+Tabla2[[#This Row],[Tiempo Entre]]</f>
        <v>453.42526284349492</v>
      </c>
      <c r="I96" s="5">
        <v>0.3854561174981771</v>
      </c>
      <c r="J96" s="2">
        <f>+IF(Tabla2[[#This Row],[A2 ]]&lt;0.5,1,IF(Tabla2[[#This Row],[A2 ]]&lt;0.8,2,3))</f>
        <v>1</v>
      </c>
      <c r="L96" s="2" t="str">
        <f>+IF(AND(Tabla2[[#This Row],[Llegada]]&lt;=$B$16,P96&gt;0),1,"-")</f>
        <v>-</v>
      </c>
      <c r="M96" s="2" t="str">
        <f t="shared" si="10"/>
        <v>-</v>
      </c>
      <c r="N96" s="4" t="str">
        <f>+IF(L96=1,Tabla2[[#This Row],[Llegada]],"-")</f>
        <v>-</v>
      </c>
      <c r="O96" s="2" t="str">
        <f>+IF(L96=1,Tabla2[[#This Row],[Numero de integrantes]],"-")</f>
        <v>-</v>
      </c>
      <c r="P96" s="2">
        <f t="shared" si="11"/>
        <v>0</v>
      </c>
      <c r="Q96" s="2">
        <f>+IF(Tabla3[[#This Row],[Entra?]]=1,Q95+Tabla3[[#This Row],[Numero integrantes]],Q95)</f>
        <v>100</v>
      </c>
      <c r="S96" s="2">
        <f t="shared" si="12"/>
        <v>84</v>
      </c>
      <c r="T96" s="2">
        <f>+COUNTIF(Tabla3[Cuantos van],"&lt;"&amp;Tabla4[[#This Row],[Entidad]])+1</f>
        <v>48</v>
      </c>
      <c r="U96" s="2">
        <f>+INDEX(Tabla3[Llegada],Tabla4[[#This Row],[Grupo]])</f>
        <v>413.66152640161994</v>
      </c>
      <c r="V96" s="2">
        <f>+IF(Tabla4[[#This Row],[Hora llegada]]&gt;=Tabla4[[#This Row],[Disponibilidad M1]],0,1)</f>
        <v>1</v>
      </c>
      <c r="W96" s="2">
        <f>+IF(Tabla4[[#This Row],[Hora llegada]]&gt;=Tabla4[[#This Row],[Disponibilidad M2]],0,1)</f>
        <v>1</v>
      </c>
      <c r="X96" s="2">
        <f>+IF(Tabla4[[#This Row],[Hora llegada]]&gt;=Tabla4[[#This Row],[Disponibilidad M3]],0,1)</f>
        <v>1</v>
      </c>
      <c r="Y96" s="2" t="str">
        <f>+IF(Tabla5[[#This Row],[Quien me atiende]]=1,MAX(Tabla4[[#This Row],[Disponibilidad M1]],Tabla4[[#This Row],[Hora llegada]]),"-")</f>
        <v>-</v>
      </c>
      <c r="Z96" s="2" t="str">
        <f>+IF(Tabla5[[#This Row],[Quien me atiende]]=2,MAX(Tabla4[[#This Row],[Disponibilidad M2]],Tabla4[[#This Row],[Hora llegada]]),"-")</f>
        <v>-</v>
      </c>
      <c r="AA96" s="2">
        <f>+IF(Tabla5[[#This Row],[Quien me atiende]]=3,MAX(Tabla4[[#This Row],[Disponibilidad M3]],Tabla4[[#This Row],[Hora llegada]]),"-")</f>
        <v>475.89602003125566</v>
      </c>
      <c r="AB96" s="2">
        <f>+MAX($AG$13:AG95)</f>
        <v>480.54044799134721</v>
      </c>
      <c r="AC96" s="2">
        <f>+MAX($AH$13:AH95)</f>
        <v>476.24763684236228</v>
      </c>
      <c r="AD96" s="2">
        <f>+MAX($AI$13:AI95)</f>
        <v>475.89602003125566</v>
      </c>
      <c r="AE96" s="2">
        <v>0.71833105620072557</v>
      </c>
      <c r="AF96" s="2">
        <f>2+4.5*Tabla4[[#This Row],[A5]]</f>
        <v>5.2324897529032652</v>
      </c>
      <c r="AG96" s="2" t="str">
        <f>+IF(Tabla4[[#This Row],[Entrada M1]]="-","-",Tabla4[[#This Row],[Entrada M1]]+Tabla4[[#This Row],[Tiempo Atencion ]])</f>
        <v>-</v>
      </c>
      <c r="AH96" s="2" t="str">
        <f>+IF(Tabla4[[#This Row],[Entrada M2]]="-","-",Tabla4[[#This Row],[Entrada M2]]+Tabla4[[#This Row],[Tiempo Atencion ]])</f>
        <v>-</v>
      </c>
      <c r="AI96" s="2">
        <f>+IF(Tabla4[[#This Row],[Entrada M3]]="-","-",Tabla4[[#This Row],[Entrada M3]]+Tabla4[[#This Row],[Tiempo Atencion ]])</f>
        <v>481.12850978415895</v>
      </c>
      <c r="AJ96" s="11">
        <f>+MAX(Tabla4[[#This Row],[Salida M1]:[Salida M3]])</f>
        <v>481.12850978415895</v>
      </c>
      <c r="AK96" s="11" t="str">
        <f>+IF(Tabla4[[#This Row],[Salida]]&lt;=$B$17,"Entra","No Entra")</f>
        <v>No Entra</v>
      </c>
      <c r="AL96" s="11">
        <f>+IF(Tabla4[[#This Row],[Entra  a la carrera]]="Entra",0,Tabla4[[#This Row],[Grupo]])</f>
        <v>48</v>
      </c>
      <c r="AM96" s="11">
        <f>_xlfn.IFNA(VLOOKUP(Tabla4[[#This Row],[Grupo]],Tabla4[Grupos por fuera],1,FALSE),0)</f>
        <v>48</v>
      </c>
      <c r="AN96" s="11" t="str">
        <f>+IF(Tabla4[[#This Row],[Me salgo por mi amigo el lento?]]=0, "Entra", "Chao")</f>
        <v>Chao</v>
      </c>
      <c r="AO96" s="11" t="str">
        <f>+IF(Tabla4[[#This Row],[Al fin entra o no]]="Entra",MAX($AO$13:AO95)+1,"")</f>
        <v/>
      </c>
      <c r="AP96" s="11">
        <f>+Tabla4[[#This Row],[Entidad]]</f>
        <v>84</v>
      </c>
      <c r="AR96">
        <v>0.46023732042208787</v>
      </c>
      <c r="AS96">
        <f>+IF(Tabla5[[#This Row],[A3]]&lt;0.5,2,3)</f>
        <v>2</v>
      </c>
      <c r="AT96">
        <f>+IF(Tabla5[[#This Row],[A3]]&lt;0.5,1,3)</f>
        <v>1</v>
      </c>
      <c r="AU96">
        <f>+IF(Tabla5[[#This Row],[A3]]&lt;0.5,1,2)</f>
        <v>1</v>
      </c>
      <c r="AV96" s="6">
        <f>+IF(Tabla5[[#This Row],[A3]]&lt;0.33,1,IF(Tabla5[[#This Row],[A3]]&lt;0.66,2,3))</f>
        <v>2</v>
      </c>
      <c r="AW9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96" s="6">
        <f>+SUM(Tabla4[[#This Row],[Ocupacion M1]:[Ocupacion M3]])</f>
        <v>3</v>
      </c>
      <c r="AY96" s="6">
        <f>+IF(Tabla4[[#This Row],[Ocupacion M1]]=1,1,IF(Tabla4[[#This Row],[Ocupacion M2]]=1,2,3))</f>
        <v>1</v>
      </c>
      <c r="AZ96" s="6">
        <f>+INDEX(Tabla5[[#This Row],[Si 1 esta ocupado]:[Si 3 esta ocupado]],Tabla5[[#This Row],[Estado si = 1]])</f>
        <v>2</v>
      </c>
      <c r="BA96" s="6">
        <f>+IF(Tabla4[[#This Row],[Ocupacion M1]]= 0,1,IF(Tabla4[[#This Row],[Ocupacion M2]]=0,2,3))</f>
        <v>3</v>
      </c>
      <c r="BB9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96" t="str">
        <f t="shared" si="13"/>
        <v/>
      </c>
      <c r="BE96" t="str">
        <f>+IF(Tabla6[[#This Row],[Indice]]="","",VLOOKUP(Tabla6[[#This Row],[Indice]],Tabla4[[Corre]:[Entidad2]],2))</f>
        <v/>
      </c>
      <c r="BF96" t="str">
        <f>IFERROR(+INDEX(Tabla4[Grupo],Tabla6[[#This Row],[Entidad]]),"")</f>
        <v/>
      </c>
      <c r="BG96">
        <f t="shared" si="8"/>
        <v>480</v>
      </c>
      <c r="BH96">
        <v>0.22790749227082785</v>
      </c>
      <c r="BI96">
        <f>20+70*Tabla6[[#This Row],[A6]]</f>
        <v>35.953524458957951</v>
      </c>
      <c r="BJ96" t="str">
        <f>+IF(Tabla6[[#This Row],[Indice]]="","",Tabla6[[#This Row],[Empieza]]+Tabla6[[#This Row],[Tiempo carrera ]])</f>
        <v/>
      </c>
      <c r="BK96" s="6" t="str">
        <f>IF(Tabla6[[#This Row],[Termina la carrera]]="","",IF(Tabla6[[#This Row],[Termina la carrera]]&gt;540,1,0))</f>
        <v/>
      </c>
      <c r="BL96" s="6" t="str">
        <f>+IF(OR(Tabla6[[#This Row],[Despues de las 9]]=0,Tabla6[[#This Row],[Despues de las 9]]=""),"",Tabla6[[#This Row],[Despues de las 9]]*Tabla6[[#This Row],[Grupo ]])</f>
        <v/>
      </c>
      <c r="BM96" s="6" t="str">
        <f>+IF(Tabla6[[#This Row],[grupo  despues de las 9]]="","",IF(MAX($BL$13:BL95)=Tabla6[[#This Row],[grupo  despues de las 9]],"",1))</f>
        <v/>
      </c>
    </row>
    <row r="97" spans="5:65" x14ac:dyDescent="0.25">
      <c r="E97" s="2">
        <v>85</v>
      </c>
      <c r="F97" s="5">
        <v>0.34500548594391545</v>
      </c>
      <c r="G97" s="2">
        <f t="shared" si="9"/>
        <v>0.42312841886885355</v>
      </c>
      <c r="H97" s="4">
        <f>+H96+Tabla2[[#This Row],[Tiempo Entre]]</f>
        <v>453.84839126236375</v>
      </c>
      <c r="I97" s="5">
        <v>0.21546423450259622</v>
      </c>
      <c r="J97" s="2">
        <f>+IF(Tabla2[[#This Row],[A2 ]]&lt;0.5,1,IF(Tabla2[[#This Row],[A2 ]]&lt;0.8,2,3))</f>
        <v>1</v>
      </c>
      <c r="L97" s="2" t="str">
        <f>+IF(AND(Tabla2[[#This Row],[Llegada]]&lt;=$B$16,P97&gt;0),1,"-")</f>
        <v>-</v>
      </c>
      <c r="M97" s="2" t="str">
        <f t="shared" si="10"/>
        <v>-</v>
      </c>
      <c r="N97" s="4" t="str">
        <f>+IF(L97=1,Tabla2[[#This Row],[Llegada]],"-")</f>
        <v>-</v>
      </c>
      <c r="O97" s="2" t="str">
        <f>+IF(L97=1,Tabla2[[#This Row],[Numero de integrantes]],"-")</f>
        <v>-</v>
      </c>
      <c r="P97" s="2">
        <f t="shared" si="11"/>
        <v>0</v>
      </c>
      <c r="Q97" s="2">
        <f>+IF(Tabla3[[#This Row],[Entra?]]=1,Q96+Tabla3[[#This Row],[Numero integrantes]],Q96)</f>
        <v>100</v>
      </c>
      <c r="S97" s="2">
        <f t="shared" si="12"/>
        <v>85</v>
      </c>
      <c r="T97" s="2">
        <f>+COUNTIF(Tabla3[Cuantos van],"&lt;"&amp;Tabla4[[#This Row],[Entidad]])+1</f>
        <v>49</v>
      </c>
      <c r="U97" s="2">
        <f>+INDEX(Tabla3[Llegada],Tabla4[[#This Row],[Grupo]])</f>
        <v>414.4390379755144</v>
      </c>
      <c r="V97" s="2">
        <f>+IF(Tabla4[[#This Row],[Hora llegada]]&gt;=Tabla4[[#This Row],[Disponibilidad M1]],0,1)</f>
        <v>1</v>
      </c>
      <c r="W97" s="2">
        <f>+IF(Tabla4[[#This Row],[Hora llegada]]&gt;=Tabla4[[#This Row],[Disponibilidad M2]],0,1)</f>
        <v>1</v>
      </c>
      <c r="X97" s="2">
        <f>+IF(Tabla4[[#This Row],[Hora llegada]]&gt;=Tabla4[[#This Row],[Disponibilidad M3]],0,1)</f>
        <v>1</v>
      </c>
      <c r="Y97" s="2" t="str">
        <f>+IF(Tabla5[[#This Row],[Quien me atiende]]=1,MAX(Tabla4[[#This Row],[Disponibilidad M1]],Tabla4[[#This Row],[Hora llegada]]),"-")</f>
        <v>-</v>
      </c>
      <c r="Z97" s="2">
        <f>+IF(Tabla5[[#This Row],[Quien me atiende]]=2,MAX(Tabla4[[#This Row],[Disponibilidad M2]],Tabla4[[#This Row],[Hora llegada]]),"-")</f>
        <v>476.24763684236228</v>
      </c>
      <c r="AA97" s="2" t="str">
        <f>+IF(Tabla5[[#This Row],[Quien me atiende]]=3,MAX(Tabla4[[#This Row],[Disponibilidad M3]],Tabla4[[#This Row],[Hora llegada]]),"-")</f>
        <v>-</v>
      </c>
      <c r="AB97" s="2">
        <f>+MAX($AG$13:AG96)</f>
        <v>480.54044799134721</v>
      </c>
      <c r="AC97" s="2">
        <f>+MAX($AH$13:AH96)</f>
        <v>476.24763684236228</v>
      </c>
      <c r="AD97" s="2">
        <f>+MAX($AI$13:AI96)</f>
        <v>481.12850978415895</v>
      </c>
      <c r="AE97" s="2">
        <v>0.56650052777661297</v>
      </c>
      <c r="AF97" s="2">
        <f>2+4.5*Tabla4[[#This Row],[A5]]</f>
        <v>4.549252374994758</v>
      </c>
      <c r="AG97" s="2" t="str">
        <f>+IF(Tabla4[[#This Row],[Entrada M1]]="-","-",Tabla4[[#This Row],[Entrada M1]]+Tabla4[[#This Row],[Tiempo Atencion ]])</f>
        <v>-</v>
      </c>
      <c r="AH97" s="2">
        <f>+IF(Tabla4[[#This Row],[Entrada M2]]="-","-",Tabla4[[#This Row],[Entrada M2]]+Tabla4[[#This Row],[Tiempo Atencion ]])</f>
        <v>480.79688921735703</v>
      </c>
      <c r="AI97" s="2" t="str">
        <f>+IF(Tabla4[[#This Row],[Entrada M3]]="-","-",Tabla4[[#This Row],[Entrada M3]]+Tabla4[[#This Row],[Tiempo Atencion ]])</f>
        <v>-</v>
      </c>
      <c r="AJ97" s="11">
        <f>+MAX(Tabla4[[#This Row],[Salida M1]:[Salida M3]])</f>
        <v>480.79688921735703</v>
      </c>
      <c r="AK97" s="11" t="str">
        <f>+IF(Tabla4[[#This Row],[Salida]]&lt;=$B$17,"Entra","No Entra")</f>
        <v>No Entra</v>
      </c>
      <c r="AL97" s="11">
        <f>+IF(Tabla4[[#This Row],[Entra  a la carrera]]="Entra",0,Tabla4[[#This Row],[Grupo]])</f>
        <v>49</v>
      </c>
      <c r="AM97" s="11">
        <f>_xlfn.IFNA(VLOOKUP(Tabla4[[#This Row],[Grupo]],Tabla4[Grupos por fuera],1,FALSE),0)</f>
        <v>49</v>
      </c>
      <c r="AN97" s="11" t="str">
        <f>+IF(Tabla4[[#This Row],[Me salgo por mi amigo el lento?]]=0, "Entra", "Chao")</f>
        <v>Chao</v>
      </c>
      <c r="AO97" s="11" t="str">
        <f>+IF(Tabla4[[#This Row],[Al fin entra o no]]="Entra",MAX($AO$13:AO96)+1,"")</f>
        <v/>
      </c>
      <c r="AP97" s="11">
        <f>+Tabla4[[#This Row],[Entidad]]</f>
        <v>85</v>
      </c>
      <c r="AR97">
        <v>4.0895228829176511E-2</v>
      </c>
      <c r="AS97">
        <f>+IF(Tabla5[[#This Row],[A3]]&lt;0.5,2,3)</f>
        <v>2</v>
      </c>
      <c r="AT97">
        <f>+IF(Tabla5[[#This Row],[A3]]&lt;0.5,1,3)</f>
        <v>1</v>
      </c>
      <c r="AU97">
        <f>+IF(Tabla5[[#This Row],[A3]]&lt;0.5,1,2)</f>
        <v>1</v>
      </c>
      <c r="AV97" s="6">
        <f>+IF(Tabla5[[#This Row],[A3]]&lt;0.33,1,IF(Tabla5[[#This Row],[A3]]&lt;0.66,2,3))</f>
        <v>1</v>
      </c>
      <c r="AW9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97" s="6">
        <f>+SUM(Tabla4[[#This Row],[Ocupacion M1]:[Ocupacion M3]])</f>
        <v>3</v>
      </c>
      <c r="AY97" s="6">
        <f>+IF(Tabla4[[#This Row],[Ocupacion M1]]=1,1,IF(Tabla4[[#This Row],[Ocupacion M2]]=1,2,3))</f>
        <v>1</v>
      </c>
      <c r="AZ97" s="6">
        <f>+INDEX(Tabla5[[#This Row],[Si 1 esta ocupado]:[Si 3 esta ocupado]],Tabla5[[#This Row],[Estado si = 1]])</f>
        <v>2</v>
      </c>
      <c r="BA97" s="6">
        <f>+IF(Tabla4[[#This Row],[Ocupacion M1]]= 0,1,IF(Tabla4[[#This Row],[Ocupacion M2]]=0,2,3))</f>
        <v>3</v>
      </c>
      <c r="BB9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97" t="str">
        <f t="shared" si="13"/>
        <v/>
      </c>
      <c r="BE97" t="str">
        <f>+IF(Tabla6[[#This Row],[Indice]]="","",VLOOKUP(Tabla6[[#This Row],[Indice]],Tabla4[[Corre]:[Entidad2]],2))</f>
        <v/>
      </c>
      <c r="BF97" t="str">
        <f>IFERROR(+INDEX(Tabla4[Grupo],Tabla6[[#This Row],[Entidad]]),"")</f>
        <v/>
      </c>
      <c r="BG97">
        <f t="shared" si="8"/>
        <v>480</v>
      </c>
      <c r="BH97">
        <v>0.3079938747280756</v>
      </c>
      <c r="BI97">
        <f>20+70*Tabla6[[#This Row],[A6]]</f>
        <v>41.55957123096529</v>
      </c>
      <c r="BJ97" t="str">
        <f>+IF(Tabla6[[#This Row],[Indice]]="","",Tabla6[[#This Row],[Empieza]]+Tabla6[[#This Row],[Tiempo carrera ]])</f>
        <v/>
      </c>
      <c r="BK97" s="6" t="str">
        <f>IF(Tabla6[[#This Row],[Termina la carrera]]="","",IF(Tabla6[[#This Row],[Termina la carrera]]&gt;540,1,0))</f>
        <v/>
      </c>
      <c r="BL97" s="6" t="str">
        <f>+IF(OR(Tabla6[[#This Row],[Despues de las 9]]=0,Tabla6[[#This Row],[Despues de las 9]]=""),"",Tabla6[[#This Row],[Despues de las 9]]*Tabla6[[#This Row],[Grupo ]])</f>
        <v/>
      </c>
      <c r="BM97" s="6" t="str">
        <f>+IF(Tabla6[[#This Row],[grupo  despues de las 9]]="","",IF(MAX($BL$13:BL96)=Tabla6[[#This Row],[grupo  despues de las 9]],"",1))</f>
        <v/>
      </c>
    </row>
    <row r="98" spans="5:65" x14ac:dyDescent="0.25">
      <c r="E98" s="2">
        <v>86</v>
      </c>
      <c r="F98" s="5">
        <v>9.450606985152199E-2</v>
      </c>
      <c r="G98" s="2">
        <f t="shared" si="9"/>
        <v>9.9274704995903809E-2</v>
      </c>
      <c r="H98" s="4">
        <f>+H97+Tabla2[[#This Row],[Tiempo Entre]]</f>
        <v>453.94766596735963</v>
      </c>
      <c r="I98" s="5">
        <v>6.5695271257184551E-2</v>
      </c>
      <c r="J98" s="2">
        <f>+IF(Tabla2[[#This Row],[A2 ]]&lt;0.5,1,IF(Tabla2[[#This Row],[A2 ]]&lt;0.8,2,3))</f>
        <v>1</v>
      </c>
      <c r="L98" s="2" t="str">
        <f>+IF(AND(Tabla2[[#This Row],[Llegada]]&lt;=$B$16,P98&gt;0),1,"-")</f>
        <v>-</v>
      </c>
      <c r="M98" s="2" t="str">
        <f t="shared" si="10"/>
        <v>-</v>
      </c>
      <c r="N98" s="4" t="str">
        <f>+IF(L98=1,Tabla2[[#This Row],[Llegada]],"-")</f>
        <v>-</v>
      </c>
      <c r="O98" s="2" t="str">
        <f>+IF(L98=1,Tabla2[[#This Row],[Numero de integrantes]],"-")</f>
        <v>-</v>
      </c>
      <c r="P98" s="2">
        <f t="shared" si="11"/>
        <v>0</v>
      </c>
      <c r="Q98" s="2">
        <f>+IF(Tabla3[[#This Row],[Entra?]]=1,Q97+Tabla3[[#This Row],[Numero integrantes]],Q97)</f>
        <v>100</v>
      </c>
      <c r="S98" s="2">
        <f t="shared" si="12"/>
        <v>86</v>
      </c>
      <c r="T98" s="2">
        <f>+COUNTIF(Tabla3[Cuantos van],"&lt;"&amp;Tabla4[[#This Row],[Entidad]])+1</f>
        <v>50</v>
      </c>
      <c r="U98" s="2">
        <f>+INDEX(Tabla3[Llegada],Tabla4[[#This Row],[Grupo]])</f>
        <v>414.67605726007696</v>
      </c>
      <c r="V98" s="2">
        <f>+IF(Tabla4[[#This Row],[Hora llegada]]&gt;=Tabla4[[#This Row],[Disponibilidad M1]],0,1)</f>
        <v>1</v>
      </c>
      <c r="W98" s="2">
        <f>+IF(Tabla4[[#This Row],[Hora llegada]]&gt;=Tabla4[[#This Row],[Disponibilidad M2]],0,1)</f>
        <v>1</v>
      </c>
      <c r="X98" s="2">
        <f>+IF(Tabla4[[#This Row],[Hora llegada]]&gt;=Tabla4[[#This Row],[Disponibilidad M3]],0,1)</f>
        <v>1</v>
      </c>
      <c r="Y98" s="2">
        <f>+IF(Tabla5[[#This Row],[Quien me atiende]]=1,MAX(Tabla4[[#This Row],[Disponibilidad M1]],Tabla4[[#This Row],[Hora llegada]]),"-")</f>
        <v>480.54044799134721</v>
      </c>
      <c r="Z98" s="2" t="str">
        <f>+IF(Tabla5[[#This Row],[Quien me atiende]]=2,MAX(Tabla4[[#This Row],[Disponibilidad M2]],Tabla4[[#This Row],[Hora llegada]]),"-")</f>
        <v>-</v>
      </c>
      <c r="AA98" s="2" t="str">
        <f>+IF(Tabla5[[#This Row],[Quien me atiende]]=3,MAX(Tabla4[[#This Row],[Disponibilidad M3]],Tabla4[[#This Row],[Hora llegada]]),"-")</f>
        <v>-</v>
      </c>
      <c r="AB98" s="2">
        <f>+MAX($AG$13:AG97)</f>
        <v>480.54044799134721</v>
      </c>
      <c r="AC98" s="2">
        <f>+MAX($AH$13:AH97)</f>
        <v>480.79688921735703</v>
      </c>
      <c r="AD98" s="2">
        <f>+MAX($AI$13:AI97)</f>
        <v>481.12850978415895</v>
      </c>
      <c r="AE98" s="2">
        <v>0.75455704428682613</v>
      </c>
      <c r="AF98" s="2">
        <f>2+4.5*Tabla4[[#This Row],[A5]]</f>
        <v>5.395506699290717</v>
      </c>
      <c r="AG98" s="2">
        <f>+IF(Tabla4[[#This Row],[Entrada M1]]="-","-",Tabla4[[#This Row],[Entrada M1]]+Tabla4[[#This Row],[Tiempo Atencion ]])</f>
        <v>485.93595469063791</v>
      </c>
      <c r="AH98" s="2" t="str">
        <f>+IF(Tabla4[[#This Row],[Entrada M2]]="-","-",Tabla4[[#This Row],[Entrada M2]]+Tabla4[[#This Row],[Tiempo Atencion ]])</f>
        <v>-</v>
      </c>
      <c r="AI98" s="2" t="str">
        <f>+IF(Tabla4[[#This Row],[Entrada M3]]="-","-",Tabla4[[#This Row],[Entrada M3]]+Tabla4[[#This Row],[Tiempo Atencion ]])</f>
        <v>-</v>
      </c>
      <c r="AJ98" s="11">
        <f>+MAX(Tabla4[[#This Row],[Salida M1]:[Salida M3]])</f>
        <v>485.93595469063791</v>
      </c>
      <c r="AK98" s="11" t="str">
        <f>+IF(Tabla4[[#This Row],[Salida]]&lt;=$B$17,"Entra","No Entra")</f>
        <v>No Entra</v>
      </c>
      <c r="AL98" s="11">
        <f>+IF(Tabla4[[#This Row],[Entra  a la carrera]]="Entra",0,Tabla4[[#This Row],[Grupo]])</f>
        <v>50</v>
      </c>
      <c r="AM98" s="11">
        <f>_xlfn.IFNA(VLOOKUP(Tabla4[[#This Row],[Grupo]],Tabla4[Grupos por fuera],1,FALSE),0)</f>
        <v>50</v>
      </c>
      <c r="AN98" s="11" t="str">
        <f>+IF(Tabla4[[#This Row],[Me salgo por mi amigo el lento?]]=0, "Entra", "Chao")</f>
        <v>Chao</v>
      </c>
      <c r="AO98" s="11" t="str">
        <f>+IF(Tabla4[[#This Row],[Al fin entra o no]]="Entra",MAX($AO$13:AO97)+1,"")</f>
        <v/>
      </c>
      <c r="AP98" s="11">
        <f>+Tabla4[[#This Row],[Entidad]]</f>
        <v>86</v>
      </c>
      <c r="AR98">
        <v>0.91927889163640997</v>
      </c>
      <c r="AS98">
        <f>+IF(Tabla5[[#This Row],[A3]]&lt;0.5,2,3)</f>
        <v>3</v>
      </c>
      <c r="AT98">
        <f>+IF(Tabla5[[#This Row],[A3]]&lt;0.5,1,3)</f>
        <v>3</v>
      </c>
      <c r="AU98">
        <f>+IF(Tabla5[[#This Row],[A3]]&lt;0.5,1,2)</f>
        <v>2</v>
      </c>
      <c r="AV98" s="6">
        <f>+IF(Tabla5[[#This Row],[A3]]&lt;0.33,1,IF(Tabla5[[#This Row],[A3]]&lt;0.66,2,3))</f>
        <v>3</v>
      </c>
      <c r="AW9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98" s="6">
        <f>+SUM(Tabla4[[#This Row],[Ocupacion M1]:[Ocupacion M3]])</f>
        <v>3</v>
      </c>
      <c r="AY98" s="6">
        <f>+IF(Tabla4[[#This Row],[Ocupacion M1]]=1,1,IF(Tabla4[[#This Row],[Ocupacion M2]]=1,2,3))</f>
        <v>1</v>
      </c>
      <c r="AZ98" s="6">
        <f>+INDEX(Tabla5[[#This Row],[Si 1 esta ocupado]:[Si 3 esta ocupado]],Tabla5[[#This Row],[Estado si = 1]])</f>
        <v>3</v>
      </c>
      <c r="BA98" s="6">
        <f>+IF(Tabla4[[#This Row],[Ocupacion M1]]= 0,1,IF(Tabla4[[#This Row],[Ocupacion M2]]=0,2,3))</f>
        <v>3</v>
      </c>
      <c r="BB9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98" t="str">
        <f t="shared" si="13"/>
        <v/>
      </c>
      <c r="BE98" t="str">
        <f>+IF(Tabla6[[#This Row],[Indice]]="","",VLOOKUP(Tabla6[[#This Row],[Indice]],Tabla4[[Corre]:[Entidad2]],2))</f>
        <v/>
      </c>
      <c r="BF98" t="str">
        <f>IFERROR(+INDEX(Tabla4[Grupo],Tabla6[[#This Row],[Entidad]]),"")</f>
        <v/>
      </c>
      <c r="BG98">
        <f t="shared" si="8"/>
        <v>480</v>
      </c>
      <c r="BH98">
        <v>0.74421454985341107</v>
      </c>
      <c r="BI98">
        <f>20+70*Tabla6[[#This Row],[A6]]</f>
        <v>72.095018489738777</v>
      </c>
      <c r="BJ98" t="str">
        <f>+IF(Tabla6[[#This Row],[Indice]]="","",Tabla6[[#This Row],[Empieza]]+Tabla6[[#This Row],[Tiempo carrera ]])</f>
        <v/>
      </c>
      <c r="BK98" s="6" t="str">
        <f>IF(Tabla6[[#This Row],[Termina la carrera]]="","",IF(Tabla6[[#This Row],[Termina la carrera]]&gt;540,1,0))</f>
        <v/>
      </c>
      <c r="BL98" s="6" t="str">
        <f>+IF(OR(Tabla6[[#This Row],[Despues de las 9]]=0,Tabla6[[#This Row],[Despues de las 9]]=""),"",Tabla6[[#This Row],[Despues de las 9]]*Tabla6[[#This Row],[Grupo ]])</f>
        <v/>
      </c>
      <c r="BM98" s="6" t="str">
        <f>+IF(Tabla6[[#This Row],[grupo  despues de las 9]]="","",IF(MAX($BL$13:BL97)=Tabla6[[#This Row],[grupo  despues de las 9]],"",1))</f>
        <v/>
      </c>
    </row>
    <row r="99" spans="5:65" x14ac:dyDescent="0.25">
      <c r="E99" s="2">
        <v>87</v>
      </c>
      <c r="F99" s="5">
        <v>0.79809379776426237</v>
      </c>
      <c r="G99" s="2">
        <f t="shared" si="9"/>
        <v>1.5999520347902632</v>
      </c>
      <c r="H99" s="4">
        <f>+H98+Tabla2[[#This Row],[Tiempo Entre]]</f>
        <v>455.54761800214987</v>
      </c>
      <c r="I99" s="5">
        <v>0.9438201255955414</v>
      </c>
      <c r="J99" s="2">
        <f>+IF(Tabla2[[#This Row],[A2 ]]&lt;0.5,1,IF(Tabla2[[#This Row],[A2 ]]&lt;0.8,2,3))</f>
        <v>3</v>
      </c>
      <c r="L99" s="2" t="str">
        <f>+IF(AND(Tabla2[[#This Row],[Llegada]]&lt;=$B$16,P99&gt;0),1,"-")</f>
        <v>-</v>
      </c>
      <c r="M99" s="2" t="str">
        <f t="shared" si="10"/>
        <v>-</v>
      </c>
      <c r="N99" s="4" t="str">
        <f>+IF(L99=1,Tabla2[[#This Row],[Llegada]],"-")</f>
        <v>-</v>
      </c>
      <c r="O99" s="2" t="str">
        <f>+IF(L99=1,Tabla2[[#This Row],[Numero de integrantes]],"-")</f>
        <v>-</v>
      </c>
      <c r="P99" s="2">
        <f t="shared" si="11"/>
        <v>0</v>
      </c>
      <c r="Q99" s="2">
        <f>+IF(Tabla3[[#This Row],[Entra?]]=1,Q98+Tabla3[[#This Row],[Numero integrantes]],Q98)</f>
        <v>100</v>
      </c>
      <c r="S99" s="2">
        <f t="shared" si="12"/>
        <v>87</v>
      </c>
      <c r="T99" s="2">
        <f>+COUNTIF(Tabla3[Cuantos van],"&lt;"&amp;Tabla4[[#This Row],[Entidad]])+1</f>
        <v>51</v>
      </c>
      <c r="U99" s="2">
        <f>+INDEX(Tabla3[Llegada],Tabla4[[#This Row],[Grupo]])</f>
        <v>417.70556217134458</v>
      </c>
      <c r="V99" s="2">
        <f>+IF(Tabla4[[#This Row],[Hora llegada]]&gt;=Tabla4[[#This Row],[Disponibilidad M1]],0,1)</f>
        <v>1</v>
      </c>
      <c r="W99" s="2">
        <f>+IF(Tabla4[[#This Row],[Hora llegada]]&gt;=Tabla4[[#This Row],[Disponibilidad M2]],0,1)</f>
        <v>1</v>
      </c>
      <c r="X99" s="2">
        <f>+IF(Tabla4[[#This Row],[Hora llegada]]&gt;=Tabla4[[#This Row],[Disponibilidad M3]],0,1)</f>
        <v>1</v>
      </c>
      <c r="Y99" s="2" t="str">
        <f>+IF(Tabla5[[#This Row],[Quien me atiende]]=1,MAX(Tabla4[[#This Row],[Disponibilidad M1]],Tabla4[[#This Row],[Hora llegada]]),"-")</f>
        <v>-</v>
      </c>
      <c r="Z99" s="2">
        <f>+IF(Tabla5[[#This Row],[Quien me atiende]]=2,MAX(Tabla4[[#This Row],[Disponibilidad M2]],Tabla4[[#This Row],[Hora llegada]]),"-")</f>
        <v>480.79688921735703</v>
      </c>
      <c r="AA99" s="2" t="str">
        <f>+IF(Tabla5[[#This Row],[Quien me atiende]]=3,MAX(Tabla4[[#This Row],[Disponibilidad M3]],Tabla4[[#This Row],[Hora llegada]]),"-")</f>
        <v>-</v>
      </c>
      <c r="AB99" s="2">
        <f>+MAX($AG$13:AG98)</f>
        <v>485.93595469063791</v>
      </c>
      <c r="AC99" s="2">
        <f>+MAX($AH$13:AH98)</f>
        <v>480.79688921735703</v>
      </c>
      <c r="AD99" s="2">
        <f>+MAX($AI$13:AI98)</f>
        <v>481.12850978415895</v>
      </c>
      <c r="AE99" s="2">
        <v>0.23248416382211456</v>
      </c>
      <c r="AF99" s="2">
        <f>2+4.5*Tabla4[[#This Row],[A5]]</f>
        <v>3.0461787371995155</v>
      </c>
      <c r="AG99" s="2" t="str">
        <f>+IF(Tabla4[[#This Row],[Entrada M1]]="-","-",Tabla4[[#This Row],[Entrada M1]]+Tabla4[[#This Row],[Tiempo Atencion ]])</f>
        <v>-</v>
      </c>
      <c r="AH99" s="2">
        <f>+IF(Tabla4[[#This Row],[Entrada M2]]="-","-",Tabla4[[#This Row],[Entrada M2]]+Tabla4[[#This Row],[Tiempo Atencion ]])</f>
        <v>483.84306795455655</v>
      </c>
      <c r="AI99" s="2" t="str">
        <f>+IF(Tabla4[[#This Row],[Entrada M3]]="-","-",Tabla4[[#This Row],[Entrada M3]]+Tabla4[[#This Row],[Tiempo Atencion ]])</f>
        <v>-</v>
      </c>
      <c r="AJ99" s="11">
        <f>+MAX(Tabla4[[#This Row],[Salida M1]:[Salida M3]])</f>
        <v>483.84306795455655</v>
      </c>
      <c r="AK99" s="11" t="str">
        <f>+IF(Tabla4[[#This Row],[Salida]]&lt;=$B$17,"Entra","No Entra")</f>
        <v>No Entra</v>
      </c>
      <c r="AL99" s="11">
        <f>+IF(Tabla4[[#This Row],[Entra  a la carrera]]="Entra",0,Tabla4[[#This Row],[Grupo]])</f>
        <v>51</v>
      </c>
      <c r="AM99" s="11">
        <f>_xlfn.IFNA(VLOOKUP(Tabla4[[#This Row],[Grupo]],Tabla4[Grupos por fuera],1,FALSE),0)</f>
        <v>51</v>
      </c>
      <c r="AN99" s="11" t="str">
        <f>+IF(Tabla4[[#This Row],[Me salgo por mi amigo el lento?]]=0, "Entra", "Chao")</f>
        <v>Chao</v>
      </c>
      <c r="AO99" s="11" t="str">
        <f>+IF(Tabla4[[#This Row],[Al fin entra o no]]="Entra",MAX($AO$13:AO98)+1,"")</f>
        <v/>
      </c>
      <c r="AP99" s="11">
        <f>+Tabla4[[#This Row],[Entidad]]</f>
        <v>87</v>
      </c>
      <c r="AR99">
        <v>0.18001046971761692</v>
      </c>
      <c r="AS99">
        <f>+IF(Tabla5[[#This Row],[A3]]&lt;0.5,2,3)</f>
        <v>2</v>
      </c>
      <c r="AT99">
        <f>+IF(Tabla5[[#This Row],[A3]]&lt;0.5,1,3)</f>
        <v>1</v>
      </c>
      <c r="AU99">
        <f>+IF(Tabla5[[#This Row],[A3]]&lt;0.5,1,2)</f>
        <v>1</v>
      </c>
      <c r="AV99" s="6">
        <f>+IF(Tabla5[[#This Row],[A3]]&lt;0.33,1,IF(Tabla5[[#This Row],[A3]]&lt;0.66,2,3))</f>
        <v>1</v>
      </c>
      <c r="AW9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99" s="6">
        <f>+SUM(Tabla4[[#This Row],[Ocupacion M1]:[Ocupacion M3]])</f>
        <v>3</v>
      </c>
      <c r="AY99" s="6">
        <f>+IF(Tabla4[[#This Row],[Ocupacion M1]]=1,1,IF(Tabla4[[#This Row],[Ocupacion M2]]=1,2,3))</f>
        <v>1</v>
      </c>
      <c r="AZ99" s="6">
        <f>+INDEX(Tabla5[[#This Row],[Si 1 esta ocupado]:[Si 3 esta ocupado]],Tabla5[[#This Row],[Estado si = 1]])</f>
        <v>2</v>
      </c>
      <c r="BA99" s="6">
        <f>+IF(Tabla4[[#This Row],[Ocupacion M1]]= 0,1,IF(Tabla4[[#This Row],[Ocupacion M2]]=0,2,3))</f>
        <v>3</v>
      </c>
      <c r="BB9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99" t="str">
        <f t="shared" si="13"/>
        <v/>
      </c>
      <c r="BE99" t="str">
        <f>+IF(Tabla6[[#This Row],[Indice]]="","",VLOOKUP(Tabla6[[#This Row],[Indice]],Tabla4[[Corre]:[Entidad2]],2))</f>
        <v/>
      </c>
      <c r="BF99" t="str">
        <f>IFERROR(+INDEX(Tabla4[Grupo],Tabla6[[#This Row],[Entidad]]),"")</f>
        <v/>
      </c>
      <c r="BG99">
        <f t="shared" si="8"/>
        <v>480</v>
      </c>
      <c r="BH99">
        <v>0.92897582376292409</v>
      </c>
      <c r="BI99">
        <f>20+70*Tabla6[[#This Row],[A6]]</f>
        <v>85.028307663404689</v>
      </c>
      <c r="BJ99" t="str">
        <f>+IF(Tabla6[[#This Row],[Indice]]="","",Tabla6[[#This Row],[Empieza]]+Tabla6[[#This Row],[Tiempo carrera ]])</f>
        <v/>
      </c>
      <c r="BK99" s="6" t="str">
        <f>IF(Tabla6[[#This Row],[Termina la carrera]]="","",IF(Tabla6[[#This Row],[Termina la carrera]]&gt;540,1,0))</f>
        <v/>
      </c>
      <c r="BL99" s="6" t="str">
        <f>+IF(OR(Tabla6[[#This Row],[Despues de las 9]]=0,Tabla6[[#This Row],[Despues de las 9]]=""),"",Tabla6[[#This Row],[Despues de las 9]]*Tabla6[[#This Row],[Grupo ]])</f>
        <v/>
      </c>
      <c r="BM99" s="6" t="str">
        <f>+IF(Tabla6[[#This Row],[grupo  despues de las 9]]="","",IF(MAX($BL$13:BL98)=Tabla6[[#This Row],[grupo  despues de las 9]],"",1))</f>
        <v/>
      </c>
    </row>
    <row r="100" spans="5:65" x14ac:dyDescent="0.25">
      <c r="E100" s="2">
        <v>88</v>
      </c>
      <c r="F100" s="5">
        <v>0.67021511257036004</v>
      </c>
      <c r="G100" s="2">
        <f t="shared" si="9"/>
        <v>1.1093146933461036</v>
      </c>
      <c r="H100" s="4">
        <f>+H99+Tabla2[[#This Row],[Tiempo Entre]]</f>
        <v>456.65693269549598</v>
      </c>
      <c r="I100" s="5">
        <v>0.54360120316737426</v>
      </c>
      <c r="J100" s="2">
        <f>+IF(Tabla2[[#This Row],[A2 ]]&lt;0.5,1,IF(Tabla2[[#This Row],[A2 ]]&lt;0.8,2,3))</f>
        <v>2</v>
      </c>
      <c r="L100" s="2" t="str">
        <f>+IF(AND(Tabla2[[#This Row],[Llegada]]&lt;=$B$16,P100&gt;0),1,"-")</f>
        <v>-</v>
      </c>
      <c r="M100" s="2" t="str">
        <f t="shared" si="10"/>
        <v>-</v>
      </c>
      <c r="N100" s="4" t="str">
        <f>+IF(L100=1,Tabla2[[#This Row],[Llegada]],"-")</f>
        <v>-</v>
      </c>
      <c r="O100" s="2" t="str">
        <f>+IF(L100=1,Tabla2[[#This Row],[Numero de integrantes]],"-")</f>
        <v>-</v>
      </c>
      <c r="P100" s="2">
        <f t="shared" si="11"/>
        <v>0</v>
      </c>
      <c r="Q100" s="2">
        <f>+IF(Tabla3[[#This Row],[Entra?]]=1,Q99+Tabla3[[#This Row],[Numero integrantes]],Q99)</f>
        <v>100</v>
      </c>
      <c r="S100" s="2">
        <f t="shared" si="12"/>
        <v>88</v>
      </c>
      <c r="T100" s="2">
        <f>+COUNTIF(Tabla3[Cuantos van],"&lt;"&amp;Tabla4[[#This Row],[Entidad]])+1</f>
        <v>52</v>
      </c>
      <c r="U100" s="2">
        <f>+INDEX(Tabla3[Llegada],Tabla4[[#This Row],[Grupo]])</f>
        <v>418.32939611462706</v>
      </c>
      <c r="V100" s="2">
        <f>+IF(Tabla4[[#This Row],[Hora llegada]]&gt;=Tabla4[[#This Row],[Disponibilidad M1]],0,1)</f>
        <v>1</v>
      </c>
      <c r="W100" s="2">
        <f>+IF(Tabla4[[#This Row],[Hora llegada]]&gt;=Tabla4[[#This Row],[Disponibilidad M2]],0,1)</f>
        <v>1</v>
      </c>
      <c r="X100" s="2">
        <f>+IF(Tabla4[[#This Row],[Hora llegada]]&gt;=Tabla4[[#This Row],[Disponibilidad M3]],0,1)</f>
        <v>1</v>
      </c>
      <c r="Y100" s="2" t="str">
        <f>+IF(Tabla5[[#This Row],[Quien me atiende]]=1,MAX(Tabla4[[#This Row],[Disponibilidad M1]],Tabla4[[#This Row],[Hora llegada]]),"-")</f>
        <v>-</v>
      </c>
      <c r="Z100" s="2" t="str">
        <f>+IF(Tabla5[[#This Row],[Quien me atiende]]=2,MAX(Tabla4[[#This Row],[Disponibilidad M2]],Tabla4[[#This Row],[Hora llegada]]),"-")</f>
        <v>-</v>
      </c>
      <c r="AA100" s="2">
        <f>+IF(Tabla5[[#This Row],[Quien me atiende]]=3,MAX(Tabla4[[#This Row],[Disponibilidad M3]],Tabla4[[#This Row],[Hora llegada]]),"-")</f>
        <v>481.12850978415895</v>
      </c>
      <c r="AB100" s="2">
        <f>+MAX($AG$13:AG99)</f>
        <v>485.93595469063791</v>
      </c>
      <c r="AC100" s="2">
        <f>+MAX($AH$13:AH99)</f>
        <v>483.84306795455655</v>
      </c>
      <c r="AD100" s="2">
        <f>+MAX($AI$13:AI99)</f>
        <v>481.12850978415895</v>
      </c>
      <c r="AE100" s="2">
        <v>2.6162683831917111E-2</v>
      </c>
      <c r="AF100" s="2">
        <f>2+4.5*Tabla4[[#This Row],[A5]]</f>
        <v>2.1177320772436268</v>
      </c>
      <c r="AG100" s="2" t="str">
        <f>+IF(Tabla4[[#This Row],[Entrada M1]]="-","-",Tabla4[[#This Row],[Entrada M1]]+Tabla4[[#This Row],[Tiempo Atencion ]])</f>
        <v>-</v>
      </c>
      <c r="AH100" s="2" t="str">
        <f>+IF(Tabla4[[#This Row],[Entrada M2]]="-","-",Tabla4[[#This Row],[Entrada M2]]+Tabla4[[#This Row],[Tiempo Atencion ]])</f>
        <v>-</v>
      </c>
      <c r="AI100" s="2">
        <f>+IF(Tabla4[[#This Row],[Entrada M3]]="-","-",Tabla4[[#This Row],[Entrada M3]]+Tabla4[[#This Row],[Tiempo Atencion ]])</f>
        <v>483.24624186140255</v>
      </c>
      <c r="AJ100" s="11">
        <f>+MAX(Tabla4[[#This Row],[Salida M1]:[Salida M3]])</f>
        <v>483.24624186140255</v>
      </c>
      <c r="AK100" s="11" t="str">
        <f>+IF(Tabla4[[#This Row],[Salida]]&lt;=$B$17,"Entra","No Entra")</f>
        <v>No Entra</v>
      </c>
      <c r="AL100" s="11">
        <f>+IF(Tabla4[[#This Row],[Entra  a la carrera]]="Entra",0,Tabla4[[#This Row],[Grupo]])</f>
        <v>52</v>
      </c>
      <c r="AM100" s="11">
        <f>_xlfn.IFNA(VLOOKUP(Tabla4[[#This Row],[Grupo]],Tabla4[Grupos por fuera],1,FALSE),0)</f>
        <v>52</v>
      </c>
      <c r="AN100" s="11" t="str">
        <f>+IF(Tabla4[[#This Row],[Me salgo por mi amigo el lento?]]=0, "Entra", "Chao")</f>
        <v>Chao</v>
      </c>
      <c r="AO100" s="11" t="str">
        <f>+IF(Tabla4[[#This Row],[Al fin entra o no]]="Entra",MAX($AO$13:AO99)+1,"")</f>
        <v/>
      </c>
      <c r="AP100" s="11">
        <f>+Tabla4[[#This Row],[Entidad]]</f>
        <v>88</v>
      </c>
      <c r="AR100">
        <v>0.50002000293630289</v>
      </c>
      <c r="AS100">
        <f>+IF(Tabla5[[#This Row],[A3]]&lt;0.5,2,3)</f>
        <v>3</v>
      </c>
      <c r="AT100">
        <f>+IF(Tabla5[[#This Row],[A3]]&lt;0.5,1,3)</f>
        <v>3</v>
      </c>
      <c r="AU100">
        <f>+IF(Tabla5[[#This Row],[A3]]&lt;0.5,1,2)</f>
        <v>2</v>
      </c>
      <c r="AV100" s="6">
        <f>+IF(Tabla5[[#This Row],[A3]]&lt;0.33,1,IF(Tabla5[[#This Row],[A3]]&lt;0.66,2,3))</f>
        <v>2</v>
      </c>
      <c r="AW10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00" s="6">
        <f>+SUM(Tabla4[[#This Row],[Ocupacion M1]:[Ocupacion M3]])</f>
        <v>3</v>
      </c>
      <c r="AY100" s="6">
        <f>+IF(Tabla4[[#This Row],[Ocupacion M1]]=1,1,IF(Tabla4[[#This Row],[Ocupacion M2]]=1,2,3))</f>
        <v>1</v>
      </c>
      <c r="AZ100" s="6">
        <f>+INDEX(Tabla5[[#This Row],[Si 1 esta ocupado]:[Si 3 esta ocupado]],Tabla5[[#This Row],[Estado si = 1]])</f>
        <v>3</v>
      </c>
      <c r="BA100" s="6">
        <f>+IF(Tabla4[[#This Row],[Ocupacion M1]]= 0,1,IF(Tabla4[[#This Row],[Ocupacion M2]]=0,2,3))</f>
        <v>3</v>
      </c>
      <c r="BB10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00" t="str">
        <f t="shared" si="13"/>
        <v/>
      </c>
      <c r="BE100" t="str">
        <f>+IF(Tabla6[[#This Row],[Indice]]="","",VLOOKUP(Tabla6[[#This Row],[Indice]],Tabla4[[Corre]:[Entidad2]],2))</f>
        <v/>
      </c>
      <c r="BF100" t="str">
        <f>IFERROR(+INDEX(Tabla4[Grupo],Tabla6[[#This Row],[Entidad]]),"")</f>
        <v/>
      </c>
      <c r="BG100">
        <f t="shared" si="8"/>
        <v>480</v>
      </c>
      <c r="BH100">
        <v>3.6695567388836947E-3</v>
      </c>
      <c r="BI100">
        <f>20+70*Tabla6[[#This Row],[A6]]</f>
        <v>20.256868971721858</v>
      </c>
      <c r="BJ100" t="str">
        <f>+IF(Tabla6[[#This Row],[Indice]]="","",Tabla6[[#This Row],[Empieza]]+Tabla6[[#This Row],[Tiempo carrera ]])</f>
        <v/>
      </c>
      <c r="BK100" s="6" t="str">
        <f>IF(Tabla6[[#This Row],[Termina la carrera]]="","",IF(Tabla6[[#This Row],[Termina la carrera]]&gt;540,1,0))</f>
        <v/>
      </c>
      <c r="BL100" s="6" t="str">
        <f>+IF(OR(Tabla6[[#This Row],[Despues de las 9]]=0,Tabla6[[#This Row],[Despues de las 9]]=""),"",Tabla6[[#This Row],[Despues de las 9]]*Tabla6[[#This Row],[Grupo ]])</f>
        <v/>
      </c>
      <c r="BM100" s="6" t="str">
        <f>+IF(Tabla6[[#This Row],[grupo  despues de las 9]]="","",IF(MAX($BL$13:BL99)=Tabla6[[#This Row],[grupo  despues de las 9]],"",1))</f>
        <v/>
      </c>
    </row>
    <row r="101" spans="5:65" x14ac:dyDescent="0.25">
      <c r="E101" s="2">
        <v>89</v>
      </c>
      <c r="F101" s="5">
        <v>0.61155308271273201</v>
      </c>
      <c r="G101" s="2">
        <f t="shared" si="9"/>
        <v>0.94559875354905953</v>
      </c>
      <c r="H101" s="4">
        <f>+H100+Tabla2[[#This Row],[Tiempo Entre]]</f>
        <v>457.60253144904505</v>
      </c>
      <c r="I101" s="5">
        <v>0.64596436282299752</v>
      </c>
      <c r="J101" s="2">
        <f>+IF(Tabla2[[#This Row],[A2 ]]&lt;0.5,1,IF(Tabla2[[#This Row],[A2 ]]&lt;0.8,2,3))</f>
        <v>2</v>
      </c>
      <c r="L101" s="2" t="str">
        <f>+IF(AND(Tabla2[[#This Row],[Llegada]]&lt;=$B$16,P101&gt;0),1,"-")</f>
        <v>-</v>
      </c>
      <c r="M101" s="2" t="str">
        <f t="shared" si="10"/>
        <v>-</v>
      </c>
      <c r="N101" s="4" t="str">
        <f>+IF(L101=1,Tabla2[[#This Row],[Llegada]],"-")</f>
        <v>-</v>
      </c>
      <c r="O101" s="2" t="str">
        <f>+IF(L101=1,Tabla2[[#This Row],[Numero de integrantes]],"-")</f>
        <v>-</v>
      </c>
      <c r="P101" s="2">
        <f t="shared" si="11"/>
        <v>0</v>
      </c>
      <c r="Q101" s="2">
        <f>+IF(Tabla3[[#This Row],[Entra?]]=1,Q100+Tabla3[[#This Row],[Numero integrantes]],Q100)</f>
        <v>100</v>
      </c>
      <c r="S101" s="2">
        <f t="shared" si="12"/>
        <v>89</v>
      </c>
      <c r="T101" s="2">
        <f>+COUNTIF(Tabla3[Cuantos van],"&lt;"&amp;Tabla4[[#This Row],[Entidad]])+1</f>
        <v>53</v>
      </c>
      <c r="U101" s="2">
        <f>+INDEX(Tabla3[Llegada],Tabla4[[#This Row],[Grupo]])</f>
        <v>418.80078258935271</v>
      </c>
      <c r="V101" s="2">
        <f>+IF(Tabla4[[#This Row],[Hora llegada]]&gt;=Tabla4[[#This Row],[Disponibilidad M1]],0,1)</f>
        <v>1</v>
      </c>
      <c r="W101" s="2">
        <f>+IF(Tabla4[[#This Row],[Hora llegada]]&gt;=Tabla4[[#This Row],[Disponibilidad M2]],0,1)</f>
        <v>1</v>
      </c>
      <c r="X101" s="2">
        <f>+IF(Tabla4[[#This Row],[Hora llegada]]&gt;=Tabla4[[#This Row],[Disponibilidad M3]],0,1)</f>
        <v>1</v>
      </c>
      <c r="Y101" s="2" t="str">
        <f>+IF(Tabla5[[#This Row],[Quien me atiende]]=1,MAX(Tabla4[[#This Row],[Disponibilidad M1]],Tabla4[[#This Row],[Hora llegada]]),"-")</f>
        <v>-</v>
      </c>
      <c r="Z101" s="2" t="str">
        <f>+IF(Tabla5[[#This Row],[Quien me atiende]]=2,MAX(Tabla4[[#This Row],[Disponibilidad M2]],Tabla4[[#This Row],[Hora llegada]]),"-")</f>
        <v>-</v>
      </c>
      <c r="AA101" s="2">
        <f>+IF(Tabla5[[#This Row],[Quien me atiende]]=3,MAX(Tabla4[[#This Row],[Disponibilidad M3]],Tabla4[[#This Row],[Hora llegada]]),"-")</f>
        <v>483.24624186140255</v>
      </c>
      <c r="AB101" s="2">
        <f>+MAX($AG$13:AG100)</f>
        <v>485.93595469063791</v>
      </c>
      <c r="AC101" s="2">
        <f>+MAX($AH$13:AH100)</f>
        <v>483.84306795455655</v>
      </c>
      <c r="AD101" s="2">
        <f>+MAX($AI$13:AI100)</f>
        <v>483.24624186140255</v>
      </c>
      <c r="AE101" s="2">
        <v>3.2429507046828343E-3</v>
      </c>
      <c r="AF101" s="2">
        <f>2+4.5*Tabla4[[#This Row],[A5]]</f>
        <v>2.0145932781710729</v>
      </c>
      <c r="AG101" s="2" t="str">
        <f>+IF(Tabla4[[#This Row],[Entrada M1]]="-","-",Tabla4[[#This Row],[Entrada M1]]+Tabla4[[#This Row],[Tiempo Atencion ]])</f>
        <v>-</v>
      </c>
      <c r="AH101" s="2" t="str">
        <f>+IF(Tabla4[[#This Row],[Entrada M2]]="-","-",Tabla4[[#This Row],[Entrada M2]]+Tabla4[[#This Row],[Tiempo Atencion ]])</f>
        <v>-</v>
      </c>
      <c r="AI101" s="2">
        <f>+IF(Tabla4[[#This Row],[Entrada M3]]="-","-",Tabla4[[#This Row],[Entrada M3]]+Tabla4[[#This Row],[Tiempo Atencion ]])</f>
        <v>485.2608351395736</v>
      </c>
      <c r="AJ101" s="11">
        <f>+MAX(Tabla4[[#This Row],[Salida M1]:[Salida M3]])</f>
        <v>485.2608351395736</v>
      </c>
      <c r="AK101" s="11" t="str">
        <f>+IF(Tabla4[[#This Row],[Salida]]&lt;=$B$17,"Entra","No Entra")</f>
        <v>No Entra</v>
      </c>
      <c r="AL101" s="11">
        <f>+IF(Tabla4[[#This Row],[Entra  a la carrera]]="Entra",0,Tabla4[[#This Row],[Grupo]])</f>
        <v>53</v>
      </c>
      <c r="AM101" s="11">
        <f>_xlfn.IFNA(VLOOKUP(Tabla4[[#This Row],[Grupo]],Tabla4[Grupos por fuera],1,FALSE),0)</f>
        <v>53</v>
      </c>
      <c r="AN101" s="11" t="str">
        <f>+IF(Tabla4[[#This Row],[Me salgo por mi amigo el lento?]]=0, "Entra", "Chao")</f>
        <v>Chao</v>
      </c>
      <c r="AO101" s="11" t="str">
        <f>+IF(Tabla4[[#This Row],[Al fin entra o no]]="Entra",MAX($AO$13:AO100)+1,"")</f>
        <v/>
      </c>
      <c r="AP101" s="11">
        <f>+Tabla4[[#This Row],[Entidad]]</f>
        <v>89</v>
      </c>
      <c r="AR101">
        <v>0.43491516448704193</v>
      </c>
      <c r="AS101">
        <f>+IF(Tabla5[[#This Row],[A3]]&lt;0.5,2,3)</f>
        <v>2</v>
      </c>
      <c r="AT101">
        <f>+IF(Tabla5[[#This Row],[A3]]&lt;0.5,1,3)</f>
        <v>1</v>
      </c>
      <c r="AU101">
        <f>+IF(Tabla5[[#This Row],[A3]]&lt;0.5,1,2)</f>
        <v>1</v>
      </c>
      <c r="AV101" s="6">
        <f>+IF(Tabla5[[#This Row],[A3]]&lt;0.33,1,IF(Tabla5[[#This Row],[A3]]&lt;0.66,2,3))</f>
        <v>2</v>
      </c>
      <c r="AW10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01" s="6">
        <f>+SUM(Tabla4[[#This Row],[Ocupacion M1]:[Ocupacion M3]])</f>
        <v>3</v>
      </c>
      <c r="AY101" s="6">
        <f>+IF(Tabla4[[#This Row],[Ocupacion M1]]=1,1,IF(Tabla4[[#This Row],[Ocupacion M2]]=1,2,3))</f>
        <v>1</v>
      </c>
      <c r="AZ101" s="6">
        <f>+INDEX(Tabla5[[#This Row],[Si 1 esta ocupado]:[Si 3 esta ocupado]],Tabla5[[#This Row],[Estado si = 1]])</f>
        <v>2</v>
      </c>
      <c r="BA101" s="6">
        <f>+IF(Tabla4[[#This Row],[Ocupacion M1]]= 0,1,IF(Tabla4[[#This Row],[Ocupacion M2]]=0,2,3))</f>
        <v>3</v>
      </c>
      <c r="BB10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01" t="str">
        <f t="shared" si="13"/>
        <v/>
      </c>
      <c r="BE101" t="str">
        <f>+IF(Tabla6[[#This Row],[Indice]]="","",VLOOKUP(Tabla6[[#This Row],[Indice]],Tabla4[[Corre]:[Entidad2]],2))</f>
        <v/>
      </c>
      <c r="BF101" t="str">
        <f>IFERROR(+INDEX(Tabla4[Grupo],Tabla6[[#This Row],[Entidad]]),"")</f>
        <v/>
      </c>
      <c r="BG101">
        <f t="shared" si="8"/>
        <v>480</v>
      </c>
      <c r="BH101">
        <v>0.96162263502250667</v>
      </c>
      <c r="BI101">
        <f>20+70*Tabla6[[#This Row],[A6]]</f>
        <v>87.313584451575466</v>
      </c>
      <c r="BJ101" t="str">
        <f>+IF(Tabla6[[#This Row],[Indice]]="","",Tabla6[[#This Row],[Empieza]]+Tabla6[[#This Row],[Tiempo carrera ]])</f>
        <v/>
      </c>
      <c r="BK101" s="6" t="str">
        <f>IF(Tabla6[[#This Row],[Termina la carrera]]="","",IF(Tabla6[[#This Row],[Termina la carrera]]&gt;540,1,0))</f>
        <v/>
      </c>
      <c r="BL101" s="6" t="str">
        <f>+IF(OR(Tabla6[[#This Row],[Despues de las 9]]=0,Tabla6[[#This Row],[Despues de las 9]]=""),"",Tabla6[[#This Row],[Despues de las 9]]*Tabla6[[#This Row],[Grupo ]])</f>
        <v/>
      </c>
      <c r="BM101" s="6" t="str">
        <f>+IF(Tabla6[[#This Row],[grupo  despues de las 9]]="","",IF(MAX($BL$13:BL100)=Tabla6[[#This Row],[grupo  despues de las 9]],"",1))</f>
        <v/>
      </c>
    </row>
    <row r="102" spans="5:65" x14ac:dyDescent="0.25">
      <c r="E102" s="2">
        <v>90</v>
      </c>
      <c r="F102" s="5">
        <v>0.57889220290093191</v>
      </c>
      <c r="G102" s="2">
        <f t="shared" si="9"/>
        <v>0.86486642795844082</v>
      </c>
      <c r="H102" s="4">
        <f>+H101+Tabla2[[#This Row],[Tiempo Entre]]</f>
        <v>458.46739787700346</v>
      </c>
      <c r="I102" s="5">
        <v>0.95972237809141447</v>
      </c>
      <c r="J102" s="2">
        <f>+IF(Tabla2[[#This Row],[A2 ]]&lt;0.5,1,IF(Tabla2[[#This Row],[A2 ]]&lt;0.8,2,3))</f>
        <v>3</v>
      </c>
      <c r="L102" s="2" t="str">
        <f>+IF(AND(Tabla2[[#This Row],[Llegada]]&lt;=$B$16,P102&gt;0),1,"-")</f>
        <v>-</v>
      </c>
      <c r="M102" s="2" t="str">
        <f t="shared" si="10"/>
        <v>-</v>
      </c>
      <c r="N102" s="4" t="str">
        <f>+IF(L102=1,Tabla2[[#This Row],[Llegada]],"-")</f>
        <v>-</v>
      </c>
      <c r="O102" s="2" t="str">
        <f>+IF(L102=1,Tabla2[[#This Row],[Numero de integrantes]],"-")</f>
        <v>-</v>
      </c>
      <c r="P102" s="2">
        <f t="shared" si="11"/>
        <v>0</v>
      </c>
      <c r="Q102" s="2">
        <f>+IF(Tabla3[[#This Row],[Entra?]]=1,Q101+Tabla3[[#This Row],[Numero integrantes]],Q101)</f>
        <v>100</v>
      </c>
      <c r="S102" s="2">
        <f t="shared" si="12"/>
        <v>90</v>
      </c>
      <c r="T102" s="2">
        <f>+COUNTIF(Tabla3[Cuantos van],"&lt;"&amp;Tabla4[[#This Row],[Entidad]])+1</f>
        <v>53</v>
      </c>
      <c r="U102" s="2">
        <f>+INDEX(Tabla3[Llegada],Tabla4[[#This Row],[Grupo]])</f>
        <v>418.80078258935271</v>
      </c>
      <c r="V102" s="2">
        <f>+IF(Tabla4[[#This Row],[Hora llegada]]&gt;=Tabla4[[#This Row],[Disponibilidad M1]],0,1)</f>
        <v>1</v>
      </c>
      <c r="W102" s="2">
        <f>+IF(Tabla4[[#This Row],[Hora llegada]]&gt;=Tabla4[[#This Row],[Disponibilidad M2]],0,1)</f>
        <v>1</v>
      </c>
      <c r="X102" s="2">
        <f>+IF(Tabla4[[#This Row],[Hora llegada]]&gt;=Tabla4[[#This Row],[Disponibilidad M3]],0,1)</f>
        <v>1</v>
      </c>
      <c r="Y102" s="2" t="str">
        <f>+IF(Tabla5[[#This Row],[Quien me atiende]]=1,MAX(Tabla4[[#This Row],[Disponibilidad M1]],Tabla4[[#This Row],[Hora llegada]]),"-")</f>
        <v>-</v>
      </c>
      <c r="Z102" s="2">
        <f>+IF(Tabla5[[#This Row],[Quien me atiende]]=2,MAX(Tabla4[[#This Row],[Disponibilidad M2]],Tabla4[[#This Row],[Hora llegada]]),"-")</f>
        <v>483.84306795455655</v>
      </c>
      <c r="AA102" s="2" t="str">
        <f>+IF(Tabla5[[#This Row],[Quien me atiende]]=3,MAX(Tabla4[[#This Row],[Disponibilidad M3]],Tabla4[[#This Row],[Hora llegada]]),"-")</f>
        <v>-</v>
      </c>
      <c r="AB102" s="2">
        <f>+MAX($AG$13:AG101)</f>
        <v>485.93595469063791</v>
      </c>
      <c r="AC102" s="2">
        <f>+MAX($AH$13:AH101)</f>
        <v>483.84306795455655</v>
      </c>
      <c r="AD102" s="2">
        <f>+MAX($AI$13:AI101)</f>
        <v>485.2608351395736</v>
      </c>
      <c r="AE102" s="2">
        <v>0.76145842642814354</v>
      </c>
      <c r="AF102" s="2">
        <f>2+4.5*Tabla4[[#This Row],[A5]]</f>
        <v>5.4265629189266456</v>
      </c>
      <c r="AG102" s="2" t="str">
        <f>+IF(Tabla4[[#This Row],[Entrada M1]]="-","-",Tabla4[[#This Row],[Entrada M1]]+Tabla4[[#This Row],[Tiempo Atencion ]])</f>
        <v>-</v>
      </c>
      <c r="AH102" s="2">
        <f>+IF(Tabla4[[#This Row],[Entrada M2]]="-","-",Tabla4[[#This Row],[Entrada M2]]+Tabla4[[#This Row],[Tiempo Atencion ]])</f>
        <v>489.26963087348321</v>
      </c>
      <c r="AI102" s="2" t="str">
        <f>+IF(Tabla4[[#This Row],[Entrada M3]]="-","-",Tabla4[[#This Row],[Entrada M3]]+Tabla4[[#This Row],[Tiempo Atencion ]])</f>
        <v>-</v>
      </c>
      <c r="AJ102" s="11">
        <f>+MAX(Tabla4[[#This Row],[Salida M1]:[Salida M3]])</f>
        <v>489.26963087348321</v>
      </c>
      <c r="AK102" s="11" t="str">
        <f>+IF(Tabla4[[#This Row],[Salida]]&lt;=$B$17,"Entra","No Entra")</f>
        <v>No Entra</v>
      </c>
      <c r="AL102" s="11">
        <f>+IF(Tabla4[[#This Row],[Entra  a la carrera]]="Entra",0,Tabla4[[#This Row],[Grupo]])</f>
        <v>53</v>
      </c>
      <c r="AM102" s="11">
        <f>_xlfn.IFNA(VLOOKUP(Tabla4[[#This Row],[Grupo]],Tabla4[Grupos por fuera],1,FALSE),0)</f>
        <v>53</v>
      </c>
      <c r="AN102" s="11" t="str">
        <f>+IF(Tabla4[[#This Row],[Me salgo por mi amigo el lento?]]=0, "Entra", "Chao")</f>
        <v>Chao</v>
      </c>
      <c r="AO102" s="11" t="str">
        <f>+IF(Tabla4[[#This Row],[Al fin entra o no]]="Entra",MAX($AO$13:AO101)+1,"")</f>
        <v/>
      </c>
      <c r="AP102" s="11">
        <f>+Tabla4[[#This Row],[Entidad]]</f>
        <v>90</v>
      </c>
      <c r="AR102">
        <v>0.64257817907712633</v>
      </c>
      <c r="AS102">
        <f>+IF(Tabla5[[#This Row],[A3]]&lt;0.5,2,3)</f>
        <v>3</v>
      </c>
      <c r="AT102">
        <f>+IF(Tabla5[[#This Row],[A3]]&lt;0.5,1,3)</f>
        <v>3</v>
      </c>
      <c r="AU102">
        <f>+IF(Tabla5[[#This Row],[A3]]&lt;0.5,1,2)</f>
        <v>2</v>
      </c>
      <c r="AV102" s="6">
        <f>+IF(Tabla5[[#This Row],[A3]]&lt;0.33,1,IF(Tabla5[[#This Row],[A3]]&lt;0.66,2,3))</f>
        <v>2</v>
      </c>
      <c r="AW10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102" s="6">
        <f>+SUM(Tabla4[[#This Row],[Ocupacion M1]:[Ocupacion M3]])</f>
        <v>3</v>
      </c>
      <c r="AY102" s="6">
        <f>+IF(Tabla4[[#This Row],[Ocupacion M1]]=1,1,IF(Tabla4[[#This Row],[Ocupacion M2]]=1,2,3))</f>
        <v>1</v>
      </c>
      <c r="AZ102" s="6">
        <f>+INDEX(Tabla5[[#This Row],[Si 1 esta ocupado]:[Si 3 esta ocupado]],Tabla5[[#This Row],[Estado si = 1]])</f>
        <v>3</v>
      </c>
      <c r="BA102" s="6">
        <f>+IF(Tabla4[[#This Row],[Ocupacion M1]]= 0,1,IF(Tabla4[[#This Row],[Ocupacion M2]]=0,2,3))</f>
        <v>3</v>
      </c>
      <c r="BB10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02" t="str">
        <f t="shared" si="13"/>
        <v/>
      </c>
      <c r="BE102" t="str">
        <f>+IF(Tabla6[[#This Row],[Indice]]="","",VLOOKUP(Tabla6[[#This Row],[Indice]],Tabla4[[Corre]:[Entidad2]],2))</f>
        <v/>
      </c>
      <c r="BF102" t="str">
        <f>IFERROR(+INDEX(Tabla4[Grupo],Tabla6[[#This Row],[Entidad]]),"")</f>
        <v/>
      </c>
      <c r="BG102">
        <f t="shared" si="8"/>
        <v>480</v>
      </c>
      <c r="BH102">
        <v>0.87608977664392496</v>
      </c>
      <c r="BI102">
        <f>20+70*Tabla6[[#This Row],[A6]]</f>
        <v>81.326284365074741</v>
      </c>
      <c r="BJ102" t="str">
        <f>+IF(Tabla6[[#This Row],[Indice]]="","",Tabla6[[#This Row],[Empieza]]+Tabla6[[#This Row],[Tiempo carrera ]])</f>
        <v/>
      </c>
      <c r="BK102" s="6" t="str">
        <f>IF(Tabla6[[#This Row],[Termina la carrera]]="","",IF(Tabla6[[#This Row],[Termina la carrera]]&gt;540,1,0))</f>
        <v/>
      </c>
      <c r="BL102" s="6" t="str">
        <f>+IF(OR(Tabla6[[#This Row],[Despues de las 9]]=0,Tabla6[[#This Row],[Despues de las 9]]=""),"",Tabla6[[#This Row],[Despues de las 9]]*Tabla6[[#This Row],[Grupo ]])</f>
        <v/>
      </c>
      <c r="BM102" s="6" t="str">
        <f>+IF(Tabla6[[#This Row],[grupo  despues de las 9]]="","",IF(MAX($BL$13:BL101)=Tabla6[[#This Row],[grupo  despues de las 9]],"",1))</f>
        <v/>
      </c>
    </row>
    <row r="103" spans="5:65" x14ac:dyDescent="0.25">
      <c r="E103" s="2">
        <v>91</v>
      </c>
      <c r="F103" s="5">
        <v>0.27379783029373983</v>
      </c>
      <c r="G103" s="2">
        <f t="shared" si="9"/>
        <v>0.31992683225332147</v>
      </c>
      <c r="H103" s="4">
        <f>+H102+Tabla2[[#This Row],[Tiempo Entre]]</f>
        <v>458.78732470925678</v>
      </c>
      <c r="I103" s="5">
        <v>0.69509173350169551</v>
      </c>
      <c r="J103" s="2">
        <f>+IF(Tabla2[[#This Row],[A2 ]]&lt;0.5,1,IF(Tabla2[[#This Row],[A2 ]]&lt;0.8,2,3))</f>
        <v>2</v>
      </c>
      <c r="L103" s="2" t="str">
        <f>+IF(AND(Tabla2[[#This Row],[Llegada]]&lt;=$B$16,P103&gt;0),1,"-")</f>
        <v>-</v>
      </c>
      <c r="M103" s="2" t="str">
        <f t="shared" si="10"/>
        <v>-</v>
      </c>
      <c r="N103" s="4" t="str">
        <f>+IF(L103=1,Tabla2[[#This Row],[Llegada]],"-")</f>
        <v>-</v>
      </c>
      <c r="O103" s="2" t="str">
        <f>+IF(L103=1,Tabla2[[#This Row],[Numero de integrantes]],"-")</f>
        <v>-</v>
      </c>
      <c r="P103" s="2">
        <f t="shared" si="11"/>
        <v>0</v>
      </c>
      <c r="Q103" s="2">
        <f>+IF(Tabla3[[#This Row],[Entra?]]=1,Q102+Tabla3[[#This Row],[Numero integrantes]],Q102)</f>
        <v>100</v>
      </c>
      <c r="S103" s="2">
        <f t="shared" si="12"/>
        <v>91</v>
      </c>
      <c r="T103" s="2">
        <f>+COUNTIF(Tabla3[Cuantos van],"&lt;"&amp;Tabla4[[#This Row],[Entidad]])+1</f>
        <v>53</v>
      </c>
      <c r="U103" s="2">
        <f>+INDEX(Tabla3[Llegada],Tabla4[[#This Row],[Grupo]])</f>
        <v>418.80078258935271</v>
      </c>
      <c r="V103" s="2">
        <f>+IF(Tabla4[[#This Row],[Hora llegada]]&gt;=Tabla4[[#This Row],[Disponibilidad M1]],0,1)</f>
        <v>1</v>
      </c>
      <c r="W103" s="2">
        <f>+IF(Tabla4[[#This Row],[Hora llegada]]&gt;=Tabla4[[#This Row],[Disponibilidad M2]],0,1)</f>
        <v>1</v>
      </c>
      <c r="X103" s="2">
        <f>+IF(Tabla4[[#This Row],[Hora llegada]]&gt;=Tabla4[[#This Row],[Disponibilidad M3]],0,1)</f>
        <v>1</v>
      </c>
      <c r="Y103" s="2" t="str">
        <f>+IF(Tabla5[[#This Row],[Quien me atiende]]=1,MAX(Tabla4[[#This Row],[Disponibilidad M1]],Tabla4[[#This Row],[Hora llegada]]),"-")</f>
        <v>-</v>
      </c>
      <c r="Z103" s="2" t="str">
        <f>+IF(Tabla5[[#This Row],[Quien me atiende]]=2,MAX(Tabla4[[#This Row],[Disponibilidad M2]],Tabla4[[#This Row],[Hora llegada]]),"-")</f>
        <v>-</v>
      </c>
      <c r="AA103" s="2">
        <f>+IF(Tabla5[[#This Row],[Quien me atiende]]=3,MAX(Tabla4[[#This Row],[Disponibilidad M3]],Tabla4[[#This Row],[Hora llegada]]),"-")</f>
        <v>485.2608351395736</v>
      </c>
      <c r="AB103" s="2">
        <f>+MAX($AG$13:AG102)</f>
        <v>485.93595469063791</v>
      </c>
      <c r="AC103" s="2">
        <f>+MAX($AH$13:AH102)</f>
        <v>489.26963087348321</v>
      </c>
      <c r="AD103" s="2">
        <f>+MAX($AI$13:AI102)</f>
        <v>485.2608351395736</v>
      </c>
      <c r="AE103" s="2">
        <v>0.61667694414367613</v>
      </c>
      <c r="AF103" s="2">
        <f>2+4.5*Tabla4[[#This Row],[A5]]</f>
        <v>4.775046248646543</v>
      </c>
      <c r="AG103" s="2" t="str">
        <f>+IF(Tabla4[[#This Row],[Entrada M1]]="-","-",Tabla4[[#This Row],[Entrada M1]]+Tabla4[[#This Row],[Tiempo Atencion ]])</f>
        <v>-</v>
      </c>
      <c r="AH103" s="2" t="str">
        <f>+IF(Tabla4[[#This Row],[Entrada M2]]="-","-",Tabla4[[#This Row],[Entrada M2]]+Tabla4[[#This Row],[Tiempo Atencion ]])</f>
        <v>-</v>
      </c>
      <c r="AI103" s="2">
        <f>+IF(Tabla4[[#This Row],[Entrada M3]]="-","-",Tabla4[[#This Row],[Entrada M3]]+Tabla4[[#This Row],[Tiempo Atencion ]])</f>
        <v>490.03588138822016</v>
      </c>
      <c r="AJ103" s="11">
        <f>+MAX(Tabla4[[#This Row],[Salida M1]:[Salida M3]])</f>
        <v>490.03588138822016</v>
      </c>
      <c r="AK103" s="11" t="str">
        <f>+IF(Tabla4[[#This Row],[Salida]]&lt;=$B$17,"Entra","No Entra")</f>
        <v>No Entra</v>
      </c>
      <c r="AL103" s="11">
        <f>+IF(Tabla4[[#This Row],[Entra  a la carrera]]="Entra",0,Tabla4[[#This Row],[Grupo]])</f>
        <v>53</v>
      </c>
      <c r="AM103" s="11">
        <f>_xlfn.IFNA(VLOOKUP(Tabla4[[#This Row],[Grupo]],Tabla4[Grupos por fuera],1,FALSE),0)</f>
        <v>53</v>
      </c>
      <c r="AN103" s="11" t="str">
        <f>+IF(Tabla4[[#This Row],[Me salgo por mi amigo el lento?]]=0, "Entra", "Chao")</f>
        <v>Chao</v>
      </c>
      <c r="AO103" s="11" t="str">
        <f>+IF(Tabla4[[#This Row],[Al fin entra o no]]="Entra",MAX($AO$13:AO102)+1,"")</f>
        <v/>
      </c>
      <c r="AP103" s="11">
        <f>+Tabla4[[#This Row],[Entidad]]</f>
        <v>91</v>
      </c>
      <c r="AR103">
        <v>0.18908775246261333</v>
      </c>
      <c r="AS103">
        <f>+IF(Tabla5[[#This Row],[A3]]&lt;0.5,2,3)</f>
        <v>2</v>
      </c>
      <c r="AT103">
        <f>+IF(Tabla5[[#This Row],[A3]]&lt;0.5,1,3)</f>
        <v>1</v>
      </c>
      <c r="AU103">
        <f>+IF(Tabla5[[#This Row],[A3]]&lt;0.5,1,2)</f>
        <v>1</v>
      </c>
      <c r="AV103" s="6">
        <f>+IF(Tabla5[[#This Row],[A3]]&lt;0.33,1,IF(Tabla5[[#This Row],[A3]]&lt;0.66,2,3))</f>
        <v>1</v>
      </c>
      <c r="AW103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03" s="6">
        <f>+SUM(Tabla4[[#This Row],[Ocupacion M1]:[Ocupacion M3]])</f>
        <v>3</v>
      </c>
      <c r="AY103" s="6">
        <f>+IF(Tabla4[[#This Row],[Ocupacion M1]]=1,1,IF(Tabla4[[#This Row],[Ocupacion M2]]=1,2,3))</f>
        <v>1</v>
      </c>
      <c r="AZ103" s="6">
        <f>+INDEX(Tabla5[[#This Row],[Si 1 esta ocupado]:[Si 3 esta ocupado]],Tabla5[[#This Row],[Estado si = 1]])</f>
        <v>2</v>
      </c>
      <c r="BA103" s="6">
        <f>+IF(Tabla4[[#This Row],[Ocupacion M1]]= 0,1,IF(Tabla4[[#This Row],[Ocupacion M2]]=0,2,3))</f>
        <v>3</v>
      </c>
      <c r="BB103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03" t="str">
        <f t="shared" si="13"/>
        <v/>
      </c>
      <c r="BE103" t="str">
        <f>+IF(Tabla6[[#This Row],[Indice]]="","",VLOOKUP(Tabla6[[#This Row],[Indice]],Tabla4[[Corre]:[Entidad2]],2))</f>
        <v/>
      </c>
      <c r="BF103" t="str">
        <f>IFERROR(+INDEX(Tabla4[Grupo],Tabla6[[#This Row],[Entidad]]),"")</f>
        <v/>
      </c>
      <c r="BG103">
        <f t="shared" si="8"/>
        <v>480</v>
      </c>
      <c r="BH103">
        <v>0.57360902546454517</v>
      </c>
      <c r="BI103">
        <f>20+70*Tabla6[[#This Row],[A6]]</f>
        <v>60.152631782518164</v>
      </c>
      <c r="BJ103" t="str">
        <f>+IF(Tabla6[[#This Row],[Indice]]="","",Tabla6[[#This Row],[Empieza]]+Tabla6[[#This Row],[Tiempo carrera ]])</f>
        <v/>
      </c>
      <c r="BK103" s="6" t="str">
        <f>IF(Tabla6[[#This Row],[Termina la carrera]]="","",IF(Tabla6[[#This Row],[Termina la carrera]]&gt;540,1,0))</f>
        <v/>
      </c>
      <c r="BL103" s="6" t="str">
        <f>+IF(OR(Tabla6[[#This Row],[Despues de las 9]]=0,Tabla6[[#This Row],[Despues de las 9]]=""),"",Tabla6[[#This Row],[Despues de las 9]]*Tabla6[[#This Row],[Grupo ]])</f>
        <v/>
      </c>
      <c r="BM103" s="6" t="str">
        <f>+IF(Tabla6[[#This Row],[grupo  despues de las 9]]="","",IF(MAX($BL$13:BL102)=Tabla6[[#This Row],[grupo  despues de las 9]],"",1))</f>
        <v/>
      </c>
    </row>
    <row r="104" spans="5:65" x14ac:dyDescent="0.25">
      <c r="E104" s="2">
        <v>92</v>
      </c>
      <c r="F104" s="5">
        <v>0.94847967398725186</v>
      </c>
      <c r="G104" s="2">
        <f t="shared" si="9"/>
        <v>2.9657788693188678</v>
      </c>
      <c r="H104" s="4">
        <f>+H103+Tabla2[[#This Row],[Tiempo Entre]]</f>
        <v>461.75310357857563</v>
      </c>
      <c r="I104" s="5">
        <v>4.8231173136400129E-2</v>
      </c>
      <c r="J104" s="2">
        <f>+IF(Tabla2[[#This Row],[A2 ]]&lt;0.5,1,IF(Tabla2[[#This Row],[A2 ]]&lt;0.8,2,3))</f>
        <v>1</v>
      </c>
      <c r="L104" s="2" t="str">
        <f>+IF(AND(Tabla2[[#This Row],[Llegada]]&lt;=$B$16,P104&gt;0),1,"-")</f>
        <v>-</v>
      </c>
      <c r="M104" s="2" t="str">
        <f t="shared" si="10"/>
        <v>-</v>
      </c>
      <c r="N104" s="4" t="str">
        <f>+IF(L104=1,Tabla2[[#This Row],[Llegada]],"-")</f>
        <v>-</v>
      </c>
      <c r="O104" s="2" t="str">
        <f>+IF(L104=1,Tabla2[[#This Row],[Numero de integrantes]],"-")</f>
        <v>-</v>
      </c>
      <c r="P104" s="2">
        <f t="shared" si="11"/>
        <v>0</v>
      </c>
      <c r="Q104" s="2">
        <f>+IF(Tabla3[[#This Row],[Entra?]]=1,Q103+Tabla3[[#This Row],[Numero integrantes]],Q103)</f>
        <v>100</v>
      </c>
      <c r="S104" s="2">
        <f t="shared" si="12"/>
        <v>92</v>
      </c>
      <c r="T104" s="2">
        <f>+COUNTIF(Tabla3[Cuantos van],"&lt;"&amp;Tabla4[[#This Row],[Entidad]])+1</f>
        <v>54</v>
      </c>
      <c r="U104" s="2">
        <f>+INDEX(Tabla3[Llegada],Tabla4[[#This Row],[Grupo]])</f>
        <v>419.04727443602434</v>
      </c>
      <c r="V104" s="2">
        <f>+IF(Tabla4[[#This Row],[Hora llegada]]&gt;=Tabla4[[#This Row],[Disponibilidad M1]],0,1)</f>
        <v>1</v>
      </c>
      <c r="W104" s="2">
        <f>+IF(Tabla4[[#This Row],[Hora llegada]]&gt;=Tabla4[[#This Row],[Disponibilidad M2]],0,1)</f>
        <v>1</v>
      </c>
      <c r="X104" s="2">
        <f>+IF(Tabla4[[#This Row],[Hora llegada]]&gt;=Tabla4[[#This Row],[Disponibilidad M3]],0,1)</f>
        <v>1</v>
      </c>
      <c r="Y104" s="2">
        <f>+IF(Tabla5[[#This Row],[Quien me atiende]]=1,MAX(Tabla4[[#This Row],[Disponibilidad M1]],Tabla4[[#This Row],[Hora llegada]]),"-")</f>
        <v>485.93595469063791</v>
      </c>
      <c r="Z104" s="2" t="str">
        <f>+IF(Tabla5[[#This Row],[Quien me atiende]]=2,MAX(Tabla4[[#This Row],[Disponibilidad M2]],Tabla4[[#This Row],[Hora llegada]]),"-")</f>
        <v>-</v>
      </c>
      <c r="AA104" s="2" t="str">
        <f>+IF(Tabla5[[#This Row],[Quien me atiende]]=3,MAX(Tabla4[[#This Row],[Disponibilidad M3]],Tabla4[[#This Row],[Hora llegada]]),"-")</f>
        <v>-</v>
      </c>
      <c r="AB104" s="2">
        <f>+MAX($AG$13:AG103)</f>
        <v>485.93595469063791</v>
      </c>
      <c r="AC104" s="2">
        <f>+MAX($AH$13:AH103)</f>
        <v>489.26963087348321</v>
      </c>
      <c r="AD104" s="2">
        <f>+MAX($AI$13:AI103)</f>
        <v>490.03588138822016</v>
      </c>
      <c r="AE104" s="2">
        <v>0.39618980977231422</v>
      </c>
      <c r="AF104" s="2">
        <f>2+4.5*Tabla4[[#This Row],[A5]]</f>
        <v>3.7828541439754142</v>
      </c>
      <c r="AG104" s="2">
        <f>+IF(Tabla4[[#This Row],[Entrada M1]]="-","-",Tabla4[[#This Row],[Entrada M1]]+Tabla4[[#This Row],[Tiempo Atencion ]])</f>
        <v>489.71880883461336</v>
      </c>
      <c r="AH104" s="2" t="str">
        <f>+IF(Tabla4[[#This Row],[Entrada M2]]="-","-",Tabla4[[#This Row],[Entrada M2]]+Tabla4[[#This Row],[Tiempo Atencion ]])</f>
        <v>-</v>
      </c>
      <c r="AI104" s="2" t="str">
        <f>+IF(Tabla4[[#This Row],[Entrada M3]]="-","-",Tabla4[[#This Row],[Entrada M3]]+Tabla4[[#This Row],[Tiempo Atencion ]])</f>
        <v>-</v>
      </c>
      <c r="AJ104" s="11">
        <f>+MAX(Tabla4[[#This Row],[Salida M1]:[Salida M3]])</f>
        <v>489.71880883461336</v>
      </c>
      <c r="AK104" s="11" t="str">
        <f>+IF(Tabla4[[#This Row],[Salida]]&lt;=$B$17,"Entra","No Entra")</f>
        <v>No Entra</v>
      </c>
      <c r="AL104" s="11">
        <f>+IF(Tabla4[[#This Row],[Entra  a la carrera]]="Entra",0,Tabla4[[#This Row],[Grupo]])</f>
        <v>54</v>
      </c>
      <c r="AM104" s="11">
        <f>_xlfn.IFNA(VLOOKUP(Tabla4[[#This Row],[Grupo]],Tabla4[Grupos por fuera],1,FALSE),0)</f>
        <v>54</v>
      </c>
      <c r="AN104" s="11" t="str">
        <f>+IF(Tabla4[[#This Row],[Me salgo por mi amigo el lento?]]=0, "Entra", "Chao")</f>
        <v>Chao</v>
      </c>
      <c r="AO104" s="11" t="str">
        <f>+IF(Tabla4[[#This Row],[Al fin entra o no]]="Entra",MAX($AO$13:AO103)+1,"")</f>
        <v/>
      </c>
      <c r="AP104" s="11">
        <f>+Tabla4[[#This Row],[Entidad]]</f>
        <v>92</v>
      </c>
      <c r="AR104">
        <v>0.56221424942467413</v>
      </c>
      <c r="AS104">
        <f>+IF(Tabla5[[#This Row],[A3]]&lt;0.5,2,3)</f>
        <v>3</v>
      </c>
      <c r="AT104">
        <f>+IF(Tabla5[[#This Row],[A3]]&lt;0.5,1,3)</f>
        <v>3</v>
      </c>
      <c r="AU104">
        <f>+IF(Tabla5[[#This Row],[A3]]&lt;0.5,1,2)</f>
        <v>2</v>
      </c>
      <c r="AV104" s="6">
        <f>+IF(Tabla5[[#This Row],[A3]]&lt;0.33,1,IF(Tabla5[[#This Row],[A3]]&lt;0.66,2,3))</f>
        <v>2</v>
      </c>
      <c r="AW104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104" s="6">
        <f>+SUM(Tabla4[[#This Row],[Ocupacion M1]:[Ocupacion M3]])</f>
        <v>3</v>
      </c>
      <c r="AY104" s="6">
        <f>+IF(Tabla4[[#This Row],[Ocupacion M1]]=1,1,IF(Tabla4[[#This Row],[Ocupacion M2]]=1,2,3))</f>
        <v>1</v>
      </c>
      <c r="AZ104" s="6">
        <f>+INDEX(Tabla5[[#This Row],[Si 1 esta ocupado]:[Si 3 esta ocupado]],Tabla5[[#This Row],[Estado si = 1]])</f>
        <v>3</v>
      </c>
      <c r="BA104" s="6">
        <f>+IF(Tabla4[[#This Row],[Ocupacion M1]]= 0,1,IF(Tabla4[[#This Row],[Ocupacion M2]]=0,2,3))</f>
        <v>3</v>
      </c>
      <c r="BB104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04" t="str">
        <f t="shared" si="13"/>
        <v/>
      </c>
      <c r="BE104" t="str">
        <f>+IF(Tabla6[[#This Row],[Indice]]="","",VLOOKUP(Tabla6[[#This Row],[Indice]],Tabla4[[Corre]:[Entidad2]],2))</f>
        <v/>
      </c>
      <c r="BF104" t="str">
        <f>IFERROR(+INDEX(Tabla4[Grupo],Tabla6[[#This Row],[Entidad]]),"")</f>
        <v/>
      </c>
      <c r="BG104">
        <f t="shared" si="8"/>
        <v>480</v>
      </c>
      <c r="BH104">
        <v>0.87401571657429367</v>
      </c>
      <c r="BI104">
        <f>20+70*Tabla6[[#This Row],[A6]]</f>
        <v>81.181100160200558</v>
      </c>
      <c r="BJ104" t="str">
        <f>+IF(Tabla6[[#This Row],[Indice]]="","",Tabla6[[#This Row],[Empieza]]+Tabla6[[#This Row],[Tiempo carrera ]])</f>
        <v/>
      </c>
      <c r="BK104" s="6" t="str">
        <f>IF(Tabla6[[#This Row],[Termina la carrera]]="","",IF(Tabla6[[#This Row],[Termina la carrera]]&gt;540,1,0))</f>
        <v/>
      </c>
      <c r="BL104" s="6" t="str">
        <f>+IF(OR(Tabla6[[#This Row],[Despues de las 9]]=0,Tabla6[[#This Row],[Despues de las 9]]=""),"",Tabla6[[#This Row],[Despues de las 9]]*Tabla6[[#This Row],[Grupo ]])</f>
        <v/>
      </c>
      <c r="BM104" s="6" t="str">
        <f>+IF(Tabla6[[#This Row],[grupo  despues de las 9]]="","",IF(MAX($BL$13:BL103)=Tabla6[[#This Row],[grupo  despues de las 9]],"",1))</f>
        <v/>
      </c>
    </row>
    <row r="105" spans="5:65" x14ac:dyDescent="0.25">
      <c r="E105" s="2">
        <v>93</v>
      </c>
      <c r="F105" s="5">
        <v>0.70730146129823057</v>
      </c>
      <c r="G105" s="2">
        <f t="shared" si="9"/>
        <v>1.228612077774486</v>
      </c>
      <c r="H105" s="4">
        <f>+H104+Tabla2[[#This Row],[Tiempo Entre]]</f>
        <v>462.9817156563501</v>
      </c>
      <c r="I105" s="5">
        <v>0.36912901958682276</v>
      </c>
      <c r="J105" s="2">
        <f>+IF(Tabla2[[#This Row],[A2 ]]&lt;0.5,1,IF(Tabla2[[#This Row],[A2 ]]&lt;0.8,2,3))</f>
        <v>1</v>
      </c>
      <c r="L105" s="2" t="str">
        <f>+IF(AND(Tabla2[[#This Row],[Llegada]]&lt;=$B$16,P105&gt;0),1,"-")</f>
        <v>-</v>
      </c>
      <c r="M105" s="2" t="str">
        <f t="shared" si="10"/>
        <v>-</v>
      </c>
      <c r="N105" s="4" t="str">
        <f>+IF(L105=1,Tabla2[[#This Row],[Llegada]],"-")</f>
        <v>-</v>
      </c>
      <c r="O105" s="2" t="str">
        <f>+IF(L105=1,Tabla2[[#This Row],[Numero de integrantes]],"-")</f>
        <v>-</v>
      </c>
      <c r="P105" s="2">
        <f t="shared" si="11"/>
        <v>0</v>
      </c>
      <c r="Q105" s="2">
        <f>+IF(Tabla3[[#This Row],[Entra?]]=1,Q104+Tabla3[[#This Row],[Numero integrantes]],Q104)</f>
        <v>100</v>
      </c>
      <c r="S105" s="2">
        <f t="shared" si="12"/>
        <v>93</v>
      </c>
      <c r="T105" s="2">
        <f>+COUNTIF(Tabla3[Cuantos van],"&lt;"&amp;Tabla4[[#This Row],[Entidad]])+1</f>
        <v>54</v>
      </c>
      <c r="U105" s="2">
        <f>+INDEX(Tabla3[Llegada],Tabla4[[#This Row],[Grupo]])</f>
        <v>419.04727443602434</v>
      </c>
      <c r="V105" s="2">
        <f>+IF(Tabla4[[#This Row],[Hora llegada]]&gt;=Tabla4[[#This Row],[Disponibilidad M1]],0,1)</f>
        <v>1</v>
      </c>
      <c r="W105" s="2">
        <f>+IF(Tabla4[[#This Row],[Hora llegada]]&gt;=Tabla4[[#This Row],[Disponibilidad M2]],0,1)</f>
        <v>1</v>
      </c>
      <c r="X105" s="2">
        <f>+IF(Tabla4[[#This Row],[Hora llegada]]&gt;=Tabla4[[#This Row],[Disponibilidad M3]],0,1)</f>
        <v>1</v>
      </c>
      <c r="Y105" s="2" t="str">
        <f>+IF(Tabla5[[#This Row],[Quien me atiende]]=1,MAX(Tabla4[[#This Row],[Disponibilidad M1]],Tabla4[[#This Row],[Hora llegada]]),"-")</f>
        <v>-</v>
      </c>
      <c r="Z105" s="2">
        <f>+IF(Tabla5[[#This Row],[Quien me atiende]]=2,MAX(Tabla4[[#This Row],[Disponibilidad M2]],Tabla4[[#This Row],[Hora llegada]]),"-")</f>
        <v>489.26963087348321</v>
      </c>
      <c r="AA105" s="2" t="str">
        <f>+IF(Tabla5[[#This Row],[Quien me atiende]]=3,MAX(Tabla4[[#This Row],[Disponibilidad M3]],Tabla4[[#This Row],[Hora llegada]]),"-")</f>
        <v>-</v>
      </c>
      <c r="AB105" s="2">
        <f>+MAX($AG$13:AG104)</f>
        <v>489.71880883461336</v>
      </c>
      <c r="AC105" s="2">
        <f>+MAX($AH$13:AH104)</f>
        <v>489.26963087348321</v>
      </c>
      <c r="AD105" s="2">
        <f>+MAX($AI$13:AI104)</f>
        <v>490.03588138822016</v>
      </c>
      <c r="AE105" s="2">
        <v>0.18108103337131265</v>
      </c>
      <c r="AF105" s="2">
        <f>2+4.5*Tabla4[[#This Row],[A5]]</f>
        <v>2.8148646501709069</v>
      </c>
      <c r="AG105" s="2" t="str">
        <f>+IF(Tabla4[[#This Row],[Entrada M1]]="-","-",Tabla4[[#This Row],[Entrada M1]]+Tabla4[[#This Row],[Tiempo Atencion ]])</f>
        <v>-</v>
      </c>
      <c r="AH105" s="2">
        <f>+IF(Tabla4[[#This Row],[Entrada M2]]="-","-",Tabla4[[#This Row],[Entrada M2]]+Tabla4[[#This Row],[Tiempo Atencion ]])</f>
        <v>492.08449552365414</v>
      </c>
      <c r="AI105" s="2" t="str">
        <f>+IF(Tabla4[[#This Row],[Entrada M3]]="-","-",Tabla4[[#This Row],[Entrada M3]]+Tabla4[[#This Row],[Tiempo Atencion ]])</f>
        <v>-</v>
      </c>
      <c r="AJ105" s="11">
        <f>+MAX(Tabla4[[#This Row],[Salida M1]:[Salida M3]])</f>
        <v>492.08449552365414</v>
      </c>
      <c r="AK105" s="11" t="str">
        <f>+IF(Tabla4[[#This Row],[Salida]]&lt;=$B$17,"Entra","No Entra")</f>
        <v>No Entra</v>
      </c>
      <c r="AL105" s="11">
        <f>+IF(Tabla4[[#This Row],[Entra  a la carrera]]="Entra",0,Tabla4[[#This Row],[Grupo]])</f>
        <v>54</v>
      </c>
      <c r="AM105" s="11">
        <f>_xlfn.IFNA(VLOOKUP(Tabla4[[#This Row],[Grupo]],Tabla4[Grupos por fuera],1,FALSE),0)</f>
        <v>54</v>
      </c>
      <c r="AN105" s="11" t="str">
        <f>+IF(Tabla4[[#This Row],[Me salgo por mi amigo el lento?]]=0, "Entra", "Chao")</f>
        <v>Chao</v>
      </c>
      <c r="AO105" s="11" t="str">
        <f>+IF(Tabla4[[#This Row],[Al fin entra o no]]="Entra",MAX($AO$13:AO104)+1,"")</f>
        <v/>
      </c>
      <c r="AP105" s="11">
        <f>+Tabla4[[#This Row],[Entidad]]</f>
        <v>93</v>
      </c>
      <c r="AR105">
        <v>0.3917158013992833</v>
      </c>
      <c r="AS105">
        <f>+IF(Tabla5[[#This Row],[A3]]&lt;0.5,2,3)</f>
        <v>2</v>
      </c>
      <c r="AT105">
        <f>+IF(Tabla5[[#This Row],[A3]]&lt;0.5,1,3)</f>
        <v>1</v>
      </c>
      <c r="AU105">
        <f>+IF(Tabla5[[#This Row],[A3]]&lt;0.5,1,2)</f>
        <v>1</v>
      </c>
      <c r="AV105" s="6">
        <f>+IF(Tabla5[[#This Row],[A3]]&lt;0.33,1,IF(Tabla5[[#This Row],[A3]]&lt;0.66,2,3))</f>
        <v>2</v>
      </c>
      <c r="AW105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105" s="6">
        <f>+SUM(Tabla4[[#This Row],[Ocupacion M1]:[Ocupacion M3]])</f>
        <v>3</v>
      </c>
      <c r="AY105" s="6">
        <f>+IF(Tabla4[[#This Row],[Ocupacion M1]]=1,1,IF(Tabla4[[#This Row],[Ocupacion M2]]=1,2,3))</f>
        <v>1</v>
      </c>
      <c r="AZ105" s="6">
        <f>+INDEX(Tabla5[[#This Row],[Si 1 esta ocupado]:[Si 3 esta ocupado]],Tabla5[[#This Row],[Estado si = 1]])</f>
        <v>2</v>
      </c>
      <c r="BA105" s="6">
        <f>+IF(Tabla4[[#This Row],[Ocupacion M1]]= 0,1,IF(Tabla4[[#This Row],[Ocupacion M2]]=0,2,3))</f>
        <v>3</v>
      </c>
      <c r="BB105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05" t="str">
        <f t="shared" si="13"/>
        <v/>
      </c>
      <c r="BE105" t="str">
        <f>+IF(Tabla6[[#This Row],[Indice]]="","",VLOOKUP(Tabla6[[#This Row],[Indice]],Tabla4[[Corre]:[Entidad2]],2))</f>
        <v/>
      </c>
      <c r="BF105" t="str">
        <f>IFERROR(+INDEX(Tabla4[Grupo],Tabla6[[#This Row],[Entidad]]),"")</f>
        <v/>
      </c>
      <c r="BG105">
        <f t="shared" si="8"/>
        <v>480</v>
      </c>
      <c r="BH105">
        <v>0.74970190295357997</v>
      </c>
      <c r="BI105">
        <f>20+70*Tabla6[[#This Row],[A6]]</f>
        <v>72.479133206750589</v>
      </c>
      <c r="BJ105" t="str">
        <f>+IF(Tabla6[[#This Row],[Indice]]="","",Tabla6[[#This Row],[Empieza]]+Tabla6[[#This Row],[Tiempo carrera ]])</f>
        <v/>
      </c>
      <c r="BK105" s="6" t="str">
        <f>IF(Tabla6[[#This Row],[Termina la carrera]]="","",IF(Tabla6[[#This Row],[Termina la carrera]]&gt;540,1,0))</f>
        <v/>
      </c>
      <c r="BL105" s="6" t="str">
        <f>+IF(OR(Tabla6[[#This Row],[Despues de las 9]]=0,Tabla6[[#This Row],[Despues de las 9]]=""),"",Tabla6[[#This Row],[Despues de las 9]]*Tabla6[[#This Row],[Grupo ]])</f>
        <v/>
      </c>
      <c r="BM105" s="6" t="str">
        <f>+IF(Tabla6[[#This Row],[grupo  despues de las 9]]="","",IF(MAX($BL$13:BL104)=Tabla6[[#This Row],[grupo  despues de las 9]],"",1))</f>
        <v/>
      </c>
    </row>
    <row r="106" spans="5:65" x14ac:dyDescent="0.25">
      <c r="E106" s="2">
        <v>94</v>
      </c>
      <c r="F106" s="5">
        <v>0.65697291036363648</v>
      </c>
      <c r="G106" s="2">
        <f t="shared" si="9"/>
        <v>1.069945856403165</v>
      </c>
      <c r="H106" s="4">
        <f>+H105+Tabla2[[#This Row],[Tiempo Entre]]</f>
        <v>464.05166151275324</v>
      </c>
      <c r="I106" s="5">
        <v>3.5209720274881895E-2</v>
      </c>
      <c r="J106" s="2">
        <f>+IF(Tabla2[[#This Row],[A2 ]]&lt;0.5,1,IF(Tabla2[[#This Row],[A2 ]]&lt;0.8,2,3))</f>
        <v>1</v>
      </c>
      <c r="L106" s="2" t="str">
        <f>+IF(AND(Tabla2[[#This Row],[Llegada]]&lt;=$B$16,P106&gt;0),1,"-")</f>
        <v>-</v>
      </c>
      <c r="M106" s="2" t="str">
        <f t="shared" si="10"/>
        <v>-</v>
      </c>
      <c r="N106" s="4" t="str">
        <f>+IF(L106=1,Tabla2[[#This Row],[Llegada]],"-")</f>
        <v>-</v>
      </c>
      <c r="O106" s="2" t="str">
        <f>+IF(L106=1,Tabla2[[#This Row],[Numero de integrantes]],"-")</f>
        <v>-</v>
      </c>
      <c r="P106" s="2">
        <f t="shared" si="11"/>
        <v>0</v>
      </c>
      <c r="Q106" s="2">
        <f>+IF(Tabla3[[#This Row],[Entra?]]=1,Q105+Tabla3[[#This Row],[Numero integrantes]],Q105)</f>
        <v>100</v>
      </c>
      <c r="S106" s="2">
        <f t="shared" si="12"/>
        <v>94</v>
      </c>
      <c r="T106" s="2">
        <f>+COUNTIF(Tabla3[Cuantos van],"&lt;"&amp;Tabla4[[#This Row],[Entidad]])+1</f>
        <v>55</v>
      </c>
      <c r="U106" s="2">
        <f>+INDEX(Tabla3[Llegada],Tabla4[[#This Row],[Grupo]])</f>
        <v>419.900060755038</v>
      </c>
      <c r="V106" s="2">
        <f>+IF(Tabla4[[#This Row],[Hora llegada]]&gt;=Tabla4[[#This Row],[Disponibilidad M1]],0,1)</f>
        <v>1</v>
      </c>
      <c r="W106" s="2">
        <f>+IF(Tabla4[[#This Row],[Hora llegada]]&gt;=Tabla4[[#This Row],[Disponibilidad M2]],0,1)</f>
        <v>1</v>
      </c>
      <c r="X106" s="2">
        <f>+IF(Tabla4[[#This Row],[Hora llegada]]&gt;=Tabla4[[#This Row],[Disponibilidad M3]],0,1)</f>
        <v>1</v>
      </c>
      <c r="Y106" s="2">
        <f>+IF(Tabla5[[#This Row],[Quien me atiende]]=1,MAX(Tabla4[[#This Row],[Disponibilidad M1]],Tabla4[[#This Row],[Hora llegada]]),"-")</f>
        <v>489.71880883461336</v>
      </c>
      <c r="Z106" s="2" t="str">
        <f>+IF(Tabla5[[#This Row],[Quien me atiende]]=2,MAX(Tabla4[[#This Row],[Disponibilidad M2]],Tabla4[[#This Row],[Hora llegada]]),"-")</f>
        <v>-</v>
      </c>
      <c r="AA106" s="2" t="str">
        <f>+IF(Tabla5[[#This Row],[Quien me atiende]]=3,MAX(Tabla4[[#This Row],[Disponibilidad M3]],Tabla4[[#This Row],[Hora llegada]]),"-")</f>
        <v>-</v>
      </c>
      <c r="AB106" s="2">
        <f>+MAX($AG$13:AG105)</f>
        <v>489.71880883461336</v>
      </c>
      <c r="AC106" s="2">
        <f>+MAX($AH$13:AH105)</f>
        <v>492.08449552365414</v>
      </c>
      <c r="AD106" s="2">
        <f>+MAX($AI$13:AI105)</f>
        <v>490.03588138822016</v>
      </c>
      <c r="AE106" s="2">
        <v>0.3281584461380771</v>
      </c>
      <c r="AF106" s="2">
        <f>2+4.5*Tabla4[[#This Row],[A5]]</f>
        <v>3.4767130076213468</v>
      </c>
      <c r="AG106" s="2">
        <f>+IF(Tabla4[[#This Row],[Entrada M1]]="-","-",Tabla4[[#This Row],[Entrada M1]]+Tabla4[[#This Row],[Tiempo Atencion ]])</f>
        <v>493.19552184223471</v>
      </c>
      <c r="AH106" s="2" t="str">
        <f>+IF(Tabla4[[#This Row],[Entrada M2]]="-","-",Tabla4[[#This Row],[Entrada M2]]+Tabla4[[#This Row],[Tiempo Atencion ]])</f>
        <v>-</v>
      </c>
      <c r="AI106" s="2" t="str">
        <f>+IF(Tabla4[[#This Row],[Entrada M3]]="-","-",Tabla4[[#This Row],[Entrada M3]]+Tabla4[[#This Row],[Tiempo Atencion ]])</f>
        <v>-</v>
      </c>
      <c r="AJ106" s="11">
        <f>+MAX(Tabla4[[#This Row],[Salida M1]:[Salida M3]])</f>
        <v>493.19552184223471</v>
      </c>
      <c r="AK106" s="11" t="str">
        <f>+IF(Tabla4[[#This Row],[Salida]]&lt;=$B$17,"Entra","No Entra")</f>
        <v>No Entra</v>
      </c>
      <c r="AL106" s="11">
        <f>+IF(Tabla4[[#This Row],[Entra  a la carrera]]="Entra",0,Tabla4[[#This Row],[Grupo]])</f>
        <v>55</v>
      </c>
      <c r="AM106" s="11">
        <f>_xlfn.IFNA(VLOOKUP(Tabla4[[#This Row],[Grupo]],Tabla4[Grupos por fuera],1,FALSE),0)</f>
        <v>55</v>
      </c>
      <c r="AN106" s="11" t="str">
        <f>+IF(Tabla4[[#This Row],[Me salgo por mi amigo el lento?]]=0, "Entra", "Chao")</f>
        <v>Chao</v>
      </c>
      <c r="AO106" s="11" t="str">
        <f>+IF(Tabla4[[#This Row],[Al fin entra o no]]="Entra",MAX($AO$13:AO105)+1,"")</f>
        <v/>
      </c>
      <c r="AP106" s="11">
        <f>+Tabla4[[#This Row],[Entidad]]</f>
        <v>94</v>
      </c>
      <c r="AR106">
        <v>0.7864177235462172</v>
      </c>
      <c r="AS106">
        <f>+IF(Tabla5[[#This Row],[A3]]&lt;0.5,2,3)</f>
        <v>3</v>
      </c>
      <c r="AT106">
        <f>+IF(Tabla5[[#This Row],[A3]]&lt;0.5,1,3)</f>
        <v>3</v>
      </c>
      <c r="AU106">
        <f>+IF(Tabla5[[#This Row],[A3]]&lt;0.5,1,2)</f>
        <v>2</v>
      </c>
      <c r="AV106" s="6">
        <f>+IF(Tabla5[[#This Row],[A3]]&lt;0.33,1,IF(Tabla5[[#This Row],[A3]]&lt;0.66,2,3))</f>
        <v>3</v>
      </c>
      <c r="AW106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106" s="6">
        <f>+SUM(Tabla4[[#This Row],[Ocupacion M1]:[Ocupacion M3]])</f>
        <v>3</v>
      </c>
      <c r="AY106" s="6">
        <f>+IF(Tabla4[[#This Row],[Ocupacion M1]]=1,1,IF(Tabla4[[#This Row],[Ocupacion M2]]=1,2,3))</f>
        <v>1</v>
      </c>
      <c r="AZ106" s="6">
        <f>+INDEX(Tabla5[[#This Row],[Si 1 esta ocupado]:[Si 3 esta ocupado]],Tabla5[[#This Row],[Estado si = 1]])</f>
        <v>3</v>
      </c>
      <c r="BA106" s="6">
        <f>+IF(Tabla4[[#This Row],[Ocupacion M1]]= 0,1,IF(Tabla4[[#This Row],[Ocupacion M2]]=0,2,3))</f>
        <v>3</v>
      </c>
      <c r="BB106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06" t="str">
        <f t="shared" si="13"/>
        <v/>
      </c>
      <c r="BE106" t="str">
        <f>+IF(Tabla6[[#This Row],[Indice]]="","",VLOOKUP(Tabla6[[#This Row],[Indice]],Tabla4[[Corre]:[Entidad2]],2))</f>
        <v/>
      </c>
      <c r="BF106" t="str">
        <f>IFERROR(+INDEX(Tabla4[Grupo],Tabla6[[#This Row],[Entidad]]),"")</f>
        <v/>
      </c>
      <c r="BG106">
        <f t="shared" si="8"/>
        <v>480</v>
      </c>
      <c r="BH106">
        <v>0.54312158744309091</v>
      </c>
      <c r="BI106">
        <f>20+70*Tabla6[[#This Row],[A6]]</f>
        <v>58.018511121016367</v>
      </c>
      <c r="BJ106" t="str">
        <f>+IF(Tabla6[[#This Row],[Indice]]="","",Tabla6[[#This Row],[Empieza]]+Tabla6[[#This Row],[Tiempo carrera ]])</f>
        <v/>
      </c>
      <c r="BK106" s="6" t="str">
        <f>IF(Tabla6[[#This Row],[Termina la carrera]]="","",IF(Tabla6[[#This Row],[Termina la carrera]]&gt;540,1,0))</f>
        <v/>
      </c>
      <c r="BL106" s="6" t="str">
        <f>+IF(OR(Tabla6[[#This Row],[Despues de las 9]]=0,Tabla6[[#This Row],[Despues de las 9]]=""),"",Tabla6[[#This Row],[Despues de las 9]]*Tabla6[[#This Row],[Grupo ]])</f>
        <v/>
      </c>
      <c r="BM106" s="6" t="str">
        <f>+IF(Tabla6[[#This Row],[grupo  despues de las 9]]="","",IF(MAX($BL$13:BL105)=Tabla6[[#This Row],[grupo  despues de las 9]],"",1))</f>
        <v/>
      </c>
    </row>
    <row r="107" spans="5:65" x14ac:dyDescent="0.25">
      <c r="E107" s="2">
        <v>95</v>
      </c>
      <c r="F107" s="5">
        <v>0.28475156941977764</v>
      </c>
      <c r="G107" s="2">
        <f t="shared" si="9"/>
        <v>0.33512534127980903</v>
      </c>
      <c r="H107" s="4">
        <f>+H106+Tabla2[[#This Row],[Tiempo Entre]]</f>
        <v>464.38678685403306</v>
      </c>
      <c r="I107" s="5">
        <v>0.7171671153708693</v>
      </c>
      <c r="J107" s="2">
        <f>+IF(Tabla2[[#This Row],[A2 ]]&lt;0.5,1,IF(Tabla2[[#This Row],[A2 ]]&lt;0.8,2,3))</f>
        <v>2</v>
      </c>
      <c r="L107" s="2" t="str">
        <f>+IF(AND(Tabla2[[#This Row],[Llegada]]&lt;=$B$16,P107&gt;0),1,"-")</f>
        <v>-</v>
      </c>
      <c r="M107" s="2" t="str">
        <f t="shared" si="10"/>
        <v>-</v>
      </c>
      <c r="N107" s="4" t="str">
        <f>+IF(L107=1,Tabla2[[#This Row],[Llegada]],"-")</f>
        <v>-</v>
      </c>
      <c r="O107" s="2" t="str">
        <f>+IF(L107=1,Tabla2[[#This Row],[Numero de integrantes]],"-")</f>
        <v>-</v>
      </c>
      <c r="P107" s="2">
        <f t="shared" si="11"/>
        <v>0</v>
      </c>
      <c r="Q107" s="2">
        <f>+IF(Tabla3[[#This Row],[Entra?]]=1,Q106+Tabla3[[#This Row],[Numero integrantes]],Q106)</f>
        <v>100</v>
      </c>
      <c r="S107" s="2">
        <f t="shared" si="12"/>
        <v>95</v>
      </c>
      <c r="T107" s="2">
        <f>+COUNTIF(Tabla3[Cuantos van],"&lt;"&amp;Tabla4[[#This Row],[Entidad]])+1</f>
        <v>56</v>
      </c>
      <c r="U107" s="2">
        <f>+INDEX(Tabla3[Llegada],Tabla4[[#This Row],[Grupo]])</f>
        <v>420.17149640499366</v>
      </c>
      <c r="V107" s="2">
        <f>+IF(Tabla4[[#This Row],[Hora llegada]]&gt;=Tabla4[[#This Row],[Disponibilidad M1]],0,1)</f>
        <v>1</v>
      </c>
      <c r="W107" s="2">
        <f>+IF(Tabla4[[#This Row],[Hora llegada]]&gt;=Tabla4[[#This Row],[Disponibilidad M2]],0,1)</f>
        <v>1</v>
      </c>
      <c r="X107" s="2">
        <f>+IF(Tabla4[[#This Row],[Hora llegada]]&gt;=Tabla4[[#This Row],[Disponibilidad M3]],0,1)</f>
        <v>1</v>
      </c>
      <c r="Y107" s="2" t="str">
        <f>+IF(Tabla5[[#This Row],[Quien me atiende]]=1,MAX(Tabla4[[#This Row],[Disponibilidad M1]],Tabla4[[#This Row],[Hora llegada]]),"-")</f>
        <v>-</v>
      </c>
      <c r="Z107" s="2" t="str">
        <f>+IF(Tabla5[[#This Row],[Quien me atiende]]=2,MAX(Tabla4[[#This Row],[Disponibilidad M2]],Tabla4[[#This Row],[Hora llegada]]),"-")</f>
        <v>-</v>
      </c>
      <c r="AA107" s="2">
        <f>+IF(Tabla5[[#This Row],[Quien me atiende]]=3,MAX(Tabla4[[#This Row],[Disponibilidad M3]],Tabla4[[#This Row],[Hora llegada]]),"-")</f>
        <v>490.03588138822016</v>
      </c>
      <c r="AB107" s="2">
        <f>+MAX($AG$13:AG106)</f>
        <v>493.19552184223471</v>
      </c>
      <c r="AC107" s="2">
        <f>+MAX($AH$13:AH106)</f>
        <v>492.08449552365414</v>
      </c>
      <c r="AD107" s="2">
        <f>+MAX($AI$13:AI106)</f>
        <v>490.03588138822016</v>
      </c>
      <c r="AE107" s="2">
        <v>0.58957247634223398</v>
      </c>
      <c r="AF107" s="2">
        <f>2+4.5*Tabla4[[#This Row],[A5]]</f>
        <v>4.6530761435400532</v>
      </c>
      <c r="AG107" s="2" t="str">
        <f>+IF(Tabla4[[#This Row],[Entrada M1]]="-","-",Tabla4[[#This Row],[Entrada M1]]+Tabla4[[#This Row],[Tiempo Atencion ]])</f>
        <v>-</v>
      </c>
      <c r="AH107" s="2" t="str">
        <f>+IF(Tabla4[[#This Row],[Entrada M2]]="-","-",Tabla4[[#This Row],[Entrada M2]]+Tabla4[[#This Row],[Tiempo Atencion ]])</f>
        <v>-</v>
      </c>
      <c r="AI107" s="2">
        <f>+IF(Tabla4[[#This Row],[Entrada M3]]="-","-",Tabla4[[#This Row],[Entrada M3]]+Tabla4[[#This Row],[Tiempo Atencion ]])</f>
        <v>494.6889575317602</v>
      </c>
      <c r="AJ107" s="11">
        <f>+MAX(Tabla4[[#This Row],[Salida M1]:[Salida M3]])</f>
        <v>494.6889575317602</v>
      </c>
      <c r="AK107" s="11" t="str">
        <f>+IF(Tabla4[[#This Row],[Salida]]&lt;=$B$17,"Entra","No Entra")</f>
        <v>No Entra</v>
      </c>
      <c r="AL107" s="11">
        <f>+IF(Tabla4[[#This Row],[Entra  a la carrera]]="Entra",0,Tabla4[[#This Row],[Grupo]])</f>
        <v>56</v>
      </c>
      <c r="AM107" s="11">
        <f>_xlfn.IFNA(VLOOKUP(Tabla4[[#This Row],[Grupo]],Tabla4[Grupos por fuera],1,FALSE),0)</f>
        <v>56</v>
      </c>
      <c r="AN107" s="11" t="str">
        <f>+IF(Tabla4[[#This Row],[Me salgo por mi amigo el lento?]]=0, "Entra", "Chao")</f>
        <v>Chao</v>
      </c>
      <c r="AO107" s="11" t="str">
        <f>+IF(Tabla4[[#This Row],[Al fin entra o no]]="Entra",MAX($AO$13:AO106)+1,"")</f>
        <v/>
      </c>
      <c r="AP107" s="11">
        <f>+Tabla4[[#This Row],[Entidad]]</f>
        <v>95</v>
      </c>
      <c r="AR107">
        <v>0.11771127221362432</v>
      </c>
      <c r="AS107">
        <f>+IF(Tabla5[[#This Row],[A3]]&lt;0.5,2,3)</f>
        <v>2</v>
      </c>
      <c r="AT107">
        <f>+IF(Tabla5[[#This Row],[A3]]&lt;0.5,1,3)</f>
        <v>1</v>
      </c>
      <c r="AU107">
        <f>+IF(Tabla5[[#This Row],[A3]]&lt;0.5,1,2)</f>
        <v>1</v>
      </c>
      <c r="AV107" s="6">
        <f>+IF(Tabla5[[#This Row],[A3]]&lt;0.33,1,IF(Tabla5[[#This Row],[A3]]&lt;0.66,2,3))</f>
        <v>1</v>
      </c>
      <c r="AW107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07" s="6">
        <f>+SUM(Tabla4[[#This Row],[Ocupacion M1]:[Ocupacion M3]])</f>
        <v>3</v>
      </c>
      <c r="AY107" s="6">
        <f>+IF(Tabla4[[#This Row],[Ocupacion M1]]=1,1,IF(Tabla4[[#This Row],[Ocupacion M2]]=1,2,3))</f>
        <v>1</v>
      </c>
      <c r="AZ107" s="6">
        <f>+INDEX(Tabla5[[#This Row],[Si 1 esta ocupado]:[Si 3 esta ocupado]],Tabla5[[#This Row],[Estado si = 1]])</f>
        <v>2</v>
      </c>
      <c r="BA107" s="6">
        <f>+IF(Tabla4[[#This Row],[Ocupacion M1]]= 0,1,IF(Tabla4[[#This Row],[Ocupacion M2]]=0,2,3))</f>
        <v>3</v>
      </c>
      <c r="BB107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07" t="str">
        <f t="shared" si="13"/>
        <v/>
      </c>
      <c r="BE107" t="str">
        <f>+IF(Tabla6[[#This Row],[Indice]]="","",VLOOKUP(Tabla6[[#This Row],[Indice]],Tabla4[[Corre]:[Entidad2]],2))</f>
        <v/>
      </c>
      <c r="BF107" t="str">
        <f>IFERROR(+INDEX(Tabla4[Grupo],Tabla6[[#This Row],[Entidad]]),"")</f>
        <v/>
      </c>
      <c r="BG107">
        <f t="shared" si="8"/>
        <v>480</v>
      </c>
      <c r="BH107">
        <v>0.38202888836548388</v>
      </c>
      <c r="BI107">
        <f>20+70*Tabla6[[#This Row],[A6]]</f>
        <v>46.74202218558387</v>
      </c>
      <c r="BJ107" t="str">
        <f>+IF(Tabla6[[#This Row],[Indice]]="","",Tabla6[[#This Row],[Empieza]]+Tabla6[[#This Row],[Tiempo carrera ]])</f>
        <v/>
      </c>
      <c r="BK107" s="6" t="str">
        <f>IF(Tabla6[[#This Row],[Termina la carrera]]="","",IF(Tabla6[[#This Row],[Termina la carrera]]&gt;540,1,0))</f>
        <v/>
      </c>
      <c r="BL107" s="6" t="str">
        <f>+IF(OR(Tabla6[[#This Row],[Despues de las 9]]=0,Tabla6[[#This Row],[Despues de las 9]]=""),"",Tabla6[[#This Row],[Despues de las 9]]*Tabla6[[#This Row],[Grupo ]])</f>
        <v/>
      </c>
      <c r="BM107" s="6" t="str">
        <f>+IF(Tabla6[[#This Row],[grupo  despues de las 9]]="","",IF(MAX($BL$13:BL106)=Tabla6[[#This Row],[grupo  despues de las 9]],"",1))</f>
        <v/>
      </c>
    </row>
    <row r="108" spans="5:65" x14ac:dyDescent="0.25">
      <c r="E108" s="2">
        <v>96</v>
      </c>
      <c r="F108" s="5">
        <v>0.87781399041181241</v>
      </c>
      <c r="G108" s="2">
        <f t="shared" si="9"/>
        <v>2.1022107266205783</v>
      </c>
      <c r="H108" s="4">
        <f>+H107+Tabla2[[#This Row],[Tiempo Entre]]</f>
        <v>466.48899758065363</v>
      </c>
      <c r="I108" s="5">
        <v>0.96871958463110241</v>
      </c>
      <c r="J108" s="2">
        <f>+IF(Tabla2[[#This Row],[A2 ]]&lt;0.5,1,IF(Tabla2[[#This Row],[A2 ]]&lt;0.8,2,3))</f>
        <v>3</v>
      </c>
      <c r="L108" s="2" t="str">
        <f>+IF(AND(Tabla2[[#This Row],[Llegada]]&lt;=$B$16,P108&gt;0),1,"-")</f>
        <v>-</v>
      </c>
      <c r="M108" s="2" t="str">
        <f t="shared" si="10"/>
        <v>-</v>
      </c>
      <c r="N108" s="4" t="str">
        <f>+IF(L108=1,Tabla2[[#This Row],[Llegada]],"-")</f>
        <v>-</v>
      </c>
      <c r="O108" s="2" t="str">
        <f>+IF(L108=1,Tabla2[[#This Row],[Numero de integrantes]],"-")</f>
        <v>-</v>
      </c>
      <c r="P108" s="2">
        <f t="shared" si="11"/>
        <v>0</v>
      </c>
      <c r="Q108" s="2">
        <f>+IF(Tabla3[[#This Row],[Entra?]]=1,Q107+Tabla3[[#This Row],[Numero integrantes]],Q107)</f>
        <v>100</v>
      </c>
      <c r="S108" s="2">
        <f t="shared" si="12"/>
        <v>96</v>
      </c>
      <c r="T108" s="2">
        <f>+COUNTIF(Tabla3[Cuantos van],"&lt;"&amp;Tabla4[[#This Row],[Entidad]])+1</f>
        <v>57</v>
      </c>
      <c r="U108" s="2">
        <f>+INDEX(Tabla3[Llegada],Tabla4[[#This Row],[Grupo]])</f>
        <v>421.74946140208374</v>
      </c>
      <c r="V108" s="2">
        <f>+IF(Tabla4[[#This Row],[Hora llegada]]&gt;=Tabla4[[#This Row],[Disponibilidad M1]],0,1)</f>
        <v>1</v>
      </c>
      <c r="W108" s="2">
        <f>+IF(Tabla4[[#This Row],[Hora llegada]]&gt;=Tabla4[[#This Row],[Disponibilidad M2]],0,1)</f>
        <v>1</v>
      </c>
      <c r="X108" s="2">
        <f>+IF(Tabla4[[#This Row],[Hora llegada]]&gt;=Tabla4[[#This Row],[Disponibilidad M3]],0,1)</f>
        <v>1</v>
      </c>
      <c r="Y108" s="2" t="str">
        <f>+IF(Tabla5[[#This Row],[Quien me atiende]]=1,MAX(Tabla4[[#This Row],[Disponibilidad M1]],Tabla4[[#This Row],[Hora llegada]]),"-")</f>
        <v>-</v>
      </c>
      <c r="Z108" s="2">
        <f>+IF(Tabla5[[#This Row],[Quien me atiende]]=2,MAX(Tabla4[[#This Row],[Disponibilidad M2]],Tabla4[[#This Row],[Hora llegada]]),"-")</f>
        <v>492.08449552365414</v>
      </c>
      <c r="AA108" s="2" t="str">
        <f>+IF(Tabla5[[#This Row],[Quien me atiende]]=3,MAX(Tabla4[[#This Row],[Disponibilidad M3]],Tabla4[[#This Row],[Hora llegada]]),"-")</f>
        <v>-</v>
      </c>
      <c r="AB108" s="2">
        <f>+MAX($AG$13:AG107)</f>
        <v>493.19552184223471</v>
      </c>
      <c r="AC108" s="2">
        <f>+MAX($AH$13:AH107)</f>
        <v>492.08449552365414</v>
      </c>
      <c r="AD108" s="2">
        <f>+MAX($AI$13:AI107)</f>
        <v>494.6889575317602</v>
      </c>
      <c r="AE108" s="2">
        <v>0.29350924387654342</v>
      </c>
      <c r="AF108" s="2">
        <f>2+4.5*Tabla4[[#This Row],[A5]]</f>
        <v>3.3207915974444453</v>
      </c>
      <c r="AG108" s="2" t="str">
        <f>+IF(Tabla4[[#This Row],[Entrada M1]]="-","-",Tabla4[[#This Row],[Entrada M1]]+Tabla4[[#This Row],[Tiempo Atencion ]])</f>
        <v>-</v>
      </c>
      <c r="AH108" s="2">
        <f>+IF(Tabla4[[#This Row],[Entrada M2]]="-","-",Tabla4[[#This Row],[Entrada M2]]+Tabla4[[#This Row],[Tiempo Atencion ]])</f>
        <v>495.40528712109858</v>
      </c>
      <c r="AI108" s="2" t="str">
        <f>+IF(Tabla4[[#This Row],[Entrada M3]]="-","-",Tabla4[[#This Row],[Entrada M3]]+Tabla4[[#This Row],[Tiempo Atencion ]])</f>
        <v>-</v>
      </c>
      <c r="AJ108" s="11">
        <f>+MAX(Tabla4[[#This Row],[Salida M1]:[Salida M3]])</f>
        <v>495.40528712109858</v>
      </c>
      <c r="AK108" s="11" t="str">
        <f>+IF(Tabla4[[#This Row],[Salida]]&lt;=$B$17,"Entra","No Entra")</f>
        <v>No Entra</v>
      </c>
      <c r="AL108" s="11">
        <f>+IF(Tabla4[[#This Row],[Entra  a la carrera]]="Entra",0,Tabla4[[#This Row],[Grupo]])</f>
        <v>57</v>
      </c>
      <c r="AM108" s="11">
        <f>_xlfn.IFNA(VLOOKUP(Tabla4[[#This Row],[Grupo]],Tabla4[Grupos por fuera],1,FALSE),0)</f>
        <v>57</v>
      </c>
      <c r="AN108" s="11" t="str">
        <f>+IF(Tabla4[[#This Row],[Me salgo por mi amigo el lento?]]=0, "Entra", "Chao")</f>
        <v>Chao</v>
      </c>
      <c r="AO108" s="11" t="str">
        <f>+IF(Tabla4[[#This Row],[Al fin entra o no]]="Entra",MAX($AO$13:AO107)+1,"")</f>
        <v/>
      </c>
      <c r="AP108" s="11">
        <f>+Tabla4[[#This Row],[Entidad]]</f>
        <v>96</v>
      </c>
      <c r="AR108">
        <v>9.2273345380030847E-2</v>
      </c>
      <c r="AS108">
        <f>+IF(Tabla5[[#This Row],[A3]]&lt;0.5,2,3)</f>
        <v>2</v>
      </c>
      <c r="AT108">
        <f>+IF(Tabla5[[#This Row],[A3]]&lt;0.5,1,3)</f>
        <v>1</v>
      </c>
      <c r="AU108">
        <f>+IF(Tabla5[[#This Row],[A3]]&lt;0.5,1,2)</f>
        <v>1</v>
      </c>
      <c r="AV108" s="6">
        <f>+IF(Tabla5[[#This Row],[A3]]&lt;0.33,1,IF(Tabla5[[#This Row],[A3]]&lt;0.66,2,3))</f>
        <v>1</v>
      </c>
      <c r="AW108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108" s="6">
        <f>+SUM(Tabla4[[#This Row],[Ocupacion M1]:[Ocupacion M3]])</f>
        <v>3</v>
      </c>
      <c r="AY108" s="6">
        <f>+IF(Tabla4[[#This Row],[Ocupacion M1]]=1,1,IF(Tabla4[[#This Row],[Ocupacion M2]]=1,2,3))</f>
        <v>1</v>
      </c>
      <c r="AZ108" s="6">
        <f>+INDEX(Tabla5[[#This Row],[Si 1 esta ocupado]:[Si 3 esta ocupado]],Tabla5[[#This Row],[Estado si = 1]])</f>
        <v>2</v>
      </c>
      <c r="BA108" s="6">
        <f>+IF(Tabla4[[#This Row],[Ocupacion M1]]= 0,1,IF(Tabla4[[#This Row],[Ocupacion M2]]=0,2,3))</f>
        <v>3</v>
      </c>
      <c r="BB108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08" t="str">
        <f t="shared" si="13"/>
        <v/>
      </c>
      <c r="BE108" t="str">
        <f>+IF(Tabla6[[#This Row],[Indice]]="","",VLOOKUP(Tabla6[[#This Row],[Indice]],Tabla4[[Corre]:[Entidad2]],2))</f>
        <v/>
      </c>
      <c r="BF108" t="str">
        <f>IFERROR(+INDEX(Tabla4[Grupo],Tabla6[[#This Row],[Entidad]]),"")</f>
        <v/>
      </c>
      <c r="BG108">
        <f t="shared" si="8"/>
        <v>480</v>
      </c>
      <c r="BH108">
        <v>0.74005462201944827</v>
      </c>
      <c r="BI108">
        <f>20+70*Tabla6[[#This Row],[A6]]</f>
        <v>71.803823541361382</v>
      </c>
      <c r="BJ108" t="str">
        <f>+IF(Tabla6[[#This Row],[Indice]]="","",Tabla6[[#This Row],[Empieza]]+Tabla6[[#This Row],[Tiempo carrera ]])</f>
        <v/>
      </c>
      <c r="BK108" s="6" t="str">
        <f>IF(Tabla6[[#This Row],[Termina la carrera]]="","",IF(Tabla6[[#This Row],[Termina la carrera]]&gt;540,1,0))</f>
        <v/>
      </c>
      <c r="BL108" s="6" t="str">
        <f>+IF(OR(Tabla6[[#This Row],[Despues de las 9]]=0,Tabla6[[#This Row],[Despues de las 9]]=""),"",Tabla6[[#This Row],[Despues de las 9]]*Tabla6[[#This Row],[Grupo ]])</f>
        <v/>
      </c>
      <c r="BM108" s="6" t="str">
        <f>+IF(Tabla6[[#This Row],[grupo  despues de las 9]]="","",IF(MAX($BL$13:BL107)=Tabla6[[#This Row],[grupo  despues de las 9]],"",1))</f>
        <v/>
      </c>
    </row>
    <row r="109" spans="5:65" x14ac:dyDescent="0.25">
      <c r="E109" s="2">
        <v>97</v>
      </c>
      <c r="F109" s="5">
        <v>0.27164290655547163</v>
      </c>
      <c r="G109" s="2">
        <f t="shared" si="9"/>
        <v>0.31696383807436113</v>
      </c>
      <c r="H109" s="4">
        <f>+H108+Tabla2[[#This Row],[Tiempo Entre]]</f>
        <v>466.80596141872797</v>
      </c>
      <c r="I109" s="5">
        <v>0.55453002625287307</v>
      </c>
      <c r="J109" s="2">
        <f>+IF(Tabla2[[#This Row],[A2 ]]&lt;0.5,1,IF(Tabla2[[#This Row],[A2 ]]&lt;0.8,2,3))</f>
        <v>2</v>
      </c>
      <c r="L109" s="2" t="str">
        <f>+IF(AND(Tabla2[[#This Row],[Llegada]]&lt;=$B$16,P109&gt;0),1,"-")</f>
        <v>-</v>
      </c>
      <c r="M109" s="2" t="str">
        <f t="shared" si="10"/>
        <v>-</v>
      </c>
      <c r="N109" s="4" t="str">
        <f>+IF(L109=1,Tabla2[[#This Row],[Llegada]],"-")</f>
        <v>-</v>
      </c>
      <c r="O109" s="2" t="str">
        <f>+IF(L109=1,Tabla2[[#This Row],[Numero de integrantes]],"-")</f>
        <v>-</v>
      </c>
      <c r="P109" s="2">
        <f t="shared" si="11"/>
        <v>0</v>
      </c>
      <c r="Q109" s="2">
        <f>+IF(Tabla3[[#This Row],[Entra?]]=1,Q108+Tabla3[[#This Row],[Numero integrantes]],Q108)</f>
        <v>100</v>
      </c>
      <c r="S109" s="2">
        <f t="shared" si="12"/>
        <v>97</v>
      </c>
      <c r="T109" s="2">
        <f>+COUNTIF(Tabla3[Cuantos van],"&lt;"&amp;Tabla4[[#This Row],[Entidad]])+1</f>
        <v>57</v>
      </c>
      <c r="U109" s="2">
        <f>+INDEX(Tabla3[Llegada],Tabla4[[#This Row],[Grupo]])</f>
        <v>421.74946140208374</v>
      </c>
      <c r="V109" s="2">
        <f>+IF(Tabla4[[#This Row],[Hora llegada]]&gt;=Tabla4[[#This Row],[Disponibilidad M1]],0,1)</f>
        <v>1</v>
      </c>
      <c r="W109" s="2">
        <f>+IF(Tabla4[[#This Row],[Hora llegada]]&gt;=Tabla4[[#This Row],[Disponibilidad M2]],0,1)</f>
        <v>1</v>
      </c>
      <c r="X109" s="2">
        <f>+IF(Tabla4[[#This Row],[Hora llegada]]&gt;=Tabla4[[#This Row],[Disponibilidad M3]],0,1)</f>
        <v>1</v>
      </c>
      <c r="Y109" s="2">
        <f>+IF(Tabla5[[#This Row],[Quien me atiende]]=1,MAX(Tabla4[[#This Row],[Disponibilidad M1]],Tabla4[[#This Row],[Hora llegada]]),"-")</f>
        <v>493.19552184223471</v>
      </c>
      <c r="Z109" s="2" t="str">
        <f>+IF(Tabla5[[#This Row],[Quien me atiende]]=2,MAX(Tabla4[[#This Row],[Disponibilidad M2]],Tabla4[[#This Row],[Hora llegada]]),"-")</f>
        <v>-</v>
      </c>
      <c r="AA109" s="2" t="str">
        <f>+IF(Tabla5[[#This Row],[Quien me atiende]]=3,MAX(Tabla4[[#This Row],[Disponibilidad M3]],Tabla4[[#This Row],[Hora llegada]]),"-")</f>
        <v>-</v>
      </c>
      <c r="AB109" s="2">
        <f>+MAX($AG$13:AG108)</f>
        <v>493.19552184223471</v>
      </c>
      <c r="AC109" s="2">
        <f>+MAX($AH$13:AH108)</f>
        <v>495.40528712109858</v>
      </c>
      <c r="AD109" s="2">
        <f>+MAX($AI$13:AI108)</f>
        <v>494.6889575317602</v>
      </c>
      <c r="AE109" s="2">
        <v>0.13732896582695076</v>
      </c>
      <c r="AF109" s="2">
        <f>2+4.5*Tabla4[[#This Row],[A5]]</f>
        <v>2.6179803462212785</v>
      </c>
      <c r="AG109" s="2">
        <f>+IF(Tabla4[[#This Row],[Entrada M1]]="-","-",Tabla4[[#This Row],[Entrada M1]]+Tabla4[[#This Row],[Tiempo Atencion ]])</f>
        <v>495.81350218845597</v>
      </c>
      <c r="AH109" s="2" t="str">
        <f>+IF(Tabla4[[#This Row],[Entrada M2]]="-","-",Tabla4[[#This Row],[Entrada M2]]+Tabla4[[#This Row],[Tiempo Atencion ]])</f>
        <v>-</v>
      </c>
      <c r="AI109" s="2" t="str">
        <f>+IF(Tabla4[[#This Row],[Entrada M3]]="-","-",Tabla4[[#This Row],[Entrada M3]]+Tabla4[[#This Row],[Tiempo Atencion ]])</f>
        <v>-</v>
      </c>
      <c r="AJ109" s="11">
        <f>+MAX(Tabla4[[#This Row],[Salida M1]:[Salida M3]])</f>
        <v>495.81350218845597</v>
      </c>
      <c r="AK109" s="11" t="str">
        <f>+IF(Tabla4[[#This Row],[Salida]]&lt;=$B$17,"Entra","No Entra")</f>
        <v>No Entra</v>
      </c>
      <c r="AL109" s="11">
        <f>+IF(Tabla4[[#This Row],[Entra  a la carrera]]="Entra",0,Tabla4[[#This Row],[Grupo]])</f>
        <v>57</v>
      </c>
      <c r="AM109" s="11">
        <f>_xlfn.IFNA(VLOOKUP(Tabla4[[#This Row],[Grupo]],Tabla4[Grupos por fuera],1,FALSE),0)</f>
        <v>57</v>
      </c>
      <c r="AN109" s="11" t="str">
        <f>+IF(Tabla4[[#This Row],[Me salgo por mi amigo el lento?]]=0, "Entra", "Chao")</f>
        <v>Chao</v>
      </c>
      <c r="AO109" s="11" t="str">
        <f>+IF(Tabla4[[#This Row],[Al fin entra o no]]="Entra",MAX($AO$13:AO108)+1,"")</f>
        <v/>
      </c>
      <c r="AP109" s="11">
        <f>+Tabla4[[#This Row],[Entidad]]</f>
        <v>97</v>
      </c>
      <c r="AR109">
        <v>0.63716745795490837</v>
      </c>
      <c r="AS109">
        <f>+IF(Tabla5[[#This Row],[A3]]&lt;0.5,2,3)</f>
        <v>3</v>
      </c>
      <c r="AT109">
        <f>+IF(Tabla5[[#This Row],[A3]]&lt;0.5,1,3)</f>
        <v>3</v>
      </c>
      <c r="AU109">
        <f>+IF(Tabla5[[#This Row],[A3]]&lt;0.5,1,2)</f>
        <v>2</v>
      </c>
      <c r="AV109" s="6">
        <f>+IF(Tabla5[[#This Row],[A3]]&lt;0.33,1,IF(Tabla5[[#This Row],[A3]]&lt;0.66,2,3))</f>
        <v>2</v>
      </c>
      <c r="AW109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109" s="6">
        <f>+SUM(Tabla4[[#This Row],[Ocupacion M1]:[Ocupacion M3]])</f>
        <v>3</v>
      </c>
      <c r="AY109" s="6">
        <f>+IF(Tabla4[[#This Row],[Ocupacion M1]]=1,1,IF(Tabla4[[#This Row],[Ocupacion M2]]=1,2,3))</f>
        <v>1</v>
      </c>
      <c r="AZ109" s="6">
        <f>+INDEX(Tabla5[[#This Row],[Si 1 esta ocupado]:[Si 3 esta ocupado]],Tabla5[[#This Row],[Estado si = 1]])</f>
        <v>3</v>
      </c>
      <c r="BA109" s="6">
        <f>+IF(Tabla4[[#This Row],[Ocupacion M1]]= 0,1,IF(Tabla4[[#This Row],[Ocupacion M2]]=0,2,3))</f>
        <v>3</v>
      </c>
      <c r="BB109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09" t="str">
        <f t="shared" si="13"/>
        <v/>
      </c>
      <c r="BE109" t="str">
        <f>+IF(Tabla6[[#This Row],[Indice]]="","",VLOOKUP(Tabla6[[#This Row],[Indice]],Tabla4[[Corre]:[Entidad2]],2))</f>
        <v/>
      </c>
      <c r="BF109" t="str">
        <f>IFERROR(+INDEX(Tabla4[Grupo],Tabla6[[#This Row],[Entidad]]),"")</f>
        <v/>
      </c>
      <c r="BG109">
        <f t="shared" si="8"/>
        <v>480</v>
      </c>
      <c r="BH109">
        <v>0.46893518750849927</v>
      </c>
      <c r="BI109">
        <f>20+70*Tabla6[[#This Row],[A6]]</f>
        <v>52.82546312559495</v>
      </c>
      <c r="BJ109" t="str">
        <f>+IF(Tabla6[[#This Row],[Indice]]="","",Tabla6[[#This Row],[Empieza]]+Tabla6[[#This Row],[Tiempo carrera ]])</f>
        <v/>
      </c>
      <c r="BK109" s="6" t="str">
        <f>IF(Tabla6[[#This Row],[Termina la carrera]]="","",IF(Tabla6[[#This Row],[Termina la carrera]]&gt;540,1,0))</f>
        <v/>
      </c>
      <c r="BL109" s="6" t="str">
        <f>+IF(OR(Tabla6[[#This Row],[Despues de las 9]]=0,Tabla6[[#This Row],[Despues de las 9]]=""),"",Tabla6[[#This Row],[Despues de las 9]]*Tabla6[[#This Row],[Grupo ]])</f>
        <v/>
      </c>
      <c r="BM109" s="6" t="str">
        <f>+IF(Tabla6[[#This Row],[grupo  despues de las 9]]="","",IF(MAX($BL$13:BL108)=Tabla6[[#This Row],[grupo  despues de las 9]],"",1))</f>
        <v/>
      </c>
    </row>
    <row r="110" spans="5:65" x14ac:dyDescent="0.25">
      <c r="E110" s="2">
        <v>98</v>
      </c>
      <c r="F110" s="5">
        <v>0.66570496923345401</v>
      </c>
      <c r="G110" s="2">
        <f t="shared" si="9"/>
        <v>1.0957313502596056</v>
      </c>
      <c r="H110" s="4">
        <f>+H109+Tabla2[[#This Row],[Tiempo Entre]]</f>
        <v>467.90169276898757</v>
      </c>
      <c r="I110" s="5">
        <v>0.53275470495422506</v>
      </c>
      <c r="J110" s="2">
        <f>+IF(Tabla2[[#This Row],[A2 ]]&lt;0.5,1,IF(Tabla2[[#This Row],[A2 ]]&lt;0.8,2,3))</f>
        <v>2</v>
      </c>
      <c r="L110" s="2" t="str">
        <f>+IF(AND(Tabla2[[#This Row],[Llegada]]&lt;=$B$16,P110&gt;0),1,"-")</f>
        <v>-</v>
      </c>
      <c r="M110" s="2" t="str">
        <f t="shared" si="10"/>
        <v>-</v>
      </c>
      <c r="N110" s="4" t="str">
        <f>+IF(L110=1,Tabla2[[#This Row],[Llegada]],"-")</f>
        <v>-</v>
      </c>
      <c r="O110" s="2" t="str">
        <f>+IF(L110=1,Tabla2[[#This Row],[Numero de integrantes]],"-")</f>
        <v>-</v>
      </c>
      <c r="P110" s="2">
        <f t="shared" si="11"/>
        <v>0</v>
      </c>
      <c r="Q110" s="2">
        <f>+IF(Tabla3[[#This Row],[Entra?]]=1,Q109+Tabla3[[#This Row],[Numero integrantes]],Q109)</f>
        <v>100</v>
      </c>
      <c r="S110" s="2">
        <f t="shared" si="12"/>
        <v>98</v>
      </c>
      <c r="T110" s="2">
        <f>+COUNTIF(Tabla3[Cuantos van],"&lt;"&amp;Tabla4[[#This Row],[Entidad]])+1</f>
        <v>58</v>
      </c>
      <c r="U110" s="2">
        <f>+INDEX(Tabla3[Llegada],Tabla4[[#This Row],[Grupo]])</f>
        <v>423.77686443546384</v>
      </c>
      <c r="V110" s="2">
        <f>+IF(Tabla4[[#This Row],[Hora llegada]]&gt;=Tabla4[[#This Row],[Disponibilidad M1]],0,1)</f>
        <v>1</v>
      </c>
      <c r="W110" s="2">
        <f>+IF(Tabla4[[#This Row],[Hora llegada]]&gt;=Tabla4[[#This Row],[Disponibilidad M2]],0,1)</f>
        <v>1</v>
      </c>
      <c r="X110" s="2">
        <f>+IF(Tabla4[[#This Row],[Hora llegada]]&gt;=Tabla4[[#This Row],[Disponibilidad M3]],0,1)</f>
        <v>1</v>
      </c>
      <c r="Y110" s="2" t="str">
        <f>+IF(Tabla5[[#This Row],[Quien me atiende]]=1,MAX(Tabla4[[#This Row],[Disponibilidad M1]],Tabla4[[#This Row],[Hora llegada]]),"-")</f>
        <v>-</v>
      </c>
      <c r="Z110" s="2" t="str">
        <f>+IF(Tabla5[[#This Row],[Quien me atiende]]=2,MAX(Tabla4[[#This Row],[Disponibilidad M2]],Tabla4[[#This Row],[Hora llegada]]),"-")</f>
        <v>-</v>
      </c>
      <c r="AA110" s="2">
        <f>+IF(Tabla5[[#This Row],[Quien me atiende]]=3,MAX(Tabla4[[#This Row],[Disponibilidad M3]],Tabla4[[#This Row],[Hora llegada]]),"-")</f>
        <v>494.6889575317602</v>
      </c>
      <c r="AB110" s="2">
        <f>+MAX($AG$13:AG109)</f>
        <v>495.81350218845597</v>
      </c>
      <c r="AC110" s="2">
        <f>+MAX($AH$13:AH109)</f>
        <v>495.40528712109858</v>
      </c>
      <c r="AD110" s="2">
        <f>+MAX($AI$13:AI109)</f>
        <v>494.6889575317602</v>
      </c>
      <c r="AE110" s="2">
        <v>0.5126689401129082</v>
      </c>
      <c r="AF110" s="2">
        <f>2+4.5*Tabla4[[#This Row],[A5]]</f>
        <v>4.3070102305080873</v>
      </c>
      <c r="AG110" s="2" t="str">
        <f>+IF(Tabla4[[#This Row],[Entrada M1]]="-","-",Tabla4[[#This Row],[Entrada M1]]+Tabla4[[#This Row],[Tiempo Atencion ]])</f>
        <v>-</v>
      </c>
      <c r="AH110" s="2" t="str">
        <f>+IF(Tabla4[[#This Row],[Entrada M2]]="-","-",Tabla4[[#This Row],[Entrada M2]]+Tabla4[[#This Row],[Tiempo Atencion ]])</f>
        <v>-</v>
      </c>
      <c r="AI110" s="2">
        <f>+IF(Tabla4[[#This Row],[Entrada M3]]="-","-",Tabla4[[#This Row],[Entrada M3]]+Tabla4[[#This Row],[Tiempo Atencion ]])</f>
        <v>498.99596776226826</v>
      </c>
      <c r="AJ110" s="11">
        <f>+MAX(Tabla4[[#This Row],[Salida M1]:[Salida M3]])</f>
        <v>498.99596776226826</v>
      </c>
      <c r="AK110" s="11" t="str">
        <f>+IF(Tabla4[[#This Row],[Salida]]&lt;=$B$17,"Entra","No Entra")</f>
        <v>No Entra</v>
      </c>
      <c r="AL110" s="11">
        <f>+IF(Tabla4[[#This Row],[Entra  a la carrera]]="Entra",0,Tabla4[[#This Row],[Grupo]])</f>
        <v>58</v>
      </c>
      <c r="AM110" s="11">
        <f>_xlfn.IFNA(VLOOKUP(Tabla4[[#This Row],[Grupo]],Tabla4[Grupos por fuera],1,FALSE),0)</f>
        <v>58</v>
      </c>
      <c r="AN110" s="11" t="str">
        <f>+IF(Tabla4[[#This Row],[Me salgo por mi amigo el lento?]]=0, "Entra", "Chao")</f>
        <v>Chao</v>
      </c>
      <c r="AO110" s="11" t="str">
        <f>+IF(Tabla4[[#This Row],[Al fin entra o no]]="Entra",MAX($AO$13:AO109)+1,"")</f>
        <v/>
      </c>
      <c r="AP110" s="11">
        <f>+Tabla4[[#This Row],[Entidad]]</f>
        <v>98</v>
      </c>
      <c r="AR110">
        <v>0.53370844895718916</v>
      </c>
      <c r="AS110">
        <f>+IF(Tabla5[[#This Row],[A3]]&lt;0.5,2,3)</f>
        <v>3</v>
      </c>
      <c r="AT110">
        <f>+IF(Tabla5[[#This Row],[A3]]&lt;0.5,1,3)</f>
        <v>3</v>
      </c>
      <c r="AU110">
        <f>+IF(Tabla5[[#This Row],[A3]]&lt;0.5,1,2)</f>
        <v>2</v>
      </c>
      <c r="AV110" s="6">
        <f>+IF(Tabla5[[#This Row],[A3]]&lt;0.33,1,IF(Tabla5[[#This Row],[A3]]&lt;0.66,2,3))</f>
        <v>2</v>
      </c>
      <c r="AW110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3</v>
      </c>
      <c r="AX110" s="6">
        <f>+SUM(Tabla4[[#This Row],[Ocupacion M1]:[Ocupacion M3]])</f>
        <v>3</v>
      </c>
      <c r="AY110" s="6">
        <f>+IF(Tabla4[[#This Row],[Ocupacion M1]]=1,1,IF(Tabla4[[#This Row],[Ocupacion M2]]=1,2,3))</f>
        <v>1</v>
      </c>
      <c r="AZ110" s="6">
        <f>+INDEX(Tabla5[[#This Row],[Si 1 esta ocupado]:[Si 3 esta ocupado]],Tabla5[[#This Row],[Estado si = 1]])</f>
        <v>3</v>
      </c>
      <c r="BA110" s="6">
        <f>+IF(Tabla4[[#This Row],[Ocupacion M1]]= 0,1,IF(Tabla4[[#This Row],[Ocupacion M2]]=0,2,3))</f>
        <v>3</v>
      </c>
      <c r="BB110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3</v>
      </c>
      <c r="BD110" t="str">
        <f t="shared" si="13"/>
        <v/>
      </c>
      <c r="BE110" t="str">
        <f>+IF(Tabla6[[#This Row],[Indice]]="","",VLOOKUP(Tabla6[[#This Row],[Indice]],Tabla4[[Corre]:[Entidad2]],2))</f>
        <v/>
      </c>
      <c r="BF110" t="str">
        <f>IFERROR(+INDEX(Tabla4[Grupo],Tabla6[[#This Row],[Entidad]]),"")</f>
        <v/>
      </c>
      <c r="BG110">
        <f t="shared" si="8"/>
        <v>480</v>
      </c>
      <c r="BH110">
        <v>0.2919089002998031</v>
      </c>
      <c r="BI110">
        <f>20+70*Tabla6[[#This Row],[A6]]</f>
        <v>40.433623020986218</v>
      </c>
      <c r="BJ110" t="str">
        <f>+IF(Tabla6[[#This Row],[Indice]]="","",Tabla6[[#This Row],[Empieza]]+Tabla6[[#This Row],[Tiempo carrera ]])</f>
        <v/>
      </c>
      <c r="BK110" s="6" t="str">
        <f>IF(Tabla6[[#This Row],[Termina la carrera]]="","",IF(Tabla6[[#This Row],[Termina la carrera]]&gt;540,1,0))</f>
        <v/>
      </c>
      <c r="BL110" s="6" t="str">
        <f>+IF(OR(Tabla6[[#This Row],[Despues de las 9]]=0,Tabla6[[#This Row],[Despues de las 9]]=""),"",Tabla6[[#This Row],[Despues de las 9]]*Tabla6[[#This Row],[Grupo ]])</f>
        <v/>
      </c>
      <c r="BM110" s="6" t="str">
        <f>+IF(Tabla6[[#This Row],[grupo  despues de las 9]]="","",IF(MAX($BL$13:BL109)=Tabla6[[#This Row],[grupo  despues de las 9]],"",1))</f>
        <v/>
      </c>
    </row>
    <row r="111" spans="5:65" x14ac:dyDescent="0.25">
      <c r="E111" s="2">
        <v>99</v>
      </c>
      <c r="F111" s="5">
        <v>5.8405261037289713E-2</v>
      </c>
      <c r="G111" s="2">
        <f t="shared" si="9"/>
        <v>6.0180310389497622E-2</v>
      </c>
      <c r="H111" s="4">
        <f>+H110+Tabla2[[#This Row],[Tiempo Entre]]</f>
        <v>467.96187307937709</v>
      </c>
      <c r="I111" s="5">
        <v>0.54584607634042737</v>
      </c>
      <c r="J111" s="2">
        <f>+IF(Tabla2[[#This Row],[A2 ]]&lt;0.5,1,IF(Tabla2[[#This Row],[A2 ]]&lt;0.8,2,3))</f>
        <v>2</v>
      </c>
      <c r="L111" s="2" t="str">
        <f>+IF(AND(Tabla2[[#This Row],[Llegada]]&lt;=$B$16,P111&gt;0),1,"-")</f>
        <v>-</v>
      </c>
      <c r="M111" s="2" t="str">
        <f t="shared" si="10"/>
        <v>-</v>
      </c>
      <c r="N111" s="4" t="str">
        <f>+IF(L111=1,Tabla2[[#This Row],[Llegada]],"-")</f>
        <v>-</v>
      </c>
      <c r="O111" s="2" t="str">
        <f>+IF(L111=1,Tabla2[[#This Row],[Numero de integrantes]],"-")</f>
        <v>-</v>
      </c>
      <c r="P111" s="2">
        <f t="shared" si="11"/>
        <v>0</v>
      </c>
      <c r="Q111" s="2">
        <f>+IF(Tabla3[[#This Row],[Entra?]]=1,Q110+Tabla3[[#This Row],[Numero integrantes]],Q110)</f>
        <v>100</v>
      </c>
      <c r="S111" s="2">
        <f t="shared" si="12"/>
        <v>99</v>
      </c>
      <c r="T111" s="2">
        <f>+COUNTIF(Tabla3[Cuantos van],"&lt;"&amp;Tabla4[[#This Row],[Entidad]])+1</f>
        <v>58</v>
      </c>
      <c r="U111" s="2">
        <f>+INDEX(Tabla3[Llegada],Tabla4[[#This Row],[Grupo]])</f>
        <v>423.77686443546384</v>
      </c>
      <c r="V111" s="2">
        <f>+IF(Tabla4[[#This Row],[Hora llegada]]&gt;=Tabla4[[#This Row],[Disponibilidad M1]],0,1)</f>
        <v>1</v>
      </c>
      <c r="W111" s="2">
        <f>+IF(Tabla4[[#This Row],[Hora llegada]]&gt;=Tabla4[[#This Row],[Disponibilidad M2]],0,1)</f>
        <v>1</v>
      </c>
      <c r="X111" s="2">
        <f>+IF(Tabla4[[#This Row],[Hora llegada]]&gt;=Tabla4[[#This Row],[Disponibilidad M3]],0,1)</f>
        <v>1</v>
      </c>
      <c r="Y111" s="2" t="str">
        <f>+IF(Tabla5[[#This Row],[Quien me atiende]]=1,MAX(Tabla4[[#This Row],[Disponibilidad M1]],Tabla4[[#This Row],[Hora llegada]]),"-")</f>
        <v>-</v>
      </c>
      <c r="Z111" s="2">
        <f>+IF(Tabla5[[#This Row],[Quien me atiende]]=2,MAX(Tabla4[[#This Row],[Disponibilidad M2]],Tabla4[[#This Row],[Hora llegada]]),"-")</f>
        <v>495.40528712109858</v>
      </c>
      <c r="AA111" s="2" t="str">
        <f>+IF(Tabla5[[#This Row],[Quien me atiende]]=3,MAX(Tabla4[[#This Row],[Disponibilidad M3]],Tabla4[[#This Row],[Hora llegada]]),"-")</f>
        <v>-</v>
      </c>
      <c r="AB111" s="2">
        <f>+MAX($AG$13:AG110)</f>
        <v>495.81350218845597</v>
      </c>
      <c r="AC111" s="2">
        <f>+MAX($AH$13:AH110)</f>
        <v>495.40528712109858</v>
      </c>
      <c r="AD111" s="2">
        <f>+MAX($AI$13:AI110)</f>
        <v>498.99596776226826</v>
      </c>
      <c r="AE111" s="2">
        <v>0.24438669230069376</v>
      </c>
      <c r="AF111" s="2">
        <f>2+4.5*Tabla4[[#This Row],[A5]]</f>
        <v>3.0997401153531219</v>
      </c>
      <c r="AG111" s="2" t="str">
        <f>+IF(Tabla4[[#This Row],[Entrada M1]]="-","-",Tabla4[[#This Row],[Entrada M1]]+Tabla4[[#This Row],[Tiempo Atencion ]])</f>
        <v>-</v>
      </c>
      <c r="AH111" s="2">
        <f>+IF(Tabla4[[#This Row],[Entrada M2]]="-","-",Tabla4[[#This Row],[Entrada M2]]+Tabla4[[#This Row],[Tiempo Atencion ]])</f>
        <v>498.50502723645172</v>
      </c>
      <c r="AI111" s="2" t="str">
        <f>+IF(Tabla4[[#This Row],[Entrada M3]]="-","-",Tabla4[[#This Row],[Entrada M3]]+Tabla4[[#This Row],[Tiempo Atencion ]])</f>
        <v>-</v>
      </c>
      <c r="AJ111" s="11">
        <f>+MAX(Tabla4[[#This Row],[Salida M1]:[Salida M3]])</f>
        <v>498.50502723645172</v>
      </c>
      <c r="AK111" s="11" t="str">
        <f>+IF(Tabla4[[#This Row],[Salida]]&lt;=$B$17,"Entra","No Entra")</f>
        <v>No Entra</v>
      </c>
      <c r="AL111" s="11">
        <f>+IF(Tabla4[[#This Row],[Entra  a la carrera]]="Entra",0,Tabla4[[#This Row],[Grupo]])</f>
        <v>58</v>
      </c>
      <c r="AM111" s="11">
        <f>_xlfn.IFNA(VLOOKUP(Tabla4[[#This Row],[Grupo]],Tabla4[Grupos por fuera],1,FALSE),0)</f>
        <v>58</v>
      </c>
      <c r="AN111" s="11" t="str">
        <f>+IF(Tabla4[[#This Row],[Me salgo por mi amigo el lento?]]=0, "Entra", "Chao")</f>
        <v>Chao</v>
      </c>
      <c r="AO111" s="11" t="str">
        <f>+IF(Tabla4[[#This Row],[Al fin entra o no]]="Entra",MAX($AO$13:AO110)+1,"")</f>
        <v/>
      </c>
      <c r="AP111" s="11">
        <f>+Tabla4[[#This Row],[Entidad]]</f>
        <v>99</v>
      </c>
      <c r="AR111">
        <v>0.74964462341553673</v>
      </c>
      <c r="AS111">
        <f>+IF(Tabla5[[#This Row],[A3]]&lt;0.5,2,3)</f>
        <v>3</v>
      </c>
      <c r="AT111">
        <f>+IF(Tabla5[[#This Row],[A3]]&lt;0.5,1,3)</f>
        <v>3</v>
      </c>
      <c r="AU111">
        <f>+IF(Tabla5[[#This Row],[A3]]&lt;0.5,1,2)</f>
        <v>2</v>
      </c>
      <c r="AV111" s="6">
        <f>+IF(Tabla5[[#This Row],[A3]]&lt;0.33,1,IF(Tabla5[[#This Row],[A3]]&lt;0.66,2,3))</f>
        <v>3</v>
      </c>
      <c r="AW111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2</v>
      </c>
      <c r="AX111" s="6">
        <f>+SUM(Tabla4[[#This Row],[Ocupacion M1]:[Ocupacion M3]])</f>
        <v>3</v>
      </c>
      <c r="AY111" s="6">
        <f>+IF(Tabla4[[#This Row],[Ocupacion M1]]=1,1,IF(Tabla4[[#This Row],[Ocupacion M2]]=1,2,3))</f>
        <v>1</v>
      </c>
      <c r="AZ111" s="6">
        <f>+INDEX(Tabla5[[#This Row],[Si 1 esta ocupado]:[Si 3 esta ocupado]],Tabla5[[#This Row],[Estado si = 1]])</f>
        <v>3</v>
      </c>
      <c r="BA111" s="6">
        <f>+IF(Tabla4[[#This Row],[Ocupacion M1]]= 0,1,IF(Tabla4[[#This Row],[Ocupacion M2]]=0,2,3))</f>
        <v>3</v>
      </c>
      <c r="BB111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2</v>
      </c>
      <c r="BD111" t="str">
        <f t="shared" si="13"/>
        <v/>
      </c>
      <c r="BE111" t="str">
        <f>+IF(Tabla6[[#This Row],[Indice]]="","",VLOOKUP(Tabla6[[#This Row],[Indice]],Tabla4[[Corre]:[Entidad2]],2))</f>
        <v/>
      </c>
      <c r="BF111" t="str">
        <f>IFERROR(+INDEX(Tabla4[Grupo],Tabla6[[#This Row],[Entidad]]),"")</f>
        <v/>
      </c>
      <c r="BG111">
        <f t="shared" si="8"/>
        <v>480</v>
      </c>
      <c r="BH111">
        <v>0.91805734013713036</v>
      </c>
      <c r="BI111">
        <f>20+70*Tabla6[[#This Row],[A6]]</f>
        <v>84.26401380959912</v>
      </c>
      <c r="BJ111" t="str">
        <f>+IF(Tabla6[[#This Row],[Indice]]="","",Tabla6[[#This Row],[Empieza]]+Tabla6[[#This Row],[Tiempo carrera ]])</f>
        <v/>
      </c>
      <c r="BK111" s="6" t="str">
        <f>IF(Tabla6[[#This Row],[Termina la carrera]]="","",IF(Tabla6[[#This Row],[Termina la carrera]]&gt;540,1,0))</f>
        <v/>
      </c>
      <c r="BL111" s="6" t="str">
        <f>+IF(OR(Tabla6[[#This Row],[Despues de las 9]]=0,Tabla6[[#This Row],[Despues de las 9]]=""),"",Tabla6[[#This Row],[Despues de las 9]]*Tabla6[[#This Row],[Grupo ]])</f>
        <v/>
      </c>
      <c r="BM111" s="6" t="str">
        <f>+IF(Tabla6[[#This Row],[grupo  despues de las 9]]="","",IF(MAX($BL$13:BL110)=Tabla6[[#This Row],[grupo  despues de las 9]],"",1))</f>
        <v/>
      </c>
    </row>
    <row r="112" spans="5:65" x14ac:dyDescent="0.25">
      <c r="E112" s="2">
        <v>100</v>
      </c>
      <c r="F112" s="5">
        <v>0.39302620692806711</v>
      </c>
      <c r="G112" s="2">
        <f t="shared" si="9"/>
        <v>0.49926966336550377</v>
      </c>
      <c r="H112" s="4">
        <f>+H111+Tabla2[[#This Row],[Tiempo Entre]]</f>
        <v>468.4611427427426</v>
      </c>
      <c r="I112" s="5">
        <v>0.23978911041734474</v>
      </c>
      <c r="J112" s="2">
        <f>+IF(Tabla2[[#This Row],[A2 ]]&lt;0.5,1,IF(Tabla2[[#This Row],[A2 ]]&lt;0.8,2,3))</f>
        <v>1</v>
      </c>
      <c r="L112" s="2" t="str">
        <f>+IF(AND(Tabla2[[#This Row],[Llegada]]&lt;=$B$16,P112&gt;0),1,"-")</f>
        <v>-</v>
      </c>
      <c r="M112" s="2" t="str">
        <f t="shared" si="10"/>
        <v>-</v>
      </c>
      <c r="N112" s="4" t="str">
        <f>+IF(L112=1,Tabla2[[#This Row],[Llegada]],"-")</f>
        <v>-</v>
      </c>
      <c r="O112" s="2" t="str">
        <f>+IF(L112=1,Tabla2[[#This Row],[Numero de integrantes]],"-")</f>
        <v>-</v>
      </c>
      <c r="P112" s="2">
        <f t="shared" si="11"/>
        <v>0</v>
      </c>
      <c r="Q112" s="2">
        <f>+IF(Tabla3[[#This Row],[Entra?]]=1,Q111+Tabla3[[#This Row],[Numero integrantes]],Q111)</f>
        <v>100</v>
      </c>
      <c r="S112" s="2">
        <f t="shared" si="12"/>
        <v>100</v>
      </c>
      <c r="T112" s="2">
        <f>+COUNTIF(Tabla3[Cuantos van],"&lt;"&amp;Tabla4[[#This Row],[Entidad]])+1</f>
        <v>58</v>
      </c>
      <c r="U112" s="2">
        <f>+INDEX(Tabla3[Llegada],Tabla4[[#This Row],[Grupo]])</f>
        <v>423.77686443546384</v>
      </c>
      <c r="V112" s="2">
        <f>+IF(Tabla4[[#This Row],[Hora llegada]]&gt;=Tabla4[[#This Row],[Disponibilidad M1]],0,1)</f>
        <v>1</v>
      </c>
      <c r="W112" s="2">
        <f>+IF(Tabla4[[#This Row],[Hora llegada]]&gt;=Tabla4[[#This Row],[Disponibilidad M2]],0,1)</f>
        <v>1</v>
      </c>
      <c r="X112" s="2">
        <f>+IF(Tabla4[[#This Row],[Hora llegada]]&gt;=Tabla4[[#This Row],[Disponibilidad M3]],0,1)</f>
        <v>1</v>
      </c>
      <c r="Y112" s="2">
        <f>+IF(Tabla5[[#This Row],[Quien me atiende]]=1,MAX(Tabla4[[#This Row],[Disponibilidad M1]],Tabla4[[#This Row],[Hora llegada]]),"-")</f>
        <v>495.81350218845597</v>
      </c>
      <c r="Z112" s="2" t="str">
        <f>+IF(Tabla5[[#This Row],[Quien me atiende]]=2,MAX(Tabla4[[#This Row],[Disponibilidad M2]],Tabla4[[#This Row],[Hora llegada]]),"-")</f>
        <v>-</v>
      </c>
      <c r="AA112" s="2" t="str">
        <f>+IF(Tabla5[[#This Row],[Quien me atiende]]=3,MAX(Tabla4[[#This Row],[Disponibilidad M3]],Tabla4[[#This Row],[Hora llegada]]),"-")</f>
        <v>-</v>
      </c>
      <c r="AB112" s="2">
        <f>+MAX($AG$13:AG111)</f>
        <v>495.81350218845597</v>
      </c>
      <c r="AC112" s="2">
        <f>+MAX($AH$13:AH111)</f>
        <v>498.50502723645172</v>
      </c>
      <c r="AD112" s="2">
        <f>+MAX($AI$13:AI111)</f>
        <v>498.99596776226826</v>
      </c>
      <c r="AE112" s="2">
        <v>0.32428091059389708</v>
      </c>
      <c r="AF112" s="2">
        <f>2+4.5*Tabla4[[#This Row],[A5]]</f>
        <v>3.4592640976725368</v>
      </c>
      <c r="AG112" s="2">
        <f>+IF(Tabla4[[#This Row],[Entrada M1]]="-","-",Tabla4[[#This Row],[Entrada M1]]+Tabla4[[#This Row],[Tiempo Atencion ]])</f>
        <v>499.2727662861285</v>
      </c>
      <c r="AH112" s="2" t="str">
        <f>+IF(Tabla4[[#This Row],[Entrada M2]]="-","-",Tabla4[[#This Row],[Entrada M2]]+Tabla4[[#This Row],[Tiempo Atencion ]])</f>
        <v>-</v>
      </c>
      <c r="AI112" s="2" t="str">
        <f>+IF(Tabla4[[#This Row],[Entrada M3]]="-","-",Tabla4[[#This Row],[Entrada M3]]+Tabla4[[#This Row],[Tiempo Atencion ]])</f>
        <v>-</v>
      </c>
      <c r="AJ112" s="11">
        <f>+MAX(Tabla4[[#This Row],[Salida M1]:[Salida M3]])</f>
        <v>499.2727662861285</v>
      </c>
      <c r="AK112" s="11" t="str">
        <f>+IF(Tabla4[[#This Row],[Salida]]&lt;=$B$17,"Entra","No Entra")</f>
        <v>No Entra</v>
      </c>
      <c r="AL112" s="11">
        <f>+IF(Tabla4[[#This Row],[Entra  a la carrera]]="Entra",0,Tabla4[[#This Row],[Grupo]])</f>
        <v>58</v>
      </c>
      <c r="AM112" s="11">
        <f>_xlfn.IFNA(VLOOKUP(Tabla4[[#This Row],[Grupo]],Tabla4[Grupos por fuera],1,FALSE),0)</f>
        <v>58</v>
      </c>
      <c r="AN112" s="11" t="str">
        <f>+IF(Tabla4[[#This Row],[Me salgo por mi amigo el lento?]]=0, "Entra", "Chao")</f>
        <v>Chao</v>
      </c>
      <c r="AO112" s="11" t="str">
        <f>+IF(Tabla4[[#This Row],[Al fin entra o no]]="Entra",MAX($AO$13:AO111)+1,"")</f>
        <v/>
      </c>
      <c r="AP112" s="11">
        <f>+Tabla4[[#This Row],[Entidad]]</f>
        <v>100</v>
      </c>
      <c r="AR112">
        <v>0.79683374291164188</v>
      </c>
      <c r="AS112">
        <f>+IF(Tabla5[[#This Row],[A3]]&lt;0.5,2,3)</f>
        <v>3</v>
      </c>
      <c r="AT112">
        <f>+IF(Tabla5[[#This Row],[A3]]&lt;0.5,1,3)</f>
        <v>3</v>
      </c>
      <c r="AU112">
        <f>+IF(Tabla5[[#This Row],[A3]]&lt;0.5,1,2)</f>
        <v>2</v>
      </c>
      <c r="AV112" s="6">
        <f>+IF(Tabla5[[#This Row],[A3]]&lt;0.33,1,IF(Tabla5[[#This Row],[A3]]&lt;0.66,2,3))</f>
        <v>3</v>
      </c>
      <c r="AW112" s="6">
        <f>+IF(AND(Tabla4[[#This Row],[Disponibilidad M1]]&lt;Tabla4[[#This Row],[Disponibilidad M2]],Tabla4[[#This Row],[Disponibilidad M1]]&lt;Tabla4[[#This Row],[Disponibilidad M3]]),1,IF(Tabla4[[#This Row],[Disponibilidad M2]]&lt;Tabla4[[#This Row],[Disponibilidad M3]],2,3))</f>
        <v>1</v>
      </c>
      <c r="AX112" s="6">
        <f>+SUM(Tabla4[[#This Row],[Ocupacion M1]:[Ocupacion M3]])</f>
        <v>3</v>
      </c>
      <c r="AY112" s="6">
        <f>+IF(Tabla4[[#This Row],[Ocupacion M1]]=1,1,IF(Tabla4[[#This Row],[Ocupacion M2]]=1,2,3))</f>
        <v>1</v>
      </c>
      <c r="AZ112" s="6">
        <f>+INDEX(Tabla5[[#This Row],[Si 1 esta ocupado]:[Si 3 esta ocupado]],Tabla5[[#This Row],[Estado si = 1]])</f>
        <v>3</v>
      </c>
      <c r="BA112" s="6">
        <f>+IF(Tabla4[[#This Row],[Ocupacion M1]]= 0,1,IF(Tabla4[[#This Row],[Ocupacion M2]]=0,2,3))</f>
        <v>3</v>
      </c>
      <c r="BB112" s="6">
        <f>+IF(Tabla5[[#This Row],[Estado]]=0,Tabla5[[#This Row],[Si todos desocupados]],IF(Tabla5[[#This Row],[Estado]]=3,Tabla5[[#This Row],[Si todos Ocupados ]],IF(Tabla5[[#This Row],[Estado]]=1,Tabla5[[#This Row],[Quien si = 1]],Tabla5[[#This Row],[Estado si = 2]])))</f>
        <v>1</v>
      </c>
      <c r="BD112" t="str">
        <f t="shared" si="13"/>
        <v/>
      </c>
      <c r="BE112" t="str">
        <f>+IF(Tabla6[[#This Row],[Indice]]="","",VLOOKUP(Tabla6[[#This Row],[Indice]],Tabla4[[Corre]:[Entidad2]],2))</f>
        <v/>
      </c>
      <c r="BF112" t="str">
        <f>IFERROR(+INDEX(Tabla4[Grupo],Tabla6[[#This Row],[Entidad]]),"")</f>
        <v/>
      </c>
      <c r="BG112">
        <f t="shared" si="8"/>
        <v>480</v>
      </c>
      <c r="BH112">
        <v>0.21057780063296505</v>
      </c>
      <c r="BI112">
        <f>20+70*Tabla6[[#This Row],[A6]]</f>
        <v>34.740446044307554</v>
      </c>
      <c r="BJ112" t="str">
        <f>+IF(Tabla6[[#This Row],[Indice]]="","",Tabla6[[#This Row],[Empieza]]+Tabla6[[#This Row],[Tiempo carrera ]])</f>
        <v/>
      </c>
      <c r="BK112" s="6" t="str">
        <f>IF(Tabla6[[#This Row],[Termina la carrera]]="","",IF(Tabla6[[#This Row],[Termina la carrera]]&gt;540,1,0))</f>
        <v/>
      </c>
      <c r="BL112" s="6" t="str">
        <f>+IF(OR(Tabla6[[#This Row],[Despues de las 9]]=0,Tabla6[[#This Row],[Despues de las 9]]=""),"",Tabla6[[#This Row],[Despues de las 9]]*Tabla6[[#This Row],[Grupo ]])</f>
        <v/>
      </c>
      <c r="BM112" s="6" t="str">
        <f>+IF(Tabla6[[#This Row],[grupo  despues de las 9]]="","",IF(MAX($BL$13:BL111)=Tabla6[[#This Row],[grupo  despues de las 9]],"",1))</f>
        <v/>
      </c>
    </row>
    <row r="113" spans="36:65" x14ac:dyDescent="0.25">
      <c r="AM113" s="11"/>
      <c r="AN113" s="11"/>
      <c r="AO113" s="11"/>
      <c r="AP113" s="11"/>
    </row>
    <row r="114" spans="36:65" x14ac:dyDescent="0.25">
      <c r="AJ114" t="s">
        <v>84</v>
      </c>
      <c r="AK114">
        <f>+COUNT(Tabla4[Salida])</f>
        <v>100</v>
      </c>
      <c r="AM114" s="11" t="s">
        <v>85</v>
      </c>
      <c r="AN114" s="11">
        <f>+COUNTIF(Tabla4[Al fin entra o no],"Entra")</f>
        <v>82</v>
      </c>
      <c r="AO114" s="11"/>
      <c r="AP114" s="11"/>
      <c r="BI114" t="s">
        <v>89</v>
      </c>
      <c r="BJ114">
        <f>+COUNTIF(Tabla6[Termina la carrera],"&gt;540")</f>
        <v>38</v>
      </c>
      <c r="BL114" t="s">
        <v>93</v>
      </c>
      <c r="BM114">
        <f>+SUM(Tabla6[Variedad])</f>
        <v>32</v>
      </c>
    </row>
    <row r="115" spans="36:65" x14ac:dyDescent="0.25">
      <c r="AJ115" t="s">
        <v>83</v>
      </c>
      <c r="AK115">
        <f>+COUNTIF(Tabla4[Entra  a la carrera],"Entra")</f>
        <v>82</v>
      </c>
    </row>
    <row r="117" spans="36:65" x14ac:dyDescent="0.25">
      <c r="AM117" t="s">
        <v>86</v>
      </c>
      <c r="AN117">
        <f>+AK114-AK115</f>
        <v>18</v>
      </c>
    </row>
    <row r="118" spans="36:65" x14ac:dyDescent="0.25">
      <c r="AM118" t="s">
        <v>87</v>
      </c>
      <c r="AN118">
        <f>+AK115-AN114</f>
        <v>0</v>
      </c>
    </row>
  </sheetData>
  <mergeCells count="15">
    <mergeCell ref="BW48:CA49"/>
    <mergeCell ref="BW39:CA39"/>
    <mergeCell ref="BW40:CA40"/>
    <mergeCell ref="BW20:CA20"/>
    <mergeCell ref="BW46:CA46"/>
    <mergeCell ref="BW30:CA30"/>
    <mergeCell ref="BW31:CA31"/>
    <mergeCell ref="BW37:CA37"/>
    <mergeCell ref="BW22:CA22"/>
    <mergeCell ref="BW12:CA12"/>
    <mergeCell ref="BW28:CA28"/>
    <mergeCell ref="AS11:AU11"/>
    <mergeCell ref="AW3:AW5"/>
    <mergeCell ref="AW6:AW8"/>
    <mergeCell ref="AY11:AZ11"/>
  </mergeCells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6A8C-900C-48C9-82DF-79A46C654984}">
  <dimension ref="A1:BF109"/>
  <sheetViews>
    <sheetView topLeftCell="O1" zoomScale="55" zoomScaleNormal="55" workbookViewId="0">
      <selection activeCell="T17" sqref="T17"/>
    </sheetView>
  </sheetViews>
  <sheetFormatPr baseColWidth="10" defaultRowHeight="15" x14ac:dyDescent="0.25"/>
  <cols>
    <col min="3" max="3" width="17.140625" bestFit="1" customWidth="1"/>
    <col min="9" max="9" width="29.42578125" bestFit="1" customWidth="1"/>
    <col min="11" max="11" width="7.7109375" style="8" bestFit="1" customWidth="1"/>
    <col min="12" max="12" width="6.5703125" style="8" bestFit="1" customWidth="1"/>
    <col min="13" max="13" width="12" style="8" bestFit="1" customWidth="1"/>
    <col min="14" max="16" width="13.5703125" style="8" customWidth="1"/>
    <col min="17" max="18" width="16.140625" style="8" customWidth="1"/>
    <col min="19" max="19" width="18.42578125" style="8" customWidth="1"/>
    <col min="20" max="20" width="16.140625" style="8" customWidth="1"/>
    <col min="21" max="21" width="11.42578125" style="8" customWidth="1"/>
    <col min="22" max="22" width="20.7109375" style="8" customWidth="1"/>
    <col min="23" max="29" width="11.42578125" style="8" customWidth="1"/>
    <col min="30" max="30" width="17.140625" style="8" customWidth="1"/>
    <col min="31" max="33" width="10.42578125" style="8" customWidth="1"/>
    <col min="34" max="34" width="7.85546875" style="8" customWidth="1"/>
    <col min="35" max="35" width="11.42578125" style="8" customWidth="1"/>
    <col min="36" max="36" width="18" style="8" customWidth="1"/>
    <col min="37" max="39" width="11.42578125" style="8" customWidth="1"/>
    <col min="40" max="40" width="11.42578125" style="8"/>
    <col min="41" max="41" width="20.7109375" bestFit="1" customWidth="1"/>
    <col min="42" max="42" width="29" hidden="1" customWidth="1"/>
    <col min="43" max="43" width="22.5703125" bestFit="1" customWidth="1"/>
    <col min="50" max="50" width="9.28515625" bestFit="1" customWidth="1"/>
    <col min="51" max="51" width="14.5703125" bestFit="1" customWidth="1"/>
    <col min="52" max="52" width="15.140625" bestFit="1" customWidth="1"/>
    <col min="55" max="55" width="16.140625" bestFit="1" customWidth="1"/>
    <col min="56" max="56" width="12" bestFit="1" customWidth="1"/>
    <col min="57" max="57" width="18.85546875" customWidth="1"/>
  </cols>
  <sheetData>
    <row r="1" spans="1:58" ht="15.75" thickBot="1" x14ac:dyDescent="0.3">
      <c r="A1" s="27" t="s">
        <v>6</v>
      </c>
      <c r="B1" s="27" t="s">
        <v>7</v>
      </c>
      <c r="C1" s="27" t="s">
        <v>8</v>
      </c>
      <c r="V1" s="29" t="s">
        <v>100</v>
      </c>
      <c r="W1" s="74" t="s">
        <v>104</v>
      </c>
      <c r="X1" s="75"/>
      <c r="Y1" s="76"/>
      <c r="Z1" s="77" t="s">
        <v>105</v>
      </c>
      <c r="AA1" s="78"/>
      <c r="AB1" s="79"/>
      <c r="AC1" s="30" t="s">
        <v>112</v>
      </c>
      <c r="BB1" s="46"/>
      <c r="BC1" s="47"/>
      <c r="BD1" s="47"/>
      <c r="BE1" s="47"/>
      <c r="BF1" s="48"/>
    </row>
    <row r="2" spans="1:58" ht="18.75" x14ac:dyDescent="0.3">
      <c r="A2" s="28">
        <v>6</v>
      </c>
      <c r="B2" s="28">
        <v>360</v>
      </c>
      <c r="C2" s="28" t="s">
        <v>9</v>
      </c>
      <c r="K2" s="26" t="s">
        <v>15</v>
      </c>
      <c r="L2" s="26" t="s">
        <v>0</v>
      </c>
      <c r="M2" s="26" t="s">
        <v>30</v>
      </c>
      <c r="N2" s="26" t="s">
        <v>34</v>
      </c>
      <c r="O2" s="26" t="s">
        <v>35</v>
      </c>
      <c r="P2" s="26" t="s">
        <v>36</v>
      </c>
      <c r="Q2" s="26" t="s">
        <v>97</v>
      </c>
      <c r="R2" s="26" t="s">
        <v>109</v>
      </c>
      <c r="S2" s="26" t="s">
        <v>110</v>
      </c>
      <c r="T2" s="26" t="s">
        <v>111</v>
      </c>
      <c r="U2" s="26" t="s">
        <v>98</v>
      </c>
      <c r="V2" s="35" t="s">
        <v>99</v>
      </c>
      <c r="W2" s="36" t="s">
        <v>101</v>
      </c>
      <c r="X2" s="36" t="s">
        <v>102</v>
      </c>
      <c r="Y2" s="36" t="s">
        <v>103</v>
      </c>
      <c r="Z2" s="37" t="s">
        <v>106</v>
      </c>
      <c r="AA2" s="37" t="s">
        <v>107</v>
      </c>
      <c r="AB2" s="38" t="s">
        <v>108</v>
      </c>
      <c r="AC2" s="32" t="s">
        <v>112</v>
      </c>
      <c r="AD2" s="26" t="s">
        <v>27</v>
      </c>
      <c r="AE2" s="39" t="s">
        <v>113</v>
      </c>
      <c r="AF2" s="39" t="s">
        <v>114</v>
      </c>
      <c r="AG2" s="39" t="s">
        <v>115</v>
      </c>
      <c r="AH2" s="39" t="s">
        <v>117</v>
      </c>
      <c r="AI2" s="37" t="s">
        <v>98</v>
      </c>
      <c r="AJ2" s="37" t="s">
        <v>116</v>
      </c>
      <c r="AK2" s="34" t="s">
        <v>58</v>
      </c>
      <c r="AL2" s="34" t="s">
        <v>59</v>
      </c>
      <c r="AM2" s="34" t="s">
        <v>60</v>
      </c>
      <c r="AN2" s="40" t="s">
        <v>29</v>
      </c>
      <c r="AO2" s="44" t="s">
        <v>118</v>
      </c>
      <c r="AP2" s="44" t="s">
        <v>119</v>
      </c>
      <c r="AQ2" s="44" t="s">
        <v>120</v>
      </c>
      <c r="AR2" s="43" t="s">
        <v>121</v>
      </c>
      <c r="AU2" s="45" t="s">
        <v>15</v>
      </c>
      <c r="AV2" s="45" t="s">
        <v>0</v>
      </c>
      <c r="AW2" s="45" t="s">
        <v>29</v>
      </c>
      <c r="AX2" s="45" t="s">
        <v>98</v>
      </c>
      <c r="AY2" s="45" t="s">
        <v>122</v>
      </c>
      <c r="AZ2" s="45" t="s">
        <v>123</v>
      </c>
      <c r="BB2" s="49"/>
      <c r="BC2" s="70" t="s">
        <v>79</v>
      </c>
      <c r="BD2" s="70"/>
      <c r="BE2" s="70"/>
      <c r="BF2" s="50"/>
    </row>
    <row r="3" spans="1:58" x14ac:dyDescent="0.25">
      <c r="A3" s="28">
        <v>6.5</v>
      </c>
      <c r="B3" s="28">
        <v>390</v>
      </c>
      <c r="C3" s="28"/>
      <c r="K3" s="41">
        <f>+Hoja1!S13</f>
        <v>1</v>
      </c>
      <c r="L3" s="41">
        <f>+Hoja1!T13</f>
        <v>1</v>
      </c>
      <c r="M3" s="41">
        <f>+Hoja1!U13</f>
        <v>360</v>
      </c>
      <c r="N3" s="41">
        <v>0</v>
      </c>
      <c r="O3" s="41">
        <v>0</v>
      </c>
      <c r="P3" s="41">
        <v>0</v>
      </c>
      <c r="Q3" s="41">
        <f>+SUM(N3:P3)</f>
        <v>0</v>
      </c>
      <c r="R3" s="41">
        <v>0</v>
      </c>
      <c r="S3" s="41">
        <v>0</v>
      </c>
      <c r="T3" s="41">
        <v>0</v>
      </c>
      <c r="U3" s="31">
        <f>+Hoja1!AR13</f>
        <v>0.51835515735686799</v>
      </c>
      <c r="V3" s="41">
        <f>+IF(Q3=0,IF(U3&lt;0.33,1,IF(U3&lt;0.66,2,3)),"")</f>
        <v>2</v>
      </c>
      <c r="W3" s="41" t="str">
        <f>IF(AND($Q3=1,N3=1),IF($U3&lt;0.5,2,3),"")</f>
        <v/>
      </c>
      <c r="X3" s="41" t="str">
        <f>IF(AND($Q3=1,O3=1),IF($U3&lt;0.5,1,3),"")</f>
        <v/>
      </c>
      <c r="Y3" s="41" t="str">
        <f>IF(AND($Q3=1,P3=1),IF($U3&lt;0.5,1,2),"")</f>
        <v/>
      </c>
      <c r="Z3" s="41" t="str">
        <f>+IF(AND($Q3=2,N3=0),1,"")</f>
        <v/>
      </c>
      <c r="AA3" s="41" t="str">
        <f>+IF(AND($Q3=2,O3=0),2,"")</f>
        <v/>
      </c>
      <c r="AB3" s="42" t="str">
        <f>+IF(AND($Q3=2,P3=0),3,"")</f>
        <v/>
      </c>
      <c r="AC3" s="41" t="str">
        <f>IF(Q3=3,IF(AND(R3&lt;S3,R3&lt;T3),1,IF(S3&lt;T3,2,3)),"")</f>
        <v/>
      </c>
      <c r="AD3" s="41">
        <f>+SUM(V3:AC3)</f>
        <v>2</v>
      </c>
      <c r="AE3" s="41" t="str">
        <f>+IF($AD3=1,$M3,"")</f>
        <v/>
      </c>
      <c r="AF3" s="41">
        <f>+IF($AD3=2,$M3,"")</f>
        <v>360</v>
      </c>
      <c r="AG3" s="41" t="str">
        <f>+IF($AD3=3,$M3,"")</f>
        <v/>
      </c>
      <c r="AH3" s="41">
        <f>+SUM(AE3:AG3)</f>
        <v>360</v>
      </c>
      <c r="AI3" s="31">
        <f>Hoja1!AE13</f>
        <v>0.75139337002915751</v>
      </c>
      <c r="AJ3" s="31">
        <f>2+4.5*AI3</f>
        <v>5.3812701651312089</v>
      </c>
      <c r="AK3" s="31" t="str">
        <f>+IF($AD3=1,AE3+$AJ3,"")</f>
        <v/>
      </c>
      <c r="AL3" s="31">
        <f>+IF($AD3=2,AF3+$AJ3,"")</f>
        <v>365.38127016513118</v>
      </c>
      <c r="AM3" s="31" t="str">
        <f>+IF($AD3=3,AG3+$AJ3,"")</f>
        <v/>
      </c>
      <c r="AN3" s="31">
        <f>+SUM(AK3:AM3)</f>
        <v>365.38127016513118</v>
      </c>
      <c r="AO3" s="25" t="str">
        <f>+IF(AN3&lt;=$B$6,"A tiempo","Tarde")</f>
        <v>A tiempo</v>
      </c>
      <c r="AP3" s="25" t="str">
        <f>+IF(AO3="A tiempo","",L3)</f>
        <v/>
      </c>
      <c r="AQ3" s="25" t="str">
        <f>IF(_xlfn.IFNA(MATCH(L3,$AP$3:$AP$102,0),"")="","","Amigo")</f>
        <v/>
      </c>
      <c r="AR3" s="25" t="str">
        <f>+IF(AND(AO3="A tiempo",AQ3=""),"Corro","Chao")</f>
        <v>Corro</v>
      </c>
      <c r="AU3" s="25">
        <f>+IF($AR3="Corro",K3,"")</f>
        <v>1</v>
      </c>
      <c r="AV3" s="25">
        <f t="shared" ref="AV3" si="0">+IF($AR3="Corro",L3,"")</f>
        <v>1</v>
      </c>
      <c r="AW3" s="25">
        <f>+IF($AR3="Corro",480,"")</f>
        <v>480</v>
      </c>
      <c r="AX3" s="33">
        <f>IF(AU3="","",Hoja1!BH13)</f>
        <v>0.2451417582350981</v>
      </c>
      <c r="AY3" s="33">
        <f>IF(AU3="","",20+70*AX3)</f>
        <v>37.159923076456863</v>
      </c>
      <c r="AZ3" s="33">
        <f t="shared" ref="AZ3:AZ66" si="1">+IF($AR3="Corro",AW3+AY3,"")</f>
        <v>517.15992307645683</v>
      </c>
      <c r="BB3" s="49"/>
      <c r="BC3" s="51"/>
      <c r="BD3" s="51"/>
      <c r="BE3" s="51"/>
      <c r="BF3" s="50"/>
    </row>
    <row r="4" spans="1:58" x14ac:dyDescent="0.25">
      <c r="A4" s="28">
        <v>7</v>
      </c>
      <c r="B4" s="28">
        <v>420</v>
      </c>
      <c r="C4" s="28"/>
      <c r="K4" s="41">
        <f>+Hoja1!S14</f>
        <v>2</v>
      </c>
      <c r="L4" s="41">
        <f>+Hoja1!T14</f>
        <v>1</v>
      </c>
      <c r="M4" s="41">
        <f>+Hoja1!U14</f>
        <v>360</v>
      </c>
      <c r="N4" s="41">
        <f>+IF($M4&lt;R4,1,0)</f>
        <v>0</v>
      </c>
      <c r="O4" s="41">
        <f t="shared" ref="O4:P4" si="2">+IF($M4&lt;S4,1,0)</f>
        <v>1</v>
      </c>
      <c r="P4" s="41">
        <f t="shared" si="2"/>
        <v>0</v>
      </c>
      <c r="Q4" s="41">
        <f t="shared" ref="Q4:Q67" si="3">+SUM(N4:P4)</f>
        <v>1</v>
      </c>
      <c r="R4" s="31">
        <f>+MAX(AK$3:AK3)</f>
        <v>0</v>
      </c>
      <c r="S4" s="31">
        <f>+MAX(AL$3:AL3)</f>
        <v>365.38127016513118</v>
      </c>
      <c r="T4" s="31">
        <f>+MAX(AM$3:AM3)</f>
        <v>0</v>
      </c>
      <c r="U4" s="31">
        <f>+Hoja1!AR14</f>
        <v>0.36091379583160321</v>
      </c>
      <c r="V4" s="41" t="str">
        <f t="shared" ref="V4:V67" si="4">+IF(Q4=0,IF(U4&lt;0.33,1,IF(U4&lt;0.66,2,3)),"")</f>
        <v/>
      </c>
      <c r="W4" s="41" t="str">
        <f>IF(AND(Q4=1,N4=1),IF(U4&lt;0.5,2,3),"")</f>
        <v/>
      </c>
      <c r="X4" s="41">
        <f t="shared" ref="X4:X67" si="5">IF(AND($Q4=1,O4=1),IF($U4&lt;0.5,1,3),"")</f>
        <v>1</v>
      </c>
      <c r="Y4" s="41" t="str">
        <f t="shared" ref="Y4:Y67" si="6">IF(AND($Q4=1,P4=1),IF($U4&lt;0.5,1,2),"")</f>
        <v/>
      </c>
      <c r="Z4" s="41" t="str">
        <f t="shared" ref="Z4:Z8" si="7">+IF(AND($Q4=2,N4=0),1,"")</f>
        <v/>
      </c>
      <c r="AA4" s="41" t="str">
        <f t="shared" ref="AA4:AA67" si="8">+IF(AND($Q4=2,O4=0),2,"")</f>
        <v/>
      </c>
      <c r="AB4" s="42" t="str">
        <f t="shared" ref="AB4:AB67" si="9">+IF(AND($Q4=2,P4=0),3,"")</f>
        <v/>
      </c>
      <c r="AC4" s="41" t="str">
        <f t="shared" ref="AC4:AC67" si="10">IF(Q4=3,IF(AND(R4&lt;S4,R4&lt;T4),1,IF(S4&lt;T4,2,3)),"")</f>
        <v/>
      </c>
      <c r="AD4" s="41">
        <f t="shared" ref="AD4:AD67" si="11">+SUM(V4:AC4)</f>
        <v>1</v>
      </c>
      <c r="AE4" s="41">
        <f>+IF($AD4=1,MAX($M4,R4),"")</f>
        <v>360</v>
      </c>
      <c r="AF4" s="41" t="str">
        <f>+IF($AD4=2,MAX($M4,S4),"")</f>
        <v/>
      </c>
      <c r="AG4" s="41" t="str">
        <f>+IF($AD4=3,MAX($M4,T4),"")</f>
        <v/>
      </c>
      <c r="AH4" s="41">
        <f t="shared" ref="AH4:AH67" si="12">+SUM(AE4:AG4)</f>
        <v>360</v>
      </c>
      <c r="AI4" s="31">
        <f>Hoja1!AE14</f>
        <v>7.772751123967403E-2</v>
      </c>
      <c r="AJ4" s="31">
        <f t="shared" ref="AJ4:AJ67" si="13">2+4.5*AI4</f>
        <v>2.3497738005785331</v>
      </c>
      <c r="AK4" s="31">
        <f t="shared" ref="AK4:AK67" si="14">+IF($AD4=1,AE4+$AJ4,"")</f>
        <v>362.34977380057853</v>
      </c>
      <c r="AL4" s="31" t="str">
        <f t="shared" ref="AL4:AL67" si="15">+IF($AD4=2,AF4+$AJ4,"")</f>
        <v/>
      </c>
      <c r="AM4" s="31" t="str">
        <f t="shared" ref="AM4:AM67" si="16">+IF($AD4=3,AG4+$AJ4,"")</f>
        <v/>
      </c>
      <c r="AN4" s="31">
        <f t="shared" ref="AN4:AN67" si="17">+SUM(AK4:AM4)</f>
        <v>362.34977380057853</v>
      </c>
      <c r="AO4" s="25" t="str">
        <f t="shared" ref="AO4:AO67" si="18">+IF(AN4&lt;=$B$6,"A tiempo","Tarde")</f>
        <v>A tiempo</v>
      </c>
      <c r="AP4" s="25" t="str">
        <f t="shared" ref="AP4:AP67" si="19">+IF(AO4="A tiempo","",L4)</f>
        <v/>
      </c>
      <c r="AQ4" s="25" t="str">
        <f t="shared" ref="AQ4:AQ67" si="20">IF(_xlfn.IFNA(MATCH(L4,$AP$3:$AP$102,0),"")="","","Amigo")</f>
        <v/>
      </c>
      <c r="AR4" s="25" t="str">
        <f t="shared" ref="AR4:AR67" si="21">+IF(AND(AO4="A tiempo",AQ4=""),"Corro","Chao")</f>
        <v>Corro</v>
      </c>
      <c r="AU4" s="25">
        <f t="shared" ref="AU4:AU67" si="22">+IF($AR4="Corro",K4,"")</f>
        <v>2</v>
      </c>
      <c r="AV4" s="25">
        <f t="shared" ref="AV4:AV67" si="23">+IF($AR4="Corro",L4,"")</f>
        <v>1</v>
      </c>
      <c r="AW4" s="25">
        <f>+IF($AR4="Corro",480,"")</f>
        <v>480</v>
      </c>
      <c r="AX4" s="33">
        <f>IF(AU4="","",Hoja1!BH14)</f>
        <v>0.26443669607164177</v>
      </c>
      <c r="AY4" s="33">
        <f t="shared" ref="AY4:AY67" si="24">IF(AU4="","",20+70*AX4)</f>
        <v>38.51056872501492</v>
      </c>
      <c r="AZ4" s="33">
        <f t="shared" si="1"/>
        <v>518.51056872501488</v>
      </c>
      <c r="BB4" s="49"/>
      <c r="BC4" s="51" t="s">
        <v>124</v>
      </c>
      <c r="BD4" s="51">
        <f>+MAX(M3:M102)</f>
        <v>423.77686443546384</v>
      </c>
      <c r="BE4" s="51"/>
      <c r="BF4" s="50"/>
    </row>
    <row r="5" spans="1:58" x14ac:dyDescent="0.25">
      <c r="A5" s="28">
        <v>7.5</v>
      </c>
      <c r="B5" s="28">
        <v>450</v>
      </c>
      <c r="C5" s="28" t="s">
        <v>10</v>
      </c>
      <c r="K5" s="41">
        <f>+Hoja1!S15</f>
        <v>3</v>
      </c>
      <c r="L5" s="41">
        <f>+Hoja1!T15</f>
        <v>2</v>
      </c>
      <c r="M5" s="41">
        <f>+Hoja1!U15</f>
        <v>363.75430207571941</v>
      </c>
      <c r="N5" s="41">
        <f t="shared" ref="N5:N68" si="25">+IF($M5&lt;R5,1,0)</f>
        <v>0</v>
      </c>
      <c r="O5" s="41">
        <f t="shared" ref="O5:O68" si="26">+IF($M5&lt;S5,1,0)</f>
        <v>1</v>
      </c>
      <c r="P5" s="41">
        <f t="shared" ref="P5:P68" si="27">+IF($M5&lt;T5,1,0)</f>
        <v>0</v>
      </c>
      <c r="Q5" s="41">
        <f t="shared" si="3"/>
        <v>1</v>
      </c>
      <c r="R5" s="31">
        <f>+MAX(AK$3:AK4)</f>
        <v>362.34977380057853</v>
      </c>
      <c r="S5" s="31">
        <f>+MAX(AL$3:AL4)</f>
        <v>365.38127016513118</v>
      </c>
      <c r="T5" s="31">
        <f>+MAX(AM$3:AM4)</f>
        <v>0</v>
      </c>
      <c r="U5" s="31">
        <f>+Hoja1!AR15</f>
        <v>8.7467428398170566E-2</v>
      </c>
      <c r="V5" s="41" t="str">
        <f t="shared" si="4"/>
        <v/>
      </c>
      <c r="W5" s="41" t="str">
        <f t="shared" ref="W5:W68" si="28">IF(AND(Q5=1,N5=1),IF(U5&lt;0.5,2,3),"")</f>
        <v/>
      </c>
      <c r="X5" s="41">
        <f t="shared" si="5"/>
        <v>1</v>
      </c>
      <c r="Y5" s="41" t="str">
        <f t="shared" si="6"/>
        <v/>
      </c>
      <c r="Z5" s="41" t="str">
        <f t="shared" si="7"/>
        <v/>
      </c>
      <c r="AA5" s="41" t="str">
        <f t="shared" si="8"/>
        <v/>
      </c>
      <c r="AB5" s="42" t="str">
        <f t="shared" si="9"/>
        <v/>
      </c>
      <c r="AC5" s="41" t="str">
        <f t="shared" si="10"/>
        <v/>
      </c>
      <c r="AD5" s="41">
        <f t="shared" si="11"/>
        <v>1</v>
      </c>
      <c r="AE5" s="41">
        <f t="shared" ref="AE5:AE68" si="29">+IF($AD5=1,MAX($M5,R5),"")</f>
        <v>363.75430207571941</v>
      </c>
      <c r="AF5" s="41" t="str">
        <f t="shared" ref="AF5:AF68" si="30">+IF($AD5=2,MAX($M5,S5),"")</f>
        <v/>
      </c>
      <c r="AG5" s="41" t="str">
        <f t="shared" ref="AG5:AG68" si="31">+IF($AD5=3,MAX($M5,T5),"")</f>
        <v/>
      </c>
      <c r="AH5" s="41">
        <f t="shared" si="12"/>
        <v>363.75430207571941</v>
      </c>
      <c r="AI5" s="31">
        <f>Hoja1!AE15</f>
        <v>0.33302347335884219</v>
      </c>
      <c r="AJ5" s="31">
        <f t="shared" si="13"/>
        <v>3.4986056301147901</v>
      </c>
      <c r="AK5" s="31">
        <f t="shared" si="14"/>
        <v>367.25290770583422</v>
      </c>
      <c r="AL5" s="31" t="str">
        <f t="shared" si="15"/>
        <v/>
      </c>
      <c r="AM5" s="31" t="str">
        <f t="shared" si="16"/>
        <v/>
      </c>
      <c r="AN5" s="31">
        <f t="shared" si="17"/>
        <v>367.25290770583422</v>
      </c>
      <c r="AO5" s="25" t="str">
        <f t="shared" si="18"/>
        <v>A tiempo</v>
      </c>
      <c r="AP5" s="25" t="str">
        <f t="shared" si="19"/>
        <v/>
      </c>
      <c r="AQ5" s="25" t="str">
        <f t="shared" si="20"/>
        <v/>
      </c>
      <c r="AR5" s="25" t="str">
        <f t="shared" si="21"/>
        <v>Corro</v>
      </c>
      <c r="AU5" s="25">
        <f t="shared" si="22"/>
        <v>3</v>
      </c>
      <c r="AV5" s="25">
        <f t="shared" si="23"/>
        <v>2</v>
      </c>
      <c r="AW5" s="25">
        <f t="shared" ref="AW5:AW68" si="32">+IF($AR5="Corro",480,"")</f>
        <v>480</v>
      </c>
      <c r="AX5" s="33">
        <f>IF(AU5="","",Hoja1!BH15)</f>
        <v>0.9934049445696681</v>
      </c>
      <c r="AY5" s="33">
        <f t="shared" si="24"/>
        <v>89.538346119876763</v>
      </c>
      <c r="AZ5" s="33">
        <f t="shared" si="1"/>
        <v>569.53834611987679</v>
      </c>
      <c r="BB5" s="49"/>
      <c r="BC5" s="51"/>
      <c r="BD5" s="52">
        <f>+BD4/1440</f>
        <v>0.29428948919129433</v>
      </c>
      <c r="BE5" s="51"/>
      <c r="BF5" s="50"/>
    </row>
    <row r="6" spans="1:58" x14ac:dyDescent="0.25">
      <c r="A6" s="28">
        <v>8</v>
      </c>
      <c r="B6" s="28">
        <v>480</v>
      </c>
      <c r="C6" s="28" t="s">
        <v>95</v>
      </c>
      <c r="K6" s="41">
        <f>+Hoja1!S16</f>
        <v>4</v>
      </c>
      <c r="L6" s="41">
        <f>+Hoja1!T16</f>
        <v>3</v>
      </c>
      <c r="M6" s="41">
        <f>+Hoja1!U16</f>
        <v>364.05803988994484</v>
      </c>
      <c r="N6" s="41">
        <f t="shared" si="25"/>
        <v>1</v>
      </c>
      <c r="O6" s="41">
        <f t="shared" si="26"/>
        <v>1</v>
      </c>
      <c r="P6" s="41">
        <f t="shared" si="27"/>
        <v>0</v>
      </c>
      <c r="Q6" s="41">
        <f t="shared" si="3"/>
        <v>2</v>
      </c>
      <c r="R6" s="31">
        <f>+MAX(AK$3:AK5)</f>
        <v>367.25290770583422</v>
      </c>
      <c r="S6" s="31">
        <f>+MAX(AL$3:AL5)</f>
        <v>365.38127016513118</v>
      </c>
      <c r="T6" s="31">
        <f>+MAX(AM$3:AM5)</f>
        <v>0</v>
      </c>
      <c r="U6" s="31">
        <f>+Hoja1!AR16</f>
        <v>0.16343283172189416</v>
      </c>
      <c r="V6" s="41" t="str">
        <f t="shared" si="4"/>
        <v/>
      </c>
      <c r="W6" s="41" t="str">
        <f t="shared" si="28"/>
        <v/>
      </c>
      <c r="X6" s="41" t="str">
        <f t="shared" si="5"/>
        <v/>
      </c>
      <c r="Y6" s="41" t="str">
        <f t="shared" si="6"/>
        <v/>
      </c>
      <c r="Z6" s="41" t="str">
        <f t="shared" si="7"/>
        <v/>
      </c>
      <c r="AA6" s="41" t="str">
        <f t="shared" si="8"/>
        <v/>
      </c>
      <c r="AB6" s="42">
        <f t="shared" si="9"/>
        <v>3</v>
      </c>
      <c r="AC6" s="41" t="str">
        <f t="shared" si="10"/>
        <v/>
      </c>
      <c r="AD6" s="41">
        <f t="shared" si="11"/>
        <v>3</v>
      </c>
      <c r="AE6" s="41" t="str">
        <f t="shared" si="29"/>
        <v/>
      </c>
      <c r="AF6" s="41" t="str">
        <f t="shared" si="30"/>
        <v/>
      </c>
      <c r="AG6" s="41">
        <f t="shared" si="31"/>
        <v>364.05803988994484</v>
      </c>
      <c r="AH6" s="41">
        <f t="shared" si="12"/>
        <v>364.05803988994484</v>
      </c>
      <c r="AI6" s="31">
        <f>Hoja1!AE16</f>
        <v>4.9726494586424752E-2</v>
      </c>
      <c r="AJ6" s="31">
        <f t="shared" si="13"/>
        <v>2.2237692256389114</v>
      </c>
      <c r="AK6" s="31" t="str">
        <f t="shared" si="14"/>
        <v/>
      </c>
      <c r="AL6" s="31" t="str">
        <f t="shared" si="15"/>
        <v/>
      </c>
      <c r="AM6" s="31">
        <f t="shared" si="16"/>
        <v>366.28180911558377</v>
      </c>
      <c r="AN6" s="31">
        <f t="shared" si="17"/>
        <v>366.28180911558377</v>
      </c>
      <c r="AO6" s="25" t="str">
        <f t="shared" si="18"/>
        <v>A tiempo</v>
      </c>
      <c r="AP6" s="25" t="str">
        <f t="shared" si="19"/>
        <v/>
      </c>
      <c r="AQ6" s="25" t="str">
        <f t="shared" si="20"/>
        <v/>
      </c>
      <c r="AR6" s="25" t="str">
        <f t="shared" si="21"/>
        <v>Corro</v>
      </c>
      <c r="AU6" s="25">
        <f t="shared" si="22"/>
        <v>4</v>
      </c>
      <c r="AV6" s="25">
        <f t="shared" si="23"/>
        <v>3</v>
      </c>
      <c r="AW6" s="25">
        <f t="shared" si="32"/>
        <v>480</v>
      </c>
      <c r="AX6" s="33">
        <f>IF(AU6="","",Hoja1!BH16)</f>
        <v>0.68723672057519736</v>
      </c>
      <c r="AY6" s="33">
        <f t="shared" si="24"/>
        <v>68.106570440263823</v>
      </c>
      <c r="AZ6" s="33">
        <f t="shared" si="1"/>
        <v>548.10657044026379</v>
      </c>
      <c r="BB6" s="49"/>
      <c r="BC6" s="51" t="s">
        <v>125</v>
      </c>
      <c r="BD6" s="51">
        <f>+INDEX(L3:L102,MATCH(BD4,M3:M102,0))</f>
        <v>58</v>
      </c>
      <c r="BE6" s="51"/>
      <c r="BF6" s="50"/>
    </row>
    <row r="7" spans="1:58" ht="15.75" thickBot="1" x14ac:dyDescent="0.3">
      <c r="A7" s="28">
        <v>8.5</v>
      </c>
      <c r="B7" s="28">
        <v>510</v>
      </c>
      <c r="C7" s="28"/>
      <c r="K7" s="41">
        <f>+Hoja1!S17</f>
        <v>5</v>
      </c>
      <c r="L7" s="41">
        <f>+Hoja1!T17</f>
        <v>3</v>
      </c>
      <c r="M7" s="41">
        <f>+Hoja1!U17</f>
        <v>364.05803988994484</v>
      </c>
      <c r="N7" s="41">
        <f t="shared" si="25"/>
        <v>1</v>
      </c>
      <c r="O7" s="41">
        <f t="shared" si="26"/>
        <v>1</v>
      </c>
      <c r="P7" s="41">
        <f t="shared" si="27"/>
        <v>1</v>
      </c>
      <c r="Q7" s="41">
        <f t="shared" si="3"/>
        <v>3</v>
      </c>
      <c r="R7" s="31">
        <f>+MAX(AK$3:AK6)</f>
        <v>367.25290770583422</v>
      </c>
      <c r="S7" s="31">
        <f>+MAX(AL$3:AL6)</f>
        <v>365.38127016513118</v>
      </c>
      <c r="T7" s="31">
        <f>+MAX(AM$3:AM6)</f>
        <v>366.28180911558377</v>
      </c>
      <c r="U7" s="31">
        <f>+Hoja1!AR17</f>
        <v>0.36657413301045871</v>
      </c>
      <c r="V7" s="41" t="str">
        <f t="shared" si="4"/>
        <v/>
      </c>
      <c r="W7" s="41" t="str">
        <f t="shared" si="28"/>
        <v/>
      </c>
      <c r="X7" s="41" t="str">
        <f t="shared" si="5"/>
        <v/>
      </c>
      <c r="Y7" s="41" t="str">
        <f t="shared" si="6"/>
        <v/>
      </c>
      <c r="Z7" s="41" t="str">
        <f t="shared" si="7"/>
        <v/>
      </c>
      <c r="AA7" s="41" t="str">
        <f t="shared" si="8"/>
        <v/>
      </c>
      <c r="AB7" s="42" t="str">
        <f t="shared" si="9"/>
        <v/>
      </c>
      <c r="AC7" s="41">
        <f t="shared" si="10"/>
        <v>2</v>
      </c>
      <c r="AD7" s="41">
        <f t="shared" si="11"/>
        <v>2</v>
      </c>
      <c r="AE7" s="41" t="str">
        <f t="shared" si="29"/>
        <v/>
      </c>
      <c r="AF7" s="41">
        <f t="shared" si="30"/>
        <v>365.38127016513118</v>
      </c>
      <c r="AG7" s="41" t="str">
        <f t="shared" si="31"/>
        <v/>
      </c>
      <c r="AH7" s="41">
        <f t="shared" si="12"/>
        <v>365.38127016513118</v>
      </c>
      <c r="AI7" s="31">
        <f>Hoja1!AE17</f>
        <v>0.5479471033175084</v>
      </c>
      <c r="AJ7" s="31">
        <f t="shared" si="13"/>
        <v>4.4657619649287881</v>
      </c>
      <c r="AK7" s="31" t="str">
        <f t="shared" si="14"/>
        <v/>
      </c>
      <c r="AL7" s="31">
        <f t="shared" si="15"/>
        <v>369.84703213005997</v>
      </c>
      <c r="AM7" s="31" t="str">
        <f t="shared" si="16"/>
        <v/>
      </c>
      <c r="AN7" s="31">
        <f t="shared" si="17"/>
        <v>369.84703213005997</v>
      </c>
      <c r="AO7" s="25" t="str">
        <f t="shared" si="18"/>
        <v>A tiempo</v>
      </c>
      <c r="AP7" s="25" t="str">
        <f t="shared" si="19"/>
        <v/>
      </c>
      <c r="AQ7" s="25" t="str">
        <f t="shared" si="20"/>
        <v/>
      </c>
      <c r="AR7" s="25" t="str">
        <f t="shared" si="21"/>
        <v>Corro</v>
      </c>
      <c r="AU7" s="25">
        <f t="shared" si="22"/>
        <v>5</v>
      </c>
      <c r="AV7" s="25">
        <f t="shared" si="23"/>
        <v>3</v>
      </c>
      <c r="AW7" s="25">
        <f t="shared" si="32"/>
        <v>480</v>
      </c>
      <c r="AX7" s="33">
        <f>IF(AU7="","",Hoja1!BH17)</f>
        <v>8.0271086405215186E-2</v>
      </c>
      <c r="AY7" s="33">
        <f t="shared" si="24"/>
        <v>25.618976048365063</v>
      </c>
      <c r="AZ7" s="33">
        <f t="shared" si="1"/>
        <v>505.61897604836508</v>
      </c>
      <c r="BB7" s="49"/>
      <c r="BC7" s="51"/>
      <c r="BD7" s="51"/>
      <c r="BE7" s="51"/>
      <c r="BF7" s="50"/>
    </row>
    <row r="8" spans="1:58" ht="15.75" thickBot="1" x14ac:dyDescent="0.3">
      <c r="A8" s="28">
        <v>9</v>
      </c>
      <c r="B8" s="28">
        <v>540</v>
      </c>
      <c r="C8" s="28" t="s">
        <v>96</v>
      </c>
      <c r="K8" s="41">
        <f>+Hoja1!S18</f>
        <v>6</v>
      </c>
      <c r="L8" s="41">
        <f>+Hoja1!T18</f>
        <v>3</v>
      </c>
      <c r="M8" s="41">
        <f>+Hoja1!U18</f>
        <v>364.05803988994484</v>
      </c>
      <c r="N8" s="41">
        <f t="shared" si="25"/>
        <v>1</v>
      </c>
      <c r="O8" s="41">
        <f t="shared" si="26"/>
        <v>1</v>
      </c>
      <c r="P8" s="41">
        <f t="shared" si="27"/>
        <v>1</v>
      </c>
      <c r="Q8" s="41">
        <f t="shared" si="3"/>
        <v>3</v>
      </c>
      <c r="R8" s="31">
        <f>+MAX(AK$3:AK7)</f>
        <v>367.25290770583422</v>
      </c>
      <c r="S8" s="31">
        <f>+MAX(AL$3:AL7)</f>
        <v>369.84703213005997</v>
      </c>
      <c r="T8" s="31">
        <f>+MAX(AM$3:AM7)</f>
        <v>366.28180911558377</v>
      </c>
      <c r="U8" s="31">
        <f>+Hoja1!AR18</f>
        <v>0.29957320946993671</v>
      </c>
      <c r="V8" s="41" t="str">
        <f t="shared" si="4"/>
        <v/>
      </c>
      <c r="W8" s="41" t="str">
        <f t="shared" si="28"/>
        <v/>
      </c>
      <c r="X8" s="41" t="str">
        <f t="shared" si="5"/>
        <v/>
      </c>
      <c r="Y8" s="41" t="str">
        <f t="shared" si="6"/>
        <v/>
      </c>
      <c r="Z8" s="41" t="str">
        <f t="shared" si="7"/>
        <v/>
      </c>
      <c r="AA8" s="41" t="str">
        <f t="shared" si="8"/>
        <v/>
      </c>
      <c r="AB8" s="42" t="str">
        <f t="shared" si="9"/>
        <v/>
      </c>
      <c r="AC8" s="41">
        <f t="shared" si="10"/>
        <v>3</v>
      </c>
      <c r="AD8" s="41">
        <f t="shared" si="11"/>
        <v>3</v>
      </c>
      <c r="AE8" s="41" t="str">
        <f t="shared" si="29"/>
        <v/>
      </c>
      <c r="AF8" s="41" t="str">
        <f t="shared" si="30"/>
        <v/>
      </c>
      <c r="AG8" s="41">
        <f t="shared" si="31"/>
        <v>366.28180911558377</v>
      </c>
      <c r="AH8" s="41">
        <f t="shared" si="12"/>
        <v>366.28180911558377</v>
      </c>
      <c r="AI8" s="31">
        <f>Hoja1!AE18</f>
        <v>0.26682302434862015</v>
      </c>
      <c r="AJ8" s="31">
        <f t="shared" si="13"/>
        <v>3.2007036095687909</v>
      </c>
      <c r="AK8" s="31" t="str">
        <f t="shared" si="14"/>
        <v/>
      </c>
      <c r="AL8" s="31" t="str">
        <f t="shared" si="15"/>
        <v/>
      </c>
      <c r="AM8" s="31">
        <f t="shared" si="16"/>
        <v>369.48251272515256</v>
      </c>
      <c r="AN8" s="31">
        <f t="shared" si="17"/>
        <v>369.48251272515256</v>
      </c>
      <c r="AO8" s="25" t="str">
        <f t="shared" si="18"/>
        <v>A tiempo</v>
      </c>
      <c r="AP8" s="25" t="str">
        <f t="shared" si="19"/>
        <v/>
      </c>
      <c r="AQ8" s="25" t="str">
        <f t="shared" si="20"/>
        <v/>
      </c>
      <c r="AR8" s="25" t="str">
        <f t="shared" si="21"/>
        <v>Corro</v>
      </c>
      <c r="AU8" s="25">
        <f t="shared" si="22"/>
        <v>6</v>
      </c>
      <c r="AV8" s="25">
        <f t="shared" si="23"/>
        <v>3</v>
      </c>
      <c r="AW8" s="25">
        <f t="shared" si="32"/>
        <v>480</v>
      </c>
      <c r="AX8" s="33">
        <f>IF(AU8="","",Hoja1!BH18)</f>
        <v>0.98428105698219381</v>
      </c>
      <c r="AY8" s="33">
        <f t="shared" si="24"/>
        <v>88.899673988753563</v>
      </c>
      <c r="AZ8" s="33">
        <f t="shared" si="1"/>
        <v>568.89967398875353</v>
      </c>
      <c r="BB8" s="49"/>
      <c r="BC8" s="80" t="str">
        <f>"El grupo "&amp;BD6&amp;" fue el ultimo y entró a las "&amp;TEXT(BD5, "[$-x-systime]h:mm:ss AM/PM")</f>
        <v>El grupo 58 fue el ultimo y entró a las 7:03:47 a. m.</v>
      </c>
      <c r="BD8" s="81"/>
      <c r="BE8" s="82"/>
      <c r="BF8" s="50"/>
    </row>
    <row r="9" spans="1:58" x14ac:dyDescent="0.25">
      <c r="A9" s="28">
        <v>9.5</v>
      </c>
      <c r="B9" s="28">
        <v>570</v>
      </c>
      <c r="C9" s="28"/>
      <c r="K9" s="41">
        <f>+Hoja1!S19</f>
        <v>7</v>
      </c>
      <c r="L9" s="41">
        <f>+Hoja1!T19</f>
        <v>4</v>
      </c>
      <c r="M9" s="41">
        <f>+Hoja1!U19</f>
        <v>364.71250745497986</v>
      </c>
      <c r="N9" s="41">
        <f t="shared" si="25"/>
        <v>1</v>
      </c>
      <c r="O9" s="41">
        <f t="shared" si="26"/>
        <v>1</v>
      </c>
      <c r="P9" s="41">
        <f t="shared" si="27"/>
        <v>1</v>
      </c>
      <c r="Q9" s="41">
        <f t="shared" si="3"/>
        <v>3</v>
      </c>
      <c r="R9" s="31">
        <f>+MAX(AK$3:AK8)</f>
        <v>367.25290770583422</v>
      </c>
      <c r="S9" s="31">
        <f>+MAX(AL$3:AL8)</f>
        <v>369.84703213005997</v>
      </c>
      <c r="T9" s="31">
        <f>+MAX(AM$3:AM8)</f>
        <v>369.48251272515256</v>
      </c>
      <c r="U9" s="31">
        <f>+Hoja1!AR19</f>
        <v>0.72879829112731231</v>
      </c>
      <c r="V9" s="41" t="str">
        <f t="shared" si="4"/>
        <v/>
      </c>
      <c r="W9" s="41" t="str">
        <f t="shared" si="28"/>
        <v/>
      </c>
      <c r="X9" s="41" t="str">
        <f t="shared" si="5"/>
        <v/>
      </c>
      <c r="Y9" s="41" t="str">
        <f t="shared" si="6"/>
        <v/>
      </c>
      <c r="Z9" s="41" t="str">
        <f>+IF(AND($Q9=2,N9=0),1,"")</f>
        <v/>
      </c>
      <c r="AA9" s="41" t="str">
        <f t="shared" si="8"/>
        <v/>
      </c>
      <c r="AB9" s="42" t="str">
        <f t="shared" si="9"/>
        <v/>
      </c>
      <c r="AC9" s="41">
        <f t="shared" si="10"/>
        <v>1</v>
      </c>
      <c r="AD9" s="41">
        <f t="shared" si="11"/>
        <v>1</v>
      </c>
      <c r="AE9" s="41">
        <f t="shared" si="29"/>
        <v>367.25290770583422</v>
      </c>
      <c r="AF9" s="41" t="str">
        <f t="shared" si="30"/>
        <v/>
      </c>
      <c r="AG9" s="41" t="str">
        <f t="shared" si="31"/>
        <v/>
      </c>
      <c r="AH9" s="41">
        <f t="shared" si="12"/>
        <v>367.25290770583422</v>
      </c>
      <c r="AI9" s="31">
        <f>Hoja1!AE19</f>
        <v>0.72899422182279805</v>
      </c>
      <c r="AJ9" s="31">
        <f t="shared" si="13"/>
        <v>5.2804739982025914</v>
      </c>
      <c r="AK9" s="31">
        <f t="shared" si="14"/>
        <v>372.5333817040368</v>
      </c>
      <c r="AL9" s="31" t="str">
        <f t="shared" si="15"/>
        <v/>
      </c>
      <c r="AM9" s="31" t="str">
        <f t="shared" si="16"/>
        <v/>
      </c>
      <c r="AN9" s="31">
        <f t="shared" si="17"/>
        <v>372.5333817040368</v>
      </c>
      <c r="AO9" s="25" t="str">
        <f t="shared" si="18"/>
        <v>A tiempo</v>
      </c>
      <c r="AP9" s="25" t="str">
        <f t="shared" si="19"/>
        <v/>
      </c>
      <c r="AQ9" s="25" t="str">
        <f t="shared" si="20"/>
        <v/>
      </c>
      <c r="AR9" s="25" t="str">
        <f t="shared" si="21"/>
        <v>Corro</v>
      </c>
      <c r="AU9" s="25">
        <f t="shared" si="22"/>
        <v>7</v>
      </c>
      <c r="AV9" s="25">
        <f t="shared" si="23"/>
        <v>4</v>
      </c>
      <c r="AW9" s="25">
        <f t="shared" si="32"/>
        <v>480</v>
      </c>
      <c r="AX9" s="33">
        <f>IF(AU9="","",Hoja1!BH19)</f>
        <v>0.14644669206986349</v>
      </c>
      <c r="AY9" s="33">
        <f t="shared" si="24"/>
        <v>30.251268444890442</v>
      </c>
      <c r="AZ9" s="33">
        <f t="shared" si="1"/>
        <v>510.25126844489046</v>
      </c>
      <c r="BB9" s="49"/>
      <c r="BC9" s="51"/>
      <c r="BD9" s="51"/>
      <c r="BE9" s="51"/>
      <c r="BF9" s="50"/>
    </row>
    <row r="10" spans="1:58" ht="15.75" thickBot="1" x14ac:dyDescent="0.3">
      <c r="A10" s="28">
        <v>10</v>
      </c>
      <c r="B10" s="28">
        <v>600</v>
      </c>
      <c r="C10" s="28"/>
      <c r="K10" s="41">
        <f>+Hoja1!S20</f>
        <v>8</v>
      </c>
      <c r="L10" s="41">
        <f>+Hoja1!T20</f>
        <v>4</v>
      </c>
      <c r="M10" s="41">
        <f>+Hoja1!U20</f>
        <v>364.71250745497986</v>
      </c>
      <c r="N10" s="41">
        <f t="shared" si="25"/>
        <v>1</v>
      </c>
      <c r="O10" s="41">
        <f t="shared" si="26"/>
        <v>1</v>
      </c>
      <c r="P10" s="41">
        <f t="shared" si="27"/>
        <v>1</v>
      </c>
      <c r="Q10" s="41">
        <f t="shared" si="3"/>
        <v>3</v>
      </c>
      <c r="R10" s="31">
        <f>+MAX(AK$3:AK9)</f>
        <v>372.5333817040368</v>
      </c>
      <c r="S10" s="31">
        <f>+MAX(AL$3:AL9)</f>
        <v>369.84703213005997</v>
      </c>
      <c r="T10" s="31">
        <f>+MAX(AM$3:AM9)</f>
        <v>369.48251272515256</v>
      </c>
      <c r="U10" s="31">
        <f>+Hoja1!AR20</f>
        <v>0.28511701880225515</v>
      </c>
      <c r="V10" s="41" t="str">
        <f t="shared" si="4"/>
        <v/>
      </c>
      <c r="W10" s="41" t="str">
        <f t="shared" si="28"/>
        <v/>
      </c>
      <c r="X10" s="41" t="str">
        <f t="shared" si="5"/>
        <v/>
      </c>
      <c r="Y10" s="41" t="str">
        <f t="shared" si="6"/>
        <v/>
      </c>
      <c r="Z10" s="41" t="str">
        <f t="shared" ref="Z10:Z19" si="33">+IF(AND($Q10=2,N10=0),1,"")</f>
        <v/>
      </c>
      <c r="AA10" s="41" t="str">
        <f t="shared" si="8"/>
        <v/>
      </c>
      <c r="AB10" s="42" t="str">
        <f t="shared" si="9"/>
        <v/>
      </c>
      <c r="AC10" s="41">
        <f t="shared" si="10"/>
        <v>3</v>
      </c>
      <c r="AD10" s="41">
        <f t="shared" si="11"/>
        <v>3</v>
      </c>
      <c r="AE10" s="41" t="str">
        <f t="shared" si="29"/>
        <v/>
      </c>
      <c r="AF10" s="41" t="str">
        <f t="shared" si="30"/>
        <v/>
      </c>
      <c r="AG10" s="41">
        <f t="shared" si="31"/>
        <v>369.48251272515256</v>
      </c>
      <c r="AH10" s="41">
        <f t="shared" si="12"/>
        <v>369.48251272515256</v>
      </c>
      <c r="AI10" s="31">
        <f>Hoja1!AE20</f>
        <v>0.71087772822707107</v>
      </c>
      <c r="AJ10" s="31">
        <f t="shared" si="13"/>
        <v>5.19894977702182</v>
      </c>
      <c r="AK10" s="31" t="str">
        <f t="shared" si="14"/>
        <v/>
      </c>
      <c r="AL10" s="31" t="str">
        <f t="shared" si="15"/>
        <v/>
      </c>
      <c r="AM10" s="31">
        <f t="shared" si="16"/>
        <v>374.68146250217438</v>
      </c>
      <c r="AN10" s="31">
        <f t="shared" si="17"/>
        <v>374.68146250217438</v>
      </c>
      <c r="AO10" s="25" t="str">
        <f t="shared" si="18"/>
        <v>A tiempo</v>
      </c>
      <c r="AP10" s="25" t="str">
        <f t="shared" si="19"/>
        <v/>
      </c>
      <c r="AQ10" s="25" t="str">
        <f t="shared" si="20"/>
        <v/>
      </c>
      <c r="AR10" s="25" t="str">
        <f t="shared" si="21"/>
        <v>Corro</v>
      </c>
      <c r="AU10" s="25">
        <f t="shared" si="22"/>
        <v>8</v>
      </c>
      <c r="AV10" s="25">
        <f t="shared" si="23"/>
        <v>4</v>
      </c>
      <c r="AW10" s="25">
        <f t="shared" si="32"/>
        <v>480</v>
      </c>
      <c r="AX10" s="33">
        <f>IF(AU10="","",Hoja1!BH20)</f>
        <v>0.60751283994998517</v>
      </c>
      <c r="AY10" s="33">
        <f t="shared" si="24"/>
        <v>62.525898796498964</v>
      </c>
      <c r="AZ10" s="33">
        <f t="shared" si="1"/>
        <v>542.52589879649895</v>
      </c>
      <c r="BB10" s="53"/>
      <c r="BC10" s="54"/>
      <c r="BD10" s="54"/>
      <c r="BE10" s="54"/>
      <c r="BF10" s="55"/>
    </row>
    <row r="11" spans="1:58" ht="15.75" thickBot="1" x14ac:dyDescent="0.3">
      <c r="A11" s="28">
        <v>10.5</v>
      </c>
      <c r="B11" s="28">
        <v>630</v>
      </c>
      <c r="C11" s="28"/>
      <c r="K11" s="41">
        <f>+Hoja1!S21</f>
        <v>9</v>
      </c>
      <c r="L11" s="41">
        <f>+Hoja1!T21</f>
        <v>5</v>
      </c>
      <c r="M11" s="41">
        <f>+Hoja1!U21</f>
        <v>365.90917503849732</v>
      </c>
      <c r="N11" s="41">
        <f t="shared" si="25"/>
        <v>1</v>
      </c>
      <c r="O11" s="41">
        <f t="shared" si="26"/>
        <v>1</v>
      </c>
      <c r="P11" s="41">
        <f t="shared" si="27"/>
        <v>1</v>
      </c>
      <c r="Q11" s="41">
        <f t="shared" si="3"/>
        <v>3</v>
      </c>
      <c r="R11" s="31">
        <f>+MAX(AK$3:AK10)</f>
        <v>372.5333817040368</v>
      </c>
      <c r="S11" s="31">
        <f>+MAX(AL$3:AL10)</f>
        <v>369.84703213005997</v>
      </c>
      <c r="T11" s="31">
        <f>+MAX(AM$3:AM10)</f>
        <v>374.68146250217438</v>
      </c>
      <c r="U11" s="31">
        <f>+Hoja1!AR21</f>
        <v>6.4275131722759116E-2</v>
      </c>
      <c r="V11" s="41" t="str">
        <f t="shared" si="4"/>
        <v/>
      </c>
      <c r="W11" s="41" t="str">
        <f t="shared" si="28"/>
        <v/>
      </c>
      <c r="X11" s="41" t="str">
        <f t="shared" si="5"/>
        <v/>
      </c>
      <c r="Y11" s="41" t="str">
        <f t="shared" si="6"/>
        <v/>
      </c>
      <c r="Z11" s="41" t="str">
        <f t="shared" si="33"/>
        <v/>
      </c>
      <c r="AA11" s="41" t="str">
        <f t="shared" si="8"/>
        <v/>
      </c>
      <c r="AB11" s="42" t="str">
        <f t="shared" si="9"/>
        <v/>
      </c>
      <c r="AC11" s="41">
        <f t="shared" si="10"/>
        <v>2</v>
      </c>
      <c r="AD11" s="41">
        <f t="shared" si="11"/>
        <v>2</v>
      </c>
      <c r="AE11" s="41" t="str">
        <f t="shared" si="29"/>
        <v/>
      </c>
      <c r="AF11" s="41">
        <f t="shared" si="30"/>
        <v>369.84703213005997</v>
      </c>
      <c r="AG11" s="41" t="str">
        <f t="shared" si="31"/>
        <v/>
      </c>
      <c r="AH11" s="41">
        <f t="shared" si="12"/>
        <v>369.84703213005997</v>
      </c>
      <c r="AI11" s="31">
        <f>Hoja1!AE21</f>
        <v>0.25997565633898068</v>
      </c>
      <c r="AJ11" s="31">
        <f t="shared" si="13"/>
        <v>3.1698904535254133</v>
      </c>
      <c r="AK11" s="31" t="str">
        <f t="shared" si="14"/>
        <v/>
      </c>
      <c r="AL11" s="31">
        <f t="shared" si="15"/>
        <v>373.01692258358537</v>
      </c>
      <c r="AM11" s="31" t="str">
        <f t="shared" si="16"/>
        <v/>
      </c>
      <c r="AN11" s="31">
        <f t="shared" si="17"/>
        <v>373.01692258358537</v>
      </c>
      <c r="AO11" s="25" t="str">
        <f t="shared" si="18"/>
        <v>A tiempo</v>
      </c>
      <c r="AP11" s="25" t="str">
        <f t="shared" si="19"/>
        <v/>
      </c>
      <c r="AQ11" s="25" t="str">
        <f t="shared" si="20"/>
        <v/>
      </c>
      <c r="AR11" s="25" t="str">
        <f t="shared" si="21"/>
        <v>Corro</v>
      </c>
      <c r="AU11" s="25">
        <f t="shared" si="22"/>
        <v>9</v>
      </c>
      <c r="AV11" s="25">
        <f t="shared" si="23"/>
        <v>5</v>
      </c>
      <c r="AW11" s="25">
        <f t="shared" si="32"/>
        <v>480</v>
      </c>
      <c r="AX11" s="33">
        <f>IF(AU11="","",Hoja1!BH21)</f>
        <v>0.61016843669992604</v>
      </c>
      <c r="AY11" s="33">
        <f t="shared" si="24"/>
        <v>62.711790568994822</v>
      </c>
      <c r="AZ11" s="33">
        <f t="shared" si="1"/>
        <v>542.71179056899484</v>
      </c>
    </row>
    <row r="12" spans="1:58" x14ac:dyDescent="0.25">
      <c r="A12" s="28">
        <v>11</v>
      </c>
      <c r="B12" s="28">
        <v>660</v>
      </c>
      <c r="C12" s="28"/>
      <c r="K12" s="41">
        <f>+Hoja1!S22</f>
        <v>10</v>
      </c>
      <c r="L12" s="41">
        <f>+Hoja1!T22</f>
        <v>5</v>
      </c>
      <c r="M12" s="41">
        <f>+Hoja1!U22</f>
        <v>365.90917503849732</v>
      </c>
      <c r="N12" s="41">
        <f t="shared" si="25"/>
        <v>1</v>
      </c>
      <c r="O12" s="41">
        <f t="shared" si="26"/>
        <v>1</v>
      </c>
      <c r="P12" s="41">
        <f t="shared" si="27"/>
        <v>1</v>
      </c>
      <c r="Q12" s="41">
        <f t="shared" si="3"/>
        <v>3</v>
      </c>
      <c r="R12" s="31">
        <f>+MAX(AK$3:AK11)</f>
        <v>372.5333817040368</v>
      </c>
      <c r="S12" s="31">
        <f>+MAX(AL$3:AL11)</f>
        <v>373.01692258358537</v>
      </c>
      <c r="T12" s="31">
        <f>+MAX(AM$3:AM11)</f>
        <v>374.68146250217438</v>
      </c>
      <c r="U12" s="31">
        <f>+Hoja1!AR22</f>
        <v>0.67055766952733531</v>
      </c>
      <c r="V12" s="41" t="str">
        <f t="shared" si="4"/>
        <v/>
      </c>
      <c r="W12" s="41" t="str">
        <f t="shared" si="28"/>
        <v/>
      </c>
      <c r="X12" s="41" t="str">
        <f t="shared" si="5"/>
        <v/>
      </c>
      <c r="Y12" s="41" t="str">
        <f t="shared" si="6"/>
        <v/>
      </c>
      <c r="Z12" s="41" t="str">
        <f t="shared" si="33"/>
        <v/>
      </c>
      <c r="AA12" s="41" t="str">
        <f t="shared" si="8"/>
        <v/>
      </c>
      <c r="AB12" s="42" t="str">
        <f t="shared" si="9"/>
        <v/>
      </c>
      <c r="AC12" s="41">
        <f t="shared" si="10"/>
        <v>1</v>
      </c>
      <c r="AD12" s="41">
        <f t="shared" si="11"/>
        <v>1</v>
      </c>
      <c r="AE12" s="41">
        <f t="shared" si="29"/>
        <v>372.5333817040368</v>
      </c>
      <c r="AF12" s="41" t="str">
        <f t="shared" si="30"/>
        <v/>
      </c>
      <c r="AG12" s="41" t="str">
        <f t="shared" si="31"/>
        <v/>
      </c>
      <c r="AH12" s="41">
        <f t="shared" si="12"/>
        <v>372.5333817040368</v>
      </c>
      <c r="AI12" s="31">
        <f>Hoja1!AE22</f>
        <v>2.2159917966465104E-2</v>
      </c>
      <c r="AJ12" s="31">
        <f t="shared" si="13"/>
        <v>2.0997196308490929</v>
      </c>
      <c r="AK12" s="31">
        <f t="shared" si="14"/>
        <v>374.63310133488591</v>
      </c>
      <c r="AL12" s="31" t="str">
        <f t="shared" si="15"/>
        <v/>
      </c>
      <c r="AM12" s="31" t="str">
        <f t="shared" si="16"/>
        <v/>
      </c>
      <c r="AN12" s="31">
        <f t="shared" si="17"/>
        <v>374.63310133488591</v>
      </c>
      <c r="AO12" s="25" t="str">
        <f t="shared" si="18"/>
        <v>A tiempo</v>
      </c>
      <c r="AP12" s="25" t="str">
        <f t="shared" si="19"/>
        <v/>
      </c>
      <c r="AQ12" s="25" t="str">
        <f t="shared" si="20"/>
        <v/>
      </c>
      <c r="AR12" s="25" t="str">
        <f t="shared" si="21"/>
        <v>Corro</v>
      </c>
      <c r="AU12" s="25">
        <f t="shared" si="22"/>
        <v>10</v>
      </c>
      <c r="AV12" s="25">
        <f t="shared" si="23"/>
        <v>5</v>
      </c>
      <c r="AW12" s="25">
        <f t="shared" si="32"/>
        <v>480</v>
      </c>
      <c r="AX12" s="33">
        <f>IF(AU12="","",Hoja1!BH22)</f>
        <v>0.66771002268122703</v>
      </c>
      <c r="AY12" s="33">
        <f t="shared" si="24"/>
        <v>66.739701587685886</v>
      </c>
      <c r="AZ12" s="33">
        <f t="shared" si="1"/>
        <v>546.73970158768589</v>
      </c>
      <c r="BB12" s="46"/>
      <c r="BC12" s="47"/>
      <c r="BD12" s="47"/>
      <c r="BE12" s="47"/>
      <c r="BF12" s="48"/>
    </row>
    <row r="13" spans="1:58" ht="18.75" x14ac:dyDescent="0.3">
      <c r="A13" s="28">
        <v>11.5</v>
      </c>
      <c r="B13" s="28">
        <v>690</v>
      </c>
      <c r="C13" s="28"/>
      <c r="K13" s="41">
        <f>+Hoja1!S23</f>
        <v>11</v>
      </c>
      <c r="L13" s="41">
        <f>+Hoja1!T23</f>
        <v>6</v>
      </c>
      <c r="M13" s="41">
        <f>+Hoja1!U23</f>
        <v>367.24326016661536</v>
      </c>
      <c r="N13" s="41">
        <f t="shared" si="25"/>
        <v>1</v>
      </c>
      <c r="O13" s="41">
        <f t="shared" si="26"/>
        <v>1</v>
      </c>
      <c r="P13" s="41">
        <f t="shared" si="27"/>
        <v>1</v>
      </c>
      <c r="Q13" s="41">
        <f t="shared" si="3"/>
        <v>3</v>
      </c>
      <c r="R13" s="31">
        <f>+MAX(AK$3:AK12)</f>
        <v>374.63310133488591</v>
      </c>
      <c r="S13" s="31">
        <f>+MAX(AL$3:AL12)</f>
        <v>373.01692258358537</v>
      </c>
      <c r="T13" s="31">
        <f>+MAX(AM$3:AM12)</f>
        <v>374.68146250217438</v>
      </c>
      <c r="U13" s="31">
        <f>+Hoja1!AR23</f>
        <v>0.34267086766327193</v>
      </c>
      <c r="V13" s="41" t="str">
        <f t="shared" si="4"/>
        <v/>
      </c>
      <c r="W13" s="41" t="str">
        <f t="shared" si="28"/>
        <v/>
      </c>
      <c r="X13" s="41" t="str">
        <f t="shared" si="5"/>
        <v/>
      </c>
      <c r="Y13" s="41" t="str">
        <f t="shared" si="6"/>
        <v/>
      </c>
      <c r="Z13" s="41" t="str">
        <f t="shared" si="33"/>
        <v/>
      </c>
      <c r="AA13" s="41" t="str">
        <f t="shared" si="8"/>
        <v/>
      </c>
      <c r="AB13" s="42" t="str">
        <f t="shared" si="9"/>
        <v/>
      </c>
      <c r="AC13" s="41">
        <f t="shared" si="10"/>
        <v>2</v>
      </c>
      <c r="AD13" s="41">
        <f t="shared" si="11"/>
        <v>2</v>
      </c>
      <c r="AE13" s="41" t="str">
        <f t="shared" si="29"/>
        <v/>
      </c>
      <c r="AF13" s="41">
        <f t="shared" si="30"/>
        <v>373.01692258358537</v>
      </c>
      <c r="AG13" s="41" t="str">
        <f t="shared" si="31"/>
        <v/>
      </c>
      <c r="AH13" s="41">
        <f t="shared" si="12"/>
        <v>373.01692258358537</v>
      </c>
      <c r="AI13" s="31">
        <f>Hoja1!AE23</f>
        <v>0.31061039519003275</v>
      </c>
      <c r="AJ13" s="31">
        <f t="shared" si="13"/>
        <v>3.3977467783551472</v>
      </c>
      <c r="AK13" s="31" t="str">
        <f t="shared" si="14"/>
        <v/>
      </c>
      <c r="AL13" s="31">
        <f t="shared" si="15"/>
        <v>376.41466936194053</v>
      </c>
      <c r="AM13" s="31" t="str">
        <f t="shared" si="16"/>
        <v/>
      </c>
      <c r="AN13" s="31">
        <f t="shared" si="17"/>
        <v>376.41466936194053</v>
      </c>
      <c r="AO13" s="25" t="str">
        <f t="shared" si="18"/>
        <v>A tiempo</v>
      </c>
      <c r="AP13" s="25" t="str">
        <f t="shared" si="19"/>
        <v/>
      </c>
      <c r="AQ13" s="25" t="str">
        <f t="shared" si="20"/>
        <v/>
      </c>
      <c r="AR13" s="25" t="str">
        <f t="shared" si="21"/>
        <v>Corro</v>
      </c>
      <c r="AU13" s="25">
        <f t="shared" si="22"/>
        <v>11</v>
      </c>
      <c r="AV13" s="25">
        <f t="shared" si="23"/>
        <v>6</v>
      </c>
      <c r="AW13" s="25">
        <f t="shared" si="32"/>
        <v>480</v>
      </c>
      <c r="AX13" s="33">
        <f>IF(AU13="","",Hoja1!BH23)</f>
        <v>0.11920836117376876</v>
      </c>
      <c r="AY13" s="33">
        <f t="shared" si="24"/>
        <v>28.344585282163813</v>
      </c>
      <c r="AZ13" s="33">
        <f t="shared" si="1"/>
        <v>508.34458528216379</v>
      </c>
      <c r="BB13" s="49"/>
      <c r="BC13" s="70" t="s">
        <v>88</v>
      </c>
      <c r="BD13" s="70" t="s">
        <v>88</v>
      </c>
      <c r="BE13" s="70"/>
      <c r="BF13" s="50"/>
    </row>
    <row r="14" spans="1:58" ht="15.75" thickBot="1" x14ac:dyDescent="0.3">
      <c r="A14" s="28">
        <v>12</v>
      </c>
      <c r="B14" s="28">
        <v>720</v>
      </c>
      <c r="C14" s="28"/>
      <c r="K14" s="41">
        <f>+Hoja1!S24</f>
        <v>12</v>
      </c>
      <c r="L14" s="41">
        <f>+Hoja1!T24</f>
        <v>7</v>
      </c>
      <c r="M14" s="41">
        <f>+Hoja1!U24</f>
        <v>367.87415224289606</v>
      </c>
      <c r="N14" s="41">
        <f t="shared" si="25"/>
        <v>1</v>
      </c>
      <c r="O14" s="41">
        <f t="shared" si="26"/>
        <v>1</v>
      </c>
      <c r="P14" s="41">
        <f t="shared" si="27"/>
        <v>1</v>
      </c>
      <c r="Q14" s="41">
        <f t="shared" si="3"/>
        <v>3</v>
      </c>
      <c r="R14" s="31">
        <f>+MAX(AK$3:AK13)</f>
        <v>374.63310133488591</v>
      </c>
      <c r="S14" s="31">
        <f>+MAX(AL$3:AL13)</f>
        <v>376.41466936194053</v>
      </c>
      <c r="T14" s="31">
        <f>+MAX(AM$3:AM13)</f>
        <v>374.68146250217438</v>
      </c>
      <c r="U14" s="31">
        <f>+Hoja1!AR24</f>
        <v>0.89534443589863744</v>
      </c>
      <c r="V14" s="41" t="str">
        <f t="shared" si="4"/>
        <v/>
      </c>
      <c r="W14" s="41" t="str">
        <f t="shared" si="28"/>
        <v/>
      </c>
      <c r="X14" s="41" t="str">
        <f t="shared" si="5"/>
        <v/>
      </c>
      <c r="Y14" s="41" t="str">
        <f t="shared" si="6"/>
        <v/>
      </c>
      <c r="Z14" s="41" t="str">
        <f t="shared" si="33"/>
        <v/>
      </c>
      <c r="AA14" s="41" t="str">
        <f t="shared" si="8"/>
        <v/>
      </c>
      <c r="AB14" s="42" t="str">
        <f t="shared" si="9"/>
        <v/>
      </c>
      <c r="AC14" s="41">
        <f t="shared" si="10"/>
        <v>1</v>
      </c>
      <c r="AD14" s="41">
        <f t="shared" si="11"/>
        <v>1</v>
      </c>
      <c r="AE14" s="41">
        <f t="shared" si="29"/>
        <v>374.63310133488591</v>
      </c>
      <c r="AF14" s="41" t="str">
        <f t="shared" si="30"/>
        <v/>
      </c>
      <c r="AG14" s="41" t="str">
        <f t="shared" si="31"/>
        <v/>
      </c>
      <c r="AH14" s="41">
        <f t="shared" si="12"/>
        <v>374.63310133488591</v>
      </c>
      <c r="AI14" s="31">
        <f>Hoja1!AE24</f>
        <v>0.49552686120892386</v>
      </c>
      <c r="AJ14" s="31">
        <f t="shared" si="13"/>
        <v>4.2298708754401577</v>
      </c>
      <c r="AK14" s="31">
        <f t="shared" si="14"/>
        <v>378.86297221032606</v>
      </c>
      <c r="AL14" s="31" t="str">
        <f t="shared" si="15"/>
        <v/>
      </c>
      <c r="AM14" s="31" t="str">
        <f t="shared" si="16"/>
        <v/>
      </c>
      <c r="AN14" s="31">
        <f t="shared" si="17"/>
        <v>378.86297221032606</v>
      </c>
      <c r="AO14" s="25" t="str">
        <f t="shared" si="18"/>
        <v>A tiempo</v>
      </c>
      <c r="AP14" s="25" t="str">
        <f t="shared" si="19"/>
        <v/>
      </c>
      <c r="AQ14" s="25" t="str">
        <f t="shared" si="20"/>
        <v/>
      </c>
      <c r="AR14" s="25" t="str">
        <f t="shared" si="21"/>
        <v>Corro</v>
      </c>
      <c r="AU14" s="25">
        <f t="shared" si="22"/>
        <v>12</v>
      </c>
      <c r="AV14" s="25">
        <f t="shared" si="23"/>
        <v>7</v>
      </c>
      <c r="AW14" s="25">
        <f t="shared" si="32"/>
        <v>480</v>
      </c>
      <c r="AX14" s="33">
        <f>IF(AU14="","",Hoja1!BH24)</f>
        <v>0.37492464832785344</v>
      </c>
      <c r="AY14" s="33">
        <f t="shared" si="24"/>
        <v>46.244725382949738</v>
      </c>
      <c r="AZ14" s="33">
        <f t="shared" si="1"/>
        <v>526.2447253829497</v>
      </c>
      <c r="BB14" s="49"/>
      <c r="BC14" s="51"/>
      <c r="BD14" s="51"/>
      <c r="BE14" s="51"/>
      <c r="BF14" s="50"/>
    </row>
    <row r="15" spans="1:58" ht="15.75" thickBot="1" x14ac:dyDescent="0.3">
      <c r="K15" s="41">
        <f>+Hoja1!S25</f>
        <v>13</v>
      </c>
      <c r="L15" s="41">
        <f>+Hoja1!T25</f>
        <v>7</v>
      </c>
      <c r="M15" s="41">
        <f>+Hoja1!U25</f>
        <v>367.87415224289606</v>
      </c>
      <c r="N15" s="41">
        <f t="shared" si="25"/>
        <v>1</v>
      </c>
      <c r="O15" s="41">
        <f t="shared" si="26"/>
        <v>1</v>
      </c>
      <c r="P15" s="41">
        <f t="shared" si="27"/>
        <v>1</v>
      </c>
      <c r="Q15" s="41">
        <f t="shared" si="3"/>
        <v>3</v>
      </c>
      <c r="R15" s="31">
        <f>+MAX(AK$3:AK14)</f>
        <v>378.86297221032606</v>
      </c>
      <c r="S15" s="31">
        <f>+MAX(AL$3:AL14)</f>
        <v>376.41466936194053</v>
      </c>
      <c r="T15" s="31">
        <f>+MAX(AM$3:AM14)</f>
        <v>374.68146250217438</v>
      </c>
      <c r="U15" s="31">
        <f>+Hoja1!AR25</f>
        <v>0.67944512646741839</v>
      </c>
      <c r="V15" s="41" t="str">
        <f t="shared" si="4"/>
        <v/>
      </c>
      <c r="W15" s="41" t="str">
        <f t="shared" si="28"/>
        <v/>
      </c>
      <c r="X15" s="41" t="str">
        <f t="shared" si="5"/>
        <v/>
      </c>
      <c r="Y15" s="41" t="str">
        <f t="shared" si="6"/>
        <v/>
      </c>
      <c r="Z15" s="41" t="str">
        <f t="shared" si="33"/>
        <v/>
      </c>
      <c r="AA15" s="41" t="str">
        <f t="shared" si="8"/>
        <v/>
      </c>
      <c r="AB15" s="42" t="str">
        <f t="shared" si="9"/>
        <v/>
      </c>
      <c r="AC15" s="41">
        <f t="shared" si="10"/>
        <v>3</v>
      </c>
      <c r="AD15" s="41">
        <f t="shared" si="11"/>
        <v>3</v>
      </c>
      <c r="AE15" s="41" t="str">
        <f t="shared" si="29"/>
        <v/>
      </c>
      <c r="AF15" s="41" t="str">
        <f t="shared" si="30"/>
        <v/>
      </c>
      <c r="AG15" s="41">
        <f t="shared" si="31"/>
        <v>374.68146250217438</v>
      </c>
      <c r="AH15" s="41">
        <f t="shared" si="12"/>
        <v>374.68146250217438</v>
      </c>
      <c r="AI15" s="31">
        <f>Hoja1!AE25</f>
        <v>6.7839721133972519E-2</v>
      </c>
      <c r="AJ15" s="31">
        <f t="shared" si="13"/>
        <v>2.3052787451028762</v>
      </c>
      <c r="AK15" s="31" t="str">
        <f t="shared" si="14"/>
        <v/>
      </c>
      <c r="AL15" s="31" t="str">
        <f t="shared" si="15"/>
        <v/>
      </c>
      <c r="AM15" s="31">
        <f t="shared" si="16"/>
        <v>376.98674124727728</v>
      </c>
      <c r="AN15" s="31">
        <f t="shared" si="17"/>
        <v>376.98674124727728</v>
      </c>
      <c r="AO15" s="25" t="str">
        <f t="shared" si="18"/>
        <v>A tiempo</v>
      </c>
      <c r="AP15" s="25" t="str">
        <f t="shared" si="19"/>
        <v/>
      </c>
      <c r="AQ15" s="25" t="str">
        <f t="shared" si="20"/>
        <v/>
      </c>
      <c r="AR15" s="25" t="str">
        <f t="shared" si="21"/>
        <v>Corro</v>
      </c>
      <c r="AU15" s="25">
        <f t="shared" si="22"/>
        <v>13</v>
      </c>
      <c r="AV15" s="25">
        <f t="shared" si="23"/>
        <v>7</v>
      </c>
      <c r="AW15" s="25">
        <f t="shared" si="32"/>
        <v>480</v>
      </c>
      <c r="AX15" s="33">
        <f>IF(AU15="","",Hoja1!BH25)</f>
        <v>0.99381430149094707</v>
      </c>
      <c r="AY15" s="33">
        <f t="shared" si="24"/>
        <v>89.567001104366298</v>
      </c>
      <c r="AZ15" s="33">
        <f t="shared" si="1"/>
        <v>569.56700110436634</v>
      </c>
      <c r="BB15" s="80" t="str">
        <f>+"Se quedan por fuera "&amp;J108&amp;" Por registrarse tarde y "&amp;J109&amp; " por camaraderia"</f>
        <v>Se quedan por fuera 18 Por registrarse tarde y 0 por camaraderia</v>
      </c>
      <c r="BC15" s="81"/>
      <c r="BD15" s="81"/>
      <c r="BE15" s="81"/>
      <c r="BF15" s="82"/>
    </row>
    <row r="16" spans="1:58" x14ac:dyDescent="0.25">
      <c r="K16" s="41">
        <f>+Hoja1!S26</f>
        <v>14</v>
      </c>
      <c r="L16" s="41">
        <f>+Hoja1!T26</f>
        <v>7</v>
      </c>
      <c r="M16" s="41">
        <f>+Hoja1!U26</f>
        <v>367.87415224289606</v>
      </c>
      <c r="N16" s="41">
        <f t="shared" si="25"/>
        <v>1</v>
      </c>
      <c r="O16" s="41">
        <f t="shared" si="26"/>
        <v>1</v>
      </c>
      <c r="P16" s="41">
        <f t="shared" si="27"/>
        <v>1</v>
      </c>
      <c r="Q16" s="41">
        <f t="shared" si="3"/>
        <v>3</v>
      </c>
      <c r="R16" s="31">
        <f>+MAX(AK$3:AK15)</f>
        <v>378.86297221032606</v>
      </c>
      <c r="S16" s="31">
        <f>+MAX(AL$3:AL15)</f>
        <v>376.41466936194053</v>
      </c>
      <c r="T16" s="31">
        <f>+MAX(AM$3:AM15)</f>
        <v>376.98674124727728</v>
      </c>
      <c r="U16" s="31">
        <f>+Hoja1!AR26</f>
        <v>0.5910226274400161</v>
      </c>
      <c r="V16" s="41" t="str">
        <f t="shared" si="4"/>
        <v/>
      </c>
      <c r="W16" s="41" t="str">
        <f t="shared" si="28"/>
        <v/>
      </c>
      <c r="X16" s="41" t="str">
        <f t="shared" si="5"/>
        <v/>
      </c>
      <c r="Y16" s="41" t="str">
        <f t="shared" si="6"/>
        <v/>
      </c>
      <c r="Z16" s="41" t="str">
        <f t="shared" si="33"/>
        <v/>
      </c>
      <c r="AA16" s="41" t="str">
        <f t="shared" si="8"/>
        <v/>
      </c>
      <c r="AB16" s="42" t="str">
        <f t="shared" si="9"/>
        <v/>
      </c>
      <c r="AC16" s="41">
        <f t="shared" si="10"/>
        <v>2</v>
      </c>
      <c r="AD16" s="41">
        <f t="shared" si="11"/>
        <v>2</v>
      </c>
      <c r="AE16" s="41" t="str">
        <f t="shared" si="29"/>
        <v/>
      </c>
      <c r="AF16" s="41">
        <f t="shared" si="30"/>
        <v>376.41466936194053</v>
      </c>
      <c r="AG16" s="41" t="str">
        <f t="shared" si="31"/>
        <v/>
      </c>
      <c r="AH16" s="41">
        <f t="shared" si="12"/>
        <v>376.41466936194053</v>
      </c>
      <c r="AI16" s="31">
        <f>Hoja1!AE26</f>
        <v>0.62588074133511928</v>
      </c>
      <c r="AJ16" s="31">
        <f t="shared" si="13"/>
        <v>4.8164633360080362</v>
      </c>
      <c r="AK16" s="31" t="str">
        <f t="shared" si="14"/>
        <v/>
      </c>
      <c r="AL16" s="31">
        <f t="shared" si="15"/>
        <v>381.23113269794857</v>
      </c>
      <c r="AM16" s="31" t="str">
        <f t="shared" si="16"/>
        <v/>
      </c>
      <c r="AN16" s="31">
        <f t="shared" si="17"/>
        <v>381.23113269794857</v>
      </c>
      <c r="AO16" s="25" t="str">
        <f t="shared" si="18"/>
        <v>A tiempo</v>
      </c>
      <c r="AP16" s="25" t="str">
        <f t="shared" si="19"/>
        <v/>
      </c>
      <c r="AQ16" s="25" t="str">
        <f t="shared" si="20"/>
        <v/>
      </c>
      <c r="AR16" s="25" t="str">
        <f t="shared" si="21"/>
        <v>Corro</v>
      </c>
      <c r="AU16" s="25">
        <f t="shared" si="22"/>
        <v>14</v>
      </c>
      <c r="AV16" s="25">
        <f t="shared" si="23"/>
        <v>7</v>
      </c>
      <c r="AW16" s="25">
        <f t="shared" si="32"/>
        <v>480</v>
      </c>
      <c r="AX16" s="33">
        <f>IF(AU16="","",Hoja1!BH26)</f>
        <v>0.82491400391699288</v>
      </c>
      <c r="AY16" s="33">
        <f t="shared" si="24"/>
        <v>77.743980274189511</v>
      </c>
      <c r="AZ16" s="33">
        <f t="shared" si="1"/>
        <v>557.74398027418954</v>
      </c>
      <c r="BB16" s="49"/>
      <c r="BC16" s="51"/>
      <c r="BD16" s="51"/>
      <c r="BE16" s="51"/>
      <c r="BF16" s="50"/>
    </row>
    <row r="17" spans="11:58" ht="15.75" thickBot="1" x14ac:dyDescent="0.3">
      <c r="K17" s="41">
        <f>+Hoja1!S27</f>
        <v>15</v>
      </c>
      <c r="L17" s="41">
        <f>+Hoja1!T27</f>
        <v>8</v>
      </c>
      <c r="M17" s="41">
        <f>+Hoja1!U27</f>
        <v>369.46242942026197</v>
      </c>
      <c r="N17" s="41">
        <f t="shared" si="25"/>
        <v>1</v>
      </c>
      <c r="O17" s="41">
        <f t="shared" si="26"/>
        <v>1</v>
      </c>
      <c r="P17" s="41">
        <f t="shared" si="27"/>
        <v>1</v>
      </c>
      <c r="Q17" s="41">
        <f t="shared" si="3"/>
        <v>3</v>
      </c>
      <c r="R17" s="31">
        <f>+MAX(AK$3:AK16)</f>
        <v>378.86297221032606</v>
      </c>
      <c r="S17" s="31">
        <f>+MAX(AL$3:AL16)</f>
        <v>381.23113269794857</v>
      </c>
      <c r="T17" s="31">
        <f>+MAX(AM$3:AM16)</f>
        <v>376.98674124727728</v>
      </c>
      <c r="U17" s="31">
        <f>+Hoja1!AR27</f>
        <v>0.68214317353155596</v>
      </c>
      <c r="V17" s="41" t="str">
        <f t="shared" si="4"/>
        <v/>
      </c>
      <c r="W17" s="41" t="str">
        <f t="shared" si="28"/>
        <v/>
      </c>
      <c r="X17" s="41" t="str">
        <f t="shared" si="5"/>
        <v/>
      </c>
      <c r="Y17" s="41" t="str">
        <f t="shared" si="6"/>
        <v/>
      </c>
      <c r="Z17" s="41" t="str">
        <f t="shared" si="33"/>
        <v/>
      </c>
      <c r="AA17" s="41" t="str">
        <f t="shared" si="8"/>
        <v/>
      </c>
      <c r="AB17" s="42" t="str">
        <f t="shared" si="9"/>
        <v/>
      </c>
      <c r="AC17" s="41">
        <f t="shared" si="10"/>
        <v>3</v>
      </c>
      <c r="AD17" s="41">
        <f t="shared" si="11"/>
        <v>3</v>
      </c>
      <c r="AE17" s="41" t="str">
        <f t="shared" si="29"/>
        <v/>
      </c>
      <c r="AF17" s="41" t="str">
        <f t="shared" si="30"/>
        <v/>
      </c>
      <c r="AG17" s="41">
        <f t="shared" si="31"/>
        <v>376.98674124727728</v>
      </c>
      <c r="AH17" s="41">
        <f t="shared" si="12"/>
        <v>376.98674124727728</v>
      </c>
      <c r="AI17" s="31">
        <f>Hoja1!AE27</f>
        <v>0.44077455875520111</v>
      </c>
      <c r="AJ17" s="31">
        <f t="shared" si="13"/>
        <v>3.9834855143984047</v>
      </c>
      <c r="AK17" s="31" t="str">
        <f t="shared" si="14"/>
        <v/>
      </c>
      <c r="AL17" s="31" t="str">
        <f t="shared" si="15"/>
        <v/>
      </c>
      <c r="AM17" s="31">
        <f t="shared" si="16"/>
        <v>380.97022676167569</v>
      </c>
      <c r="AN17" s="31">
        <f t="shared" si="17"/>
        <v>380.97022676167569</v>
      </c>
      <c r="AO17" s="25" t="str">
        <f t="shared" si="18"/>
        <v>A tiempo</v>
      </c>
      <c r="AP17" s="25" t="str">
        <f t="shared" si="19"/>
        <v/>
      </c>
      <c r="AQ17" s="25" t="str">
        <f t="shared" si="20"/>
        <v/>
      </c>
      <c r="AR17" s="25" t="str">
        <f t="shared" si="21"/>
        <v>Corro</v>
      </c>
      <c r="AU17" s="25">
        <f t="shared" si="22"/>
        <v>15</v>
      </c>
      <c r="AV17" s="25">
        <f t="shared" si="23"/>
        <v>8</v>
      </c>
      <c r="AW17" s="25">
        <f t="shared" si="32"/>
        <v>480</v>
      </c>
      <c r="AX17" s="33">
        <f>IF(AU17="","",Hoja1!BH27)</f>
        <v>0.78609824802590467</v>
      </c>
      <c r="AY17" s="33">
        <f t="shared" si="24"/>
        <v>75.02687736181332</v>
      </c>
      <c r="AZ17" s="33">
        <f t="shared" si="1"/>
        <v>555.02687736181338</v>
      </c>
      <c r="BB17" s="53"/>
      <c r="BC17" s="54"/>
      <c r="BD17" s="54"/>
      <c r="BE17" s="54"/>
      <c r="BF17" s="55"/>
    </row>
    <row r="18" spans="11:58" ht="15.75" thickBot="1" x14ac:dyDescent="0.3">
      <c r="K18" s="41">
        <f>+Hoja1!S28</f>
        <v>16</v>
      </c>
      <c r="L18" s="41">
        <f>+Hoja1!T28</f>
        <v>8</v>
      </c>
      <c r="M18" s="41">
        <f>+Hoja1!U28</f>
        <v>369.46242942026197</v>
      </c>
      <c r="N18" s="41">
        <f t="shared" si="25"/>
        <v>1</v>
      </c>
      <c r="O18" s="41">
        <f t="shared" si="26"/>
        <v>1</v>
      </c>
      <c r="P18" s="41">
        <f t="shared" si="27"/>
        <v>1</v>
      </c>
      <c r="Q18" s="41">
        <f t="shared" si="3"/>
        <v>3</v>
      </c>
      <c r="R18" s="31">
        <f>+MAX(AK$3:AK17)</f>
        <v>378.86297221032606</v>
      </c>
      <c r="S18" s="31">
        <f>+MAX(AL$3:AL17)</f>
        <v>381.23113269794857</v>
      </c>
      <c r="T18" s="31">
        <f>+MAX(AM$3:AM17)</f>
        <v>380.97022676167569</v>
      </c>
      <c r="U18" s="31">
        <f>+Hoja1!AR28</f>
        <v>0.67943790321711872</v>
      </c>
      <c r="V18" s="41" t="str">
        <f t="shared" si="4"/>
        <v/>
      </c>
      <c r="W18" s="41" t="str">
        <f t="shared" si="28"/>
        <v/>
      </c>
      <c r="X18" s="41" t="str">
        <f t="shared" si="5"/>
        <v/>
      </c>
      <c r="Y18" s="41" t="str">
        <f t="shared" si="6"/>
        <v/>
      </c>
      <c r="Z18" s="41" t="str">
        <f t="shared" si="33"/>
        <v/>
      </c>
      <c r="AA18" s="41" t="str">
        <f t="shared" si="8"/>
        <v/>
      </c>
      <c r="AB18" s="42" t="str">
        <f t="shared" si="9"/>
        <v/>
      </c>
      <c r="AC18" s="41">
        <f t="shared" si="10"/>
        <v>1</v>
      </c>
      <c r="AD18" s="41">
        <f t="shared" si="11"/>
        <v>1</v>
      </c>
      <c r="AE18" s="41">
        <f t="shared" si="29"/>
        <v>378.86297221032606</v>
      </c>
      <c r="AF18" s="41" t="str">
        <f t="shared" si="30"/>
        <v/>
      </c>
      <c r="AG18" s="41" t="str">
        <f t="shared" si="31"/>
        <v/>
      </c>
      <c r="AH18" s="41">
        <f t="shared" si="12"/>
        <v>378.86297221032606</v>
      </c>
      <c r="AI18" s="31">
        <f>Hoja1!AE28</f>
        <v>0.10462933724895951</v>
      </c>
      <c r="AJ18" s="31">
        <f t="shared" si="13"/>
        <v>2.4708320176203178</v>
      </c>
      <c r="AK18" s="31">
        <f t="shared" si="14"/>
        <v>381.33380422794636</v>
      </c>
      <c r="AL18" s="31" t="str">
        <f t="shared" si="15"/>
        <v/>
      </c>
      <c r="AM18" s="31" t="str">
        <f t="shared" si="16"/>
        <v/>
      </c>
      <c r="AN18" s="31">
        <f t="shared" si="17"/>
        <v>381.33380422794636</v>
      </c>
      <c r="AO18" s="25" t="str">
        <f t="shared" si="18"/>
        <v>A tiempo</v>
      </c>
      <c r="AP18" s="25" t="str">
        <f t="shared" si="19"/>
        <v/>
      </c>
      <c r="AQ18" s="25" t="str">
        <f t="shared" si="20"/>
        <v/>
      </c>
      <c r="AR18" s="25" t="str">
        <f t="shared" si="21"/>
        <v>Corro</v>
      </c>
      <c r="AU18" s="25">
        <f t="shared" si="22"/>
        <v>16</v>
      </c>
      <c r="AV18" s="25">
        <f t="shared" si="23"/>
        <v>8</v>
      </c>
      <c r="AW18" s="25">
        <f t="shared" si="32"/>
        <v>480</v>
      </c>
      <c r="AX18" s="33">
        <f>IF(AU18="","",Hoja1!BH28)</f>
        <v>0.4509445925804646</v>
      </c>
      <c r="AY18" s="33">
        <f t="shared" si="24"/>
        <v>51.566121480632518</v>
      </c>
      <c r="AZ18" s="33">
        <f t="shared" si="1"/>
        <v>531.56612148063255</v>
      </c>
    </row>
    <row r="19" spans="11:58" x14ac:dyDescent="0.25">
      <c r="K19" s="41">
        <f>+Hoja1!S29</f>
        <v>17</v>
      </c>
      <c r="L19" s="41">
        <f>+Hoja1!T29</f>
        <v>9</v>
      </c>
      <c r="M19" s="41">
        <f>+Hoja1!U29</f>
        <v>369.79973320829401</v>
      </c>
      <c r="N19" s="41">
        <f t="shared" si="25"/>
        <v>1</v>
      </c>
      <c r="O19" s="41">
        <f t="shared" si="26"/>
        <v>1</v>
      </c>
      <c r="P19" s="41">
        <f t="shared" si="27"/>
        <v>1</v>
      </c>
      <c r="Q19" s="41">
        <f t="shared" si="3"/>
        <v>3</v>
      </c>
      <c r="R19" s="31">
        <f>+MAX(AK$3:AK18)</f>
        <v>381.33380422794636</v>
      </c>
      <c r="S19" s="31">
        <f>+MAX(AL$3:AL18)</f>
        <v>381.23113269794857</v>
      </c>
      <c r="T19" s="31">
        <f>+MAX(AM$3:AM18)</f>
        <v>380.97022676167569</v>
      </c>
      <c r="U19" s="31">
        <f>+Hoja1!AR29</f>
        <v>0.50773464444523597</v>
      </c>
      <c r="V19" s="41" t="str">
        <f t="shared" si="4"/>
        <v/>
      </c>
      <c r="W19" s="41" t="str">
        <f t="shared" si="28"/>
        <v/>
      </c>
      <c r="X19" s="41" t="str">
        <f t="shared" si="5"/>
        <v/>
      </c>
      <c r="Y19" s="41" t="str">
        <f t="shared" si="6"/>
        <v/>
      </c>
      <c r="Z19" s="41" t="str">
        <f t="shared" si="33"/>
        <v/>
      </c>
      <c r="AA19" s="41" t="str">
        <f t="shared" si="8"/>
        <v/>
      </c>
      <c r="AB19" s="42" t="str">
        <f t="shared" si="9"/>
        <v/>
      </c>
      <c r="AC19" s="41">
        <f t="shared" si="10"/>
        <v>3</v>
      </c>
      <c r="AD19" s="41">
        <f t="shared" si="11"/>
        <v>3</v>
      </c>
      <c r="AE19" s="41" t="str">
        <f t="shared" si="29"/>
        <v/>
      </c>
      <c r="AF19" s="41" t="str">
        <f t="shared" si="30"/>
        <v/>
      </c>
      <c r="AG19" s="41">
        <f t="shared" si="31"/>
        <v>380.97022676167569</v>
      </c>
      <c r="AH19" s="41">
        <f t="shared" si="12"/>
        <v>380.97022676167569</v>
      </c>
      <c r="AI19" s="31">
        <f>Hoja1!AE29</f>
        <v>0.46207479736598267</v>
      </c>
      <c r="AJ19" s="31">
        <f t="shared" si="13"/>
        <v>4.0793365881469219</v>
      </c>
      <c r="AK19" s="31" t="str">
        <f t="shared" si="14"/>
        <v/>
      </c>
      <c r="AL19" s="31" t="str">
        <f t="shared" si="15"/>
        <v/>
      </c>
      <c r="AM19" s="31">
        <f t="shared" si="16"/>
        <v>385.04956334982262</v>
      </c>
      <c r="AN19" s="31">
        <f t="shared" si="17"/>
        <v>385.04956334982262</v>
      </c>
      <c r="AO19" s="25" t="str">
        <f t="shared" si="18"/>
        <v>A tiempo</v>
      </c>
      <c r="AP19" s="25" t="str">
        <f t="shared" si="19"/>
        <v/>
      </c>
      <c r="AQ19" s="25" t="str">
        <f t="shared" si="20"/>
        <v/>
      </c>
      <c r="AR19" s="25" t="str">
        <f t="shared" si="21"/>
        <v>Corro</v>
      </c>
      <c r="AU19" s="25">
        <f t="shared" si="22"/>
        <v>17</v>
      </c>
      <c r="AV19" s="25">
        <f t="shared" si="23"/>
        <v>9</v>
      </c>
      <c r="AW19" s="25">
        <f t="shared" si="32"/>
        <v>480</v>
      </c>
      <c r="AX19" s="33">
        <f>IF(AU19="","",Hoja1!BH29)</f>
        <v>0.86508878816073043</v>
      </c>
      <c r="AY19" s="33">
        <f t="shared" si="24"/>
        <v>80.556215171251125</v>
      </c>
      <c r="AZ19" s="33">
        <f t="shared" si="1"/>
        <v>560.5562151712511</v>
      </c>
      <c r="BB19" s="46"/>
      <c r="BC19" s="47"/>
      <c r="BD19" s="47"/>
      <c r="BE19" s="47"/>
      <c r="BF19" s="48"/>
    </row>
    <row r="20" spans="11:58" ht="18.75" x14ac:dyDescent="0.3">
      <c r="K20" s="41">
        <f>+Hoja1!S30</f>
        <v>18</v>
      </c>
      <c r="L20" s="41">
        <f>+Hoja1!T30</f>
        <v>9</v>
      </c>
      <c r="M20" s="41">
        <f>+Hoja1!U30</f>
        <v>369.79973320829401</v>
      </c>
      <c r="N20" s="41">
        <f t="shared" si="25"/>
        <v>1</v>
      </c>
      <c r="O20" s="41">
        <f t="shared" si="26"/>
        <v>1</v>
      </c>
      <c r="P20" s="41">
        <f t="shared" si="27"/>
        <v>1</v>
      </c>
      <c r="Q20" s="41">
        <f t="shared" si="3"/>
        <v>3</v>
      </c>
      <c r="R20" s="31">
        <f>+MAX(AK$3:AK19)</f>
        <v>381.33380422794636</v>
      </c>
      <c r="S20" s="31">
        <f>+MAX(AL$3:AL19)</f>
        <v>381.23113269794857</v>
      </c>
      <c r="T20" s="31">
        <f>+MAX(AM$3:AM19)</f>
        <v>385.04956334982262</v>
      </c>
      <c r="U20" s="31">
        <f>+Hoja1!AR30</f>
        <v>0.10389361027896882</v>
      </c>
      <c r="V20" s="41" t="str">
        <f t="shared" si="4"/>
        <v/>
      </c>
      <c r="W20" s="41" t="str">
        <f t="shared" si="28"/>
        <v/>
      </c>
      <c r="X20" s="41" t="str">
        <f t="shared" si="5"/>
        <v/>
      </c>
      <c r="Y20" s="41" t="str">
        <f t="shared" si="6"/>
        <v/>
      </c>
      <c r="Z20" s="41" t="str">
        <f t="shared" ref="Z20:Z83" si="34">+IF(AND($Q20=2,N20=0),1,"")</f>
        <v/>
      </c>
      <c r="AA20" s="41" t="str">
        <f t="shared" si="8"/>
        <v/>
      </c>
      <c r="AB20" s="42" t="str">
        <f t="shared" si="9"/>
        <v/>
      </c>
      <c r="AC20" s="41">
        <f t="shared" si="10"/>
        <v>2</v>
      </c>
      <c r="AD20" s="41">
        <f t="shared" si="11"/>
        <v>2</v>
      </c>
      <c r="AE20" s="41" t="str">
        <f t="shared" si="29"/>
        <v/>
      </c>
      <c r="AF20" s="41">
        <f t="shared" si="30"/>
        <v>381.23113269794857</v>
      </c>
      <c r="AG20" s="41" t="str">
        <f t="shared" si="31"/>
        <v/>
      </c>
      <c r="AH20" s="41">
        <f t="shared" si="12"/>
        <v>381.23113269794857</v>
      </c>
      <c r="AI20" s="31">
        <f>Hoja1!AE30</f>
        <v>0.55399894784391146</v>
      </c>
      <c r="AJ20" s="31">
        <f t="shared" si="13"/>
        <v>4.4929952652976013</v>
      </c>
      <c r="AK20" s="31" t="str">
        <f t="shared" si="14"/>
        <v/>
      </c>
      <c r="AL20" s="31">
        <f t="shared" si="15"/>
        <v>385.72412796324619</v>
      </c>
      <c r="AM20" s="31" t="str">
        <f t="shared" si="16"/>
        <v/>
      </c>
      <c r="AN20" s="31">
        <f t="shared" si="17"/>
        <v>385.72412796324619</v>
      </c>
      <c r="AO20" s="25" t="str">
        <f t="shared" si="18"/>
        <v>A tiempo</v>
      </c>
      <c r="AP20" s="25" t="str">
        <f t="shared" si="19"/>
        <v/>
      </c>
      <c r="AQ20" s="25" t="str">
        <f t="shared" si="20"/>
        <v/>
      </c>
      <c r="AR20" s="25" t="str">
        <f t="shared" si="21"/>
        <v>Corro</v>
      </c>
      <c r="AU20" s="25">
        <f t="shared" si="22"/>
        <v>18</v>
      </c>
      <c r="AV20" s="25">
        <f t="shared" si="23"/>
        <v>9</v>
      </c>
      <c r="AW20" s="25">
        <f t="shared" si="32"/>
        <v>480</v>
      </c>
      <c r="AX20" s="33">
        <f>IF(AU20="","",Hoja1!BH30)</f>
        <v>0.25588979819623181</v>
      </c>
      <c r="AY20" s="33">
        <f t="shared" si="24"/>
        <v>37.912285873736224</v>
      </c>
      <c r="AZ20" s="33">
        <f t="shared" si="1"/>
        <v>517.91228587373621</v>
      </c>
      <c r="BB20" s="49"/>
      <c r="BC20" s="70" t="s">
        <v>131</v>
      </c>
      <c r="BD20" s="70" t="s">
        <v>88</v>
      </c>
      <c r="BE20" s="70"/>
      <c r="BF20" s="50"/>
    </row>
    <row r="21" spans="11:58" x14ac:dyDescent="0.25">
      <c r="K21" s="41">
        <f>+Hoja1!S31</f>
        <v>19</v>
      </c>
      <c r="L21" s="41">
        <f>+Hoja1!T31</f>
        <v>9</v>
      </c>
      <c r="M21" s="41">
        <f>+Hoja1!U31</f>
        <v>369.79973320829401</v>
      </c>
      <c r="N21" s="41">
        <f t="shared" si="25"/>
        <v>1</v>
      </c>
      <c r="O21" s="41">
        <f t="shared" si="26"/>
        <v>1</v>
      </c>
      <c r="P21" s="41">
        <f t="shared" si="27"/>
        <v>1</v>
      </c>
      <c r="Q21" s="41">
        <f t="shared" si="3"/>
        <v>3</v>
      </c>
      <c r="R21" s="31">
        <f>+MAX(AK$3:AK20)</f>
        <v>381.33380422794636</v>
      </c>
      <c r="S21" s="31">
        <f>+MAX(AL$3:AL20)</f>
        <v>385.72412796324619</v>
      </c>
      <c r="T21" s="31">
        <f>+MAX(AM$3:AM20)</f>
        <v>385.04956334982262</v>
      </c>
      <c r="U21" s="31">
        <f>+Hoja1!AR31</f>
        <v>0.36641849765958967</v>
      </c>
      <c r="V21" s="41" t="str">
        <f t="shared" si="4"/>
        <v/>
      </c>
      <c r="W21" s="41" t="str">
        <f t="shared" si="28"/>
        <v/>
      </c>
      <c r="X21" s="41" t="str">
        <f t="shared" si="5"/>
        <v/>
      </c>
      <c r="Y21" s="41" t="str">
        <f t="shared" si="6"/>
        <v/>
      </c>
      <c r="Z21" s="41" t="str">
        <f t="shared" si="34"/>
        <v/>
      </c>
      <c r="AA21" s="41" t="str">
        <f t="shared" si="8"/>
        <v/>
      </c>
      <c r="AB21" s="42" t="str">
        <f t="shared" si="9"/>
        <v/>
      </c>
      <c r="AC21" s="41">
        <f t="shared" si="10"/>
        <v>1</v>
      </c>
      <c r="AD21" s="41">
        <f t="shared" si="11"/>
        <v>1</v>
      </c>
      <c r="AE21" s="41">
        <f t="shared" si="29"/>
        <v>381.33380422794636</v>
      </c>
      <c r="AF21" s="41" t="str">
        <f t="shared" si="30"/>
        <v/>
      </c>
      <c r="AG21" s="41" t="str">
        <f t="shared" si="31"/>
        <v/>
      </c>
      <c r="AH21" s="41">
        <f t="shared" si="12"/>
        <v>381.33380422794636</v>
      </c>
      <c r="AI21" s="31">
        <f>Hoja1!AE31</f>
        <v>0.89793825164000607</v>
      </c>
      <c r="AJ21" s="31">
        <f t="shared" si="13"/>
        <v>6.0407221323800275</v>
      </c>
      <c r="AK21" s="31">
        <f t="shared" si="14"/>
        <v>387.3745263603264</v>
      </c>
      <c r="AL21" s="31" t="str">
        <f t="shared" si="15"/>
        <v/>
      </c>
      <c r="AM21" s="31" t="str">
        <f t="shared" si="16"/>
        <v/>
      </c>
      <c r="AN21" s="31">
        <f t="shared" si="17"/>
        <v>387.3745263603264</v>
      </c>
      <c r="AO21" s="25" t="str">
        <f t="shared" si="18"/>
        <v>A tiempo</v>
      </c>
      <c r="AP21" s="25" t="str">
        <f t="shared" si="19"/>
        <v/>
      </c>
      <c r="AQ21" s="25" t="str">
        <f t="shared" si="20"/>
        <v/>
      </c>
      <c r="AR21" s="25" t="str">
        <f t="shared" si="21"/>
        <v>Corro</v>
      </c>
      <c r="AU21" s="25">
        <f t="shared" si="22"/>
        <v>19</v>
      </c>
      <c r="AV21" s="25">
        <f t="shared" si="23"/>
        <v>9</v>
      </c>
      <c r="AW21" s="25">
        <f t="shared" si="32"/>
        <v>480</v>
      </c>
      <c r="AX21" s="33">
        <f>IF(AU21="","",Hoja1!BH31)</f>
        <v>0.27960197190794245</v>
      </c>
      <c r="AY21" s="33">
        <f t="shared" si="24"/>
        <v>39.572138033555973</v>
      </c>
      <c r="AZ21" s="33">
        <f t="shared" si="1"/>
        <v>519.57213803355603</v>
      </c>
      <c r="BB21" s="49"/>
      <c r="BC21" s="51"/>
      <c r="BD21" s="51"/>
      <c r="BE21" s="51"/>
      <c r="BF21" s="50"/>
    </row>
    <row r="22" spans="11:58" x14ac:dyDescent="0.25">
      <c r="K22" s="41">
        <f>+Hoja1!S32</f>
        <v>20</v>
      </c>
      <c r="L22" s="41">
        <f>+Hoja1!T32</f>
        <v>10</v>
      </c>
      <c r="M22" s="41">
        <f>+Hoja1!U32</f>
        <v>370.29749593041458</v>
      </c>
      <c r="N22" s="41">
        <f t="shared" si="25"/>
        <v>1</v>
      </c>
      <c r="O22" s="41">
        <f t="shared" si="26"/>
        <v>1</v>
      </c>
      <c r="P22" s="41">
        <f t="shared" si="27"/>
        <v>1</v>
      </c>
      <c r="Q22" s="41">
        <f t="shared" si="3"/>
        <v>3</v>
      </c>
      <c r="R22" s="31">
        <f>+MAX(AK$3:AK21)</f>
        <v>387.3745263603264</v>
      </c>
      <c r="S22" s="31">
        <f>+MAX(AL$3:AL21)</f>
        <v>385.72412796324619</v>
      </c>
      <c r="T22" s="31">
        <f>+MAX(AM$3:AM21)</f>
        <v>385.04956334982262</v>
      </c>
      <c r="U22" s="31">
        <f>+Hoja1!AR32</f>
        <v>0.29779307705992863</v>
      </c>
      <c r="V22" s="41" t="str">
        <f t="shared" si="4"/>
        <v/>
      </c>
      <c r="W22" s="41" t="str">
        <f t="shared" si="28"/>
        <v/>
      </c>
      <c r="X22" s="41" t="str">
        <f t="shared" si="5"/>
        <v/>
      </c>
      <c r="Y22" s="41" t="str">
        <f t="shared" si="6"/>
        <v/>
      </c>
      <c r="Z22" s="41" t="str">
        <f t="shared" si="34"/>
        <v/>
      </c>
      <c r="AA22" s="41" t="str">
        <f t="shared" si="8"/>
        <v/>
      </c>
      <c r="AB22" s="42" t="str">
        <f t="shared" si="9"/>
        <v/>
      </c>
      <c r="AC22" s="41">
        <f t="shared" si="10"/>
        <v>3</v>
      </c>
      <c r="AD22" s="41">
        <f t="shared" si="11"/>
        <v>3</v>
      </c>
      <c r="AE22" s="41" t="str">
        <f t="shared" si="29"/>
        <v/>
      </c>
      <c r="AF22" s="41" t="str">
        <f t="shared" si="30"/>
        <v/>
      </c>
      <c r="AG22" s="41">
        <f t="shared" si="31"/>
        <v>385.04956334982262</v>
      </c>
      <c r="AH22" s="41">
        <f t="shared" si="12"/>
        <v>385.04956334982262</v>
      </c>
      <c r="AI22" s="31">
        <f>Hoja1!AE32</f>
        <v>0.59366755319354247</v>
      </c>
      <c r="AJ22" s="31">
        <f t="shared" si="13"/>
        <v>4.6715039893709411</v>
      </c>
      <c r="AK22" s="31" t="str">
        <f t="shared" si="14"/>
        <v/>
      </c>
      <c r="AL22" s="31" t="str">
        <f t="shared" si="15"/>
        <v/>
      </c>
      <c r="AM22" s="31">
        <f t="shared" si="16"/>
        <v>389.72106733919355</v>
      </c>
      <c r="AN22" s="31">
        <f t="shared" si="17"/>
        <v>389.72106733919355</v>
      </c>
      <c r="AO22" s="25" t="str">
        <f t="shared" si="18"/>
        <v>A tiempo</v>
      </c>
      <c r="AP22" s="25" t="str">
        <f t="shared" si="19"/>
        <v/>
      </c>
      <c r="AQ22" s="25" t="str">
        <f t="shared" si="20"/>
        <v/>
      </c>
      <c r="AR22" s="25" t="str">
        <f t="shared" si="21"/>
        <v>Corro</v>
      </c>
      <c r="AU22" s="25">
        <f t="shared" si="22"/>
        <v>20</v>
      </c>
      <c r="AV22" s="25">
        <f t="shared" si="23"/>
        <v>10</v>
      </c>
      <c r="AW22" s="25">
        <f t="shared" si="32"/>
        <v>480</v>
      </c>
      <c r="AX22" s="33">
        <f>IF(AU22="","",Hoja1!BH32)</f>
        <v>0.60304858461587163</v>
      </c>
      <c r="AY22" s="33">
        <f t="shared" si="24"/>
        <v>62.213400923111017</v>
      </c>
      <c r="AZ22" s="33">
        <f t="shared" si="1"/>
        <v>542.21340092311107</v>
      </c>
      <c r="BB22" s="49"/>
      <c r="BC22" s="51"/>
      <c r="BD22" s="51"/>
      <c r="BE22" s="51"/>
      <c r="BF22" s="50"/>
    </row>
    <row r="23" spans="11:58" x14ac:dyDescent="0.25">
      <c r="K23" s="41">
        <f>+Hoja1!S33</f>
        <v>21</v>
      </c>
      <c r="L23" s="41">
        <f>+Hoja1!T33</f>
        <v>11</v>
      </c>
      <c r="M23" s="41">
        <f>+Hoja1!U33</f>
        <v>370.97058907467675</v>
      </c>
      <c r="N23" s="41">
        <f t="shared" si="25"/>
        <v>1</v>
      </c>
      <c r="O23" s="41">
        <f t="shared" si="26"/>
        <v>1</v>
      </c>
      <c r="P23" s="41">
        <f t="shared" si="27"/>
        <v>1</v>
      </c>
      <c r="Q23" s="41">
        <f t="shared" si="3"/>
        <v>3</v>
      </c>
      <c r="R23" s="31">
        <f>+MAX(AK$3:AK22)</f>
        <v>387.3745263603264</v>
      </c>
      <c r="S23" s="31">
        <f>+MAX(AL$3:AL22)</f>
        <v>385.72412796324619</v>
      </c>
      <c r="T23" s="31">
        <f>+MAX(AM$3:AM22)</f>
        <v>389.72106733919355</v>
      </c>
      <c r="U23" s="31">
        <f>+Hoja1!AR33</f>
        <v>0.156024589170221</v>
      </c>
      <c r="V23" s="41" t="str">
        <f t="shared" si="4"/>
        <v/>
      </c>
      <c r="W23" s="41" t="str">
        <f t="shared" si="28"/>
        <v/>
      </c>
      <c r="X23" s="41" t="str">
        <f t="shared" si="5"/>
        <v/>
      </c>
      <c r="Y23" s="41" t="str">
        <f t="shared" si="6"/>
        <v/>
      </c>
      <c r="Z23" s="41" t="str">
        <f t="shared" si="34"/>
        <v/>
      </c>
      <c r="AA23" s="41" t="str">
        <f t="shared" si="8"/>
        <v/>
      </c>
      <c r="AB23" s="42" t="str">
        <f t="shared" si="9"/>
        <v/>
      </c>
      <c r="AC23" s="41">
        <f t="shared" si="10"/>
        <v>2</v>
      </c>
      <c r="AD23" s="41">
        <f t="shared" si="11"/>
        <v>2</v>
      </c>
      <c r="AE23" s="41" t="str">
        <f t="shared" si="29"/>
        <v/>
      </c>
      <c r="AF23" s="41">
        <f t="shared" si="30"/>
        <v>385.72412796324619</v>
      </c>
      <c r="AG23" s="41" t="str">
        <f t="shared" si="31"/>
        <v/>
      </c>
      <c r="AH23" s="41">
        <f t="shared" si="12"/>
        <v>385.72412796324619</v>
      </c>
      <c r="AI23" s="31">
        <f>Hoja1!AE33</f>
        <v>0.19162549700913423</v>
      </c>
      <c r="AJ23" s="31">
        <f t="shared" si="13"/>
        <v>2.8623147365411041</v>
      </c>
      <c r="AK23" s="31" t="str">
        <f t="shared" si="14"/>
        <v/>
      </c>
      <c r="AL23" s="31">
        <f t="shared" si="15"/>
        <v>388.58644269978731</v>
      </c>
      <c r="AM23" s="31" t="str">
        <f t="shared" si="16"/>
        <v/>
      </c>
      <c r="AN23" s="31">
        <f t="shared" si="17"/>
        <v>388.58644269978731</v>
      </c>
      <c r="AO23" s="25" t="str">
        <f t="shared" si="18"/>
        <v>A tiempo</v>
      </c>
      <c r="AP23" s="25" t="str">
        <f t="shared" si="19"/>
        <v/>
      </c>
      <c r="AQ23" s="25" t="str">
        <f t="shared" si="20"/>
        <v/>
      </c>
      <c r="AR23" s="25" t="str">
        <f t="shared" si="21"/>
        <v>Corro</v>
      </c>
      <c r="AU23" s="25">
        <f t="shared" si="22"/>
        <v>21</v>
      </c>
      <c r="AV23" s="25">
        <f t="shared" si="23"/>
        <v>11</v>
      </c>
      <c r="AW23" s="25">
        <f t="shared" si="32"/>
        <v>480</v>
      </c>
      <c r="AX23" s="33">
        <f>IF(AU23="","",Hoja1!BH33)</f>
        <v>0.84530524310265254</v>
      </c>
      <c r="AY23" s="33">
        <f t="shared" si="24"/>
        <v>79.171367017185673</v>
      </c>
      <c r="AZ23" s="33">
        <f t="shared" si="1"/>
        <v>559.17136701718573</v>
      </c>
      <c r="BB23" s="49"/>
      <c r="BC23" s="56" t="s">
        <v>129</v>
      </c>
      <c r="BD23" s="56" t="s">
        <v>76</v>
      </c>
      <c r="BE23" s="56" t="s">
        <v>130</v>
      </c>
      <c r="BF23" s="50"/>
    </row>
    <row r="24" spans="11:58" x14ac:dyDescent="0.25">
      <c r="K24" s="41">
        <f>+Hoja1!S34</f>
        <v>22</v>
      </c>
      <c r="L24" s="41">
        <f>+Hoja1!T34</f>
        <v>12</v>
      </c>
      <c r="M24" s="41">
        <f>+Hoja1!U34</f>
        <v>372.7238230762901</v>
      </c>
      <c r="N24" s="41">
        <f t="shared" si="25"/>
        <v>1</v>
      </c>
      <c r="O24" s="41">
        <f t="shared" si="26"/>
        <v>1</v>
      </c>
      <c r="P24" s="41">
        <f t="shared" si="27"/>
        <v>1</v>
      </c>
      <c r="Q24" s="41">
        <f t="shared" si="3"/>
        <v>3</v>
      </c>
      <c r="R24" s="31">
        <f>+MAX(AK$3:AK23)</f>
        <v>387.3745263603264</v>
      </c>
      <c r="S24" s="31">
        <f>+MAX(AL$3:AL23)</f>
        <v>388.58644269978731</v>
      </c>
      <c r="T24" s="31">
        <f>+MAX(AM$3:AM23)</f>
        <v>389.72106733919355</v>
      </c>
      <c r="U24" s="31">
        <f>+Hoja1!AR34</f>
        <v>0.88681745862338102</v>
      </c>
      <c r="V24" s="41" t="str">
        <f t="shared" si="4"/>
        <v/>
      </c>
      <c r="W24" s="41" t="str">
        <f t="shared" si="28"/>
        <v/>
      </c>
      <c r="X24" s="41" t="str">
        <f t="shared" si="5"/>
        <v/>
      </c>
      <c r="Y24" s="41" t="str">
        <f t="shared" si="6"/>
        <v/>
      </c>
      <c r="Z24" s="41" t="str">
        <f t="shared" si="34"/>
        <v/>
      </c>
      <c r="AA24" s="41" t="str">
        <f t="shared" si="8"/>
        <v/>
      </c>
      <c r="AB24" s="42" t="str">
        <f t="shared" si="9"/>
        <v/>
      </c>
      <c r="AC24" s="41">
        <f t="shared" si="10"/>
        <v>1</v>
      </c>
      <c r="AD24" s="41">
        <f t="shared" si="11"/>
        <v>1</v>
      </c>
      <c r="AE24" s="41">
        <f t="shared" si="29"/>
        <v>387.3745263603264</v>
      </c>
      <c r="AF24" s="41" t="str">
        <f t="shared" si="30"/>
        <v/>
      </c>
      <c r="AG24" s="41" t="str">
        <f t="shared" si="31"/>
        <v/>
      </c>
      <c r="AH24" s="41">
        <f t="shared" si="12"/>
        <v>387.3745263603264</v>
      </c>
      <c r="AI24" s="31">
        <f>Hoja1!AE34</f>
        <v>0.11039399066008848</v>
      </c>
      <c r="AJ24" s="31">
        <f t="shared" si="13"/>
        <v>2.4967729579703981</v>
      </c>
      <c r="AK24" s="31">
        <f t="shared" si="14"/>
        <v>389.87129931829679</v>
      </c>
      <c r="AL24" s="31" t="str">
        <f t="shared" si="15"/>
        <v/>
      </c>
      <c r="AM24" s="31" t="str">
        <f t="shared" si="16"/>
        <v/>
      </c>
      <c r="AN24" s="31">
        <f t="shared" si="17"/>
        <v>389.87129931829679</v>
      </c>
      <c r="AO24" s="25" t="str">
        <f t="shared" si="18"/>
        <v>A tiempo</v>
      </c>
      <c r="AP24" s="25" t="str">
        <f t="shared" si="19"/>
        <v/>
      </c>
      <c r="AQ24" s="25" t="str">
        <f t="shared" si="20"/>
        <v/>
      </c>
      <c r="AR24" s="25" t="str">
        <f t="shared" si="21"/>
        <v>Corro</v>
      </c>
      <c r="AU24" s="25">
        <f t="shared" si="22"/>
        <v>22</v>
      </c>
      <c r="AV24" s="25">
        <f t="shared" si="23"/>
        <v>12</v>
      </c>
      <c r="AW24" s="25">
        <f t="shared" si="32"/>
        <v>480</v>
      </c>
      <c r="AX24" s="33">
        <f>IF(AU24="","",Hoja1!BH34)</f>
        <v>1.3668029562035167E-2</v>
      </c>
      <c r="AY24" s="33">
        <f t="shared" si="24"/>
        <v>20.95676206934246</v>
      </c>
      <c r="AZ24" s="33">
        <f t="shared" si="1"/>
        <v>500.95676206934246</v>
      </c>
      <c r="BB24" s="49"/>
      <c r="BC24" s="57">
        <v>1</v>
      </c>
      <c r="BD24" s="57">
        <f>+SMALL($AZ$3:$AZ$102,BC24)</f>
        <v>500.95676206934246</v>
      </c>
      <c r="BE24" s="57">
        <f>+INDEX($AU$3:$AU$102,MATCH(BD24,$AZ$3:$AZ$102,0))</f>
        <v>22</v>
      </c>
      <c r="BF24" s="50"/>
    </row>
    <row r="25" spans="11:58" x14ac:dyDescent="0.25">
      <c r="K25" s="41">
        <f>+Hoja1!S35</f>
        <v>23</v>
      </c>
      <c r="L25" s="41">
        <f>+Hoja1!T35</f>
        <v>12</v>
      </c>
      <c r="M25" s="41">
        <f>+Hoja1!U35</f>
        <v>372.7238230762901</v>
      </c>
      <c r="N25" s="41">
        <f t="shared" si="25"/>
        <v>1</v>
      </c>
      <c r="O25" s="41">
        <f t="shared" si="26"/>
        <v>1</v>
      </c>
      <c r="P25" s="41">
        <f t="shared" si="27"/>
        <v>1</v>
      </c>
      <c r="Q25" s="41">
        <f t="shared" si="3"/>
        <v>3</v>
      </c>
      <c r="R25" s="31">
        <f>+MAX(AK$3:AK24)</f>
        <v>389.87129931829679</v>
      </c>
      <c r="S25" s="31">
        <f>+MAX(AL$3:AL24)</f>
        <v>388.58644269978731</v>
      </c>
      <c r="T25" s="31">
        <f>+MAX(AM$3:AM24)</f>
        <v>389.72106733919355</v>
      </c>
      <c r="U25" s="31">
        <f>+Hoja1!AR35</f>
        <v>0.82972493055603525</v>
      </c>
      <c r="V25" s="41" t="str">
        <f t="shared" si="4"/>
        <v/>
      </c>
      <c r="W25" s="41" t="str">
        <f t="shared" si="28"/>
        <v/>
      </c>
      <c r="X25" s="41" t="str">
        <f t="shared" si="5"/>
        <v/>
      </c>
      <c r="Y25" s="41" t="str">
        <f t="shared" si="6"/>
        <v/>
      </c>
      <c r="Z25" s="41" t="str">
        <f t="shared" si="34"/>
        <v/>
      </c>
      <c r="AA25" s="41" t="str">
        <f t="shared" si="8"/>
        <v/>
      </c>
      <c r="AB25" s="42" t="str">
        <f t="shared" si="9"/>
        <v/>
      </c>
      <c r="AC25" s="41">
        <f t="shared" si="10"/>
        <v>2</v>
      </c>
      <c r="AD25" s="41">
        <f t="shared" si="11"/>
        <v>2</v>
      </c>
      <c r="AE25" s="41" t="str">
        <f t="shared" si="29"/>
        <v/>
      </c>
      <c r="AF25" s="41">
        <f t="shared" si="30"/>
        <v>388.58644269978731</v>
      </c>
      <c r="AG25" s="41" t="str">
        <f t="shared" si="31"/>
        <v/>
      </c>
      <c r="AH25" s="41">
        <f t="shared" si="12"/>
        <v>388.58644269978731</v>
      </c>
      <c r="AI25" s="31">
        <f>Hoja1!AE35</f>
        <v>0.87951351573452019</v>
      </c>
      <c r="AJ25" s="31">
        <f t="shared" si="13"/>
        <v>5.9578108208053404</v>
      </c>
      <c r="AK25" s="31" t="str">
        <f t="shared" si="14"/>
        <v/>
      </c>
      <c r="AL25" s="31">
        <f t="shared" si="15"/>
        <v>394.54425352059263</v>
      </c>
      <c r="AM25" s="31" t="str">
        <f t="shared" si="16"/>
        <v/>
      </c>
      <c r="AN25" s="31">
        <f t="shared" si="17"/>
        <v>394.54425352059263</v>
      </c>
      <c r="AO25" s="25" t="str">
        <f t="shared" si="18"/>
        <v>A tiempo</v>
      </c>
      <c r="AP25" s="25" t="str">
        <f t="shared" si="19"/>
        <v/>
      </c>
      <c r="AQ25" s="25" t="str">
        <f t="shared" si="20"/>
        <v/>
      </c>
      <c r="AR25" s="25" t="str">
        <f t="shared" si="21"/>
        <v>Corro</v>
      </c>
      <c r="AU25" s="25">
        <f t="shared" si="22"/>
        <v>23</v>
      </c>
      <c r="AV25" s="25">
        <f t="shared" si="23"/>
        <v>12</v>
      </c>
      <c r="AW25" s="25">
        <f t="shared" si="32"/>
        <v>480</v>
      </c>
      <c r="AX25" s="33">
        <f>IF(AU25="","",Hoja1!BH35)</f>
        <v>0.31009379898616041</v>
      </c>
      <c r="AY25" s="33">
        <f t="shared" si="24"/>
        <v>41.706565929031228</v>
      </c>
      <c r="AZ25" s="33">
        <f t="shared" si="1"/>
        <v>521.70656592903129</v>
      </c>
      <c r="BB25" s="49"/>
      <c r="BC25" s="58">
        <v>2</v>
      </c>
      <c r="BD25" s="58">
        <f t="shared" ref="BD25:BD26" si="35">+SMALL($AZ$3:$AZ$102,BC25)</f>
        <v>502.47809531897934</v>
      </c>
      <c r="BE25" s="58">
        <f t="shared" ref="BE25:BE26" si="36">+INDEX($AU$3:$AU$102,MATCH(BD25,$AZ$3:$AZ$102,0))</f>
        <v>52</v>
      </c>
      <c r="BF25" s="50"/>
    </row>
    <row r="26" spans="11:58" ht="15.75" thickBot="1" x14ac:dyDescent="0.3">
      <c r="K26" s="41">
        <f>+Hoja1!S36</f>
        <v>24</v>
      </c>
      <c r="L26" s="41">
        <f>+Hoja1!T36</f>
        <v>12</v>
      </c>
      <c r="M26" s="41">
        <f>+Hoja1!U36</f>
        <v>372.7238230762901</v>
      </c>
      <c r="N26" s="41">
        <f t="shared" si="25"/>
        <v>1</v>
      </c>
      <c r="O26" s="41">
        <f t="shared" si="26"/>
        <v>1</v>
      </c>
      <c r="P26" s="41">
        <f t="shared" si="27"/>
        <v>1</v>
      </c>
      <c r="Q26" s="41">
        <f t="shared" si="3"/>
        <v>3</v>
      </c>
      <c r="R26" s="31">
        <f>+MAX(AK$3:AK25)</f>
        <v>389.87129931829679</v>
      </c>
      <c r="S26" s="31">
        <f>+MAX(AL$3:AL25)</f>
        <v>394.54425352059263</v>
      </c>
      <c r="T26" s="31">
        <f>+MAX(AM$3:AM25)</f>
        <v>389.72106733919355</v>
      </c>
      <c r="U26" s="31">
        <f>+Hoja1!AR36</f>
        <v>0.61206408851403837</v>
      </c>
      <c r="V26" s="41" t="str">
        <f t="shared" si="4"/>
        <v/>
      </c>
      <c r="W26" s="41" t="str">
        <f t="shared" si="28"/>
        <v/>
      </c>
      <c r="X26" s="41" t="str">
        <f t="shared" si="5"/>
        <v/>
      </c>
      <c r="Y26" s="41" t="str">
        <f t="shared" si="6"/>
        <v/>
      </c>
      <c r="Z26" s="41" t="str">
        <f t="shared" si="34"/>
        <v/>
      </c>
      <c r="AA26" s="41" t="str">
        <f t="shared" si="8"/>
        <v/>
      </c>
      <c r="AB26" s="42" t="str">
        <f t="shared" si="9"/>
        <v/>
      </c>
      <c r="AC26" s="41">
        <f t="shared" si="10"/>
        <v>3</v>
      </c>
      <c r="AD26" s="41">
        <f t="shared" si="11"/>
        <v>3</v>
      </c>
      <c r="AE26" s="41" t="str">
        <f t="shared" si="29"/>
        <v/>
      </c>
      <c r="AF26" s="41" t="str">
        <f t="shared" si="30"/>
        <v/>
      </c>
      <c r="AG26" s="41">
        <f t="shared" si="31"/>
        <v>389.72106733919355</v>
      </c>
      <c r="AH26" s="41">
        <f t="shared" si="12"/>
        <v>389.72106733919355</v>
      </c>
      <c r="AI26" s="31">
        <f>Hoja1!AE36</f>
        <v>0.19167131768181755</v>
      </c>
      <c r="AJ26" s="31">
        <f t="shared" si="13"/>
        <v>2.8625209295681788</v>
      </c>
      <c r="AK26" s="31" t="str">
        <f t="shared" si="14"/>
        <v/>
      </c>
      <c r="AL26" s="31" t="str">
        <f t="shared" si="15"/>
        <v/>
      </c>
      <c r="AM26" s="31">
        <f t="shared" si="16"/>
        <v>392.58358826876173</v>
      </c>
      <c r="AN26" s="31">
        <f t="shared" si="17"/>
        <v>392.58358826876173</v>
      </c>
      <c r="AO26" s="25" t="str">
        <f t="shared" si="18"/>
        <v>A tiempo</v>
      </c>
      <c r="AP26" s="25" t="str">
        <f t="shared" si="19"/>
        <v/>
      </c>
      <c r="AQ26" s="25" t="str">
        <f t="shared" si="20"/>
        <v/>
      </c>
      <c r="AR26" s="25" t="str">
        <f t="shared" si="21"/>
        <v>Corro</v>
      </c>
      <c r="AU26" s="25">
        <f t="shared" si="22"/>
        <v>24</v>
      </c>
      <c r="AV26" s="25">
        <f t="shared" si="23"/>
        <v>12</v>
      </c>
      <c r="AW26" s="25">
        <f t="shared" si="32"/>
        <v>480</v>
      </c>
      <c r="AX26" s="33">
        <f>IF(AU26="","",Hoja1!BH36)</f>
        <v>0.99538759017410794</v>
      </c>
      <c r="AY26" s="33">
        <f t="shared" si="24"/>
        <v>89.677131312187555</v>
      </c>
      <c r="AZ26" s="33">
        <f t="shared" si="1"/>
        <v>569.67713131218761</v>
      </c>
      <c r="BB26" s="53"/>
      <c r="BC26" s="59">
        <v>3</v>
      </c>
      <c r="BD26" s="59">
        <f t="shared" si="35"/>
        <v>503.38624899360582</v>
      </c>
      <c r="BE26" s="59">
        <f t="shared" si="36"/>
        <v>60</v>
      </c>
      <c r="BF26" s="55"/>
    </row>
    <row r="27" spans="11:58" ht="15.75" thickBot="1" x14ac:dyDescent="0.3">
      <c r="K27" s="41">
        <f>+Hoja1!S37</f>
        <v>25</v>
      </c>
      <c r="L27" s="41">
        <f>+Hoja1!T37</f>
        <v>13</v>
      </c>
      <c r="M27" s="41">
        <f>+Hoja1!U37</f>
        <v>373.10971802987177</v>
      </c>
      <c r="N27" s="41">
        <f t="shared" si="25"/>
        <v>1</v>
      </c>
      <c r="O27" s="41">
        <f t="shared" si="26"/>
        <v>1</v>
      </c>
      <c r="P27" s="41">
        <f t="shared" si="27"/>
        <v>1</v>
      </c>
      <c r="Q27" s="41">
        <f t="shared" si="3"/>
        <v>3</v>
      </c>
      <c r="R27" s="31">
        <f>+MAX(AK$3:AK26)</f>
        <v>389.87129931829679</v>
      </c>
      <c r="S27" s="31">
        <f>+MAX(AL$3:AL26)</f>
        <v>394.54425352059263</v>
      </c>
      <c r="T27" s="31">
        <f>+MAX(AM$3:AM26)</f>
        <v>392.58358826876173</v>
      </c>
      <c r="U27" s="31">
        <f>+Hoja1!AR37</f>
        <v>0.85812258258477569</v>
      </c>
      <c r="V27" s="41" t="str">
        <f t="shared" si="4"/>
        <v/>
      </c>
      <c r="W27" s="41" t="str">
        <f t="shared" si="28"/>
        <v/>
      </c>
      <c r="X27" s="41" t="str">
        <f t="shared" si="5"/>
        <v/>
      </c>
      <c r="Y27" s="41" t="str">
        <f t="shared" si="6"/>
        <v/>
      </c>
      <c r="Z27" s="41" t="str">
        <f t="shared" si="34"/>
        <v/>
      </c>
      <c r="AA27" s="41" t="str">
        <f t="shared" si="8"/>
        <v/>
      </c>
      <c r="AB27" s="42" t="str">
        <f t="shared" si="9"/>
        <v/>
      </c>
      <c r="AC27" s="41">
        <f t="shared" si="10"/>
        <v>1</v>
      </c>
      <c r="AD27" s="41">
        <f t="shared" si="11"/>
        <v>1</v>
      </c>
      <c r="AE27" s="41">
        <f t="shared" si="29"/>
        <v>389.87129931829679</v>
      </c>
      <c r="AF27" s="41" t="str">
        <f t="shared" si="30"/>
        <v/>
      </c>
      <c r="AG27" s="41" t="str">
        <f t="shared" si="31"/>
        <v/>
      </c>
      <c r="AH27" s="41">
        <f t="shared" si="12"/>
        <v>389.87129931829679</v>
      </c>
      <c r="AI27" s="31">
        <f>Hoja1!AE37</f>
        <v>0.88783670158817862</v>
      </c>
      <c r="AJ27" s="31">
        <f t="shared" si="13"/>
        <v>5.9952651571468039</v>
      </c>
      <c r="AK27" s="31">
        <f t="shared" si="14"/>
        <v>395.86656447544362</v>
      </c>
      <c r="AL27" s="31" t="str">
        <f t="shared" si="15"/>
        <v/>
      </c>
      <c r="AM27" s="31" t="str">
        <f t="shared" si="16"/>
        <v/>
      </c>
      <c r="AN27" s="31">
        <f t="shared" si="17"/>
        <v>395.86656447544362</v>
      </c>
      <c r="AO27" s="25" t="str">
        <f t="shared" si="18"/>
        <v>A tiempo</v>
      </c>
      <c r="AP27" s="25" t="str">
        <f t="shared" si="19"/>
        <v/>
      </c>
      <c r="AQ27" s="25" t="str">
        <f t="shared" si="20"/>
        <v/>
      </c>
      <c r="AR27" s="25" t="str">
        <f t="shared" si="21"/>
        <v>Corro</v>
      </c>
      <c r="AU27" s="25">
        <f t="shared" si="22"/>
        <v>25</v>
      </c>
      <c r="AV27" s="25">
        <f t="shared" si="23"/>
        <v>13</v>
      </c>
      <c r="AW27" s="25">
        <f t="shared" si="32"/>
        <v>480</v>
      </c>
      <c r="AX27" s="33">
        <f>IF(AU27="","",Hoja1!BH37)</f>
        <v>0.50293793744940463</v>
      </c>
      <c r="AY27" s="33">
        <f t="shared" si="24"/>
        <v>55.205655621458327</v>
      </c>
      <c r="AZ27" s="33">
        <f t="shared" si="1"/>
        <v>535.20565562145828</v>
      </c>
    </row>
    <row r="28" spans="11:58" x14ac:dyDescent="0.25">
      <c r="K28" s="41">
        <f>+Hoja1!S38</f>
        <v>26</v>
      </c>
      <c r="L28" s="41">
        <f>+Hoja1!T38</f>
        <v>13</v>
      </c>
      <c r="M28" s="41">
        <f>+Hoja1!U38</f>
        <v>373.10971802987177</v>
      </c>
      <c r="N28" s="41">
        <f t="shared" si="25"/>
        <v>1</v>
      </c>
      <c r="O28" s="41">
        <f t="shared" si="26"/>
        <v>1</v>
      </c>
      <c r="P28" s="41">
        <f t="shared" si="27"/>
        <v>1</v>
      </c>
      <c r="Q28" s="41">
        <f t="shared" si="3"/>
        <v>3</v>
      </c>
      <c r="R28" s="31">
        <f>+MAX(AK$3:AK27)</f>
        <v>395.86656447544362</v>
      </c>
      <c r="S28" s="31">
        <f>+MAX(AL$3:AL27)</f>
        <v>394.54425352059263</v>
      </c>
      <c r="T28" s="31">
        <f>+MAX(AM$3:AM27)</f>
        <v>392.58358826876173</v>
      </c>
      <c r="U28" s="31">
        <f>+Hoja1!AR38</f>
        <v>5.600199983497256E-2</v>
      </c>
      <c r="V28" s="41" t="str">
        <f t="shared" si="4"/>
        <v/>
      </c>
      <c r="W28" s="41" t="str">
        <f t="shared" si="28"/>
        <v/>
      </c>
      <c r="X28" s="41" t="str">
        <f t="shared" si="5"/>
        <v/>
      </c>
      <c r="Y28" s="41" t="str">
        <f t="shared" si="6"/>
        <v/>
      </c>
      <c r="Z28" s="41" t="str">
        <f t="shared" si="34"/>
        <v/>
      </c>
      <c r="AA28" s="41" t="str">
        <f t="shared" si="8"/>
        <v/>
      </c>
      <c r="AB28" s="42" t="str">
        <f t="shared" si="9"/>
        <v/>
      </c>
      <c r="AC28" s="41">
        <f t="shared" si="10"/>
        <v>3</v>
      </c>
      <c r="AD28" s="41">
        <f t="shared" si="11"/>
        <v>3</v>
      </c>
      <c r="AE28" s="41" t="str">
        <f t="shared" si="29"/>
        <v/>
      </c>
      <c r="AF28" s="41" t="str">
        <f t="shared" si="30"/>
        <v/>
      </c>
      <c r="AG28" s="41">
        <f t="shared" si="31"/>
        <v>392.58358826876173</v>
      </c>
      <c r="AH28" s="41">
        <f t="shared" si="12"/>
        <v>392.58358826876173</v>
      </c>
      <c r="AI28" s="31">
        <f>Hoja1!AE38</f>
        <v>0.33066392786249577</v>
      </c>
      <c r="AJ28" s="31">
        <f t="shared" si="13"/>
        <v>3.4879876753812309</v>
      </c>
      <c r="AK28" s="31" t="str">
        <f t="shared" si="14"/>
        <v/>
      </c>
      <c r="AL28" s="31" t="str">
        <f t="shared" si="15"/>
        <v/>
      </c>
      <c r="AM28" s="31">
        <f t="shared" si="16"/>
        <v>396.07157594414298</v>
      </c>
      <c r="AN28" s="31">
        <f t="shared" si="17"/>
        <v>396.07157594414298</v>
      </c>
      <c r="AO28" s="25" t="str">
        <f t="shared" si="18"/>
        <v>A tiempo</v>
      </c>
      <c r="AP28" s="25" t="str">
        <f t="shared" si="19"/>
        <v/>
      </c>
      <c r="AQ28" s="25" t="str">
        <f t="shared" si="20"/>
        <v/>
      </c>
      <c r="AR28" s="25" t="str">
        <f t="shared" si="21"/>
        <v>Corro</v>
      </c>
      <c r="AU28" s="25">
        <f t="shared" si="22"/>
        <v>26</v>
      </c>
      <c r="AV28" s="25">
        <f t="shared" si="23"/>
        <v>13</v>
      </c>
      <c r="AW28" s="25">
        <f t="shared" si="32"/>
        <v>480</v>
      </c>
      <c r="AX28" s="33">
        <f>IF(AU28="","",Hoja1!BH38)</f>
        <v>4.8823690662837538E-2</v>
      </c>
      <c r="AY28" s="33">
        <f t="shared" si="24"/>
        <v>23.417658346398628</v>
      </c>
      <c r="AZ28" s="33">
        <f t="shared" si="1"/>
        <v>503.41765834639864</v>
      </c>
      <c r="BB28" s="46"/>
      <c r="BC28" s="47"/>
      <c r="BD28" s="47"/>
      <c r="BE28" s="47"/>
      <c r="BF28" s="48"/>
    </row>
    <row r="29" spans="11:58" ht="18.75" x14ac:dyDescent="0.3">
      <c r="K29" s="41">
        <f>+Hoja1!S39</f>
        <v>27</v>
      </c>
      <c r="L29" s="41">
        <f>+Hoja1!T39</f>
        <v>14</v>
      </c>
      <c r="M29" s="41">
        <f>+Hoja1!U39</f>
        <v>379.12118352477097</v>
      </c>
      <c r="N29" s="41">
        <f t="shared" si="25"/>
        <v>1</v>
      </c>
      <c r="O29" s="41">
        <f t="shared" si="26"/>
        <v>1</v>
      </c>
      <c r="P29" s="41">
        <f t="shared" si="27"/>
        <v>1</v>
      </c>
      <c r="Q29" s="41">
        <f t="shared" si="3"/>
        <v>3</v>
      </c>
      <c r="R29" s="31">
        <f>+MAX(AK$3:AK28)</f>
        <v>395.86656447544362</v>
      </c>
      <c r="S29" s="31">
        <f>+MAX(AL$3:AL28)</f>
        <v>394.54425352059263</v>
      </c>
      <c r="T29" s="31">
        <f>+MAX(AM$3:AM28)</f>
        <v>396.07157594414298</v>
      </c>
      <c r="U29" s="31">
        <f>+Hoja1!AR39</f>
        <v>0.56054832625989381</v>
      </c>
      <c r="V29" s="41" t="str">
        <f t="shared" si="4"/>
        <v/>
      </c>
      <c r="W29" s="41" t="str">
        <f t="shared" si="28"/>
        <v/>
      </c>
      <c r="X29" s="41" t="str">
        <f t="shared" si="5"/>
        <v/>
      </c>
      <c r="Y29" s="41" t="str">
        <f t="shared" si="6"/>
        <v/>
      </c>
      <c r="Z29" s="41" t="str">
        <f t="shared" si="34"/>
        <v/>
      </c>
      <c r="AA29" s="41" t="str">
        <f t="shared" si="8"/>
        <v/>
      </c>
      <c r="AB29" s="42" t="str">
        <f t="shared" si="9"/>
        <v/>
      </c>
      <c r="AC29" s="41">
        <f t="shared" si="10"/>
        <v>2</v>
      </c>
      <c r="AD29" s="41">
        <f t="shared" si="11"/>
        <v>2</v>
      </c>
      <c r="AE29" s="41" t="str">
        <f t="shared" si="29"/>
        <v/>
      </c>
      <c r="AF29" s="41">
        <f t="shared" si="30"/>
        <v>394.54425352059263</v>
      </c>
      <c r="AG29" s="41" t="str">
        <f t="shared" si="31"/>
        <v/>
      </c>
      <c r="AH29" s="41">
        <f t="shared" si="12"/>
        <v>394.54425352059263</v>
      </c>
      <c r="AI29" s="31">
        <f>Hoja1!AE39</f>
        <v>0.38798119134700404</v>
      </c>
      <c r="AJ29" s="31">
        <f t="shared" si="13"/>
        <v>3.7459153610615181</v>
      </c>
      <c r="AK29" s="31" t="str">
        <f t="shared" si="14"/>
        <v/>
      </c>
      <c r="AL29" s="31">
        <f t="shared" si="15"/>
        <v>398.29016888165415</v>
      </c>
      <c r="AM29" s="31" t="str">
        <f t="shared" si="16"/>
        <v/>
      </c>
      <c r="AN29" s="31">
        <f t="shared" si="17"/>
        <v>398.29016888165415</v>
      </c>
      <c r="AO29" s="25" t="str">
        <f t="shared" si="18"/>
        <v>A tiempo</v>
      </c>
      <c r="AP29" s="25" t="str">
        <f t="shared" si="19"/>
        <v/>
      </c>
      <c r="AQ29" s="25" t="str">
        <f t="shared" si="20"/>
        <v/>
      </c>
      <c r="AR29" s="25" t="str">
        <f t="shared" si="21"/>
        <v>Corro</v>
      </c>
      <c r="AU29" s="25">
        <f t="shared" si="22"/>
        <v>27</v>
      </c>
      <c r="AV29" s="25">
        <f t="shared" si="23"/>
        <v>14</v>
      </c>
      <c r="AW29" s="25">
        <f t="shared" si="32"/>
        <v>480</v>
      </c>
      <c r="AX29" s="33">
        <f>IF(AU29="","",Hoja1!BH39)</f>
        <v>0.38308446011986597</v>
      </c>
      <c r="AY29" s="33">
        <f t="shared" si="24"/>
        <v>46.815912208390614</v>
      </c>
      <c r="AZ29" s="33">
        <f t="shared" si="1"/>
        <v>526.81591220839061</v>
      </c>
      <c r="BB29" s="49"/>
      <c r="BC29" s="70" t="s">
        <v>90</v>
      </c>
      <c r="BD29" s="70" t="s">
        <v>88</v>
      </c>
      <c r="BE29" s="70"/>
      <c r="BF29" s="50"/>
    </row>
    <row r="30" spans="11:58" x14ac:dyDescent="0.25">
      <c r="K30" s="41">
        <f>+Hoja1!S40</f>
        <v>28</v>
      </c>
      <c r="L30" s="41">
        <f>+Hoja1!T40</f>
        <v>14</v>
      </c>
      <c r="M30" s="41">
        <f>+Hoja1!U40</f>
        <v>379.12118352477097</v>
      </c>
      <c r="N30" s="41">
        <f t="shared" si="25"/>
        <v>1</v>
      </c>
      <c r="O30" s="41">
        <f t="shared" si="26"/>
        <v>1</v>
      </c>
      <c r="P30" s="41">
        <f t="shared" si="27"/>
        <v>1</v>
      </c>
      <c r="Q30" s="41">
        <f t="shared" si="3"/>
        <v>3</v>
      </c>
      <c r="R30" s="31">
        <f>+MAX(AK$3:AK29)</f>
        <v>395.86656447544362</v>
      </c>
      <c r="S30" s="31">
        <f>+MAX(AL$3:AL29)</f>
        <v>398.29016888165415</v>
      </c>
      <c r="T30" s="31">
        <f>+MAX(AM$3:AM29)</f>
        <v>396.07157594414298</v>
      </c>
      <c r="U30" s="31">
        <f>+Hoja1!AR40</f>
        <v>0.22194503440130575</v>
      </c>
      <c r="V30" s="41" t="str">
        <f t="shared" si="4"/>
        <v/>
      </c>
      <c r="W30" s="41" t="str">
        <f t="shared" si="28"/>
        <v/>
      </c>
      <c r="X30" s="41" t="str">
        <f t="shared" si="5"/>
        <v/>
      </c>
      <c r="Y30" s="41" t="str">
        <f t="shared" si="6"/>
        <v/>
      </c>
      <c r="Z30" s="41" t="str">
        <f t="shared" si="34"/>
        <v/>
      </c>
      <c r="AA30" s="41" t="str">
        <f t="shared" si="8"/>
        <v/>
      </c>
      <c r="AB30" s="42" t="str">
        <f t="shared" si="9"/>
        <v/>
      </c>
      <c r="AC30" s="41">
        <f t="shared" si="10"/>
        <v>1</v>
      </c>
      <c r="AD30" s="41">
        <f t="shared" si="11"/>
        <v>1</v>
      </c>
      <c r="AE30" s="41">
        <f t="shared" si="29"/>
        <v>395.86656447544362</v>
      </c>
      <c r="AF30" s="41" t="str">
        <f t="shared" si="30"/>
        <v/>
      </c>
      <c r="AG30" s="41" t="str">
        <f t="shared" si="31"/>
        <v/>
      </c>
      <c r="AH30" s="41">
        <f t="shared" si="12"/>
        <v>395.86656447544362</v>
      </c>
      <c r="AI30" s="31">
        <f>Hoja1!AE40</f>
        <v>0.88166194375126816</v>
      </c>
      <c r="AJ30" s="31">
        <f t="shared" si="13"/>
        <v>5.9674787468807065</v>
      </c>
      <c r="AK30" s="31">
        <f t="shared" si="14"/>
        <v>401.83404322232434</v>
      </c>
      <c r="AL30" s="31" t="str">
        <f t="shared" si="15"/>
        <v/>
      </c>
      <c r="AM30" s="31" t="str">
        <f t="shared" si="16"/>
        <v/>
      </c>
      <c r="AN30" s="31">
        <f t="shared" si="17"/>
        <v>401.83404322232434</v>
      </c>
      <c r="AO30" s="25" t="str">
        <f t="shared" si="18"/>
        <v>A tiempo</v>
      </c>
      <c r="AP30" s="25" t="str">
        <f t="shared" si="19"/>
        <v/>
      </c>
      <c r="AQ30" s="25" t="str">
        <f t="shared" si="20"/>
        <v/>
      </c>
      <c r="AR30" s="25" t="str">
        <f t="shared" si="21"/>
        <v>Corro</v>
      </c>
      <c r="AU30" s="25">
        <f t="shared" si="22"/>
        <v>28</v>
      </c>
      <c r="AV30" s="25">
        <f t="shared" si="23"/>
        <v>14</v>
      </c>
      <c r="AW30" s="25">
        <f t="shared" si="32"/>
        <v>480</v>
      </c>
      <c r="AX30" s="33">
        <f>IF(AU30="","",Hoja1!BH40)</f>
        <v>0.19556799870582997</v>
      </c>
      <c r="AY30" s="33">
        <f t="shared" si="24"/>
        <v>33.689759909408096</v>
      </c>
      <c r="AZ30" s="33">
        <f t="shared" si="1"/>
        <v>513.68975990940805</v>
      </c>
      <c r="BB30" s="49"/>
      <c r="BC30" s="51"/>
      <c r="BD30" s="51"/>
      <c r="BE30" s="51"/>
      <c r="BF30" s="50"/>
    </row>
    <row r="31" spans="11:58" x14ac:dyDescent="0.25">
      <c r="K31" s="41">
        <f>+Hoja1!S41</f>
        <v>29</v>
      </c>
      <c r="L31" s="41">
        <f>+Hoja1!T41</f>
        <v>15</v>
      </c>
      <c r="M31" s="41">
        <f>+Hoja1!U41</f>
        <v>379.12557786076701</v>
      </c>
      <c r="N31" s="41">
        <f t="shared" si="25"/>
        <v>1</v>
      </c>
      <c r="O31" s="41">
        <f t="shared" si="26"/>
        <v>1</v>
      </c>
      <c r="P31" s="41">
        <f t="shared" si="27"/>
        <v>1</v>
      </c>
      <c r="Q31" s="41">
        <f t="shared" si="3"/>
        <v>3</v>
      </c>
      <c r="R31" s="31">
        <f>+MAX(AK$3:AK30)</f>
        <v>401.83404322232434</v>
      </c>
      <c r="S31" s="31">
        <f>+MAX(AL$3:AL30)</f>
        <v>398.29016888165415</v>
      </c>
      <c r="T31" s="31">
        <f>+MAX(AM$3:AM30)</f>
        <v>396.07157594414298</v>
      </c>
      <c r="U31" s="31">
        <f>+Hoja1!AR41</f>
        <v>0.84225538325628746</v>
      </c>
      <c r="V31" s="41" t="str">
        <f t="shared" si="4"/>
        <v/>
      </c>
      <c r="W31" s="41" t="str">
        <f t="shared" si="28"/>
        <v/>
      </c>
      <c r="X31" s="41" t="str">
        <f t="shared" si="5"/>
        <v/>
      </c>
      <c r="Y31" s="41" t="str">
        <f t="shared" si="6"/>
        <v/>
      </c>
      <c r="Z31" s="41" t="str">
        <f t="shared" si="34"/>
        <v/>
      </c>
      <c r="AA31" s="41" t="str">
        <f t="shared" si="8"/>
        <v/>
      </c>
      <c r="AB31" s="42" t="str">
        <f t="shared" si="9"/>
        <v/>
      </c>
      <c r="AC31" s="41">
        <f t="shared" si="10"/>
        <v>3</v>
      </c>
      <c r="AD31" s="41">
        <f t="shared" si="11"/>
        <v>3</v>
      </c>
      <c r="AE31" s="41" t="str">
        <f t="shared" si="29"/>
        <v/>
      </c>
      <c r="AF31" s="41" t="str">
        <f t="shared" si="30"/>
        <v/>
      </c>
      <c r="AG31" s="41">
        <f t="shared" si="31"/>
        <v>396.07157594414298</v>
      </c>
      <c r="AH31" s="41">
        <f t="shared" si="12"/>
        <v>396.07157594414298</v>
      </c>
      <c r="AI31" s="31">
        <f>Hoja1!AE41</f>
        <v>0.62920254753931215</v>
      </c>
      <c r="AJ31" s="31">
        <f t="shared" si="13"/>
        <v>4.831411463926905</v>
      </c>
      <c r="AK31" s="31" t="str">
        <f t="shared" si="14"/>
        <v/>
      </c>
      <c r="AL31" s="31" t="str">
        <f t="shared" si="15"/>
        <v/>
      </c>
      <c r="AM31" s="31">
        <f t="shared" si="16"/>
        <v>400.90298740806986</v>
      </c>
      <c r="AN31" s="31">
        <f t="shared" si="17"/>
        <v>400.90298740806986</v>
      </c>
      <c r="AO31" s="25" t="str">
        <f t="shared" si="18"/>
        <v>A tiempo</v>
      </c>
      <c r="AP31" s="25" t="str">
        <f t="shared" si="19"/>
        <v/>
      </c>
      <c r="AQ31" s="25" t="str">
        <f t="shared" si="20"/>
        <v/>
      </c>
      <c r="AR31" s="25" t="str">
        <f t="shared" si="21"/>
        <v>Corro</v>
      </c>
      <c r="AU31" s="25">
        <f t="shared" si="22"/>
        <v>29</v>
      </c>
      <c r="AV31" s="25">
        <f t="shared" si="23"/>
        <v>15</v>
      </c>
      <c r="AW31" s="25">
        <f t="shared" si="32"/>
        <v>480</v>
      </c>
      <c r="AX31" s="33">
        <f>IF(AU31="","",Hoja1!BH41)</f>
        <v>0.29668462699305875</v>
      </c>
      <c r="AY31" s="33">
        <f t="shared" si="24"/>
        <v>40.767923889514108</v>
      </c>
      <c r="AZ31" s="33">
        <f t="shared" si="1"/>
        <v>520.76792388951412</v>
      </c>
      <c r="BB31" s="49"/>
      <c r="BC31" s="51" t="s">
        <v>132</v>
      </c>
      <c r="BD31" s="51">
        <f>+COUNTIF(AZ3:AZ102,"&gt;540")</f>
        <v>38</v>
      </c>
      <c r="BE31" s="51"/>
      <c r="BF31" s="50"/>
    </row>
    <row r="32" spans="11:58" x14ac:dyDescent="0.25">
      <c r="K32" s="41">
        <f>+Hoja1!S42</f>
        <v>30</v>
      </c>
      <c r="L32" s="41">
        <f>+Hoja1!T42</f>
        <v>15</v>
      </c>
      <c r="M32" s="41">
        <f>+Hoja1!U42</f>
        <v>379.12557786076701</v>
      </c>
      <c r="N32" s="41">
        <f t="shared" si="25"/>
        <v>1</v>
      </c>
      <c r="O32" s="41">
        <f t="shared" si="26"/>
        <v>1</v>
      </c>
      <c r="P32" s="41">
        <f t="shared" si="27"/>
        <v>1</v>
      </c>
      <c r="Q32" s="41">
        <f t="shared" si="3"/>
        <v>3</v>
      </c>
      <c r="R32" s="31">
        <f>+MAX(AK$3:AK31)</f>
        <v>401.83404322232434</v>
      </c>
      <c r="S32" s="31">
        <f>+MAX(AL$3:AL31)</f>
        <v>398.29016888165415</v>
      </c>
      <c r="T32" s="31">
        <f>+MAX(AM$3:AM31)</f>
        <v>400.90298740806986</v>
      </c>
      <c r="U32" s="31">
        <f>+Hoja1!AR42</f>
        <v>0.1042623205819474</v>
      </c>
      <c r="V32" s="41" t="str">
        <f t="shared" si="4"/>
        <v/>
      </c>
      <c r="W32" s="41" t="str">
        <f t="shared" si="28"/>
        <v/>
      </c>
      <c r="X32" s="41" t="str">
        <f t="shared" si="5"/>
        <v/>
      </c>
      <c r="Y32" s="41" t="str">
        <f t="shared" si="6"/>
        <v/>
      </c>
      <c r="Z32" s="41" t="str">
        <f t="shared" si="34"/>
        <v/>
      </c>
      <c r="AA32" s="41" t="str">
        <f t="shared" si="8"/>
        <v/>
      </c>
      <c r="AB32" s="42" t="str">
        <f t="shared" si="9"/>
        <v/>
      </c>
      <c r="AC32" s="41">
        <f t="shared" si="10"/>
        <v>2</v>
      </c>
      <c r="AD32" s="41">
        <f t="shared" si="11"/>
        <v>2</v>
      </c>
      <c r="AE32" s="41" t="str">
        <f t="shared" si="29"/>
        <v/>
      </c>
      <c r="AF32" s="41">
        <f t="shared" si="30"/>
        <v>398.29016888165415</v>
      </c>
      <c r="AG32" s="41" t="str">
        <f t="shared" si="31"/>
        <v/>
      </c>
      <c r="AH32" s="41">
        <f t="shared" si="12"/>
        <v>398.29016888165415</v>
      </c>
      <c r="AI32" s="31">
        <f>Hoja1!AE42</f>
        <v>0.54119707930578842</v>
      </c>
      <c r="AJ32" s="31">
        <f t="shared" si="13"/>
        <v>4.4353868568760477</v>
      </c>
      <c r="AK32" s="31" t="str">
        <f t="shared" si="14"/>
        <v/>
      </c>
      <c r="AL32" s="31">
        <f t="shared" si="15"/>
        <v>402.7255557385302</v>
      </c>
      <c r="AM32" s="31" t="str">
        <f t="shared" si="16"/>
        <v/>
      </c>
      <c r="AN32" s="31">
        <f t="shared" si="17"/>
        <v>402.7255557385302</v>
      </c>
      <c r="AO32" s="25" t="str">
        <f t="shared" si="18"/>
        <v>A tiempo</v>
      </c>
      <c r="AP32" s="25" t="str">
        <f t="shared" si="19"/>
        <v/>
      </c>
      <c r="AQ32" s="25" t="str">
        <f t="shared" si="20"/>
        <v/>
      </c>
      <c r="AR32" s="25" t="str">
        <f t="shared" si="21"/>
        <v>Corro</v>
      </c>
      <c r="AU32" s="25">
        <f t="shared" si="22"/>
        <v>30</v>
      </c>
      <c r="AV32" s="25">
        <f t="shared" si="23"/>
        <v>15</v>
      </c>
      <c r="AW32" s="25">
        <f t="shared" si="32"/>
        <v>480</v>
      </c>
      <c r="AX32" s="33">
        <f>IF(AU32="","",Hoja1!BH42)</f>
        <v>0.6047131515277796</v>
      </c>
      <c r="AY32" s="33">
        <f t="shared" si="24"/>
        <v>62.329920606944569</v>
      </c>
      <c r="AZ32" s="33">
        <f t="shared" si="1"/>
        <v>542.3299206069446</v>
      </c>
      <c r="BB32" s="49"/>
      <c r="BC32" s="51"/>
      <c r="BD32" s="51"/>
      <c r="BE32" s="51"/>
      <c r="BF32" s="50"/>
    </row>
    <row r="33" spans="11:58" x14ac:dyDescent="0.25">
      <c r="K33" s="41">
        <f>+Hoja1!S43</f>
        <v>31</v>
      </c>
      <c r="L33" s="41">
        <f>+Hoja1!T43</f>
        <v>15</v>
      </c>
      <c r="M33" s="41">
        <f>+Hoja1!U43</f>
        <v>379.12557786076701</v>
      </c>
      <c r="N33" s="41">
        <f t="shared" si="25"/>
        <v>1</v>
      </c>
      <c r="O33" s="41">
        <f t="shared" si="26"/>
        <v>1</v>
      </c>
      <c r="P33" s="41">
        <f t="shared" si="27"/>
        <v>1</v>
      </c>
      <c r="Q33" s="41">
        <f t="shared" si="3"/>
        <v>3</v>
      </c>
      <c r="R33" s="31">
        <f>+MAX(AK$3:AK32)</f>
        <v>401.83404322232434</v>
      </c>
      <c r="S33" s="31">
        <f>+MAX(AL$3:AL32)</f>
        <v>402.7255557385302</v>
      </c>
      <c r="T33" s="31">
        <f>+MAX(AM$3:AM32)</f>
        <v>400.90298740806986</v>
      </c>
      <c r="U33" s="31">
        <f>+Hoja1!AR43</f>
        <v>0.57243232339705841</v>
      </c>
      <c r="V33" s="41" t="str">
        <f t="shared" si="4"/>
        <v/>
      </c>
      <c r="W33" s="41" t="str">
        <f t="shared" si="28"/>
        <v/>
      </c>
      <c r="X33" s="41" t="str">
        <f t="shared" si="5"/>
        <v/>
      </c>
      <c r="Y33" s="41" t="str">
        <f t="shared" si="6"/>
        <v/>
      </c>
      <c r="Z33" s="41" t="str">
        <f t="shared" si="34"/>
        <v/>
      </c>
      <c r="AA33" s="41" t="str">
        <f t="shared" si="8"/>
        <v/>
      </c>
      <c r="AB33" s="42" t="str">
        <f t="shared" si="9"/>
        <v/>
      </c>
      <c r="AC33" s="41">
        <f t="shared" si="10"/>
        <v>3</v>
      </c>
      <c r="AD33" s="41">
        <f t="shared" si="11"/>
        <v>3</v>
      </c>
      <c r="AE33" s="41" t="str">
        <f t="shared" si="29"/>
        <v/>
      </c>
      <c r="AF33" s="41" t="str">
        <f t="shared" si="30"/>
        <v/>
      </c>
      <c r="AG33" s="41">
        <f t="shared" si="31"/>
        <v>400.90298740806986</v>
      </c>
      <c r="AH33" s="41">
        <f t="shared" si="12"/>
        <v>400.90298740806986</v>
      </c>
      <c r="AI33" s="31">
        <f>Hoja1!AE43</f>
        <v>0.12908760530802355</v>
      </c>
      <c r="AJ33" s="31">
        <f t="shared" si="13"/>
        <v>2.5808942238861059</v>
      </c>
      <c r="AK33" s="31" t="str">
        <f t="shared" si="14"/>
        <v/>
      </c>
      <c r="AL33" s="31" t="str">
        <f t="shared" si="15"/>
        <v/>
      </c>
      <c r="AM33" s="31">
        <f t="shared" si="16"/>
        <v>403.48388163195597</v>
      </c>
      <c r="AN33" s="31">
        <f t="shared" si="17"/>
        <v>403.48388163195597</v>
      </c>
      <c r="AO33" s="25" t="str">
        <f t="shared" si="18"/>
        <v>A tiempo</v>
      </c>
      <c r="AP33" s="25" t="str">
        <f t="shared" si="19"/>
        <v/>
      </c>
      <c r="AQ33" s="25" t="str">
        <f t="shared" si="20"/>
        <v/>
      </c>
      <c r="AR33" s="25" t="str">
        <f t="shared" si="21"/>
        <v>Corro</v>
      </c>
      <c r="AU33" s="25">
        <f t="shared" si="22"/>
        <v>31</v>
      </c>
      <c r="AV33" s="25">
        <f t="shared" si="23"/>
        <v>15</v>
      </c>
      <c r="AW33" s="25">
        <f t="shared" si="32"/>
        <v>480</v>
      </c>
      <c r="AX33" s="33">
        <f>IF(AU33="","",Hoja1!BH43)</f>
        <v>0.90295965660764033</v>
      </c>
      <c r="AY33" s="33">
        <f t="shared" si="24"/>
        <v>83.207175962534819</v>
      </c>
      <c r="AZ33" s="33">
        <f t="shared" si="1"/>
        <v>563.20717596253485</v>
      </c>
      <c r="BB33" s="71" t="str">
        <f>+"El numero de corredores que termino despues de las 9 es: "&amp;BD31</f>
        <v>El numero de corredores que termino despues de las 9 es: 38</v>
      </c>
      <c r="BC33" s="72"/>
      <c r="BD33" s="72"/>
      <c r="BE33" s="72"/>
      <c r="BF33" s="73"/>
    </row>
    <row r="34" spans="11:58" ht="15.75" thickBot="1" x14ac:dyDescent="0.3">
      <c r="K34" s="41">
        <f>+Hoja1!S44</f>
        <v>32</v>
      </c>
      <c r="L34" s="41">
        <f>+Hoja1!T44</f>
        <v>16</v>
      </c>
      <c r="M34" s="41">
        <f>+Hoja1!U44</f>
        <v>380.46135280567006</v>
      </c>
      <c r="N34" s="41">
        <f t="shared" si="25"/>
        <v>1</v>
      </c>
      <c r="O34" s="41">
        <f t="shared" si="26"/>
        <v>1</v>
      </c>
      <c r="P34" s="41">
        <f t="shared" si="27"/>
        <v>1</v>
      </c>
      <c r="Q34" s="41">
        <f t="shared" si="3"/>
        <v>3</v>
      </c>
      <c r="R34" s="31">
        <f>+MAX(AK$3:AK33)</f>
        <v>401.83404322232434</v>
      </c>
      <c r="S34" s="31">
        <f>+MAX(AL$3:AL33)</f>
        <v>402.7255557385302</v>
      </c>
      <c r="T34" s="31">
        <f>+MAX(AM$3:AM33)</f>
        <v>403.48388163195597</v>
      </c>
      <c r="U34" s="31">
        <f>+Hoja1!AR44</f>
        <v>0.62702873639952372</v>
      </c>
      <c r="V34" s="41" t="str">
        <f t="shared" si="4"/>
        <v/>
      </c>
      <c r="W34" s="41" t="str">
        <f t="shared" si="28"/>
        <v/>
      </c>
      <c r="X34" s="41" t="str">
        <f t="shared" si="5"/>
        <v/>
      </c>
      <c r="Y34" s="41" t="str">
        <f t="shared" si="6"/>
        <v/>
      </c>
      <c r="Z34" s="41" t="str">
        <f t="shared" si="34"/>
        <v/>
      </c>
      <c r="AA34" s="41" t="str">
        <f t="shared" si="8"/>
        <v/>
      </c>
      <c r="AB34" s="42" t="str">
        <f t="shared" si="9"/>
        <v/>
      </c>
      <c r="AC34" s="41">
        <f t="shared" si="10"/>
        <v>1</v>
      </c>
      <c r="AD34" s="41">
        <f t="shared" si="11"/>
        <v>1</v>
      </c>
      <c r="AE34" s="41">
        <f t="shared" si="29"/>
        <v>401.83404322232434</v>
      </c>
      <c r="AF34" s="41" t="str">
        <f t="shared" si="30"/>
        <v/>
      </c>
      <c r="AG34" s="41" t="str">
        <f t="shared" si="31"/>
        <v/>
      </c>
      <c r="AH34" s="41">
        <f t="shared" si="12"/>
        <v>401.83404322232434</v>
      </c>
      <c r="AI34" s="31">
        <f>Hoja1!AE44</f>
        <v>0.4966758711643855</v>
      </c>
      <c r="AJ34" s="31">
        <f t="shared" si="13"/>
        <v>4.2350414202397353</v>
      </c>
      <c r="AK34" s="31">
        <f t="shared" si="14"/>
        <v>406.06908464256406</v>
      </c>
      <c r="AL34" s="31" t="str">
        <f t="shared" si="15"/>
        <v/>
      </c>
      <c r="AM34" s="31" t="str">
        <f t="shared" si="16"/>
        <v/>
      </c>
      <c r="AN34" s="31">
        <f t="shared" si="17"/>
        <v>406.06908464256406</v>
      </c>
      <c r="AO34" s="25" t="str">
        <f t="shared" si="18"/>
        <v>A tiempo</v>
      </c>
      <c r="AP34" s="25" t="str">
        <f t="shared" si="19"/>
        <v/>
      </c>
      <c r="AQ34" s="25" t="str">
        <f t="shared" si="20"/>
        <v/>
      </c>
      <c r="AR34" s="25" t="str">
        <f t="shared" si="21"/>
        <v>Corro</v>
      </c>
      <c r="AU34" s="25">
        <f t="shared" si="22"/>
        <v>32</v>
      </c>
      <c r="AV34" s="25">
        <f t="shared" si="23"/>
        <v>16</v>
      </c>
      <c r="AW34" s="25">
        <f t="shared" si="32"/>
        <v>480</v>
      </c>
      <c r="AX34" s="33">
        <f>IF(AU34="","",Hoja1!BH44)</f>
        <v>0.18017192704603824</v>
      </c>
      <c r="AY34" s="33">
        <f t="shared" si="24"/>
        <v>32.612034893222678</v>
      </c>
      <c r="AZ34" s="33">
        <f t="shared" si="1"/>
        <v>512.6120348932227</v>
      </c>
      <c r="BB34" s="53"/>
      <c r="BC34" s="54"/>
      <c r="BD34" s="54"/>
      <c r="BE34" s="54"/>
      <c r="BF34" s="55"/>
    </row>
    <row r="35" spans="11:58" x14ac:dyDescent="0.25">
      <c r="K35" s="41">
        <f>+Hoja1!S45</f>
        <v>33</v>
      </c>
      <c r="L35" s="41">
        <f>+Hoja1!T45</f>
        <v>17</v>
      </c>
      <c r="M35" s="41">
        <f>+Hoja1!U45</f>
        <v>380.84022658860977</v>
      </c>
      <c r="N35" s="41">
        <f t="shared" si="25"/>
        <v>1</v>
      </c>
      <c r="O35" s="41">
        <f t="shared" si="26"/>
        <v>1</v>
      </c>
      <c r="P35" s="41">
        <f t="shared" si="27"/>
        <v>1</v>
      </c>
      <c r="Q35" s="41">
        <f t="shared" si="3"/>
        <v>3</v>
      </c>
      <c r="R35" s="31">
        <f>+MAX(AK$3:AK34)</f>
        <v>406.06908464256406</v>
      </c>
      <c r="S35" s="31">
        <f>+MAX(AL$3:AL34)</f>
        <v>402.7255557385302</v>
      </c>
      <c r="T35" s="31">
        <f>+MAX(AM$3:AM34)</f>
        <v>403.48388163195597</v>
      </c>
      <c r="U35" s="31">
        <f>+Hoja1!AR45</f>
        <v>1.578000204087604E-2</v>
      </c>
      <c r="V35" s="41" t="str">
        <f t="shared" si="4"/>
        <v/>
      </c>
      <c r="W35" s="41" t="str">
        <f t="shared" si="28"/>
        <v/>
      </c>
      <c r="X35" s="41" t="str">
        <f t="shared" si="5"/>
        <v/>
      </c>
      <c r="Y35" s="41" t="str">
        <f t="shared" si="6"/>
        <v/>
      </c>
      <c r="Z35" s="41" t="str">
        <f t="shared" si="34"/>
        <v/>
      </c>
      <c r="AA35" s="41" t="str">
        <f t="shared" si="8"/>
        <v/>
      </c>
      <c r="AB35" s="42" t="str">
        <f t="shared" si="9"/>
        <v/>
      </c>
      <c r="AC35" s="41">
        <f t="shared" si="10"/>
        <v>2</v>
      </c>
      <c r="AD35" s="41">
        <f t="shared" si="11"/>
        <v>2</v>
      </c>
      <c r="AE35" s="41" t="str">
        <f t="shared" si="29"/>
        <v/>
      </c>
      <c r="AF35" s="41">
        <f t="shared" si="30"/>
        <v>402.7255557385302</v>
      </c>
      <c r="AG35" s="41" t="str">
        <f t="shared" si="31"/>
        <v/>
      </c>
      <c r="AH35" s="41">
        <f t="shared" si="12"/>
        <v>402.7255557385302</v>
      </c>
      <c r="AI35" s="31">
        <f>Hoja1!AE45</f>
        <v>0.62752926843440637</v>
      </c>
      <c r="AJ35" s="31">
        <f t="shared" si="13"/>
        <v>4.8238817079548291</v>
      </c>
      <c r="AK35" s="31" t="str">
        <f t="shared" si="14"/>
        <v/>
      </c>
      <c r="AL35" s="31">
        <f t="shared" si="15"/>
        <v>407.54943744648506</v>
      </c>
      <c r="AM35" s="31" t="str">
        <f t="shared" si="16"/>
        <v/>
      </c>
      <c r="AN35" s="31">
        <f t="shared" si="17"/>
        <v>407.54943744648506</v>
      </c>
      <c r="AO35" s="25" t="str">
        <f t="shared" si="18"/>
        <v>A tiempo</v>
      </c>
      <c r="AP35" s="25" t="str">
        <f t="shared" si="19"/>
        <v/>
      </c>
      <c r="AQ35" s="25" t="str">
        <f t="shared" si="20"/>
        <v/>
      </c>
      <c r="AR35" s="25" t="str">
        <f t="shared" si="21"/>
        <v>Corro</v>
      </c>
      <c r="AU35" s="25">
        <f t="shared" si="22"/>
        <v>33</v>
      </c>
      <c r="AV35" s="25">
        <f t="shared" si="23"/>
        <v>17</v>
      </c>
      <c r="AW35" s="25">
        <f t="shared" si="32"/>
        <v>480</v>
      </c>
      <c r="AX35" s="33">
        <f>IF(AU35="","",Hoja1!BH45)</f>
        <v>0.68961748069970208</v>
      </c>
      <c r="AY35" s="33">
        <f t="shared" si="24"/>
        <v>68.273223648979155</v>
      </c>
      <c r="AZ35" s="33">
        <f t="shared" si="1"/>
        <v>548.27322364897918</v>
      </c>
    </row>
    <row r="36" spans="11:58" x14ac:dyDescent="0.25">
      <c r="K36" s="41">
        <f>+Hoja1!S46</f>
        <v>34</v>
      </c>
      <c r="L36" s="41">
        <f>+Hoja1!T46</f>
        <v>17</v>
      </c>
      <c r="M36" s="41">
        <f>+Hoja1!U46</f>
        <v>380.84022658860977</v>
      </c>
      <c r="N36" s="41">
        <f t="shared" si="25"/>
        <v>1</v>
      </c>
      <c r="O36" s="41">
        <f t="shared" si="26"/>
        <v>1</v>
      </c>
      <c r="P36" s="41">
        <f t="shared" si="27"/>
        <v>1</v>
      </c>
      <c r="Q36" s="41">
        <f t="shared" si="3"/>
        <v>3</v>
      </c>
      <c r="R36" s="31">
        <f>+MAX(AK$3:AK35)</f>
        <v>406.06908464256406</v>
      </c>
      <c r="S36" s="31">
        <f>+MAX(AL$3:AL35)</f>
        <v>407.54943744648506</v>
      </c>
      <c r="T36" s="31">
        <f>+MAX(AM$3:AM35)</f>
        <v>403.48388163195597</v>
      </c>
      <c r="U36" s="31">
        <f>+Hoja1!AR46</f>
        <v>0.27570414236152674</v>
      </c>
      <c r="V36" s="41" t="str">
        <f t="shared" si="4"/>
        <v/>
      </c>
      <c r="W36" s="41" t="str">
        <f t="shared" si="28"/>
        <v/>
      </c>
      <c r="X36" s="41" t="str">
        <f t="shared" si="5"/>
        <v/>
      </c>
      <c r="Y36" s="41" t="str">
        <f t="shared" si="6"/>
        <v/>
      </c>
      <c r="Z36" s="41" t="str">
        <f t="shared" si="34"/>
        <v/>
      </c>
      <c r="AA36" s="41" t="str">
        <f t="shared" si="8"/>
        <v/>
      </c>
      <c r="AB36" s="42" t="str">
        <f t="shared" si="9"/>
        <v/>
      </c>
      <c r="AC36" s="41">
        <f t="shared" si="10"/>
        <v>3</v>
      </c>
      <c r="AD36" s="41">
        <f t="shared" si="11"/>
        <v>3</v>
      </c>
      <c r="AE36" s="41" t="str">
        <f t="shared" si="29"/>
        <v/>
      </c>
      <c r="AF36" s="41" t="str">
        <f t="shared" si="30"/>
        <v/>
      </c>
      <c r="AG36" s="41">
        <f t="shared" si="31"/>
        <v>403.48388163195597</v>
      </c>
      <c r="AH36" s="41">
        <f t="shared" si="12"/>
        <v>403.48388163195597</v>
      </c>
      <c r="AI36" s="31">
        <f>Hoja1!AE46</f>
        <v>0.85888536070944588</v>
      </c>
      <c r="AJ36" s="31">
        <f t="shared" si="13"/>
        <v>5.8649841231925066</v>
      </c>
      <c r="AK36" s="31" t="str">
        <f t="shared" si="14"/>
        <v/>
      </c>
      <c r="AL36" s="31" t="str">
        <f t="shared" si="15"/>
        <v/>
      </c>
      <c r="AM36" s="31">
        <f t="shared" si="16"/>
        <v>409.34886575514849</v>
      </c>
      <c r="AN36" s="31">
        <f t="shared" si="17"/>
        <v>409.34886575514849</v>
      </c>
      <c r="AO36" s="25" t="str">
        <f t="shared" si="18"/>
        <v>A tiempo</v>
      </c>
      <c r="AP36" s="25" t="str">
        <f t="shared" si="19"/>
        <v/>
      </c>
      <c r="AQ36" s="25" t="str">
        <f t="shared" si="20"/>
        <v/>
      </c>
      <c r="AR36" s="25" t="str">
        <f t="shared" si="21"/>
        <v>Corro</v>
      </c>
      <c r="AU36" s="25">
        <f t="shared" si="22"/>
        <v>34</v>
      </c>
      <c r="AV36" s="25">
        <f t="shared" si="23"/>
        <v>17</v>
      </c>
      <c r="AW36" s="25">
        <f t="shared" si="32"/>
        <v>480</v>
      </c>
      <c r="AX36" s="33">
        <f>IF(AU36="","",Hoja1!BH46)</f>
        <v>0.43589542897235678</v>
      </c>
      <c r="AY36" s="33">
        <f t="shared" si="24"/>
        <v>50.512680028064977</v>
      </c>
      <c r="AZ36" s="33">
        <f t="shared" si="1"/>
        <v>530.51268002806501</v>
      </c>
    </row>
    <row r="37" spans="11:58" x14ac:dyDescent="0.25">
      <c r="K37" s="41">
        <f>+Hoja1!S47</f>
        <v>35</v>
      </c>
      <c r="L37" s="41">
        <f>+Hoja1!T47</f>
        <v>18</v>
      </c>
      <c r="M37" s="41">
        <f>+Hoja1!U47</f>
        <v>380.99535405668814</v>
      </c>
      <c r="N37" s="41">
        <f t="shared" si="25"/>
        <v>1</v>
      </c>
      <c r="O37" s="41">
        <f t="shared" si="26"/>
        <v>1</v>
      </c>
      <c r="P37" s="41">
        <f t="shared" si="27"/>
        <v>1</v>
      </c>
      <c r="Q37" s="41">
        <f t="shared" si="3"/>
        <v>3</v>
      </c>
      <c r="R37" s="31">
        <f>+MAX(AK$3:AK36)</f>
        <v>406.06908464256406</v>
      </c>
      <c r="S37" s="31">
        <f>+MAX(AL$3:AL36)</f>
        <v>407.54943744648506</v>
      </c>
      <c r="T37" s="31">
        <f>+MAX(AM$3:AM36)</f>
        <v>409.34886575514849</v>
      </c>
      <c r="U37" s="31">
        <f>+Hoja1!AR47</f>
        <v>0.17638257049843131</v>
      </c>
      <c r="V37" s="41" t="str">
        <f t="shared" si="4"/>
        <v/>
      </c>
      <c r="W37" s="41" t="str">
        <f t="shared" si="28"/>
        <v/>
      </c>
      <c r="X37" s="41" t="str">
        <f t="shared" si="5"/>
        <v/>
      </c>
      <c r="Y37" s="41" t="str">
        <f t="shared" si="6"/>
        <v/>
      </c>
      <c r="Z37" s="41" t="str">
        <f t="shared" si="34"/>
        <v/>
      </c>
      <c r="AA37" s="41" t="str">
        <f t="shared" si="8"/>
        <v/>
      </c>
      <c r="AB37" s="42" t="str">
        <f t="shared" si="9"/>
        <v/>
      </c>
      <c r="AC37" s="41">
        <f t="shared" si="10"/>
        <v>1</v>
      </c>
      <c r="AD37" s="41">
        <f t="shared" si="11"/>
        <v>1</v>
      </c>
      <c r="AE37" s="41">
        <f t="shared" si="29"/>
        <v>406.06908464256406</v>
      </c>
      <c r="AF37" s="41" t="str">
        <f t="shared" si="30"/>
        <v/>
      </c>
      <c r="AG37" s="41" t="str">
        <f t="shared" si="31"/>
        <v/>
      </c>
      <c r="AH37" s="41">
        <f t="shared" si="12"/>
        <v>406.06908464256406</v>
      </c>
      <c r="AI37" s="31">
        <f>Hoja1!AE47</f>
        <v>0.24220643459130353</v>
      </c>
      <c r="AJ37" s="31">
        <f t="shared" si="13"/>
        <v>3.089928955660866</v>
      </c>
      <c r="AK37" s="31">
        <f t="shared" si="14"/>
        <v>409.15901359822493</v>
      </c>
      <c r="AL37" s="31" t="str">
        <f t="shared" si="15"/>
        <v/>
      </c>
      <c r="AM37" s="31" t="str">
        <f t="shared" si="16"/>
        <v/>
      </c>
      <c r="AN37" s="31">
        <f t="shared" si="17"/>
        <v>409.15901359822493</v>
      </c>
      <c r="AO37" s="25" t="str">
        <f t="shared" si="18"/>
        <v>A tiempo</v>
      </c>
      <c r="AP37" s="25" t="str">
        <f t="shared" si="19"/>
        <v/>
      </c>
      <c r="AQ37" s="25" t="str">
        <f t="shared" si="20"/>
        <v/>
      </c>
      <c r="AR37" s="25" t="str">
        <f t="shared" si="21"/>
        <v>Corro</v>
      </c>
      <c r="AU37" s="25">
        <f t="shared" si="22"/>
        <v>35</v>
      </c>
      <c r="AV37" s="25">
        <f t="shared" si="23"/>
        <v>18</v>
      </c>
      <c r="AW37" s="25">
        <f t="shared" si="32"/>
        <v>480</v>
      </c>
      <c r="AX37" s="33">
        <f>IF(AU37="","",Hoja1!BH47)</f>
        <v>8.624868609772196E-2</v>
      </c>
      <c r="AY37" s="33">
        <f t="shared" si="24"/>
        <v>26.037408026840538</v>
      </c>
      <c r="AZ37" s="33">
        <f t="shared" si="1"/>
        <v>506.03740802684052</v>
      </c>
    </row>
    <row r="38" spans="11:58" x14ac:dyDescent="0.25">
      <c r="K38" s="41">
        <f>+Hoja1!S48</f>
        <v>36</v>
      </c>
      <c r="L38" s="41">
        <f>+Hoja1!T48</f>
        <v>19</v>
      </c>
      <c r="M38" s="41">
        <f>+Hoja1!U48</f>
        <v>381.84271379266585</v>
      </c>
      <c r="N38" s="41">
        <f t="shared" si="25"/>
        <v>1</v>
      </c>
      <c r="O38" s="41">
        <f t="shared" si="26"/>
        <v>1</v>
      </c>
      <c r="P38" s="41">
        <f t="shared" si="27"/>
        <v>1</v>
      </c>
      <c r="Q38" s="41">
        <f t="shared" si="3"/>
        <v>3</v>
      </c>
      <c r="R38" s="31">
        <f>+MAX(AK$3:AK37)</f>
        <v>409.15901359822493</v>
      </c>
      <c r="S38" s="31">
        <f>+MAX(AL$3:AL37)</f>
        <v>407.54943744648506</v>
      </c>
      <c r="T38" s="31">
        <f>+MAX(AM$3:AM37)</f>
        <v>409.34886575514849</v>
      </c>
      <c r="U38" s="31">
        <f>+Hoja1!AR48</f>
        <v>8.9456143268569766E-2</v>
      </c>
      <c r="V38" s="41" t="str">
        <f t="shared" si="4"/>
        <v/>
      </c>
      <c r="W38" s="41" t="str">
        <f t="shared" si="28"/>
        <v/>
      </c>
      <c r="X38" s="41" t="str">
        <f t="shared" si="5"/>
        <v/>
      </c>
      <c r="Y38" s="41" t="str">
        <f t="shared" si="6"/>
        <v/>
      </c>
      <c r="Z38" s="41" t="str">
        <f t="shared" si="34"/>
        <v/>
      </c>
      <c r="AA38" s="41" t="str">
        <f t="shared" si="8"/>
        <v/>
      </c>
      <c r="AB38" s="42" t="str">
        <f t="shared" si="9"/>
        <v/>
      </c>
      <c r="AC38" s="41">
        <f t="shared" si="10"/>
        <v>2</v>
      </c>
      <c r="AD38" s="41">
        <f t="shared" si="11"/>
        <v>2</v>
      </c>
      <c r="AE38" s="41" t="str">
        <f t="shared" si="29"/>
        <v/>
      </c>
      <c r="AF38" s="41">
        <f t="shared" si="30"/>
        <v>407.54943744648506</v>
      </c>
      <c r="AG38" s="41" t="str">
        <f t="shared" si="31"/>
        <v/>
      </c>
      <c r="AH38" s="41">
        <f t="shared" si="12"/>
        <v>407.54943744648506</v>
      </c>
      <c r="AI38" s="31">
        <f>Hoja1!AE48</f>
        <v>0.78188275846061184</v>
      </c>
      <c r="AJ38" s="31">
        <f t="shared" si="13"/>
        <v>5.5184724130727538</v>
      </c>
      <c r="AK38" s="31" t="str">
        <f t="shared" si="14"/>
        <v/>
      </c>
      <c r="AL38" s="31">
        <f t="shared" si="15"/>
        <v>413.0679098595578</v>
      </c>
      <c r="AM38" s="31" t="str">
        <f t="shared" si="16"/>
        <v/>
      </c>
      <c r="AN38" s="31">
        <f t="shared" si="17"/>
        <v>413.0679098595578</v>
      </c>
      <c r="AO38" s="25" t="str">
        <f t="shared" si="18"/>
        <v>A tiempo</v>
      </c>
      <c r="AP38" s="25" t="str">
        <f t="shared" si="19"/>
        <v/>
      </c>
      <c r="AQ38" s="25" t="str">
        <f t="shared" si="20"/>
        <v/>
      </c>
      <c r="AR38" s="25" t="str">
        <f t="shared" si="21"/>
        <v>Corro</v>
      </c>
      <c r="AU38" s="25">
        <f t="shared" si="22"/>
        <v>36</v>
      </c>
      <c r="AV38" s="25">
        <f t="shared" si="23"/>
        <v>19</v>
      </c>
      <c r="AW38" s="25">
        <f t="shared" si="32"/>
        <v>480</v>
      </c>
      <c r="AX38" s="33">
        <f>IF(AU38="","",Hoja1!BH48)</f>
        <v>9.5980777354899405E-2</v>
      </c>
      <c r="AY38" s="33">
        <f t="shared" si="24"/>
        <v>26.718654414842959</v>
      </c>
      <c r="AZ38" s="33">
        <f t="shared" si="1"/>
        <v>506.71865441484294</v>
      </c>
    </row>
    <row r="39" spans="11:58" x14ac:dyDescent="0.25">
      <c r="K39" s="41">
        <f>+Hoja1!S49</f>
        <v>37</v>
      </c>
      <c r="L39" s="41">
        <f>+Hoja1!T49</f>
        <v>19</v>
      </c>
      <c r="M39" s="41">
        <f>+Hoja1!U49</f>
        <v>381.84271379266585</v>
      </c>
      <c r="N39" s="41">
        <f t="shared" si="25"/>
        <v>1</v>
      </c>
      <c r="O39" s="41">
        <f t="shared" si="26"/>
        <v>1</v>
      </c>
      <c r="P39" s="41">
        <f t="shared" si="27"/>
        <v>1</v>
      </c>
      <c r="Q39" s="41">
        <f t="shared" si="3"/>
        <v>3</v>
      </c>
      <c r="R39" s="31">
        <f>+MAX(AK$3:AK38)</f>
        <v>409.15901359822493</v>
      </c>
      <c r="S39" s="31">
        <f>+MAX(AL$3:AL38)</f>
        <v>413.0679098595578</v>
      </c>
      <c r="T39" s="31">
        <f>+MAX(AM$3:AM38)</f>
        <v>409.34886575514849</v>
      </c>
      <c r="U39" s="31">
        <f>+Hoja1!AR49</f>
        <v>0.78801420463725802</v>
      </c>
      <c r="V39" s="41" t="str">
        <f t="shared" si="4"/>
        <v/>
      </c>
      <c r="W39" s="41" t="str">
        <f t="shared" si="28"/>
        <v/>
      </c>
      <c r="X39" s="41" t="str">
        <f t="shared" si="5"/>
        <v/>
      </c>
      <c r="Y39" s="41" t="str">
        <f t="shared" si="6"/>
        <v/>
      </c>
      <c r="Z39" s="41" t="str">
        <f t="shared" si="34"/>
        <v/>
      </c>
      <c r="AA39" s="41" t="str">
        <f t="shared" si="8"/>
        <v/>
      </c>
      <c r="AB39" s="42" t="str">
        <f t="shared" si="9"/>
        <v/>
      </c>
      <c r="AC39" s="41">
        <f t="shared" si="10"/>
        <v>1</v>
      </c>
      <c r="AD39" s="41">
        <f t="shared" si="11"/>
        <v>1</v>
      </c>
      <c r="AE39" s="41">
        <f t="shared" si="29"/>
        <v>409.15901359822493</v>
      </c>
      <c r="AF39" s="41" t="str">
        <f t="shared" si="30"/>
        <v/>
      </c>
      <c r="AG39" s="41" t="str">
        <f t="shared" si="31"/>
        <v/>
      </c>
      <c r="AH39" s="41">
        <f t="shared" si="12"/>
        <v>409.15901359822493</v>
      </c>
      <c r="AI39" s="31">
        <f>Hoja1!AE49</f>
        <v>9.8746324935633734E-2</v>
      </c>
      <c r="AJ39" s="31">
        <f t="shared" si="13"/>
        <v>2.444358462210352</v>
      </c>
      <c r="AK39" s="31">
        <f t="shared" si="14"/>
        <v>411.60337206043528</v>
      </c>
      <c r="AL39" s="31" t="str">
        <f t="shared" si="15"/>
        <v/>
      </c>
      <c r="AM39" s="31" t="str">
        <f t="shared" si="16"/>
        <v/>
      </c>
      <c r="AN39" s="31">
        <f t="shared" si="17"/>
        <v>411.60337206043528</v>
      </c>
      <c r="AO39" s="25" t="str">
        <f t="shared" si="18"/>
        <v>A tiempo</v>
      </c>
      <c r="AP39" s="25" t="str">
        <f t="shared" si="19"/>
        <v/>
      </c>
      <c r="AQ39" s="25" t="str">
        <f t="shared" si="20"/>
        <v/>
      </c>
      <c r="AR39" s="25" t="str">
        <f t="shared" si="21"/>
        <v>Corro</v>
      </c>
      <c r="AU39" s="25">
        <f t="shared" si="22"/>
        <v>37</v>
      </c>
      <c r="AV39" s="25">
        <f t="shared" si="23"/>
        <v>19</v>
      </c>
      <c r="AW39" s="25">
        <f t="shared" si="32"/>
        <v>480</v>
      </c>
      <c r="AX39" s="33">
        <f>IF(AU39="","",Hoja1!BH49)</f>
        <v>0.24805910139030429</v>
      </c>
      <c r="AY39" s="33">
        <f t="shared" si="24"/>
        <v>37.364137097321304</v>
      </c>
      <c r="AZ39" s="33">
        <f t="shared" si="1"/>
        <v>517.3641370973213</v>
      </c>
    </row>
    <row r="40" spans="11:58" x14ac:dyDescent="0.25">
      <c r="K40" s="41">
        <f>+Hoja1!S50</f>
        <v>38</v>
      </c>
      <c r="L40" s="41">
        <f>+Hoja1!T50</f>
        <v>19</v>
      </c>
      <c r="M40" s="41">
        <f>+Hoja1!U50</f>
        <v>381.84271379266585</v>
      </c>
      <c r="N40" s="41">
        <f t="shared" si="25"/>
        <v>1</v>
      </c>
      <c r="O40" s="41">
        <f t="shared" si="26"/>
        <v>1</v>
      </c>
      <c r="P40" s="41">
        <f t="shared" si="27"/>
        <v>1</v>
      </c>
      <c r="Q40" s="41">
        <f t="shared" si="3"/>
        <v>3</v>
      </c>
      <c r="R40" s="31">
        <f>+MAX(AK$3:AK39)</f>
        <v>411.60337206043528</v>
      </c>
      <c r="S40" s="31">
        <f>+MAX(AL$3:AL39)</f>
        <v>413.0679098595578</v>
      </c>
      <c r="T40" s="31">
        <f>+MAX(AM$3:AM39)</f>
        <v>409.34886575514849</v>
      </c>
      <c r="U40" s="31">
        <f>+Hoja1!AR50</f>
        <v>0.34895947474684508</v>
      </c>
      <c r="V40" s="41" t="str">
        <f t="shared" si="4"/>
        <v/>
      </c>
      <c r="W40" s="41" t="str">
        <f t="shared" si="28"/>
        <v/>
      </c>
      <c r="X40" s="41" t="str">
        <f t="shared" si="5"/>
        <v/>
      </c>
      <c r="Y40" s="41" t="str">
        <f t="shared" si="6"/>
        <v/>
      </c>
      <c r="Z40" s="41" t="str">
        <f t="shared" si="34"/>
        <v/>
      </c>
      <c r="AA40" s="41" t="str">
        <f t="shared" si="8"/>
        <v/>
      </c>
      <c r="AB40" s="42" t="str">
        <f t="shared" si="9"/>
        <v/>
      </c>
      <c r="AC40" s="41">
        <f t="shared" si="10"/>
        <v>3</v>
      </c>
      <c r="AD40" s="41">
        <f t="shared" si="11"/>
        <v>3</v>
      </c>
      <c r="AE40" s="41" t="str">
        <f t="shared" si="29"/>
        <v/>
      </c>
      <c r="AF40" s="41" t="str">
        <f t="shared" si="30"/>
        <v/>
      </c>
      <c r="AG40" s="41">
        <f t="shared" si="31"/>
        <v>409.34886575514849</v>
      </c>
      <c r="AH40" s="41">
        <f t="shared" si="12"/>
        <v>409.34886575514849</v>
      </c>
      <c r="AI40" s="31">
        <f>Hoja1!AE50</f>
        <v>0.61878853080080198</v>
      </c>
      <c r="AJ40" s="31">
        <f t="shared" si="13"/>
        <v>4.7845483886036089</v>
      </c>
      <c r="AK40" s="31" t="str">
        <f t="shared" si="14"/>
        <v/>
      </c>
      <c r="AL40" s="31" t="str">
        <f t="shared" si="15"/>
        <v/>
      </c>
      <c r="AM40" s="31">
        <f t="shared" si="16"/>
        <v>414.13341414375208</v>
      </c>
      <c r="AN40" s="31">
        <f t="shared" si="17"/>
        <v>414.13341414375208</v>
      </c>
      <c r="AO40" s="25" t="str">
        <f t="shared" si="18"/>
        <v>A tiempo</v>
      </c>
      <c r="AP40" s="25" t="str">
        <f t="shared" si="19"/>
        <v/>
      </c>
      <c r="AQ40" s="25" t="str">
        <f t="shared" si="20"/>
        <v/>
      </c>
      <c r="AR40" s="25" t="str">
        <f t="shared" si="21"/>
        <v>Corro</v>
      </c>
      <c r="AU40" s="25">
        <f t="shared" si="22"/>
        <v>38</v>
      </c>
      <c r="AV40" s="25">
        <f t="shared" si="23"/>
        <v>19</v>
      </c>
      <c r="AW40" s="25">
        <f t="shared" si="32"/>
        <v>480</v>
      </c>
      <c r="AX40" s="33">
        <f>IF(AU40="","",Hoja1!BH50)</f>
        <v>0.18302385550955413</v>
      </c>
      <c r="AY40" s="33">
        <f t="shared" si="24"/>
        <v>32.811669885668792</v>
      </c>
      <c r="AZ40" s="33">
        <f t="shared" si="1"/>
        <v>512.81166988566883</v>
      </c>
    </row>
    <row r="41" spans="11:58" x14ac:dyDescent="0.25">
      <c r="K41" s="41">
        <f>+Hoja1!S51</f>
        <v>39</v>
      </c>
      <c r="L41" s="41">
        <f>+Hoja1!T51</f>
        <v>20</v>
      </c>
      <c r="M41" s="41">
        <f>+Hoja1!U51</f>
        <v>381.89558816259006</v>
      </c>
      <c r="N41" s="41">
        <f t="shared" si="25"/>
        <v>1</v>
      </c>
      <c r="O41" s="41">
        <f t="shared" si="26"/>
        <v>1</v>
      </c>
      <c r="P41" s="41">
        <f t="shared" si="27"/>
        <v>1</v>
      </c>
      <c r="Q41" s="41">
        <f t="shared" si="3"/>
        <v>3</v>
      </c>
      <c r="R41" s="31">
        <f>+MAX(AK$3:AK40)</f>
        <v>411.60337206043528</v>
      </c>
      <c r="S41" s="31">
        <f>+MAX(AL$3:AL40)</f>
        <v>413.0679098595578</v>
      </c>
      <c r="T41" s="31">
        <f>+MAX(AM$3:AM40)</f>
        <v>414.13341414375208</v>
      </c>
      <c r="U41" s="31">
        <f>+Hoja1!AR51</f>
        <v>0.36661935693280256</v>
      </c>
      <c r="V41" s="41" t="str">
        <f t="shared" si="4"/>
        <v/>
      </c>
      <c r="W41" s="41" t="str">
        <f t="shared" si="28"/>
        <v/>
      </c>
      <c r="X41" s="41" t="str">
        <f t="shared" si="5"/>
        <v/>
      </c>
      <c r="Y41" s="41" t="str">
        <f t="shared" si="6"/>
        <v/>
      </c>
      <c r="Z41" s="41" t="str">
        <f t="shared" si="34"/>
        <v/>
      </c>
      <c r="AA41" s="41" t="str">
        <f t="shared" si="8"/>
        <v/>
      </c>
      <c r="AB41" s="42" t="str">
        <f t="shared" si="9"/>
        <v/>
      </c>
      <c r="AC41" s="41">
        <f t="shared" si="10"/>
        <v>1</v>
      </c>
      <c r="AD41" s="41">
        <f t="shared" si="11"/>
        <v>1</v>
      </c>
      <c r="AE41" s="41">
        <f t="shared" si="29"/>
        <v>411.60337206043528</v>
      </c>
      <c r="AF41" s="41" t="str">
        <f t="shared" si="30"/>
        <v/>
      </c>
      <c r="AG41" s="41" t="str">
        <f t="shared" si="31"/>
        <v/>
      </c>
      <c r="AH41" s="41">
        <f t="shared" si="12"/>
        <v>411.60337206043528</v>
      </c>
      <c r="AI41" s="31">
        <f>Hoja1!AE51</f>
        <v>0.66968431626133995</v>
      </c>
      <c r="AJ41" s="31">
        <f t="shared" si="13"/>
        <v>5.0135794231760293</v>
      </c>
      <c r="AK41" s="31">
        <f t="shared" si="14"/>
        <v>416.61695148361133</v>
      </c>
      <c r="AL41" s="31" t="str">
        <f t="shared" si="15"/>
        <v/>
      </c>
      <c r="AM41" s="31" t="str">
        <f t="shared" si="16"/>
        <v/>
      </c>
      <c r="AN41" s="31">
        <f t="shared" si="17"/>
        <v>416.61695148361133</v>
      </c>
      <c r="AO41" s="25" t="str">
        <f t="shared" si="18"/>
        <v>A tiempo</v>
      </c>
      <c r="AP41" s="25" t="str">
        <f t="shared" si="19"/>
        <v/>
      </c>
      <c r="AQ41" s="25" t="str">
        <f t="shared" si="20"/>
        <v/>
      </c>
      <c r="AR41" s="25" t="str">
        <f t="shared" si="21"/>
        <v>Corro</v>
      </c>
      <c r="AU41" s="25">
        <f t="shared" si="22"/>
        <v>39</v>
      </c>
      <c r="AV41" s="25">
        <f t="shared" si="23"/>
        <v>20</v>
      </c>
      <c r="AW41" s="25">
        <f t="shared" si="32"/>
        <v>480</v>
      </c>
      <c r="AX41" s="33">
        <f>IF(AU41="","",Hoja1!BH51)</f>
        <v>0.52439344995873782</v>
      </c>
      <c r="AY41" s="33">
        <f t="shared" si="24"/>
        <v>56.707541497111649</v>
      </c>
      <c r="AZ41" s="33">
        <f t="shared" si="1"/>
        <v>536.70754149711161</v>
      </c>
    </row>
    <row r="42" spans="11:58" x14ac:dyDescent="0.25">
      <c r="K42" s="41">
        <f>+Hoja1!S52</f>
        <v>40</v>
      </c>
      <c r="L42" s="41">
        <f>+Hoja1!T52</f>
        <v>21</v>
      </c>
      <c r="M42" s="41">
        <f>+Hoja1!U52</f>
        <v>382.57435080734103</v>
      </c>
      <c r="N42" s="41">
        <f t="shared" si="25"/>
        <v>1</v>
      </c>
      <c r="O42" s="41">
        <f t="shared" si="26"/>
        <v>1</v>
      </c>
      <c r="P42" s="41">
        <f t="shared" si="27"/>
        <v>1</v>
      </c>
      <c r="Q42" s="41">
        <f t="shared" si="3"/>
        <v>3</v>
      </c>
      <c r="R42" s="31">
        <f>+MAX(AK$3:AK41)</f>
        <v>416.61695148361133</v>
      </c>
      <c r="S42" s="31">
        <f>+MAX(AL$3:AL41)</f>
        <v>413.0679098595578</v>
      </c>
      <c r="T42" s="31">
        <f>+MAX(AM$3:AM41)</f>
        <v>414.13341414375208</v>
      </c>
      <c r="U42" s="31">
        <f>+Hoja1!AR52</f>
        <v>0.92903975631733549</v>
      </c>
      <c r="V42" s="41" t="str">
        <f t="shared" si="4"/>
        <v/>
      </c>
      <c r="W42" s="41" t="str">
        <f t="shared" si="28"/>
        <v/>
      </c>
      <c r="X42" s="41" t="str">
        <f t="shared" si="5"/>
        <v/>
      </c>
      <c r="Y42" s="41" t="str">
        <f t="shared" si="6"/>
        <v/>
      </c>
      <c r="Z42" s="41" t="str">
        <f t="shared" si="34"/>
        <v/>
      </c>
      <c r="AA42" s="41" t="str">
        <f t="shared" si="8"/>
        <v/>
      </c>
      <c r="AB42" s="42" t="str">
        <f t="shared" si="9"/>
        <v/>
      </c>
      <c r="AC42" s="41">
        <f t="shared" si="10"/>
        <v>2</v>
      </c>
      <c r="AD42" s="41">
        <f t="shared" si="11"/>
        <v>2</v>
      </c>
      <c r="AE42" s="41" t="str">
        <f t="shared" si="29"/>
        <v/>
      </c>
      <c r="AF42" s="41">
        <f t="shared" si="30"/>
        <v>413.0679098595578</v>
      </c>
      <c r="AG42" s="41" t="str">
        <f t="shared" si="31"/>
        <v/>
      </c>
      <c r="AH42" s="41">
        <f t="shared" si="12"/>
        <v>413.0679098595578</v>
      </c>
      <c r="AI42" s="31">
        <f>Hoja1!AE52</f>
        <v>0.50568175207994859</v>
      </c>
      <c r="AJ42" s="31">
        <f t="shared" si="13"/>
        <v>4.2755678843597682</v>
      </c>
      <c r="AK42" s="31" t="str">
        <f t="shared" si="14"/>
        <v/>
      </c>
      <c r="AL42" s="31">
        <f t="shared" si="15"/>
        <v>417.34347774391756</v>
      </c>
      <c r="AM42" s="31" t="str">
        <f t="shared" si="16"/>
        <v/>
      </c>
      <c r="AN42" s="31">
        <f t="shared" si="17"/>
        <v>417.34347774391756</v>
      </c>
      <c r="AO42" s="25" t="str">
        <f t="shared" si="18"/>
        <v>A tiempo</v>
      </c>
      <c r="AP42" s="25" t="str">
        <f t="shared" si="19"/>
        <v/>
      </c>
      <c r="AQ42" s="25" t="str">
        <f t="shared" si="20"/>
        <v/>
      </c>
      <c r="AR42" s="25" t="str">
        <f t="shared" si="21"/>
        <v>Corro</v>
      </c>
      <c r="AU42" s="25">
        <f t="shared" si="22"/>
        <v>40</v>
      </c>
      <c r="AV42" s="25">
        <f t="shared" si="23"/>
        <v>21</v>
      </c>
      <c r="AW42" s="25">
        <f t="shared" si="32"/>
        <v>480</v>
      </c>
      <c r="AX42" s="33">
        <f>IF(AU42="","",Hoja1!BH52)</f>
        <v>0.6766019748387222</v>
      </c>
      <c r="AY42" s="33">
        <f t="shared" si="24"/>
        <v>67.362138238710557</v>
      </c>
      <c r="AZ42" s="33">
        <f t="shared" si="1"/>
        <v>547.3621382387106</v>
      </c>
    </row>
    <row r="43" spans="11:58" x14ac:dyDescent="0.25">
      <c r="K43" s="41">
        <f>+Hoja1!S53</f>
        <v>41</v>
      </c>
      <c r="L43" s="41">
        <f>+Hoja1!T53</f>
        <v>21</v>
      </c>
      <c r="M43" s="41">
        <f>+Hoja1!U53</f>
        <v>382.57435080734103</v>
      </c>
      <c r="N43" s="41">
        <f t="shared" si="25"/>
        <v>1</v>
      </c>
      <c r="O43" s="41">
        <f t="shared" si="26"/>
        <v>1</v>
      </c>
      <c r="P43" s="41">
        <f t="shared" si="27"/>
        <v>1</v>
      </c>
      <c r="Q43" s="41">
        <f t="shared" si="3"/>
        <v>3</v>
      </c>
      <c r="R43" s="31">
        <f>+MAX(AK$3:AK42)</f>
        <v>416.61695148361133</v>
      </c>
      <c r="S43" s="31">
        <f>+MAX(AL$3:AL42)</f>
        <v>417.34347774391756</v>
      </c>
      <c r="T43" s="31">
        <f>+MAX(AM$3:AM42)</f>
        <v>414.13341414375208</v>
      </c>
      <c r="U43" s="31">
        <f>+Hoja1!AR53</f>
        <v>0.22413955676842268</v>
      </c>
      <c r="V43" s="41" t="str">
        <f t="shared" si="4"/>
        <v/>
      </c>
      <c r="W43" s="41" t="str">
        <f t="shared" si="28"/>
        <v/>
      </c>
      <c r="X43" s="41" t="str">
        <f t="shared" si="5"/>
        <v/>
      </c>
      <c r="Y43" s="41" t="str">
        <f t="shared" si="6"/>
        <v/>
      </c>
      <c r="Z43" s="41" t="str">
        <f t="shared" si="34"/>
        <v/>
      </c>
      <c r="AA43" s="41" t="str">
        <f t="shared" si="8"/>
        <v/>
      </c>
      <c r="AB43" s="42" t="str">
        <f t="shared" si="9"/>
        <v/>
      </c>
      <c r="AC43" s="41">
        <f t="shared" si="10"/>
        <v>3</v>
      </c>
      <c r="AD43" s="41">
        <f t="shared" si="11"/>
        <v>3</v>
      </c>
      <c r="AE43" s="41" t="str">
        <f t="shared" si="29"/>
        <v/>
      </c>
      <c r="AF43" s="41" t="str">
        <f t="shared" si="30"/>
        <v/>
      </c>
      <c r="AG43" s="41">
        <f t="shared" si="31"/>
        <v>414.13341414375208</v>
      </c>
      <c r="AH43" s="41">
        <f t="shared" si="12"/>
        <v>414.13341414375208</v>
      </c>
      <c r="AI43" s="31">
        <f>Hoja1!AE53</f>
        <v>0.72461428802619887</v>
      </c>
      <c r="AJ43" s="31">
        <f t="shared" si="13"/>
        <v>5.2607642961178946</v>
      </c>
      <c r="AK43" s="31" t="str">
        <f t="shared" si="14"/>
        <v/>
      </c>
      <c r="AL43" s="31" t="str">
        <f t="shared" si="15"/>
        <v/>
      </c>
      <c r="AM43" s="31">
        <f t="shared" si="16"/>
        <v>419.39417843986996</v>
      </c>
      <c r="AN43" s="31">
        <f t="shared" si="17"/>
        <v>419.39417843986996</v>
      </c>
      <c r="AO43" s="25" t="str">
        <f t="shared" si="18"/>
        <v>A tiempo</v>
      </c>
      <c r="AP43" s="25" t="str">
        <f t="shared" si="19"/>
        <v/>
      </c>
      <c r="AQ43" s="25" t="str">
        <f t="shared" si="20"/>
        <v/>
      </c>
      <c r="AR43" s="25" t="str">
        <f t="shared" si="21"/>
        <v>Corro</v>
      </c>
      <c r="AU43" s="25">
        <f t="shared" si="22"/>
        <v>41</v>
      </c>
      <c r="AV43" s="25">
        <f t="shared" si="23"/>
        <v>21</v>
      </c>
      <c r="AW43" s="25">
        <f t="shared" si="32"/>
        <v>480</v>
      </c>
      <c r="AX43" s="33">
        <f>IF(AU43="","",Hoja1!BH53)</f>
        <v>0.79303284606159752</v>
      </c>
      <c r="AY43" s="33">
        <f t="shared" si="24"/>
        <v>75.512299224311818</v>
      </c>
      <c r="AZ43" s="33">
        <f t="shared" si="1"/>
        <v>555.51229922431185</v>
      </c>
    </row>
    <row r="44" spans="11:58" x14ac:dyDescent="0.25">
      <c r="K44" s="41">
        <f>+Hoja1!S54</f>
        <v>42</v>
      </c>
      <c r="L44" s="41">
        <f>+Hoja1!T54</f>
        <v>22</v>
      </c>
      <c r="M44" s="41">
        <f>+Hoja1!U54</f>
        <v>382.71425195115177</v>
      </c>
      <c r="N44" s="41">
        <f t="shared" si="25"/>
        <v>1</v>
      </c>
      <c r="O44" s="41">
        <f t="shared" si="26"/>
        <v>1</v>
      </c>
      <c r="P44" s="41">
        <f t="shared" si="27"/>
        <v>1</v>
      </c>
      <c r="Q44" s="41">
        <f t="shared" si="3"/>
        <v>3</v>
      </c>
      <c r="R44" s="31">
        <f>+MAX(AK$3:AK43)</f>
        <v>416.61695148361133</v>
      </c>
      <c r="S44" s="31">
        <f>+MAX(AL$3:AL43)</f>
        <v>417.34347774391756</v>
      </c>
      <c r="T44" s="31">
        <f>+MAX(AM$3:AM43)</f>
        <v>419.39417843986996</v>
      </c>
      <c r="U44" s="31">
        <f>+Hoja1!AR54</f>
        <v>0.85053793513339204</v>
      </c>
      <c r="V44" s="41" t="str">
        <f t="shared" si="4"/>
        <v/>
      </c>
      <c r="W44" s="41" t="str">
        <f t="shared" si="28"/>
        <v/>
      </c>
      <c r="X44" s="41" t="str">
        <f t="shared" si="5"/>
        <v/>
      </c>
      <c r="Y44" s="41" t="str">
        <f t="shared" si="6"/>
        <v/>
      </c>
      <c r="Z44" s="41" t="str">
        <f t="shared" si="34"/>
        <v/>
      </c>
      <c r="AA44" s="41" t="str">
        <f t="shared" si="8"/>
        <v/>
      </c>
      <c r="AB44" s="42" t="str">
        <f t="shared" si="9"/>
        <v/>
      </c>
      <c r="AC44" s="41">
        <f t="shared" si="10"/>
        <v>1</v>
      </c>
      <c r="AD44" s="41">
        <f t="shared" si="11"/>
        <v>1</v>
      </c>
      <c r="AE44" s="41">
        <f t="shared" si="29"/>
        <v>416.61695148361133</v>
      </c>
      <c r="AF44" s="41" t="str">
        <f t="shared" si="30"/>
        <v/>
      </c>
      <c r="AG44" s="41" t="str">
        <f t="shared" si="31"/>
        <v/>
      </c>
      <c r="AH44" s="41">
        <f t="shared" si="12"/>
        <v>416.61695148361133</v>
      </c>
      <c r="AI44" s="31">
        <f>Hoja1!AE54</f>
        <v>0.95204234139591215</v>
      </c>
      <c r="AJ44" s="31">
        <f t="shared" si="13"/>
        <v>6.2841905362816046</v>
      </c>
      <c r="AK44" s="31">
        <f t="shared" si="14"/>
        <v>422.90114201989292</v>
      </c>
      <c r="AL44" s="31" t="str">
        <f t="shared" si="15"/>
        <v/>
      </c>
      <c r="AM44" s="31" t="str">
        <f t="shared" si="16"/>
        <v/>
      </c>
      <c r="AN44" s="31">
        <f t="shared" si="17"/>
        <v>422.90114201989292</v>
      </c>
      <c r="AO44" s="25" t="str">
        <f t="shared" si="18"/>
        <v>A tiempo</v>
      </c>
      <c r="AP44" s="25" t="str">
        <f t="shared" si="19"/>
        <v/>
      </c>
      <c r="AQ44" s="25" t="str">
        <f t="shared" si="20"/>
        <v/>
      </c>
      <c r="AR44" s="25" t="str">
        <f t="shared" si="21"/>
        <v>Corro</v>
      </c>
      <c r="AU44" s="25">
        <f t="shared" si="22"/>
        <v>42</v>
      </c>
      <c r="AV44" s="25">
        <f t="shared" si="23"/>
        <v>22</v>
      </c>
      <c r="AW44" s="25">
        <f t="shared" si="32"/>
        <v>480</v>
      </c>
      <c r="AX44" s="33">
        <f>IF(AU44="","",Hoja1!BH54)</f>
        <v>0.32628726593372925</v>
      </c>
      <c r="AY44" s="33">
        <f t="shared" si="24"/>
        <v>42.840108615361046</v>
      </c>
      <c r="AZ44" s="33">
        <f t="shared" si="1"/>
        <v>522.84010861536103</v>
      </c>
    </row>
    <row r="45" spans="11:58" x14ac:dyDescent="0.25">
      <c r="K45" s="41">
        <f>+Hoja1!S55</f>
        <v>43</v>
      </c>
      <c r="L45" s="41">
        <f>+Hoja1!T55</f>
        <v>22</v>
      </c>
      <c r="M45" s="41">
        <f>+Hoja1!U55</f>
        <v>382.71425195115177</v>
      </c>
      <c r="N45" s="41">
        <f t="shared" si="25"/>
        <v>1</v>
      </c>
      <c r="O45" s="41">
        <f t="shared" si="26"/>
        <v>1</v>
      </c>
      <c r="P45" s="41">
        <f t="shared" si="27"/>
        <v>1</v>
      </c>
      <c r="Q45" s="41">
        <f t="shared" si="3"/>
        <v>3</v>
      </c>
      <c r="R45" s="31">
        <f>+MAX(AK$3:AK44)</f>
        <v>422.90114201989292</v>
      </c>
      <c r="S45" s="31">
        <f>+MAX(AL$3:AL44)</f>
        <v>417.34347774391756</v>
      </c>
      <c r="T45" s="31">
        <f>+MAX(AM$3:AM44)</f>
        <v>419.39417843986996</v>
      </c>
      <c r="U45" s="31">
        <f>+Hoja1!AR55</f>
        <v>0.23861625190626556</v>
      </c>
      <c r="V45" s="41" t="str">
        <f t="shared" si="4"/>
        <v/>
      </c>
      <c r="W45" s="41" t="str">
        <f t="shared" si="28"/>
        <v/>
      </c>
      <c r="X45" s="41" t="str">
        <f t="shared" si="5"/>
        <v/>
      </c>
      <c r="Y45" s="41" t="str">
        <f t="shared" si="6"/>
        <v/>
      </c>
      <c r="Z45" s="41" t="str">
        <f t="shared" si="34"/>
        <v/>
      </c>
      <c r="AA45" s="41" t="str">
        <f t="shared" si="8"/>
        <v/>
      </c>
      <c r="AB45" s="42" t="str">
        <f t="shared" si="9"/>
        <v/>
      </c>
      <c r="AC45" s="41">
        <f t="shared" si="10"/>
        <v>2</v>
      </c>
      <c r="AD45" s="41">
        <f t="shared" si="11"/>
        <v>2</v>
      </c>
      <c r="AE45" s="41" t="str">
        <f t="shared" si="29"/>
        <v/>
      </c>
      <c r="AF45" s="41">
        <f t="shared" si="30"/>
        <v>417.34347774391756</v>
      </c>
      <c r="AG45" s="41" t="str">
        <f t="shared" si="31"/>
        <v/>
      </c>
      <c r="AH45" s="41">
        <f t="shared" si="12"/>
        <v>417.34347774391756</v>
      </c>
      <c r="AI45" s="31">
        <f>Hoja1!AE55</f>
        <v>1.2185463698888954E-2</v>
      </c>
      <c r="AJ45" s="31">
        <f t="shared" si="13"/>
        <v>2.0548345866450002</v>
      </c>
      <c r="AK45" s="31" t="str">
        <f t="shared" si="14"/>
        <v/>
      </c>
      <c r="AL45" s="31">
        <f t="shared" si="15"/>
        <v>419.39831233056253</v>
      </c>
      <c r="AM45" s="31" t="str">
        <f t="shared" si="16"/>
        <v/>
      </c>
      <c r="AN45" s="31">
        <f t="shared" si="17"/>
        <v>419.39831233056253</v>
      </c>
      <c r="AO45" s="25" t="str">
        <f t="shared" si="18"/>
        <v>A tiempo</v>
      </c>
      <c r="AP45" s="25" t="str">
        <f t="shared" si="19"/>
        <v/>
      </c>
      <c r="AQ45" s="25" t="str">
        <f t="shared" si="20"/>
        <v/>
      </c>
      <c r="AR45" s="25" t="str">
        <f t="shared" si="21"/>
        <v>Corro</v>
      </c>
      <c r="AU45" s="25">
        <f t="shared" si="22"/>
        <v>43</v>
      </c>
      <c r="AV45" s="25">
        <f t="shared" si="23"/>
        <v>22</v>
      </c>
      <c r="AW45" s="25">
        <f t="shared" si="32"/>
        <v>480</v>
      </c>
      <c r="AX45" s="33">
        <f>IF(AU45="","",Hoja1!BH55)</f>
        <v>0.9555259174493651</v>
      </c>
      <c r="AY45" s="33">
        <f t="shared" si="24"/>
        <v>86.886814221455552</v>
      </c>
      <c r="AZ45" s="33">
        <f t="shared" si="1"/>
        <v>566.88681422145555</v>
      </c>
    </row>
    <row r="46" spans="11:58" x14ac:dyDescent="0.25">
      <c r="K46" s="41">
        <f>+Hoja1!S56</f>
        <v>44</v>
      </c>
      <c r="L46" s="41">
        <f>+Hoja1!T56</f>
        <v>23</v>
      </c>
      <c r="M46" s="41">
        <f>+Hoja1!U56</f>
        <v>386.83880565660354</v>
      </c>
      <c r="N46" s="41">
        <f t="shared" si="25"/>
        <v>1</v>
      </c>
      <c r="O46" s="41">
        <f t="shared" si="26"/>
        <v>1</v>
      </c>
      <c r="P46" s="41">
        <f t="shared" si="27"/>
        <v>1</v>
      </c>
      <c r="Q46" s="41">
        <f t="shared" si="3"/>
        <v>3</v>
      </c>
      <c r="R46" s="31">
        <f>+MAX(AK$3:AK45)</f>
        <v>422.90114201989292</v>
      </c>
      <c r="S46" s="31">
        <f>+MAX(AL$3:AL45)</f>
        <v>419.39831233056253</v>
      </c>
      <c r="T46" s="31">
        <f>+MAX(AM$3:AM45)</f>
        <v>419.39417843986996</v>
      </c>
      <c r="U46" s="31">
        <f>+Hoja1!AR56</f>
        <v>0.7143407162271479</v>
      </c>
      <c r="V46" s="41" t="str">
        <f t="shared" si="4"/>
        <v/>
      </c>
      <c r="W46" s="41" t="str">
        <f t="shared" si="28"/>
        <v/>
      </c>
      <c r="X46" s="41" t="str">
        <f t="shared" si="5"/>
        <v/>
      </c>
      <c r="Y46" s="41" t="str">
        <f t="shared" si="6"/>
        <v/>
      </c>
      <c r="Z46" s="41" t="str">
        <f t="shared" si="34"/>
        <v/>
      </c>
      <c r="AA46" s="41" t="str">
        <f t="shared" si="8"/>
        <v/>
      </c>
      <c r="AB46" s="42" t="str">
        <f t="shared" si="9"/>
        <v/>
      </c>
      <c r="AC46" s="41">
        <f t="shared" si="10"/>
        <v>3</v>
      </c>
      <c r="AD46" s="41">
        <f t="shared" si="11"/>
        <v>3</v>
      </c>
      <c r="AE46" s="41" t="str">
        <f t="shared" si="29"/>
        <v/>
      </c>
      <c r="AF46" s="41" t="str">
        <f t="shared" si="30"/>
        <v/>
      </c>
      <c r="AG46" s="41">
        <f t="shared" si="31"/>
        <v>419.39417843986996</v>
      </c>
      <c r="AH46" s="41">
        <f t="shared" si="12"/>
        <v>419.39417843986996</v>
      </c>
      <c r="AI46" s="31">
        <f>Hoja1!AE56</f>
        <v>0.7837313590654309</v>
      </c>
      <c r="AJ46" s="31">
        <f t="shared" si="13"/>
        <v>5.5267911157944392</v>
      </c>
      <c r="AK46" s="31" t="str">
        <f t="shared" si="14"/>
        <v/>
      </c>
      <c r="AL46" s="31" t="str">
        <f t="shared" si="15"/>
        <v/>
      </c>
      <c r="AM46" s="31">
        <f t="shared" si="16"/>
        <v>424.92096955566439</v>
      </c>
      <c r="AN46" s="31">
        <f t="shared" si="17"/>
        <v>424.92096955566439</v>
      </c>
      <c r="AO46" s="25" t="str">
        <f t="shared" si="18"/>
        <v>A tiempo</v>
      </c>
      <c r="AP46" s="25" t="str">
        <f t="shared" si="19"/>
        <v/>
      </c>
      <c r="AQ46" s="25" t="str">
        <f t="shared" si="20"/>
        <v/>
      </c>
      <c r="AR46" s="25" t="str">
        <f t="shared" si="21"/>
        <v>Corro</v>
      </c>
      <c r="AU46" s="25">
        <f t="shared" si="22"/>
        <v>44</v>
      </c>
      <c r="AV46" s="25">
        <f t="shared" si="23"/>
        <v>23</v>
      </c>
      <c r="AW46" s="25">
        <f t="shared" si="32"/>
        <v>480</v>
      </c>
      <c r="AX46" s="33">
        <f>IF(AU46="","",Hoja1!BH56)</f>
        <v>0.19409266762011845</v>
      </c>
      <c r="AY46" s="33">
        <f t="shared" si="24"/>
        <v>33.586486733408293</v>
      </c>
      <c r="AZ46" s="33">
        <f t="shared" si="1"/>
        <v>513.58648673340826</v>
      </c>
    </row>
    <row r="47" spans="11:58" x14ac:dyDescent="0.25">
      <c r="K47" s="41">
        <f>+Hoja1!S57</f>
        <v>45</v>
      </c>
      <c r="L47" s="41">
        <f>+Hoja1!T57</f>
        <v>23</v>
      </c>
      <c r="M47" s="41">
        <f>+Hoja1!U57</f>
        <v>386.83880565660354</v>
      </c>
      <c r="N47" s="41">
        <f t="shared" si="25"/>
        <v>1</v>
      </c>
      <c r="O47" s="41">
        <f t="shared" si="26"/>
        <v>1</v>
      </c>
      <c r="P47" s="41">
        <f t="shared" si="27"/>
        <v>1</v>
      </c>
      <c r="Q47" s="41">
        <f t="shared" si="3"/>
        <v>3</v>
      </c>
      <c r="R47" s="31">
        <f>+MAX(AK$3:AK46)</f>
        <v>422.90114201989292</v>
      </c>
      <c r="S47" s="31">
        <f>+MAX(AL$3:AL46)</f>
        <v>419.39831233056253</v>
      </c>
      <c r="T47" s="31">
        <f>+MAX(AM$3:AM46)</f>
        <v>424.92096955566439</v>
      </c>
      <c r="U47" s="31">
        <f>+Hoja1!AR57</f>
        <v>0.59770416516736946</v>
      </c>
      <c r="V47" s="41" t="str">
        <f t="shared" si="4"/>
        <v/>
      </c>
      <c r="W47" s="41" t="str">
        <f t="shared" si="28"/>
        <v/>
      </c>
      <c r="X47" s="41" t="str">
        <f t="shared" si="5"/>
        <v/>
      </c>
      <c r="Y47" s="41" t="str">
        <f t="shared" si="6"/>
        <v/>
      </c>
      <c r="Z47" s="41" t="str">
        <f t="shared" si="34"/>
        <v/>
      </c>
      <c r="AA47" s="41" t="str">
        <f t="shared" si="8"/>
        <v/>
      </c>
      <c r="AB47" s="42" t="str">
        <f t="shared" si="9"/>
        <v/>
      </c>
      <c r="AC47" s="41">
        <f t="shared" si="10"/>
        <v>2</v>
      </c>
      <c r="AD47" s="41">
        <f t="shared" si="11"/>
        <v>2</v>
      </c>
      <c r="AE47" s="41" t="str">
        <f t="shared" si="29"/>
        <v/>
      </c>
      <c r="AF47" s="41">
        <f t="shared" si="30"/>
        <v>419.39831233056253</v>
      </c>
      <c r="AG47" s="41" t="str">
        <f t="shared" si="31"/>
        <v/>
      </c>
      <c r="AH47" s="41">
        <f t="shared" si="12"/>
        <v>419.39831233056253</v>
      </c>
      <c r="AI47" s="31">
        <f>Hoja1!AE57</f>
        <v>0.50668442010555448</v>
      </c>
      <c r="AJ47" s="31">
        <f t="shared" si="13"/>
        <v>4.2800798904749957</v>
      </c>
      <c r="AK47" s="31" t="str">
        <f t="shared" si="14"/>
        <v/>
      </c>
      <c r="AL47" s="31">
        <f t="shared" si="15"/>
        <v>423.67839222103754</v>
      </c>
      <c r="AM47" s="31" t="str">
        <f t="shared" si="16"/>
        <v/>
      </c>
      <c r="AN47" s="31">
        <f t="shared" si="17"/>
        <v>423.67839222103754</v>
      </c>
      <c r="AO47" s="25" t="str">
        <f t="shared" si="18"/>
        <v>A tiempo</v>
      </c>
      <c r="AP47" s="25" t="str">
        <f t="shared" si="19"/>
        <v/>
      </c>
      <c r="AQ47" s="25" t="str">
        <f t="shared" si="20"/>
        <v/>
      </c>
      <c r="AR47" s="25" t="str">
        <f t="shared" si="21"/>
        <v>Corro</v>
      </c>
      <c r="AU47" s="25">
        <f t="shared" si="22"/>
        <v>45</v>
      </c>
      <c r="AV47" s="25">
        <f t="shared" si="23"/>
        <v>23</v>
      </c>
      <c r="AW47" s="25">
        <f t="shared" si="32"/>
        <v>480</v>
      </c>
      <c r="AX47" s="33">
        <f>IF(AU47="","",Hoja1!BH57)</f>
        <v>0.84376799811640901</v>
      </c>
      <c r="AY47" s="33">
        <f t="shared" si="24"/>
        <v>79.063759868148622</v>
      </c>
      <c r="AZ47" s="33">
        <f t="shared" si="1"/>
        <v>559.06375986814862</v>
      </c>
    </row>
    <row r="48" spans="11:58" x14ac:dyDescent="0.25">
      <c r="K48" s="41">
        <f>+Hoja1!S58</f>
        <v>46</v>
      </c>
      <c r="L48" s="41">
        <f>+Hoja1!T58</f>
        <v>24</v>
      </c>
      <c r="M48" s="41">
        <f>+Hoja1!U58</f>
        <v>386.93474349906728</v>
      </c>
      <c r="N48" s="41">
        <f t="shared" si="25"/>
        <v>1</v>
      </c>
      <c r="O48" s="41">
        <f t="shared" si="26"/>
        <v>1</v>
      </c>
      <c r="P48" s="41">
        <f t="shared" si="27"/>
        <v>1</v>
      </c>
      <c r="Q48" s="41">
        <f t="shared" si="3"/>
        <v>3</v>
      </c>
      <c r="R48" s="31">
        <f>+MAX(AK$3:AK47)</f>
        <v>422.90114201989292</v>
      </c>
      <c r="S48" s="31">
        <f>+MAX(AL$3:AL47)</f>
        <v>423.67839222103754</v>
      </c>
      <c r="T48" s="31">
        <f>+MAX(AM$3:AM47)</f>
        <v>424.92096955566439</v>
      </c>
      <c r="U48" s="31">
        <f>+Hoja1!AR58</f>
        <v>0.88846885399507525</v>
      </c>
      <c r="V48" s="41" t="str">
        <f t="shared" si="4"/>
        <v/>
      </c>
      <c r="W48" s="41" t="str">
        <f t="shared" si="28"/>
        <v/>
      </c>
      <c r="X48" s="41" t="str">
        <f t="shared" si="5"/>
        <v/>
      </c>
      <c r="Y48" s="41" t="str">
        <f t="shared" si="6"/>
        <v/>
      </c>
      <c r="Z48" s="41" t="str">
        <f t="shared" si="34"/>
        <v/>
      </c>
      <c r="AA48" s="41" t="str">
        <f t="shared" si="8"/>
        <v/>
      </c>
      <c r="AB48" s="42" t="str">
        <f t="shared" si="9"/>
        <v/>
      </c>
      <c r="AC48" s="41">
        <f t="shared" si="10"/>
        <v>1</v>
      </c>
      <c r="AD48" s="41">
        <f t="shared" si="11"/>
        <v>1</v>
      </c>
      <c r="AE48" s="41">
        <f t="shared" si="29"/>
        <v>422.90114201989292</v>
      </c>
      <c r="AF48" s="41" t="str">
        <f t="shared" si="30"/>
        <v/>
      </c>
      <c r="AG48" s="41" t="str">
        <f t="shared" si="31"/>
        <v/>
      </c>
      <c r="AH48" s="41">
        <f t="shared" si="12"/>
        <v>422.90114201989292</v>
      </c>
      <c r="AI48" s="31">
        <f>Hoja1!AE58</f>
        <v>0.95745353128087896</v>
      </c>
      <c r="AJ48" s="31">
        <f t="shared" si="13"/>
        <v>6.3085408907639557</v>
      </c>
      <c r="AK48" s="31">
        <f t="shared" si="14"/>
        <v>429.20968291065685</v>
      </c>
      <c r="AL48" s="31" t="str">
        <f t="shared" si="15"/>
        <v/>
      </c>
      <c r="AM48" s="31" t="str">
        <f t="shared" si="16"/>
        <v/>
      </c>
      <c r="AN48" s="31">
        <f t="shared" si="17"/>
        <v>429.20968291065685</v>
      </c>
      <c r="AO48" s="25" t="str">
        <f t="shared" si="18"/>
        <v>A tiempo</v>
      </c>
      <c r="AP48" s="25" t="str">
        <f t="shared" si="19"/>
        <v/>
      </c>
      <c r="AQ48" s="25" t="str">
        <f t="shared" si="20"/>
        <v/>
      </c>
      <c r="AR48" s="25" t="str">
        <f t="shared" si="21"/>
        <v>Corro</v>
      </c>
      <c r="AU48" s="25">
        <f t="shared" si="22"/>
        <v>46</v>
      </c>
      <c r="AV48" s="25">
        <f t="shared" si="23"/>
        <v>24</v>
      </c>
      <c r="AW48" s="25">
        <f t="shared" si="32"/>
        <v>480</v>
      </c>
      <c r="AX48" s="33">
        <f>IF(AU48="","",Hoja1!BH58)</f>
        <v>5.6289986327576202E-2</v>
      </c>
      <c r="AY48" s="33">
        <f t="shared" si="24"/>
        <v>23.940299042930334</v>
      </c>
      <c r="AZ48" s="33">
        <f t="shared" si="1"/>
        <v>503.94029904293035</v>
      </c>
    </row>
    <row r="49" spans="11:52" x14ac:dyDescent="0.25">
      <c r="K49" s="41">
        <f>+Hoja1!S59</f>
        <v>47</v>
      </c>
      <c r="L49" s="41">
        <f>+Hoja1!T59</f>
        <v>24</v>
      </c>
      <c r="M49" s="41">
        <f>+Hoja1!U59</f>
        <v>386.93474349906728</v>
      </c>
      <c r="N49" s="41">
        <f t="shared" si="25"/>
        <v>1</v>
      </c>
      <c r="O49" s="41">
        <f t="shared" si="26"/>
        <v>1</v>
      </c>
      <c r="P49" s="41">
        <f t="shared" si="27"/>
        <v>1</v>
      </c>
      <c r="Q49" s="41">
        <f t="shared" si="3"/>
        <v>3</v>
      </c>
      <c r="R49" s="31">
        <f>+MAX(AK$3:AK48)</f>
        <v>429.20968291065685</v>
      </c>
      <c r="S49" s="31">
        <f>+MAX(AL$3:AL48)</f>
        <v>423.67839222103754</v>
      </c>
      <c r="T49" s="31">
        <f>+MAX(AM$3:AM48)</f>
        <v>424.92096955566439</v>
      </c>
      <c r="U49" s="31">
        <f>+Hoja1!AR59</f>
        <v>0.68355478580233653</v>
      </c>
      <c r="V49" s="41" t="str">
        <f t="shared" si="4"/>
        <v/>
      </c>
      <c r="W49" s="41" t="str">
        <f t="shared" si="28"/>
        <v/>
      </c>
      <c r="X49" s="41" t="str">
        <f t="shared" si="5"/>
        <v/>
      </c>
      <c r="Y49" s="41" t="str">
        <f t="shared" si="6"/>
        <v/>
      </c>
      <c r="Z49" s="41" t="str">
        <f t="shared" si="34"/>
        <v/>
      </c>
      <c r="AA49" s="41" t="str">
        <f t="shared" si="8"/>
        <v/>
      </c>
      <c r="AB49" s="42" t="str">
        <f t="shared" si="9"/>
        <v/>
      </c>
      <c r="AC49" s="41">
        <f t="shared" si="10"/>
        <v>2</v>
      </c>
      <c r="AD49" s="41">
        <f t="shared" si="11"/>
        <v>2</v>
      </c>
      <c r="AE49" s="41" t="str">
        <f t="shared" si="29"/>
        <v/>
      </c>
      <c r="AF49" s="41">
        <f t="shared" si="30"/>
        <v>423.67839222103754</v>
      </c>
      <c r="AG49" s="41" t="str">
        <f t="shared" si="31"/>
        <v/>
      </c>
      <c r="AH49" s="41">
        <f t="shared" si="12"/>
        <v>423.67839222103754</v>
      </c>
      <c r="AI49" s="31">
        <f>Hoja1!AE59</f>
        <v>0.5893208798222026</v>
      </c>
      <c r="AJ49" s="31">
        <f t="shared" si="13"/>
        <v>4.6519439591999117</v>
      </c>
      <c r="AK49" s="31" t="str">
        <f t="shared" si="14"/>
        <v/>
      </c>
      <c r="AL49" s="31">
        <f t="shared" si="15"/>
        <v>428.33033618023745</v>
      </c>
      <c r="AM49" s="31" t="str">
        <f t="shared" si="16"/>
        <v/>
      </c>
      <c r="AN49" s="31">
        <f t="shared" si="17"/>
        <v>428.33033618023745</v>
      </c>
      <c r="AO49" s="25" t="str">
        <f t="shared" si="18"/>
        <v>A tiempo</v>
      </c>
      <c r="AP49" s="25" t="str">
        <f t="shared" si="19"/>
        <v/>
      </c>
      <c r="AQ49" s="25" t="str">
        <f t="shared" si="20"/>
        <v/>
      </c>
      <c r="AR49" s="25" t="str">
        <f t="shared" si="21"/>
        <v>Corro</v>
      </c>
      <c r="AU49" s="25">
        <f t="shared" si="22"/>
        <v>47</v>
      </c>
      <c r="AV49" s="25">
        <f t="shared" si="23"/>
        <v>24</v>
      </c>
      <c r="AW49" s="25">
        <f t="shared" si="32"/>
        <v>480</v>
      </c>
      <c r="AX49" s="33">
        <f>IF(AU49="","",Hoja1!BH59)</f>
        <v>0.14274175841636683</v>
      </c>
      <c r="AY49" s="33">
        <f t="shared" si="24"/>
        <v>29.991923089145679</v>
      </c>
      <c r="AZ49" s="33">
        <f t="shared" si="1"/>
        <v>509.9919230891457</v>
      </c>
    </row>
    <row r="50" spans="11:52" x14ac:dyDescent="0.25">
      <c r="K50" s="41">
        <f>+Hoja1!S60</f>
        <v>48</v>
      </c>
      <c r="L50" s="41">
        <f>+Hoja1!T60</f>
        <v>25</v>
      </c>
      <c r="M50" s="41">
        <f>+Hoja1!U60</f>
        <v>390.38387980331095</v>
      </c>
      <c r="N50" s="41">
        <f t="shared" si="25"/>
        <v>1</v>
      </c>
      <c r="O50" s="41">
        <f t="shared" si="26"/>
        <v>1</v>
      </c>
      <c r="P50" s="41">
        <f t="shared" si="27"/>
        <v>1</v>
      </c>
      <c r="Q50" s="41">
        <f t="shared" si="3"/>
        <v>3</v>
      </c>
      <c r="R50" s="31">
        <f>+MAX(AK$3:AK49)</f>
        <v>429.20968291065685</v>
      </c>
      <c r="S50" s="31">
        <f>+MAX(AL$3:AL49)</f>
        <v>428.33033618023745</v>
      </c>
      <c r="T50" s="31">
        <f>+MAX(AM$3:AM49)</f>
        <v>424.92096955566439</v>
      </c>
      <c r="U50" s="31">
        <f>+Hoja1!AR60</f>
        <v>3.3463857545921516E-2</v>
      </c>
      <c r="V50" s="41" t="str">
        <f t="shared" si="4"/>
        <v/>
      </c>
      <c r="W50" s="41" t="str">
        <f t="shared" si="28"/>
        <v/>
      </c>
      <c r="X50" s="41" t="str">
        <f t="shared" si="5"/>
        <v/>
      </c>
      <c r="Y50" s="41" t="str">
        <f t="shared" si="6"/>
        <v/>
      </c>
      <c r="Z50" s="41" t="str">
        <f t="shared" si="34"/>
        <v/>
      </c>
      <c r="AA50" s="41" t="str">
        <f t="shared" si="8"/>
        <v/>
      </c>
      <c r="AB50" s="42" t="str">
        <f t="shared" si="9"/>
        <v/>
      </c>
      <c r="AC50" s="41">
        <f t="shared" si="10"/>
        <v>3</v>
      </c>
      <c r="AD50" s="41">
        <f t="shared" si="11"/>
        <v>3</v>
      </c>
      <c r="AE50" s="41" t="str">
        <f t="shared" si="29"/>
        <v/>
      </c>
      <c r="AF50" s="41" t="str">
        <f t="shared" si="30"/>
        <v/>
      </c>
      <c r="AG50" s="41">
        <f t="shared" si="31"/>
        <v>424.92096955566439</v>
      </c>
      <c r="AH50" s="41">
        <f t="shared" si="12"/>
        <v>424.92096955566439</v>
      </c>
      <c r="AI50" s="31">
        <f>Hoja1!AE60</f>
        <v>0.90807345900887559</v>
      </c>
      <c r="AJ50" s="31">
        <f t="shared" si="13"/>
        <v>6.0863305655399405</v>
      </c>
      <c r="AK50" s="31" t="str">
        <f t="shared" si="14"/>
        <v/>
      </c>
      <c r="AL50" s="31" t="str">
        <f t="shared" si="15"/>
        <v/>
      </c>
      <c r="AM50" s="31">
        <f t="shared" si="16"/>
        <v>431.00730012120431</v>
      </c>
      <c r="AN50" s="31">
        <f t="shared" si="17"/>
        <v>431.00730012120431</v>
      </c>
      <c r="AO50" s="25" t="str">
        <f t="shared" si="18"/>
        <v>A tiempo</v>
      </c>
      <c r="AP50" s="25" t="str">
        <f t="shared" si="19"/>
        <v/>
      </c>
      <c r="AQ50" s="25" t="str">
        <f t="shared" si="20"/>
        <v/>
      </c>
      <c r="AR50" s="25" t="str">
        <f t="shared" si="21"/>
        <v>Corro</v>
      </c>
      <c r="AU50" s="25">
        <f t="shared" si="22"/>
        <v>48</v>
      </c>
      <c r="AV50" s="25">
        <f t="shared" si="23"/>
        <v>25</v>
      </c>
      <c r="AW50" s="25">
        <f t="shared" si="32"/>
        <v>480</v>
      </c>
      <c r="AX50" s="33">
        <f>IF(AU50="","",Hoja1!BH60)</f>
        <v>0.69151960360273657</v>
      </c>
      <c r="AY50" s="33">
        <f t="shared" si="24"/>
        <v>68.406372252191559</v>
      </c>
      <c r="AZ50" s="33">
        <f t="shared" si="1"/>
        <v>548.40637225219155</v>
      </c>
    </row>
    <row r="51" spans="11:52" x14ac:dyDescent="0.25">
      <c r="K51" s="41">
        <f>+Hoja1!S61</f>
        <v>49</v>
      </c>
      <c r="L51" s="41">
        <f>+Hoja1!T61</f>
        <v>25</v>
      </c>
      <c r="M51" s="41">
        <f>+Hoja1!U61</f>
        <v>390.38387980331095</v>
      </c>
      <c r="N51" s="41">
        <f t="shared" si="25"/>
        <v>1</v>
      </c>
      <c r="O51" s="41">
        <f t="shared" si="26"/>
        <v>1</v>
      </c>
      <c r="P51" s="41">
        <f t="shared" si="27"/>
        <v>1</v>
      </c>
      <c r="Q51" s="41">
        <f t="shared" si="3"/>
        <v>3</v>
      </c>
      <c r="R51" s="31">
        <f>+MAX(AK$3:AK50)</f>
        <v>429.20968291065685</v>
      </c>
      <c r="S51" s="31">
        <f>+MAX(AL$3:AL50)</f>
        <v>428.33033618023745</v>
      </c>
      <c r="T51" s="31">
        <f>+MAX(AM$3:AM50)</f>
        <v>431.00730012120431</v>
      </c>
      <c r="U51" s="31">
        <f>+Hoja1!AR61</f>
        <v>0.54035834342434708</v>
      </c>
      <c r="V51" s="41" t="str">
        <f t="shared" si="4"/>
        <v/>
      </c>
      <c r="W51" s="41" t="str">
        <f t="shared" si="28"/>
        <v/>
      </c>
      <c r="X51" s="41" t="str">
        <f t="shared" si="5"/>
        <v/>
      </c>
      <c r="Y51" s="41" t="str">
        <f t="shared" si="6"/>
        <v/>
      </c>
      <c r="Z51" s="41" t="str">
        <f t="shared" si="34"/>
        <v/>
      </c>
      <c r="AA51" s="41" t="str">
        <f t="shared" si="8"/>
        <v/>
      </c>
      <c r="AB51" s="42" t="str">
        <f t="shared" si="9"/>
        <v/>
      </c>
      <c r="AC51" s="41">
        <f t="shared" si="10"/>
        <v>2</v>
      </c>
      <c r="AD51" s="41">
        <f t="shared" si="11"/>
        <v>2</v>
      </c>
      <c r="AE51" s="41" t="str">
        <f t="shared" si="29"/>
        <v/>
      </c>
      <c r="AF51" s="41">
        <f t="shared" si="30"/>
        <v>428.33033618023745</v>
      </c>
      <c r="AG51" s="41" t="str">
        <f t="shared" si="31"/>
        <v/>
      </c>
      <c r="AH51" s="41">
        <f t="shared" si="12"/>
        <v>428.33033618023745</v>
      </c>
      <c r="AI51" s="31">
        <f>Hoja1!AE61</f>
        <v>1.131133113977334E-2</v>
      </c>
      <c r="AJ51" s="31">
        <f t="shared" si="13"/>
        <v>2.0509009901289801</v>
      </c>
      <c r="AK51" s="31" t="str">
        <f t="shared" si="14"/>
        <v/>
      </c>
      <c r="AL51" s="31">
        <f t="shared" si="15"/>
        <v>430.38123717036643</v>
      </c>
      <c r="AM51" s="31" t="str">
        <f t="shared" si="16"/>
        <v/>
      </c>
      <c r="AN51" s="31">
        <f t="shared" si="17"/>
        <v>430.38123717036643</v>
      </c>
      <c r="AO51" s="25" t="str">
        <f t="shared" si="18"/>
        <v>A tiempo</v>
      </c>
      <c r="AP51" s="25" t="str">
        <f t="shared" si="19"/>
        <v/>
      </c>
      <c r="AQ51" s="25" t="str">
        <f t="shared" si="20"/>
        <v/>
      </c>
      <c r="AR51" s="25" t="str">
        <f t="shared" si="21"/>
        <v>Corro</v>
      </c>
      <c r="AU51" s="25">
        <f t="shared" si="22"/>
        <v>49</v>
      </c>
      <c r="AV51" s="25">
        <f t="shared" si="23"/>
        <v>25</v>
      </c>
      <c r="AW51" s="25">
        <f t="shared" si="32"/>
        <v>480</v>
      </c>
      <c r="AX51" s="33">
        <f>IF(AU51="","",Hoja1!BH61)</f>
        <v>0.56330192541595214</v>
      </c>
      <c r="AY51" s="33">
        <f t="shared" si="24"/>
        <v>59.431134779116647</v>
      </c>
      <c r="AZ51" s="33">
        <f t="shared" si="1"/>
        <v>539.43113477911663</v>
      </c>
    </row>
    <row r="52" spans="11:52" x14ac:dyDescent="0.25">
      <c r="K52" s="41">
        <f>+Hoja1!S62</f>
        <v>50</v>
      </c>
      <c r="L52" s="41">
        <f>+Hoja1!T62</f>
        <v>26</v>
      </c>
      <c r="M52" s="41">
        <f>+Hoja1!U62</f>
        <v>390.65663436398233</v>
      </c>
      <c r="N52" s="41">
        <f t="shared" si="25"/>
        <v>1</v>
      </c>
      <c r="O52" s="41">
        <f t="shared" si="26"/>
        <v>1</v>
      </c>
      <c r="P52" s="41">
        <f t="shared" si="27"/>
        <v>1</v>
      </c>
      <c r="Q52" s="41">
        <f t="shared" si="3"/>
        <v>3</v>
      </c>
      <c r="R52" s="31">
        <f>+MAX(AK$3:AK51)</f>
        <v>429.20968291065685</v>
      </c>
      <c r="S52" s="31">
        <f>+MAX(AL$3:AL51)</f>
        <v>430.38123717036643</v>
      </c>
      <c r="T52" s="31">
        <f>+MAX(AM$3:AM51)</f>
        <v>431.00730012120431</v>
      </c>
      <c r="U52" s="31">
        <f>+Hoja1!AR62</f>
        <v>0.82871096223420659</v>
      </c>
      <c r="V52" s="41" t="str">
        <f t="shared" si="4"/>
        <v/>
      </c>
      <c r="W52" s="41" t="str">
        <f t="shared" si="28"/>
        <v/>
      </c>
      <c r="X52" s="41" t="str">
        <f t="shared" si="5"/>
        <v/>
      </c>
      <c r="Y52" s="41" t="str">
        <f t="shared" si="6"/>
        <v/>
      </c>
      <c r="Z52" s="41" t="str">
        <f t="shared" si="34"/>
        <v/>
      </c>
      <c r="AA52" s="41" t="str">
        <f t="shared" si="8"/>
        <v/>
      </c>
      <c r="AB52" s="42" t="str">
        <f t="shared" si="9"/>
        <v/>
      </c>
      <c r="AC52" s="41">
        <f t="shared" si="10"/>
        <v>1</v>
      </c>
      <c r="AD52" s="41">
        <f t="shared" si="11"/>
        <v>1</v>
      </c>
      <c r="AE52" s="41">
        <f t="shared" si="29"/>
        <v>429.20968291065685</v>
      </c>
      <c r="AF52" s="41" t="str">
        <f t="shared" si="30"/>
        <v/>
      </c>
      <c r="AG52" s="41" t="str">
        <f t="shared" si="31"/>
        <v/>
      </c>
      <c r="AH52" s="41">
        <f t="shared" si="12"/>
        <v>429.20968291065685</v>
      </c>
      <c r="AI52" s="31">
        <f>Hoja1!AE62</f>
        <v>0.84015717318937555</v>
      </c>
      <c r="AJ52" s="31">
        <f t="shared" si="13"/>
        <v>5.7807072793521899</v>
      </c>
      <c r="AK52" s="31">
        <f t="shared" si="14"/>
        <v>434.99039019000907</v>
      </c>
      <c r="AL52" s="31" t="str">
        <f t="shared" si="15"/>
        <v/>
      </c>
      <c r="AM52" s="31" t="str">
        <f t="shared" si="16"/>
        <v/>
      </c>
      <c r="AN52" s="31">
        <f t="shared" si="17"/>
        <v>434.99039019000907</v>
      </c>
      <c r="AO52" s="25" t="str">
        <f t="shared" si="18"/>
        <v>A tiempo</v>
      </c>
      <c r="AP52" s="25" t="str">
        <f t="shared" si="19"/>
        <v/>
      </c>
      <c r="AQ52" s="25" t="str">
        <f t="shared" si="20"/>
        <v/>
      </c>
      <c r="AR52" s="25" t="str">
        <f t="shared" si="21"/>
        <v>Corro</v>
      </c>
      <c r="AU52" s="25">
        <f t="shared" si="22"/>
        <v>50</v>
      </c>
      <c r="AV52" s="25">
        <f t="shared" si="23"/>
        <v>26</v>
      </c>
      <c r="AW52" s="25">
        <f t="shared" si="32"/>
        <v>480</v>
      </c>
      <c r="AX52" s="33">
        <f>IF(AU52="","",Hoja1!BH62)</f>
        <v>0.65881749025827707</v>
      </c>
      <c r="AY52" s="33">
        <f t="shared" si="24"/>
        <v>66.117224318079394</v>
      </c>
      <c r="AZ52" s="33">
        <f t="shared" si="1"/>
        <v>546.11722431807937</v>
      </c>
    </row>
    <row r="53" spans="11:52" x14ac:dyDescent="0.25">
      <c r="K53" s="41">
        <f>+Hoja1!S63</f>
        <v>51</v>
      </c>
      <c r="L53" s="41">
        <f>+Hoja1!T63</f>
        <v>27</v>
      </c>
      <c r="M53" s="41">
        <f>+Hoja1!U63</f>
        <v>390.72658323905188</v>
      </c>
      <c r="N53" s="41">
        <f t="shared" si="25"/>
        <v>1</v>
      </c>
      <c r="O53" s="41">
        <f t="shared" si="26"/>
        <v>1</v>
      </c>
      <c r="P53" s="41">
        <f t="shared" si="27"/>
        <v>1</v>
      </c>
      <c r="Q53" s="41">
        <f t="shared" si="3"/>
        <v>3</v>
      </c>
      <c r="R53" s="31">
        <f>+MAX(AK$3:AK52)</f>
        <v>434.99039019000907</v>
      </c>
      <c r="S53" s="31">
        <f>+MAX(AL$3:AL52)</f>
        <v>430.38123717036643</v>
      </c>
      <c r="T53" s="31">
        <f>+MAX(AM$3:AM52)</f>
        <v>431.00730012120431</v>
      </c>
      <c r="U53" s="31">
        <f>+Hoja1!AR63</f>
        <v>0.38129157385912593</v>
      </c>
      <c r="V53" s="41" t="str">
        <f t="shared" si="4"/>
        <v/>
      </c>
      <c r="W53" s="41" t="str">
        <f t="shared" si="28"/>
        <v/>
      </c>
      <c r="X53" s="41" t="str">
        <f t="shared" si="5"/>
        <v/>
      </c>
      <c r="Y53" s="41" t="str">
        <f t="shared" si="6"/>
        <v/>
      </c>
      <c r="Z53" s="41" t="str">
        <f t="shared" si="34"/>
        <v/>
      </c>
      <c r="AA53" s="41" t="str">
        <f t="shared" si="8"/>
        <v/>
      </c>
      <c r="AB53" s="42" t="str">
        <f t="shared" si="9"/>
        <v/>
      </c>
      <c r="AC53" s="41">
        <f t="shared" si="10"/>
        <v>2</v>
      </c>
      <c r="AD53" s="41">
        <f t="shared" si="11"/>
        <v>2</v>
      </c>
      <c r="AE53" s="41" t="str">
        <f t="shared" si="29"/>
        <v/>
      </c>
      <c r="AF53" s="41">
        <f t="shared" si="30"/>
        <v>430.38123717036643</v>
      </c>
      <c r="AG53" s="41" t="str">
        <f t="shared" si="31"/>
        <v/>
      </c>
      <c r="AH53" s="41">
        <f t="shared" si="12"/>
        <v>430.38123717036643</v>
      </c>
      <c r="AI53" s="31">
        <f>Hoja1!AE63</f>
        <v>0.22372540785372885</v>
      </c>
      <c r="AJ53" s="31">
        <f t="shared" si="13"/>
        <v>3.0067643353417797</v>
      </c>
      <c r="AK53" s="31" t="str">
        <f t="shared" si="14"/>
        <v/>
      </c>
      <c r="AL53" s="31">
        <f t="shared" si="15"/>
        <v>433.38800150570819</v>
      </c>
      <c r="AM53" s="31" t="str">
        <f t="shared" si="16"/>
        <v/>
      </c>
      <c r="AN53" s="31">
        <f t="shared" si="17"/>
        <v>433.38800150570819</v>
      </c>
      <c r="AO53" s="25" t="str">
        <f t="shared" si="18"/>
        <v>A tiempo</v>
      </c>
      <c r="AP53" s="25" t="str">
        <f t="shared" si="19"/>
        <v/>
      </c>
      <c r="AQ53" s="25" t="str">
        <f t="shared" si="20"/>
        <v/>
      </c>
      <c r="AR53" s="25" t="str">
        <f t="shared" si="21"/>
        <v>Corro</v>
      </c>
      <c r="AU53" s="25">
        <f t="shared" si="22"/>
        <v>51</v>
      </c>
      <c r="AV53" s="25">
        <f t="shared" si="23"/>
        <v>27</v>
      </c>
      <c r="AW53" s="25">
        <f t="shared" si="32"/>
        <v>480</v>
      </c>
      <c r="AX53" s="33">
        <f>IF(AU53="","",Hoja1!BH63)</f>
        <v>0.11575972050510719</v>
      </c>
      <c r="AY53" s="33">
        <f t="shared" si="24"/>
        <v>28.103180435357501</v>
      </c>
      <c r="AZ53" s="33">
        <f t="shared" si="1"/>
        <v>508.1031804353575</v>
      </c>
    </row>
    <row r="54" spans="11:52" x14ac:dyDescent="0.25">
      <c r="K54" s="41">
        <f>+Hoja1!S64</f>
        <v>52</v>
      </c>
      <c r="L54" s="41">
        <f>+Hoja1!T64</f>
        <v>28</v>
      </c>
      <c r="M54" s="41">
        <f>+Hoja1!U64</f>
        <v>391.62801048874218</v>
      </c>
      <c r="N54" s="41">
        <f t="shared" si="25"/>
        <v>1</v>
      </c>
      <c r="O54" s="41">
        <f t="shared" si="26"/>
        <v>1</v>
      </c>
      <c r="P54" s="41">
        <f t="shared" si="27"/>
        <v>1</v>
      </c>
      <c r="Q54" s="41">
        <f t="shared" si="3"/>
        <v>3</v>
      </c>
      <c r="R54" s="31">
        <f>+MAX(AK$3:AK53)</f>
        <v>434.99039019000907</v>
      </c>
      <c r="S54" s="31">
        <f>+MAX(AL$3:AL53)</f>
        <v>433.38800150570819</v>
      </c>
      <c r="T54" s="31">
        <f>+MAX(AM$3:AM53)</f>
        <v>431.00730012120431</v>
      </c>
      <c r="U54" s="31">
        <f>+Hoja1!AR64</f>
        <v>0.74812562960368068</v>
      </c>
      <c r="V54" s="41" t="str">
        <f t="shared" si="4"/>
        <v/>
      </c>
      <c r="W54" s="41" t="str">
        <f t="shared" si="28"/>
        <v/>
      </c>
      <c r="X54" s="41" t="str">
        <f t="shared" si="5"/>
        <v/>
      </c>
      <c r="Y54" s="41" t="str">
        <f t="shared" si="6"/>
        <v/>
      </c>
      <c r="Z54" s="41" t="str">
        <f t="shared" si="34"/>
        <v/>
      </c>
      <c r="AA54" s="41" t="str">
        <f t="shared" si="8"/>
        <v/>
      </c>
      <c r="AB54" s="42" t="str">
        <f t="shared" si="9"/>
        <v/>
      </c>
      <c r="AC54" s="41">
        <f t="shared" si="10"/>
        <v>3</v>
      </c>
      <c r="AD54" s="41">
        <f t="shared" si="11"/>
        <v>3</v>
      </c>
      <c r="AE54" s="41" t="str">
        <f t="shared" si="29"/>
        <v/>
      </c>
      <c r="AF54" s="41" t="str">
        <f t="shared" si="30"/>
        <v/>
      </c>
      <c r="AG54" s="41">
        <f t="shared" si="31"/>
        <v>431.00730012120431</v>
      </c>
      <c r="AH54" s="41">
        <f t="shared" si="12"/>
        <v>431.00730012120431</v>
      </c>
      <c r="AI54" s="31">
        <f>Hoja1!AE64</f>
        <v>0.66340467190610075</v>
      </c>
      <c r="AJ54" s="31">
        <f t="shared" si="13"/>
        <v>4.9853210235774537</v>
      </c>
      <c r="AK54" s="31" t="str">
        <f t="shared" si="14"/>
        <v/>
      </c>
      <c r="AL54" s="31" t="str">
        <f t="shared" si="15"/>
        <v/>
      </c>
      <c r="AM54" s="31">
        <f t="shared" si="16"/>
        <v>435.99262114478176</v>
      </c>
      <c r="AN54" s="31">
        <f t="shared" si="17"/>
        <v>435.99262114478176</v>
      </c>
      <c r="AO54" s="25" t="str">
        <f t="shared" si="18"/>
        <v>A tiempo</v>
      </c>
      <c r="AP54" s="25" t="str">
        <f t="shared" si="19"/>
        <v/>
      </c>
      <c r="AQ54" s="25" t="str">
        <f t="shared" si="20"/>
        <v/>
      </c>
      <c r="AR54" s="25" t="str">
        <f t="shared" si="21"/>
        <v>Corro</v>
      </c>
      <c r="AU54" s="25">
        <f t="shared" si="22"/>
        <v>52</v>
      </c>
      <c r="AV54" s="25">
        <f t="shared" si="23"/>
        <v>28</v>
      </c>
      <c r="AW54" s="25">
        <f t="shared" si="32"/>
        <v>480</v>
      </c>
      <c r="AX54" s="33">
        <f>IF(AU54="","",Hoja1!BH64)</f>
        <v>3.5401361699704537E-2</v>
      </c>
      <c r="AY54" s="33">
        <f t="shared" si="24"/>
        <v>22.478095318979317</v>
      </c>
      <c r="AZ54" s="33">
        <f t="shared" si="1"/>
        <v>502.47809531897934</v>
      </c>
    </row>
    <row r="55" spans="11:52" x14ac:dyDescent="0.25">
      <c r="K55" s="41">
        <f>+Hoja1!S65</f>
        <v>53</v>
      </c>
      <c r="L55" s="41">
        <f>+Hoja1!T65</f>
        <v>29</v>
      </c>
      <c r="M55" s="41">
        <f>+Hoja1!U65</f>
        <v>391.65442039136241</v>
      </c>
      <c r="N55" s="41">
        <f t="shared" si="25"/>
        <v>1</v>
      </c>
      <c r="O55" s="41">
        <f t="shared" si="26"/>
        <v>1</v>
      </c>
      <c r="P55" s="41">
        <f t="shared" si="27"/>
        <v>1</v>
      </c>
      <c r="Q55" s="41">
        <f t="shared" si="3"/>
        <v>3</v>
      </c>
      <c r="R55" s="31">
        <f>+MAX(AK$3:AK54)</f>
        <v>434.99039019000907</v>
      </c>
      <c r="S55" s="31">
        <f>+MAX(AL$3:AL54)</f>
        <v>433.38800150570819</v>
      </c>
      <c r="T55" s="31">
        <f>+MAX(AM$3:AM54)</f>
        <v>435.99262114478176</v>
      </c>
      <c r="U55" s="31">
        <f>+Hoja1!AR65</f>
        <v>0.90172115118571572</v>
      </c>
      <c r="V55" s="41" t="str">
        <f t="shared" si="4"/>
        <v/>
      </c>
      <c r="W55" s="41" t="str">
        <f t="shared" si="28"/>
        <v/>
      </c>
      <c r="X55" s="41" t="str">
        <f t="shared" si="5"/>
        <v/>
      </c>
      <c r="Y55" s="41" t="str">
        <f t="shared" si="6"/>
        <v/>
      </c>
      <c r="Z55" s="41" t="str">
        <f t="shared" si="34"/>
        <v/>
      </c>
      <c r="AA55" s="41" t="str">
        <f t="shared" si="8"/>
        <v/>
      </c>
      <c r="AB55" s="42" t="str">
        <f t="shared" si="9"/>
        <v/>
      </c>
      <c r="AC55" s="41">
        <f t="shared" si="10"/>
        <v>2</v>
      </c>
      <c r="AD55" s="41">
        <f t="shared" si="11"/>
        <v>2</v>
      </c>
      <c r="AE55" s="41" t="str">
        <f t="shared" si="29"/>
        <v/>
      </c>
      <c r="AF55" s="41">
        <f t="shared" si="30"/>
        <v>433.38800150570819</v>
      </c>
      <c r="AG55" s="41" t="str">
        <f t="shared" si="31"/>
        <v/>
      </c>
      <c r="AH55" s="41">
        <f t="shared" si="12"/>
        <v>433.38800150570819</v>
      </c>
      <c r="AI55" s="31">
        <f>Hoja1!AE65</f>
        <v>0.38650640430508509</v>
      </c>
      <c r="AJ55" s="31">
        <f t="shared" si="13"/>
        <v>3.739278819372883</v>
      </c>
      <c r="AK55" s="31" t="str">
        <f t="shared" si="14"/>
        <v/>
      </c>
      <c r="AL55" s="31">
        <f t="shared" si="15"/>
        <v>437.12728032508107</v>
      </c>
      <c r="AM55" s="31" t="str">
        <f t="shared" si="16"/>
        <v/>
      </c>
      <c r="AN55" s="31">
        <f t="shared" si="17"/>
        <v>437.12728032508107</v>
      </c>
      <c r="AO55" s="25" t="str">
        <f t="shared" si="18"/>
        <v>A tiempo</v>
      </c>
      <c r="AP55" s="25" t="str">
        <f t="shared" si="19"/>
        <v/>
      </c>
      <c r="AQ55" s="25" t="str">
        <f t="shared" si="20"/>
        <v/>
      </c>
      <c r="AR55" s="25" t="str">
        <f t="shared" si="21"/>
        <v>Corro</v>
      </c>
      <c r="AU55" s="25">
        <f t="shared" si="22"/>
        <v>53</v>
      </c>
      <c r="AV55" s="25">
        <f t="shared" si="23"/>
        <v>29</v>
      </c>
      <c r="AW55" s="25">
        <f t="shared" si="32"/>
        <v>480</v>
      </c>
      <c r="AX55" s="33">
        <f>IF(AU55="","",Hoja1!BH65)</f>
        <v>0.38735297227550047</v>
      </c>
      <c r="AY55" s="33">
        <f t="shared" si="24"/>
        <v>47.114708059285036</v>
      </c>
      <c r="AZ55" s="33">
        <f t="shared" si="1"/>
        <v>527.11470805928502</v>
      </c>
    </row>
    <row r="56" spans="11:52" x14ac:dyDescent="0.25">
      <c r="K56" s="41">
        <f>+Hoja1!S66</f>
        <v>54</v>
      </c>
      <c r="L56" s="41">
        <f>+Hoja1!T66</f>
        <v>29</v>
      </c>
      <c r="M56" s="41">
        <f>+Hoja1!U66</f>
        <v>391.65442039136241</v>
      </c>
      <c r="N56" s="41">
        <f t="shared" si="25"/>
        <v>1</v>
      </c>
      <c r="O56" s="41">
        <f t="shared" si="26"/>
        <v>1</v>
      </c>
      <c r="P56" s="41">
        <f t="shared" si="27"/>
        <v>1</v>
      </c>
      <c r="Q56" s="41">
        <f t="shared" si="3"/>
        <v>3</v>
      </c>
      <c r="R56" s="31">
        <f>+MAX(AK$3:AK55)</f>
        <v>434.99039019000907</v>
      </c>
      <c r="S56" s="31">
        <f>+MAX(AL$3:AL55)</f>
        <v>437.12728032508107</v>
      </c>
      <c r="T56" s="31">
        <f>+MAX(AM$3:AM55)</f>
        <v>435.99262114478176</v>
      </c>
      <c r="U56" s="31">
        <f>+Hoja1!AR66</f>
        <v>0.55430473638850231</v>
      </c>
      <c r="V56" s="41" t="str">
        <f t="shared" si="4"/>
        <v/>
      </c>
      <c r="W56" s="41" t="str">
        <f t="shared" si="28"/>
        <v/>
      </c>
      <c r="X56" s="41" t="str">
        <f t="shared" si="5"/>
        <v/>
      </c>
      <c r="Y56" s="41" t="str">
        <f t="shared" si="6"/>
        <v/>
      </c>
      <c r="Z56" s="41" t="str">
        <f t="shared" si="34"/>
        <v/>
      </c>
      <c r="AA56" s="41" t="str">
        <f t="shared" si="8"/>
        <v/>
      </c>
      <c r="AB56" s="42" t="str">
        <f t="shared" si="9"/>
        <v/>
      </c>
      <c r="AC56" s="41">
        <f t="shared" si="10"/>
        <v>1</v>
      </c>
      <c r="AD56" s="41">
        <f t="shared" si="11"/>
        <v>1</v>
      </c>
      <c r="AE56" s="41">
        <f t="shared" si="29"/>
        <v>434.99039019000907</v>
      </c>
      <c r="AF56" s="41" t="str">
        <f t="shared" si="30"/>
        <v/>
      </c>
      <c r="AG56" s="41" t="str">
        <f t="shared" si="31"/>
        <v/>
      </c>
      <c r="AH56" s="41">
        <f t="shared" si="12"/>
        <v>434.99039019000907</v>
      </c>
      <c r="AI56" s="31">
        <f>Hoja1!AE66</f>
        <v>0.35908712008796284</v>
      </c>
      <c r="AJ56" s="31">
        <f t="shared" si="13"/>
        <v>3.615892040395833</v>
      </c>
      <c r="AK56" s="31">
        <f t="shared" si="14"/>
        <v>438.60628223040487</v>
      </c>
      <c r="AL56" s="31" t="str">
        <f t="shared" si="15"/>
        <v/>
      </c>
      <c r="AM56" s="31" t="str">
        <f t="shared" si="16"/>
        <v/>
      </c>
      <c r="AN56" s="31">
        <f t="shared" si="17"/>
        <v>438.60628223040487</v>
      </c>
      <c r="AO56" s="25" t="str">
        <f t="shared" si="18"/>
        <v>A tiempo</v>
      </c>
      <c r="AP56" s="25" t="str">
        <f t="shared" si="19"/>
        <v/>
      </c>
      <c r="AQ56" s="25" t="str">
        <f t="shared" si="20"/>
        <v/>
      </c>
      <c r="AR56" s="25" t="str">
        <f t="shared" si="21"/>
        <v>Corro</v>
      </c>
      <c r="AU56" s="25">
        <f t="shared" si="22"/>
        <v>54</v>
      </c>
      <c r="AV56" s="25">
        <f t="shared" si="23"/>
        <v>29</v>
      </c>
      <c r="AW56" s="25">
        <f t="shared" si="32"/>
        <v>480</v>
      </c>
      <c r="AX56" s="33">
        <f>IF(AU56="","",Hoja1!BH66)</f>
        <v>0.11663744680600385</v>
      </c>
      <c r="AY56" s="33">
        <f t="shared" si="24"/>
        <v>28.16462127642027</v>
      </c>
      <c r="AZ56" s="33">
        <f t="shared" si="1"/>
        <v>508.16462127642029</v>
      </c>
    </row>
    <row r="57" spans="11:52" x14ac:dyDescent="0.25">
      <c r="K57" s="41">
        <f>+Hoja1!S67</f>
        <v>55</v>
      </c>
      <c r="L57" s="41">
        <f>+Hoja1!T67</f>
        <v>29</v>
      </c>
      <c r="M57" s="41">
        <f>+Hoja1!U67</f>
        <v>391.65442039136241</v>
      </c>
      <c r="N57" s="41">
        <f t="shared" si="25"/>
        <v>1</v>
      </c>
      <c r="O57" s="41">
        <f t="shared" si="26"/>
        <v>1</v>
      </c>
      <c r="P57" s="41">
        <f t="shared" si="27"/>
        <v>1</v>
      </c>
      <c r="Q57" s="41">
        <f t="shared" si="3"/>
        <v>3</v>
      </c>
      <c r="R57" s="31">
        <f>+MAX(AK$3:AK56)</f>
        <v>438.60628223040487</v>
      </c>
      <c r="S57" s="31">
        <f>+MAX(AL$3:AL56)</f>
        <v>437.12728032508107</v>
      </c>
      <c r="T57" s="31">
        <f>+MAX(AM$3:AM56)</f>
        <v>435.99262114478176</v>
      </c>
      <c r="U57" s="31">
        <f>+Hoja1!AR67</f>
        <v>0.55569848002306987</v>
      </c>
      <c r="V57" s="41" t="str">
        <f t="shared" si="4"/>
        <v/>
      </c>
      <c r="W57" s="41" t="str">
        <f t="shared" si="28"/>
        <v/>
      </c>
      <c r="X57" s="41" t="str">
        <f t="shared" si="5"/>
        <v/>
      </c>
      <c r="Y57" s="41" t="str">
        <f t="shared" si="6"/>
        <v/>
      </c>
      <c r="Z57" s="41" t="str">
        <f t="shared" si="34"/>
        <v/>
      </c>
      <c r="AA57" s="41" t="str">
        <f t="shared" si="8"/>
        <v/>
      </c>
      <c r="AB57" s="42" t="str">
        <f t="shared" si="9"/>
        <v/>
      </c>
      <c r="AC57" s="41">
        <f t="shared" si="10"/>
        <v>3</v>
      </c>
      <c r="AD57" s="41">
        <f t="shared" si="11"/>
        <v>3</v>
      </c>
      <c r="AE57" s="41" t="str">
        <f t="shared" si="29"/>
        <v/>
      </c>
      <c r="AF57" s="41" t="str">
        <f t="shared" si="30"/>
        <v/>
      </c>
      <c r="AG57" s="41">
        <f t="shared" si="31"/>
        <v>435.99262114478176</v>
      </c>
      <c r="AH57" s="41">
        <f t="shared" si="12"/>
        <v>435.99262114478176</v>
      </c>
      <c r="AI57" s="31">
        <f>Hoja1!AE67</f>
        <v>0.36510472959687013</v>
      </c>
      <c r="AJ57" s="31">
        <f t="shared" si="13"/>
        <v>3.6429712831859158</v>
      </c>
      <c r="AK57" s="31" t="str">
        <f t="shared" si="14"/>
        <v/>
      </c>
      <c r="AL57" s="31" t="str">
        <f t="shared" si="15"/>
        <v/>
      </c>
      <c r="AM57" s="31">
        <f t="shared" si="16"/>
        <v>439.63559242796771</v>
      </c>
      <c r="AN57" s="31">
        <f t="shared" si="17"/>
        <v>439.63559242796771</v>
      </c>
      <c r="AO57" s="25" t="str">
        <f t="shared" si="18"/>
        <v>A tiempo</v>
      </c>
      <c r="AP57" s="25" t="str">
        <f t="shared" si="19"/>
        <v/>
      </c>
      <c r="AQ57" s="25" t="str">
        <f t="shared" si="20"/>
        <v/>
      </c>
      <c r="AR57" s="25" t="str">
        <f t="shared" si="21"/>
        <v>Corro</v>
      </c>
      <c r="AU57" s="25">
        <f t="shared" si="22"/>
        <v>55</v>
      </c>
      <c r="AV57" s="25">
        <f t="shared" si="23"/>
        <v>29</v>
      </c>
      <c r="AW57" s="25">
        <f t="shared" si="32"/>
        <v>480</v>
      </c>
      <c r="AX57" s="33">
        <f>IF(AU57="","",Hoja1!BH67)</f>
        <v>0.71758689301356549</v>
      </c>
      <c r="AY57" s="33">
        <f t="shared" si="24"/>
        <v>70.231082510949591</v>
      </c>
      <c r="AZ57" s="33">
        <f t="shared" si="1"/>
        <v>550.23108251094959</v>
      </c>
    </row>
    <row r="58" spans="11:52" x14ac:dyDescent="0.25">
      <c r="K58" s="41">
        <f>+Hoja1!S68</f>
        <v>56</v>
      </c>
      <c r="L58" s="41">
        <f>+Hoja1!T68</f>
        <v>30</v>
      </c>
      <c r="M58" s="41">
        <f>+Hoja1!U68</f>
        <v>392.31071794261396</v>
      </c>
      <c r="N58" s="41">
        <f t="shared" si="25"/>
        <v>1</v>
      </c>
      <c r="O58" s="41">
        <f t="shared" si="26"/>
        <v>1</v>
      </c>
      <c r="P58" s="41">
        <f t="shared" si="27"/>
        <v>1</v>
      </c>
      <c r="Q58" s="41">
        <f t="shared" si="3"/>
        <v>3</v>
      </c>
      <c r="R58" s="31">
        <f>+MAX(AK$3:AK57)</f>
        <v>438.60628223040487</v>
      </c>
      <c r="S58" s="31">
        <f>+MAX(AL$3:AL57)</f>
        <v>437.12728032508107</v>
      </c>
      <c r="T58" s="31">
        <f>+MAX(AM$3:AM57)</f>
        <v>439.63559242796771</v>
      </c>
      <c r="U58" s="31">
        <f>+Hoja1!AR68</f>
        <v>0.78500030375807739</v>
      </c>
      <c r="V58" s="41" t="str">
        <f t="shared" si="4"/>
        <v/>
      </c>
      <c r="W58" s="41" t="str">
        <f t="shared" si="28"/>
        <v/>
      </c>
      <c r="X58" s="41" t="str">
        <f t="shared" si="5"/>
        <v/>
      </c>
      <c r="Y58" s="41" t="str">
        <f t="shared" si="6"/>
        <v/>
      </c>
      <c r="Z58" s="41" t="str">
        <f t="shared" si="34"/>
        <v/>
      </c>
      <c r="AA58" s="41" t="str">
        <f t="shared" si="8"/>
        <v/>
      </c>
      <c r="AB58" s="42" t="str">
        <f t="shared" si="9"/>
        <v/>
      </c>
      <c r="AC58" s="41">
        <f t="shared" si="10"/>
        <v>2</v>
      </c>
      <c r="AD58" s="41">
        <f t="shared" si="11"/>
        <v>2</v>
      </c>
      <c r="AE58" s="41" t="str">
        <f t="shared" si="29"/>
        <v/>
      </c>
      <c r="AF58" s="41">
        <f t="shared" si="30"/>
        <v>437.12728032508107</v>
      </c>
      <c r="AG58" s="41" t="str">
        <f t="shared" si="31"/>
        <v/>
      </c>
      <c r="AH58" s="41">
        <f t="shared" si="12"/>
        <v>437.12728032508107</v>
      </c>
      <c r="AI58" s="31">
        <f>Hoja1!AE68</f>
        <v>0.3961513583860552</v>
      </c>
      <c r="AJ58" s="31">
        <f t="shared" si="13"/>
        <v>3.7826811127372482</v>
      </c>
      <c r="AK58" s="31" t="str">
        <f t="shared" si="14"/>
        <v/>
      </c>
      <c r="AL58" s="31">
        <f t="shared" si="15"/>
        <v>440.90996143781831</v>
      </c>
      <c r="AM58" s="31" t="str">
        <f t="shared" si="16"/>
        <v/>
      </c>
      <c r="AN58" s="31">
        <f t="shared" si="17"/>
        <v>440.90996143781831</v>
      </c>
      <c r="AO58" s="25" t="str">
        <f t="shared" si="18"/>
        <v>A tiempo</v>
      </c>
      <c r="AP58" s="25" t="str">
        <f t="shared" si="19"/>
        <v/>
      </c>
      <c r="AQ58" s="25" t="str">
        <f t="shared" si="20"/>
        <v/>
      </c>
      <c r="AR58" s="25" t="str">
        <f t="shared" si="21"/>
        <v>Corro</v>
      </c>
      <c r="AU58" s="25">
        <f t="shared" si="22"/>
        <v>56</v>
      </c>
      <c r="AV58" s="25">
        <f t="shared" si="23"/>
        <v>30</v>
      </c>
      <c r="AW58" s="25">
        <f t="shared" si="32"/>
        <v>480</v>
      </c>
      <c r="AX58" s="33">
        <f>IF(AU58="","",Hoja1!BH68)</f>
        <v>6.2742350304794692E-2</v>
      </c>
      <c r="AY58" s="33">
        <f t="shared" si="24"/>
        <v>24.39196452133563</v>
      </c>
      <c r="AZ58" s="33">
        <f t="shared" si="1"/>
        <v>504.39196452133564</v>
      </c>
    </row>
    <row r="59" spans="11:52" x14ac:dyDescent="0.25">
      <c r="K59" s="41">
        <f>+Hoja1!S69</f>
        <v>57</v>
      </c>
      <c r="L59" s="41">
        <f>+Hoja1!T69</f>
        <v>31</v>
      </c>
      <c r="M59" s="41">
        <f>+Hoja1!U69</f>
        <v>392.48462303485076</v>
      </c>
      <c r="N59" s="41">
        <f t="shared" si="25"/>
        <v>1</v>
      </c>
      <c r="O59" s="41">
        <f t="shared" si="26"/>
        <v>1</v>
      </c>
      <c r="P59" s="41">
        <f t="shared" si="27"/>
        <v>1</v>
      </c>
      <c r="Q59" s="41">
        <f t="shared" si="3"/>
        <v>3</v>
      </c>
      <c r="R59" s="31">
        <f>+MAX(AK$3:AK58)</f>
        <v>438.60628223040487</v>
      </c>
      <c r="S59" s="31">
        <f>+MAX(AL$3:AL58)</f>
        <v>440.90996143781831</v>
      </c>
      <c r="T59" s="31">
        <f>+MAX(AM$3:AM58)</f>
        <v>439.63559242796771</v>
      </c>
      <c r="U59" s="31">
        <f>+Hoja1!AR69</f>
        <v>0.63152264097411703</v>
      </c>
      <c r="V59" s="41" t="str">
        <f t="shared" si="4"/>
        <v/>
      </c>
      <c r="W59" s="41" t="str">
        <f t="shared" si="28"/>
        <v/>
      </c>
      <c r="X59" s="41" t="str">
        <f t="shared" si="5"/>
        <v/>
      </c>
      <c r="Y59" s="41" t="str">
        <f t="shared" si="6"/>
        <v/>
      </c>
      <c r="Z59" s="41" t="str">
        <f t="shared" si="34"/>
        <v/>
      </c>
      <c r="AA59" s="41" t="str">
        <f t="shared" si="8"/>
        <v/>
      </c>
      <c r="AB59" s="42" t="str">
        <f t="shared" si="9"/>
        <v/>
      </c>
      <c r="AC59" s="41">
        <f t="shared" si="10"/>
        <v>1</v>
      </c>
      <c r="AD59" s="41">
        <f t="shared" si="11"/>
        <v>1</v>
      </c>
      <c r="AE59" s="41">
        <f t="shared" si="29"/>
        <v>438.60628223040487</v>
      </c>
      <c r="AF59" s="41" t="str">
        <f t="shared" si="30"/>
        <v/>
      </c>
      <c r="AG59" s="41" t="str">
        <f t="shared" si="31"/>
        <v/>
      </c>
      <c r="AH59" s="41">
        <f t="shared" si="12"/>
        <v>438.60628223040487</v>
      </c>
      <c r="AI59" s="31">
        <f>Hoja1!AE69</f>
        <v>0.45972681347310884</v>
      </c>
      <c r="AJ59" s="31">
        <f t="shared" si="13"/>
        <v>4.0687706606289904</v>
      </c>
      <c r="AK59" s="31">
        <f t="shared" si="14"/>
        <v>442.67505289103389</v>
      </c>
      <c r="AL59" s="31" t="str">
        <f t="shared" si="15"/>
        <v/>
      </c>
      <c r="AM59" s="31" t="str">
        <f t="shared" si="16"/>
        <v/>
      </c>
      <c r="AN59" s="31">
        <f t="shared" si="17"/>
        <v>442.67505289103389</v>
      </c>
      <c r="AO59" s="25" t="str">
        <f t="shared" si="18"/>
        <v>A tiempo</v>
      </c>
      <c r="AP59" s="25" t="str">
        <f t="shared" si="19"/>
        <v/>
      </c>
      <c r="AQ59" s="25" t="str">
        <f t="shared" si="20"/>
        <v/>
      </c>
      <c r="AR59" s="25" t="str">
        <f t="shared" si="21"/>
        <v>Corro</v>
      </c>
      <c r="AU59" s="25">
        <f t="shared" si="22"/>
        <v>57</v>
      </c>
      <c r="AV59" s="25">
        <f t="shared" si="23"/>
        <v>31</v>
      </c>
      <c r="AW59" s="25">
        <f t="shared" si="32"/>
        <v>480</v>
      </c>
      <c r="AX59" s="33">
        <f>IF(AU59="","",Hoja1!BH69)</f>
        <v>0.75310437909038819</v>
      </c>
      <c r="AY59" s="33">
        <f t="shared" si="24"/>
        <v>72.717306536327172</v>
      </c>
      <c r="AZ59" s="33">
        <f t="shared" si="1"/>
        <v>552.71730653632721</v>
      </c>
    </row>
    <row r="60" spans="11:52" x14ac:dyDescent="0.25">
      <c r="K60" s="41">
        <f>+Hoja1!S70</f>
        <v>58</v>
      </c>
      <c r="L60" s="41">
        <f>+Hoja1!T70</f>
        <v>32</v>
      </c>
      <c r="M60" s="41">
        <f>+Hoja1!U70</f>
        <v>393.64030616018971</v>
      </c>
      <c r="N60" s="41">
        <f t="shared" si="25"/>
        <v>1</v>
      </c>
      <c r="O60" s="41">
        <f t="shared" si="26"/>
        <v>1</v>
      </c>
      <c r="P60" s="41">
        <f t="shared" si="27"/>
        <v>1</v>
      </c>
      <c r="Q60" s="41">
        <f t="shared" si="3"/>
        <v>3</v>
      </c>
      <c r="R60" s="31">
        <f>+MAX(AK$3:AK59)</f>
        <v>442.67505289103389</v>
      </c>
      <c r="S60" s="31">
        <f>+MAX(AL$3:AL59)</f>
        <v>440.90996143781831</v>
      </c>
      <c r="T60" s="31">
        <f>+MAX(AM$3:AM59)</f>
        <v>439.63559242796771</v>
      </c>
      <c r="U60" s="31">
        <f>+Hoja1!AR70</f>
        <v>0.83487537400599565</v>
      </c>
      <c r="V60" s="41" t="str">
        <f t="shared" si="4"/>
        <v/>
      </c>
      <c r="W60" s="41" t="str">
        <f t="shared" si="28"/>
        <v/>
      </c>
      <c r="X60" s="41" t="str">
        <f t="shared" si="5"/>
        <v/>
      </c>
      <c r="Y60" s="41" t="str">
        <f t="shared" si="6"/>
        <v/>
      </c>
      <c r="Z60" s="41" t="str">
        <f t="shared" si="34"/>
        <v/>
      </c>
      <c r="AA60" s="41" t="str">
        <f t="shared" si="8"/>
        <v/>
      </c>
      <c r="AB60" s="42" t="str">
        <f t="shared" si="9"/>
        <v/>
      </c>
      <c r="AC60" s="41">
        <f t="shared" si="10"/>
        <v>3</v>
      </c>
      <c r="AD60" s="41">
        <f t="shared" si="11"/>
        <v>3</v>
      </c>
      <c r="AE60" s="41" t="str">
        <f t="shared" si="29"/>
        <v/>
      </c>
      <c r="AF60" s="41" t="str">
        <f t="shared" si="30"/>
        <v/>
      </c>
      <c r="AG60" s="41">
        <f t="shared" si="31"/>
        <v>439.63559242796771</v>
      </c>
      <c r="AH60" s="41">
        <f t="shared" si="12"/>
        <v>439.63559242796771</v>
      </c>
      <c r="AI60" s="31">
        <f>Hoja1!AE70</f>
        <v>0.54329243834782914</v>
      </c>
      <c r="AJ60" s="31">
        <f t="shared" si="13"/>
        <v>4.4448159725652312</v>
      </c>
      <c r="AK60" s="31" t="str">
        <f t="shared" si="14"/>
        <v/>
      </c>
      <c r="AL60" s="31" t="str">
        <f t="shared" si="15"/>
        <v/>
      </c>
      <c r="AM60" s="31">
        <f t="shared" si="16"/>
        <v>444.08040840053292</v>
      </c>
      <c r="AN60" s="31">
        <f t="shared" si="17"/>
        <v>444.08040840053292</v>
      </c>
      <c r="AO60" s="25" t="str">
        <f t="shared" si="18"/>
        <v>A tiempo</v>
      </c>
      <c r="AP60" s="25" t="str">
        <f t="shared" si="19"/>
        <v/>
      </c>
      <c r="AQ60" s="25" t="str">
        <f t="shared" si="20"/>
        <v/>
      </c>
      <c r="AR60" s="25" t="str">
        <f t="shared" si="21"/>
        <v>Corro</v>
      </c>
      <c r="AU60" s="25">
        <f t="shared" si="22"/>
        <v>58</v>
      </c>
      <c r="AV60" s="25">
        <f t="shared" si="23"/>
        <v>32</v>
      </c>
      <c r="AW60" s="25">
        <f t="shared" si="32"/>
        <v>480</v>
      </c>
      <c r="AX60" s="33">
        <f>IF(AU60="","",Hoja1!BH70)</f>
        <v>0.81183746341327045</v>
      </c>
      <c r="AY60" s="33">
        <f t="shared" si="24"/>
        <v>76.828622438928932</v>
      </c>
      <c r="AZ60" s="33">
        <f t="shared" si="1"/>
        <v>556.82862243892896</v>
      </c>
    </row>
    <row r="61" spans="11:52" x14ac:dyDescent="0.25">
      <c r="K61" s="41">
        <f>+Hoja1!S71</f>
        <v>59</v>
      </c>
      <c r="L61" s="41">
        <f>+Hoja1!T71</f>
        <v>33</v>
      </c>
      <c r="M61" s="41">
        <f>+Hoja1!U71</f>
        <v>394.16892160547116</v>
      </c>
      <c r="N61" s="41">
        <f t="shared" si="25"/>
        <v>1</v>
      </c>
      <c r="O61" s="41">
        <f t="shared" si="26"/>
        <v>1</v>
      </c>
      <c r="P61" s="41">
        <f t="shared" si="27"/>
        <v>1</v>
      </c>
      <c r="Q61" s="41">
        <f t="shared" si="3"/>
        <v>3</v>
      </c>
      <c r="R61" s="31">
        <f>+MAX(AK$3:AK60)</f>
        <v>442.67505289103389</v>
      </c>
      <c r="S61" s="31">
        <f>+MAX(AL$3:AL60)</f>
        <v>440.90996143781831</v>
      </c>
      <c r="T61" s="31">
        <f>+MAX(AM$3:AM60)</f>
        <v>444.08040840053292</v>
      </c>
      <c r="U61" s="31">
        <f>+Hoja1!AR71</f>
        <v>0.21770069770089884</v>
      </c>
      <c r="V61" s="41" t="str">
        <f t="shared" si="4"/>
        <v/>
      </c>
      <c r="W61" s="41" t="str">
        <f t="shared" si="28"/>
        <v/>
      </c>
      <c r="X61" s="41" t="str">
        <f t="shared" si="5"/>
        <v/>
      </c>
      <c r="Y61" s="41" t="str">
        <f t="shared" si="6"/>
        <v/>
      </c>
      <c r="Z61" s="41" t="str">
        <f t="shared" si="34"/>
        <v/>
      </c>
      <c r="AA61" s="41" t="str">
        <f t="shared" si="8"/>
        <v/>
      </c>
      <c r="AB61" s="42" t="str">
        <f t="shared" si="9"/>
        <v/>
      </c>
      <c r="AC61" s="41">
        <f t="shared" si="10"/>
        <v>2</v>
      </c>
      <c r="AD61" s="41">
        <f t="shared" si="11"/>
        <v>2</v>
      </c>
      <c r="AE61" s="41" t="str">
        <f t="shared" si="29"/>
        <v/>
      </c>
      <c r="AF61" s="41">
        <f t="shared" si="30"/>
        <v>440.90996143781831</v>
      </c>
      <c r="AG61" s="41" t="str">
        <f t="shared" si="31"/>
        <v/>
      </c>
      <c r="AH61" s="41">
        <f t="shared" si="12"/>
        <v>440.90996143781831</v>
      </c>
      <c r="AI61" s="31">
        <f>Hoja1!AE71</f>
        <v>0.90842886707928328</v>
      </c>
      <c r="AJ61" s="31">
        <f t="shared" si="13"/>
        <v>6.087929901856775</v>
      </c>
      <c r="AK61" s="31" t="str">
        <f t="shared" si="14"/>
        <v/>
      </c>
      <c r="AL61" s="31">
        <f t="shared" si="15"/>
        <v>446.99789133967511</v>
      </c>
      <c r="AM61" s="31" t="str">
        <f t="shared" si="16"/>
        <v/>
      </c>
      <c r="AN61" s="31">
        <f t="shared" si="17"/>
        <v>446.99789133967511</v>
      </c>
      <c r="AO61" s="25" t="str">
        <f t="shared" si="18"/>
        <v>A tiempo</v>
      </c>
      <c r="AP61" s="25" t="str">
        <f t="shared" si="19"/>
        <v/>
      </c>
      <c r="AQ61" s="25" t="str">
        <f t="shared" si="20"/>
        <v/>
      </c>
      <c r="AR61" s="25" t="str">
        <f t="shared" si="21"/>
        <v>Corro</v>
      </c>
      <c r="AU61" s="25">
        <f t="shared" si="22"/>
        <v>59</v>
      </c>
      <c r="AV61" s="25">
        <f t="shared" si="23"/>
        <v>33</v>
      </c>
      <c r="AW61" s="25">
        <f t="shared" si="32"/>
        <v>480</v>
      </c>
      <c r="AX61" s="33">
        <f>IF(AU61="","",Hoja1!BH71)</f>
        <v>0.41096141009112819</v>
      </c>
      <c r="AY61" s="33">
        <f t="shared" si="24"/>
        <v>48.767298706378973</v>
      </c>
      <c r="AZ61" s="33">
        <f t="shared" si="1"/>
        <v>528.76729870637894</v>
      </c>
    </row>
    <row r="62" spans="11:52" x14ac:dyDescent="0.25">
      <c r="K62" s="41">
        <f>+Hoja1!S72</f>
        <v>60</v>
      </c>
      <c r="L62" s="41">
        <f>+Hoja1!T72</f>
        <v>33</v>
      </c>
      <c r="M62" s="41">
        <f>+Hoja1!U72</f>
        <v>394.16892160547116</v>
      </c>
      <c r="N62" s="41">
        <f t="shared" si="25"/>
        <v>1</v>
      </c>
      <c r="O62" s="41">
        <f t="shared" si="26"/>
        <v>1</v>
      </c>
      <c r="P62" s="41">
        <f t="shared" si="27"/>
        <v>1</v>
      </c>
      <c r="Q62" s="41">
        <f t="shared" si="3"/>
        <v>3</v>
      </c>
      <c r="R62" s="31">
        <f>+MAX(AK$3:AK61)</f>
        <v>442.67505289103389</v>
      </c>
      <c r="S62" s="31">
        <f>+MAX(AL$3:AL61)</f>
        <v>446.99789133967511</v>
      </c>
      <c r="T62" s="31">
        <f>+MAX(AM$3:AM61)</f>
        <v>444.08040840053292</v>
      </c>
      <c r="U62" s="31">
        <f>+Hoja1!AR72</f>
        <v>0.55523365000570579</v>
      </c>
      <c r="V62" s="41" t="str">
        <f t="shared" si="4"/>
        <v/>
      </c>
      <c r="W62" s="41" t="str">
        <f t="shared" si="28"/>
        <v/>
      </c>
      <c r="X62" s="41" t="str">
        <f t="shared" si="5"/>
        <v/>
      </c>
      <c r="Y62" s="41" t="str">
        <f t="shared" si="6"/>
        <v/>
      </c>
      <c r="Z62" s="41" t="str">
        <f t="shared" si="34"/>
        <v/>
      </c>
      <c r="AA62" s="41" t="str">
        <f t="shared" si="8"/>
        <v/>
      </c>
      <c r="AB62" s="42" t="str">
        <f t="shared" si="9"/>
        <v/>
      </c>
      <c r="AC62" s="41">
        <f t="shared" si="10"/>
        <v>1</v>
      </c>
      <c r="AD62" s="41">
        <f t="shared" si="11"/>
        <v>1</v>
      </c>
      <c r="AE62" s="41">
        <f t="shared" si="29"/>
        <v>442.67505289103389</v>
      </c>
      <c r="AF62" s="41" t="str">
        <f t="shared" si="30"/>
        <v/>
      </c>
      <c r="AG62" s="41" t="str">
        <f t="shared" si="31"/>
        <v/>
      </c>
      <c r="AH62" s="41">
        <f t="shared" si="12"/>
        <v>442.67505289103389</v>
      </c>
      <c r="AI62" s="31">
        <f>Hoja1!AE72</f>
        <v>0.37513025504231656</v>
      </c>
      <c r="AJ62" s="31">
        <f t="shared" si="13"/>
        <v>3.6880861476904245</v>
      </c>
      <c r="AK62" s="31">
        <f t="shared" si="14"/>
        <v>446.36313903872428</v>
      </c>
      <c r="AL62" s="31" t="str">
        <f t="shared" si="15"/>
        <v/>
      </c>
      <c r="AM62" s="31" t="str">
        <f t="shared" si="16"/>
        <v/>
      </c>
      <c r="AN62" s="31">
        <f t="shared" si="17"/>
        <v>446.36313903872428</v>
      </c>
      <c r="AO62" s="25" t="str">
        <f t="shared" si="18"/>
        <v>A tiempo</v>
      </c>
      <c r="AP62" s="25" t="str">
        <f t="shared" si="19"/>
        <v/>
      </c>
      <c r="AQ62" s="25" t="str">
        <f t="shared" si="20"/>
        <v/>
      </c>
      <c r="AR62" s="25" t="str">
        <f t="shared" si="21"/>
        <v>Corro</v>
      </c>
      <c r="AU62" s="25">
        <f t="shared" si="22"/>
        <v>60</v>
      </c>
      <c r="AV62" s="25">
        <f t="shared" si="23"/>
        <v>33</v>
      </c>
      <c r="AW62" s="25">
        <f t="shared" si="32"/>
        <v>480</v>
      </c>
      <c r="AX62" s="33">
        <f>IF(AU62="","",Hoja1!BH72)</f>
        <v>4.8374985622939959E-2</v>
      </c>
      <c r="AY62" s="33">
        <f t="shared" si="24"/>
        <v>23.386248993605797</v>
      </c>
      <c r="AZ62" s="33">
        <f t="shared" si="1"/>
        <v>503.38624899360582</v>
      </c>
    </row>
    <row r="63" spans="11:52" x14ac:dyDescent="0.25">
      <c r="K63" s="41">
        <f>+Hoja1!S73</f>
        <v>61</v>
      </c>
      <c r="L63" s="41">
        <f>+Hoja1!T73</f>
        <v>34</v>
      </c>
      <c r="M63" s="41">
        <f>+Hoja1!U73</f>
        <v>394.3251922842519</v>
      </c>
      <c r="N63" s="41">
        <f t="shared" si="25"/>
        <v>1</v>
      </c>
      <c r="O63" s="41">
        <f t="shared" si="26"/>
        <v>1</v>
      </c>
      <c r="P63" s="41">
        <f t="shared" si="27"/>
        <v>1</v>
      </c>
      <c r="Q63" s="41">
        <f t="shared" si="3"/>
        <v>3</v>
      </c>
      <c r="R63" s="31">
        <f>+MAX(AK$3:AK62)</f>
        <v>446.36313903872428</v>
      </c>
      <c r="S63" s="31">
        <f>+MAX(AL$3:AL62)</f>
        <v>446.99789133967511</v>
      </c>
      <c r="T63" s="31">
        <f>+MAX(AM$3:AM62)</f>
        <v>444.08040840053292</v>
      </c>
      <c r="U63" s="31">
        <f>+Hoja1!AR73</f>
        <v>5.1239880150140138E-2</v>
      </c>
      <c r="V63" s="41" t="str">
        <f t="shared" si="4"/>
        <v/>
      </c>
      <c r="W63" s="41" t="str">
        <f t="shared" si="28"/>
        <v/>
      </c>
      <c r="X63" s="41" t="str">
        <f t="shared" si="5"/>
        <v/>
      </c>
      <c r="Y63" s="41" t="str">
        <f t="shared" si="6"/>
        <v/>
      </c>
      <c r="Z63" s="41" t="str">
        <f t="shared" si="34"/>
        <v/>
      </c>
      <c r="AA63" s="41" t="str">
        <f t="shared" si="8"/>
        <v/>
      </c>
      <c r="AB63" s="42" t="str">
        <f t="shared" si="9"/>
        <v/>
      </c>
      <c r="AC63" s="41">
        <f t="shared" si="10"/>
        <v>3</v>
      </c>
      <c r="AD63" s="41">
        <f t="shared" si="11"/>
        <v>3</v>
      </c>
      <c r="AE63" s="41" t="str">
        <f t="shared" si="29"/>
        <v/>
      </c>
      <c r="AF63" s="41" t="str">
        <f t="shared" si="30"/>
        <v/>
      </c>
      <c r="AG63" s="41">
        <f t="shared" si="31"/>
        <v>444.08040840053292</v>
      </c>
      <c r="AH63" s="41">
        <f t="shared" si="12"/>
        <v>444.08040840053292</v>
      </c>
      <c r="AI63" s="31">
        <f>Hoja1!AE73</f>
        <v>0.10814954095672669</v>
      </c>
      <c r="AJ63" s="31">
        <f t="shared" si="13"/>
        <v>2.48667293430527</v>
      </c>
      <c r="AK63" s="31" t="str">
        <f t="shared" si="14"/>
        <v/>
      </c>
      <c r="AL63" s="31" t="str">
        <f t="shared" si="15"/>
        <v/>
      </c>
      <c r="AM63" s="31">
        <f t="shared" si="16"/>
        <v>446.56708133483818</v>
      </c>
      <c r="AN63" s="31">
        <f t="shared" si="17"/>
        <v>446.56708133483818</v>
      </c>
      <c r="AO63" s="25" t="str">
        <f t="shared" si="18"/>
        <v>A tiempo</v>
      </c>
      <c r="AP63" s="25" t="str">
        <f t="shared" si="19"/>
        <v/>
      </c>
      <c r="AQ63" s="25" t="str">
        <f t="shared" si="20"/>
        <v/>
      </c>
      <c r="AR63" s="25" t="str">
        <f t="shared" si="21"/>
        <v>Corro</v>
      </c>
      <c r="AU63" s="25">
        <f t="shared" si="22"/>
        <v>61</v>
      </c>
      <c r="AV63" s="25">
        <f t="shared" si="23"/>
        <v>34</v>
      </c>
      <c r="AW63" s="25">
        <f t="shared" si="32"/>
        <v>480</v>
      </c>
      <c r="AX63" s="33">
        <f>IF(AU63="","",Hoja1!BH73)</f>
        <v>0.37632296925402153</v>
      </c>
      <c r="AY63" s="33">
        <f t="shared" si="24"/>
        <v>46.342607847781508</v>
      </c>
      <c r="AZ63" s="33">
        <f t="shared" si="1"/>
        <v>526.34260784778155</v>
      </c>
    </row>
    <row r="64" spans="11:52" x14ac:dyDescent="0.25">
      <c r="K64" s="41">
        <f>+Hoja1!S74</f>
        <v>62</v>
      </c>
      <c r="L64" s="41">
        <f>+Hoja1!T74</f>
        <v>34</v>
      </c>
      <c r="M64" s="41">
        <f>+Hoja1!U74</f>
        <v>394.3251922842519</v>
      </c>
      <c r="N64" s="41">
        <f t="shared" si="25"/>
        <v>1</v>
      </c>
      <c r="O64" s="41">
        <f t="shared" si="26"/>
        <v>1</v>
      </c>
      <c r="P64" s="41">
        <f t="shared" si="27"/>
        <v>1</v>
      </c>
      <c r="Q64" s="41">
        <f t="shared" si="3"/>
        <v>3</v>
      </c>
      <c r="R64" s="31">
        <f>+MAX(AK$3:AK63)</f>
        <v>446.36313903872428</v>
      </c>
      <c r="S64" s="31">
        <f>+MAX(AL$3:AL63)</f>
        <v>446.99789133967511</v>
      </c>
      <c r="T64" s="31">
        <f>+MAX(AM$3:AM63)</f>
        <v>446.56708133483818</v>
      </c>
      <c r="U64" s="31">
        <f>+Hoja1!AR74</f>
        <v>0.81190697507637533</v>
      </c>
      <c r="V64" s="41" t="str">
        <f t="shared" si="4"/>
        <v/>
      </c>
      <c r="W64" s="41" t="str">
        <f t="shared" si="28"/>
        <v/>
      </c>
      <c r="X64" s="41" t="str">
        <f t="shared" si="5"/>
        <v/>
      </c>
      <c r="Y64" s="41" t="str">
        <f t="shared" si="6"/>
        <v/>
      </c>
      <c r="Z64" s="41" t="str">
        <f t="shared" si="34"/>
        <v/>
      </c>
      <c r="AA64" s="41" t="str">
        <f t="shared" si="8"/>
        <v/>
      </c>
      <c r="AB64" s="42" t="str">
        <f t="shared" si="9"/>
        <v/>
      </c>
      <c r="AC64" s="41">
        <f t="shared" si="10"/>
        <v>1</v>
      </c>
      <c r="AD64" s="41">
        <f t="shared" si="11"/>
        <v>1</v>
      </c>
      <c r="AE64" s="41">
        <f t="shared" si="29"/>
        <v>446.36313903872428</v>
      </c>
      <c r="AF64" s="41" t="str">
        <f t="shared" si="30"/>
        <v/>
      </c>
      <c r="AG64" s="41" t="str">
        <f t="shared" si="31"/>
        <v/>
      </c>
      <c r="AH64" s="41">
        <f t="shared" si="12"/>
        <v>446.36313903872428</v>
      </c>
      <c r="AI64" s="31">
        <f>Hoja1!AE74</f>
        <v>0.7793434290315856</v>
      </c>
      <c r="AJ64" s="31">
        <f t="shared" si="13"/>
        <v>5.507045430642135</v>
      </c>
      <c r="AK64" s="31">
        <f t="shared" si="14"/>
        <v>451.87018446936639</v>
      </c>
      <c r="AL64" s="31" t="str">
        <f t="shared" si="15"/>
        <v/>
      </c>
      <c r="AM64" s="31" t="str">
        <f t="shared" si="16"/>
        <v/>
      </c>
      <c r="AN64" s="31">
        <f t="shared" si="17"/>
        <v>451.87018446936639</v>
      </c>
      <c r="AO64" s="25" t="str">
        <f t="shared" si="18"/>
        <v>A tiempo</v>
      </c>
      <c r="AP64" s="25" t="str">
        <f t="shared" si="19"/>
        <v/>
      </c>
      <c r="AQ64" s="25" t="str">
        <f t="shared" si="20"/>
        <v/>
      </c>
      <c r="AR64" s="25" t="str">
        <f t="shared" si="21"/>
        <v>Corro</v>
      </c>
      <c r="AU64" s="25">
        <f t="shared" si="22"/>
        <v>62</v>
      </c>
      <c r="AV64" s="25">
        <f t="shared" si="23"/>
        <v>34</v>
      </c>
      <c r="AW64" s="25">
        <f t="shared" si="32"/>
        <v>480</v>
      </c>
      <c r="AX64" s="33">
        <f>IF(AU64="","",Hoja1!BH74)</f>
        <v>0.65095816795015482</v>
      </c>
      <c r="AY64" s="33">
        <f t="shared" si="24"/>
        <v>65.567071756510842</v>
      </c>
      <c r="AZ64" s="33">
        <f t="shared" si="1"/>
        <v>545.56707175651081</v>
      </c>
    </row>
    <row r="65" spans="11:52" x14ac:dyDescent="0.25">
      <c r="K65" s="41">
        <f>+Hoja1!S75</f>
        <v>63</v>
      </c>
      <c r="L65" s="41">
        <f>+Hoja1!T75</f>
        <v>34</v>
      </c>
      <c r="M65" s="41">
        <f>+Hoja1!U75</f>
        <v>394.3251922842519</v>
      </c>
      <c r="N65" s="41">
        <f t="shared" si="25"/>
        <v>1</v>
      </c>
      <c r="O65" s="41">
        <f t="shared" si="26"/>
        <v>1</v>
      </c>
      <c r="P65" s="41">
        <f t="shared" si="27"/>
        <v>1</v>
      </c>
      <c r="Q65" s="41">
        <f t="shared" si="3"/>
        <v>3</v>
      </c>
      <c r="R65" s="31">
        <f>+MAX(AK$3:AK64)</f>
        <v>451.87018446936639</v>
      </c>
      <c r="S65" s="31">
        <f>+MAX(AL$3:AL64)</f>
        <v>446.99789133967511</v>
      </c>
      <c r="T65" s="31">
        <f>+MAX(AM$3:AM64)</f>
        <v>446.56708133483818</v>
      </c>
      <c r="U65" s="31">
        <f>+Hoja1!AR75</f>
        <v>0.85858751840743941</v>
      </c>
      <c r="V65" s="41" t="str">
        <f t="shared" si="4"/>
        <v/>
      </c>
      <c r="W65" s="41" t="str">
        <f t="shared" si="28"/>
        <v/>
      </c>
      <c r="X65" s="41" t="str">
        <f t="shared" si="5"/>
        <v/>
      </c>
      <c r="Y65" s="41" t="str">
        <f t="shared" si="6"/>
        <v/>
      </c>
      <c r="Z65" s="41" t="str">
        <f t="shared" si="34"/>
        <v/>
      </c>
      <c r="AA65" s="41" t="str">
        <f t="shared" si="8"/>
        <v/>
      </c>
      <c r="AB65" s="42" t="str">
        <f t="shared" si="9"/>
        <v/>
      </c>
      <c r="AC65" s="41">
        <f t="shared" si="10"/>
        <v>3</v>
      </c>
      <c r="AD65" s="41">
        <f t="shared" si="11"/>
        <v>3</v>
      </c>
      <c r="AE65" s="41" t="str">
        <f t="shared" si="29"/>
        <v/>
      </c>
      <c r="AF65" s="41" t="str">
        <f t="shared" si="30"/>
        <v/>
      </c>
      <c r="AG65" s="41">
        <f t="shared" si="31"/>
        <v>446.56708133483818</v>
      </c>
      <c r="AH65" s="41">
        <f t="shared" si="12"/>
        <v>446.56708133483818</v>
      </c>
      <c r="AI65" s="31">
        <f>Hoja1!AE75</f>
        <v>0.58759626421743583</v>
      </c>
      <c r="AJ65" s="31">
        <f t="shared" si="13"/>
        <v>4.6441831889784613</v>
      </c>
      <c r="AK65" s="31" t="str">
        <f t="shared" si="14"/>
        <v/>
      </c>
      <c r="AL65" s="31" t="str">
        <f t="shared" si="15"/>
        <v/>
      </c>
      <c r="AM65" s="31">
        <f t="shared" si="16"/>
        <v>451.21126452381662</v>
      </c>
      <c r="AN65" s="31">
        <f t="shared" si="17"/>
        <v>451.21126452381662</v>
      </c>
      <c r="AO65" s="25" t="str">
        <f t="shared" si="18"/>
        <v>A tiempo</v>
      </c>
      <c r="AP65" s="25" t="str">
        <f t="shared" si="19"/>
        <v/>
      </c>
      <c r="AQ65" s="25" t="str">
        <f t="shared" si="20"/>
        <v/>
      </c>
      <c r="AR65" s="25" t="str">
        <f t="shared" si="21"/>
        <v>Corro</v>
      </c>
      <c r="AU65" s="25">
        <f t="shared" si="22"/>
        <v>63</v>
      </c>
      <c r="AV65" s="25">
        <f t="shared" si="23"/>
        <v>34</v>
      </c>
      <c r="AW65" s="25">
        <f t="shared" si="32"/>
        <v>480</v>
      </c>
      <c r="AX65" s="33">
        <f>IF(AU65="","",Hoja1!BH75)</f>
        <v>0.1980292228256646</v>
      </c>
      <c r="AY65" s="33">
        <f t="shared" si="24"/>
        <v>33.862045597796524</v>
      </c>
      <c r="AZ65" s="33">
        <f t="shared" si="1"/>
        <v>513.86204559779651</v>
      </c>
    </row>
    <row r="66" spans="11:52" x14ac:dyDescent="0.25">
      <c r="K66" s="41">
        <f>+Hoja1!S76</f>
        <v>64</v>
      </c>
      <c r="L66" s="41">
        <f>+Hoja1!T76</f>
        <v>35</v>
      </c>
      <c r="M66" s="41">
        <f>+Hoja1!U76</f>
        <v>394.70014309310966</v>
      </c>
      <c r="N66" s="41">
        <f t="shared" si="25"/>
        <v>1</v>
      </c>
      <c r="O66" s="41">
        <f t="shared" si="26"/>
        <v>1</v>
      </c>
      <c r="P66" s="41">
        <f t="shared" si="27"/>
        <v>1</v>
      </c>
      <c r="Q66" s="41">
        <f t="shared" si="3"/>
        <v>3</v>
      </c>
      <c r="R66" s="31">
        <f>+MAX(AK$3:AK65)</f>
        <v>451.87018446936639</v>
      </c>
      <c r="S66" s="31">
        <f>+MAX(AL$3:AL65)</f>
        <v>446.99789133967511</v>
      </c>
      <c r="T66" s="31">
        <f>+MAX(AM$3:AM65)</f>
        <v>451.21126452381662</v>
      </c>
      <c r="U66" s="31">
        <f>+Hoja1!AR76</f>
        <v>0.95559308842912594</v>
      </c>
      <c r="V66" s="41" t="str">
        <f t="shared" si="4"/>
        <v/>
      </c>
      <c r="W66" s="41" t="str">
        <f t="shared" si="28"/>
        <v/>
      </c>
      <c r="X66" s="41" t="str">
        <f t="shared" si="5"/>
        <v/>
      </c>
      <c r="Y66" s="41" t="str">
        <f t="shared" si="6"/>
        <v/>
      </c>
      <c r="Z66" s="41" t="str">
        <f t="shared" si="34"/>
        <v/>
      </c>
      <c r="AA66" s="41" t="str">
        <f t="shared" si="8"/>
        <v/>
      </c>
      <c r="AB66" s="42" t="str">
        <f t="shared" si="9"/>
        <v/>
      </c>
      <c r="AC66" s="41">
        <f t="shared" si="10"/>
        <v>2</v>
      </c>
      <c r="AD66" s="41">
        <f t="shared" si="11"/>
        <v>2</v>
      </c>
      <c r="AE66" s="41" t="str">
        <f t="shared" si="29"/>
        <v/>
      </c>
      <c r="AF66" s="41">
        <f t="shared" si="30"/>
        <v>446.99789133967511</v>
      </c>
      <c r="AG66" s="41" t="str">
        <f t="shared" si="31"/>
        <v/>
      </c>
      <c r="AH66" s="41">
        <f t="shared" si="12"/>
        <v>446.99789133967511</v>
      </c>
      <c r="AI66" s="31">
        <f>Hoja1!AE76</f>
        <v>0.42412184305901224</v>
      </c>
      <c r="AJ66" s="31">
        <f t="shared" si="13"/>
        <v>3.9085482937655551</v>
      </c>
      <c r="AK66" s="31" t="str">
        <f t="shared" si="14"/>
        <v/>
      </c>
      <c r="AL66" s="31">
        <f t="shared" si="15"/>
        <v>450.90643963344064</v>
      </c>
      <c r="AM66" s="31" t="str">
        <f t="shared" si="16"/>
        <v/>
      </c>
      <c r="AN66" s="31">
        <f t="shared" si="17"/>
        <v>450.90643963344064</v>
      </c>
      <c r="AO66" s="25" t="str">
        <f t="shared" si="18"/>
        <v>A tiempo</v>
      </c>
      <c r="AP66" s="25" t="str">
        <f t="shared" si="19"/>
        <v/>
      </c>
      <c r="AQ66" s="25" t="str">
        <f t="shared" si="20"/>
        <v/>
      </c>
      <c r="AR66" s="25" t="str">
        <f t="shared" si="21"/>
        <v>Corro</v>
      </c>
      <c r="AU66" s="25">
        <f t="shared" si="22"/>
        <v>64</v>
      </c>
      <c r="AV66" s="25">
        <f t="shared" si="23"/>
        <v>35</v>
      </c>
      <c r="AW66" s="25">
        <f t="shared" si="32"/>
        <v>480</v>
      </c>
      <c r="AX66" s="33">
        <f>IF(AU66="","",Hoja1!BH76)</f>
        <v>0.36871256780881245</v>
      </c>
      <c r="AY66" s="33">
        <f t="shared" si="24"/>
        <v>45.809879746616872</v>
      </c>
      <c r="AZ66" s="33">
        <f t="shared" si="1"/>
        <v>525.80987974661684</v>
      </c>
    </row>
    <row r="67" spans="11:52" x14ac:dyDescent="0.25">
      <c r="K67" s="41">
        <f>+Hoja1!S77</f>
        <v>65</v>
      </c>
      <c r="L67" s="41">
        <f>+Hoja1!T77</f>
        <v>35</v>
      </c>
      <c r="M67" s="41">
        <f>+Hoja1!U77</f>
        <v>394.70014309310966</v>
      </c>
      <c r="N67" s="41">
        <f t="shared" si="25"/>
        <v>1</v>
      </c>
      <c r="O67" s="41">
        <f t="shared" si="26"/>
        <v>1</v>
      </c>
      <c r="P67" s="41">
        <f t="shared" si="27"/>
        <v>1</v>
      </c>
      <c r="Q67" s="41">
        <f t="shared" si="3"/>
        <v>3</v>
      </c>
      <c r="R67" s="31">
        <f>+MAX(AK$3:AK66)</f>
        <v>451.87018446936639</v>
      </c>
      <c r="S67" s="31">
        <f>+MAX(AL$3:AL66)</f>
        <v>450.90643963344064</v>
      </c>
      <c r="T67" s="31">
        <f>+MAX(AM$3:AM66)</f>
        <v>451.21126452381662</v>
      </c>
      <c r="U67" s="31">
        <f>+Hoja1!AR77</f>
        <v>0.13770536575061376</v>
      </c>
      <c r="V67" s="41" t="str">
        <f t="shared" si="4"/>
        <v/>
      </c>
      <c r="W67" s="41" t="str">
        <f t="shared" si="28"/>
        <v/>
      </c>
      <c r="X67" s="41" t="str">
        <f t="shared" si="5"/>
        <v/>
      </c>
      <c r="Y67" s="41" t="str">
        <f t="shared" si="6"/>
        <v/>
      </c>
      <c r="Z67" s="41" t="str">
        <f t="shared" si="34"/>
        <v/>
      </c>
      <c r="AA67" s="41" t="str">
        <f t="shared" si="8"/>
        <v/>
      </c>
      <c r="AB67" s="42" t="str">
        <f t="shared" si="9"/>
        <v/>
      </c>
      <c r="AC67" s="41">
        <f t="shared" si="10"/>
        <v>2</v>
      </c>
      <c r="AD67" s="41">
        <f t="shared" si="11"/>
        <v>2</v>
      </c>
      <c r="AE67" s="41" t="str">
        <f t="shared" si="29"/>
        <v/>
      </c>
      <c r="AF67" s="41">
        <f t="shared" si="30"/>
        <v>450.90643963344064</v>
      </c>
      <c r="AG67" s="41" t="str">
        <f t="shared" si="31"/>
        <v/>
      </c>
      <c r="AH67" s="41">
        <f t="shared" si="12"/>
        <v>450.90643963344064</v>
      </c>
      <c r="AI67" s="31">
        <f>Hoja1!AE77</f>
        <v>0.3602031796054499</v>
      </c>
      <c r="AJ67" s="31">
        <f t="shared" si="13"/>
        <v>3.6209143082245245</v>
      </c>
      <c r="AK67" s="31" t="str">
        <f t="shared" si="14"/>
        <v/>
      </c>
      <c r="AL67" s="31">
        <f t="shared" si="15"/>
        <v>454.52735394166518</v>
      </c>
      <c r="AM67" s="31" t="str">
        <f t="shared" si="16"/>
        <v/>
      </c>
      <c r="AN67" s="31">
        <f t="shared" si="17"/>
        <v>454.52735394166518</v>
      </c>
      <c r="AO67" s="25" t="str">
        <f t="shared" si="18"/>
        <v>A tiempo</v>
      </c>
      <c r="AP67" s="25" t="str">
        <f t="shared" si="19"/>
        <v/>
      </c>
      <c r="AQ67" s="25" t="str">
        <f t="shared" si="20"/>
        <v/>
      </c>
      <c r="AR67" s="25" t="str">
        <f t="shared" si="21"/>
        <v>Corro</v>
      </c>
      <c r="AU67" s="25">
        <f t="shared" si="22"/>
        <v>65</v>
      </c>
      <c r="AV67" s="25">
        <f t="shared" si="23"/>
        <v>35</v>
      </c>
      <c r="AW67" s="25">
        <f t="shared" si="32"/>
        <v>480</v>
      </c>
      <c r="AX67" s="33">
        <f>IF(AU67="","",Hoja1!BH77)</f>
        <v>0.12933170834038177</v>
      </c>
      <c r="AY67" s="33">
        <f t="shared" si="24"/>
        <v>29.053219583826724</v>
      </c>
      <c r="AZ67" s="33">
        <f t="shared" ref="AZ67:AZ102" si="37">+IF($AR67="Corro",AW67+AY67,"")</f>
        <v>509.05321958382672</v>
      </c>
    </row>
    <row r="68" spans="11:52" x14ac:dyDescent="0.25">
      <c r="K68" s="41">
        <f>+Hoja1!S78</f>
        <v>66</v>
      </c>
      <c r="L68" s="41">
        <f>+Hoja1!T78</f>
        <v>36</v>
      </c>
      <c r="M68" s="41">
        <f>+Hoja1!U78</f>
        <v>395.04114277718901</v>
      </c>
      <c r="N68" s="41">
        <f t="shared" si="25"/>
        <v>1</v>
      </c>
      <c r="O68" s="41">
        <f t="shared" si="26"/>
        <v>1</v>
      </c>
      <c r="P68" s="41">
        <f t="shared" si="27"/>
        <v>1</v>
      </c>
      <c r="Q68" s="41">
        <f t="shared" ref="Q68:Q102" si="38">+SUM(N68:P68)</f>
        <v>3</v>
      </c>
      <c r="R68" s="31">
        <f>+MAX(AK$3:AK67)</f>
        <v>451.87018446936639</v>
      </c>
      <c r="S68" s="31">
        <f>+MAX(AL$3:AL67)</f>
        <v>454.52735394166518</v>
      </c>
      <c r="T68" s="31">
        <f>+MAX(AM$3:AM67)</f>
        <v>451.21126452381662</v>
      </c>
      <c r="U68" s="31">
        <f>+Hoja1!AR78</f>
        <v>5.9525880475861603E-2</v>
      </c>
      <c r="V68" s="41" t="str">
        <f t="shared" ref="V68:V102" si="39">+IF(Q68=0,IF(U68&lt;0.33,1,IF(U68&lt;0.66,2,3)),"")</f>
        <v/>
      </c>
      <c r="W68" s="41" t="str">
        <f t="shared" si="28"/>
        <v/>
      </c>
      <c r="X68" s="41" t="str">
        <f t="shared" ref="X68:X102" si="40">IF(AND($Q68=1,O68=1),IF($U68&lt;0.5,1,3),"")</f>
        <v/>
      </c>
      <c r="Y68" s="41" t="str">
        <f t="shared" ref="Y68:Y102" si="41">IF(AND($Q68=1,P68=1),IF($U68&lt;0.5,1,2),"")</f>
        <v/>
      </c>
      <c r="Z68" s="41" t="str">
        <f t="shared" si="34"/>
        <v/>
      </c>
      <c r="AA68" s="41" t="str">
        <f t="shared" ref="AA68:AA102" si="42">+IF(AND($Q68=2,O68=0),2,"")</f>
        <v/>
      </c>
      <c r="AB68" s="42" t="str">
        <f t="shared" ref="AB68:AB102" si="43">+IF(AND($Q68=2,P68=0),3,"")</f>
        <v/>
      </c>
      <c r="AC68" s="41">
        <f t="shared" ref="AC68:AC102" si="44">IF(Q68=3,IF(AND(R68&lt;S68,R68&lt;T68),1,IF(S68&lt;T68,2,3)),"")</f>
        <v>3</v>
      </c>
      <c r="AD68" s="41">
        <f t="shared" ref="AD68:AD102" si="45">+SUM(V68:AC68)</f>
        <v>3</v>
      </c>
      <c r="AE68" s="41" t="str">
        <f t="shared" si="29"/>
        <v/>
      </c>
      <c r="AF68" s="41" t="str">
        <f t="shared" si="30"/>
        <v/>
      </c>
      <c r="AG68" s="41">
        <f t="shared" si="31"/>
        <v>451.21126452381662</v>
      </c>
      <c r="AH68" s="41">
        <f t="shared" ref="AH68:AH102" si="46">+SUM(AE68:AG68)</f>
        <v>451.21126452381662</v>
      </c>
      <c r="AI68" s="31">
        <f>Hoja1!AE78</f>
        <v>0.76079220536219461</v>
      </c>
      <c r="AJ68" s="31">
        <f t="shared" ref="AJ68:AJ102" si="47">2+4.5*AI68</f>
        <v>5.4235649241298756</v>
      </c>
      <c r="AK68" s="31" t="str">
        <f t="shared" ref="AK68:AK102" si="48">+IF($AD68=1,AE68+$AJ68,"")</f>
        <v/>
      </c>
      <c r="AL68" s="31" t="str">
        <f t="shared" ref="AL68:AL102" si="49">+IF($AD68=2,AF68+$AJ68,"")</f>
        <v/>
      </c>
      <c r="AM68" s="31">
        <f t="shared" ref="AM68:AM102" si="50">+IF($AD68=3,AG68+$AJ68,"")</f>
        <v>456.63482944794652</v>
      </c>
      <c r="AN68" s="31">
        <f t="shared" ref="AN68:AN102" si="51">+SUM(AK68:AM68)</f>
        <v>456.63482944794652</v>
      </c>
      <c r="AO68" s="25" t="str">
        <f t="shared" ref="AO68:AO102" si="52">+IF(AN68&lt;=$B$6,"A tiempo","Tarde")</f>
        <v>A tiempo</v>
      </c>
      <c r="AP68" s="25" t="str">
        <f t="shared" ref="AP68:AP102" si="53">+IF(AO68="A tiempo","",L68)</f>
        <v/>
      </c>
      <c r="AQ68" s="25" t="str">
        <f t="shared" ref="AQ68:AQ102" si="54">IF(_xlfn.IFNA(MATCH(L68,$AP$3:$AP$102,0),"")="","","Amigo")</f>
        <v/>
      </c>
      <c r="AR68" s="25" t="str">
        <f t="shared" ref="AR68:AR102" si="55">+IF(AND(AO68="A tiempo",AQ68=""),"Corro","Chao")</f>
        <v>Corro</v>
      </c>
      <c r="AU68" s="25">
        <f t="shared" ref="AU68:AU102" si="56">+IF($AR68="Corro",K68,"")</f>
        <v>66</v>
      </c>
      <c r="AV68" s="25">
        <f t="shared" ref="AV68:AV102" si="57">+IF($AR68="Corro",L68,"")</f>
        <v>36</v>
      </c>
      <c r="AW68" s="25">
        <f t="shared" si="32"/>
        <v>480</v>
      </c>
      <c r="AX68" s="33">
        <f>IF(AU68="","",Hoja1!BH78)</f>
        <v>0.79910823484461724</v>
      </c>
      <c r="AY68" s="33">
        <f t="shared" ref="AY68:AY102" si="58">IF(AU68="","",20+70*AX68)</f>
        <v>75.937576439123205</v>
      </c>
      <c r="AZ68" s="33">
        <f t="shared" si="37"/>
        <v>555.93757643912318</v>
      </c>
    </row>
    <row r="69" spans="11:52" x14ac:dyDescent="0.25">
      <c r="K69" s="41">
        <f>+Hoja1!S79</f>
        <v>67</v>
      </c>
      <c r="L69" s="41">
        <f>+Hoja1!T79</f>
        <v>37</v>
      </c>
      <c r="M69" s="41">
        <f>+Hoja1!U79</f>
        <v>396.41125048476022</v>
      </c>
      <c r="N69" s="41">
        <f t="shared" ref="N69:N102" si="59">+IF($M69&lt;R69,1,0)</f>
        <v>1</v>
      </c>
      <c r="O69" s="41">
        <f t="shared" ref="O69:O102" si="60">+IF($M69&lt;S69,1,0)</f>
        <v>1</v>
      </c>
      <c r="P69" s="41">
        <f t="shared" ref="P69:P102" si="61">+IF($M69&lt;T69,1,0)</f>
        <v>1</v>
      </c>
      <c r="Q69" s="41">
        <f t="shared" si="38"/>
        <v>3</v>
      </c>
      <c r="R69" s="31">
        <f>+MAX(AK$3:AK68)</f>
        <v>451.87018446936639</v>
      </c>
      <c r="S69" s="31">
        <f>+MAX(AL$3:AL68)</f>
        <v>454.52735394166518</v>
      </c>
      <c r="T69" s="31">
        <f>+MAX(AM$3:AM68)</f>
        <v>456.63482944794652</v>
      </c>
      <c r="U69" s="31">
        <f>+Hoja1!AR79</f>
        <v>0.16512323902674342</v>
      </c>
      <c r="V69" s="41" t="str">
        <f t="shared" si="39"/>
        <v/>
      </c>
      <c r="W69" s="41" t="str">
        <f t="shared" ref="W69:W102" si="62">IF(AND(Q69=1,N69=1),IF(U69&lt;0.5,2,3),"")</f>
        <v/>
      </c>
      <c r="X69" s="41" t="str">
        <f t="shared" si="40"/>
        <v/>
      </c>
      <c r="Y69" s="41" t="str">
        <f t="shared" si="41"/>
        <v/>
      </c>
      <c r="Z69" s="41" t="str">
        <f t="shared" si="34"/>
        <v/>
      </c>
      <c r="AA69" s="41" t="str">
        <f t="shared" si="42"/>
        <v/>
      </c>
      <c r="AB69" s="42" t="str">
        <f t="shared" si="43"/>
        <v/>
      </c>
      <c r="AC69" s="41">
        <f t="shared" si="44"/>
        <v>1</v>
      </c>
      <c r="AD69" s="41">
        <f t="shared" si="45"/>
        <v>1</v>
      </c>
      <c r="AE69" s="41">
        <f t="shared" ref="AE69:AE102" si="63">+IF($AD69=1,MAX($M69,R69),"")</f>
        <v>451.87018446936639</v>
      </c>
      <c r="AF69" s="41" t="str">
        <f t="shared" ref="AF69:AF102" si="64">+IF($AD69=2,MAX($M69,S69),"")</f>
        <v/>
      </c>
      <c r="AG69" s="41" t="str">
        <f t="shared" ref="AG69:AG102" si="65">+IF($AD69=3,MAX($M69,T69),"")</f>
        <v/>
      </c>
      <c r="AH69" s="41">
        <f t="shared" si="46"/>
        <v>451.87018446936639</v>
      </c>
      <c r="AI69" s="31">
        <f>Hoja1!AE79</f>
        <v>0.55641054493956188</v>
      </c>
      <c r="AJ69" s="31">
        <f t="shared" si="47"/>
        <v>4.5038474522280278</v>
      </c>
      <c r="AK69" s="31">
        <f t="shared" si="48"/>
        <v>456.37403192159439</v>
      </c>
      <c r="AL69" s="31" t="str">
        <f t="shared" si="49"/>
        <v/>
      </c>
      <c r="AM69" s="31" t="str">
        <f t="shared" si="50"/>
        <v/>
      </c>
      <c r="AN69" s="31">
        <f t="shared" si="51"/>
        <v>456.37403192159439</v>
      </c>
      <c r="AO69" s="25" t="str">
        <f t="shared" si="52"/>
        <v>A tiempo</v>
      </c>
      <c r="AP69" s="25" t="str">
        <f t="shared" si="53"/>
        <v/>
      </c>
      <c r="AQ69" s="25" t="str">
        <f t="shared" si="54"/>
        <v/>
      </c>
      <c r="AR69" s="25" t="str">
        <f t="shared" si="55"/>
        <v>Corro</v>
      </c>
      <c r="AU69" s="25">
        <f t="shared" si="56"/>
        <v>67</v>
      </c>
      <c r="AV69" s="25">
        <f t="shared" si="57"/>
        <v>37</v>
      </c>
      <c r="AW69" s="25">
        <f t="shared" ref="AW69:AW102" si="66">+IF($AR69="Corro",480,"")</f>
        <v>480</v>
      </c>
      <c r="AX69" s="33">
        <f>IF(AU69="","",Hoja1!BH79)</f>
        <v>0.58397004065445246</v>
      </c>
      <c r="AY69" s="33">
        <f t="shared" si="58"/>
        <v>60.877902845811676</v>
      </c>
      <c r="AZ69" s="33">
        <f t="shared" si="37"/>
        <v>540.87790284581172</v>
      </c>
    </row>
    <row r="70" spans="11:52" x14ac:dyDescent="0.25">
      <c r="K70" s="41">
        <f>+Hoja1!S80</f>
        <v>68</v>
      </c>
      <c r="L70" s="41">
        <f>+Hoja1!T80</f>
        <v>37</v>
      </c>
      <c r="M70" s="41">
        <f>+Hoja1!U80</f>
        <v>396.41125048476022</v>
      </c>
      <c r="N70" s="41">
        <f t="shared" si="59"/>
        <v>1</v>
      </c>
      <c r="O70" s="41">
        <f t="shared" si="60"/>
        <v>1</v>
      </c>
      <c r="P70" s="41">
        <f t="shared" si="61"/>
        <v>1</v>
      </c>
      <c r="Q70" s="41">
        <f t="shared" si="38"/>
        <v>3</v>
      </c>
      <c r="R70" s="31">
        <f>+MAX(AK$3:AK69)</f>
        <v>456.37403192159439</v>
      </c>
      <c r="S70" s="31">
        <f>+MAX(AL$3:AL69)</f>
        <v>454.52735394166518</v>
      </c>
      <c r="T70" s="31">
        <f>+MAX(AM$3:AM69)</f>
        <v>456.63482944794652</v>
      </c>
      <c r="U70" s="31">
        <f>+Hoja1!AR80</f>
        <v>0.98464705624380522</v>
      </c>
      <c r="V70" s="41" t="str">
        <f t="shared" si="39"/>
        <v/>
      </c>
      <c r="W70" s="41" t="str">
        <f t="shared" si="62"/>
        <v/>
      </c>
      <c r="X70" s="41" t="str">
        <f t="shared" si="40"/>
        <v/>
      </c>
      <c r="Y70" s="41" t="str">
        <f t="shared" si="41"/>
        <v/>
      </c>
      <c r="Z70" s="41" t="str">
        <f t="shared" si="34"/>
        <v/>
      </c>
      <c r="AA70" s="41" t="str">
        <f t="shared" si="42"/>
        <v/>
      </c>
      <c r="AB70" s="42" t="str">
        <f t="shared" si="43"/>
        <v/>
      </c>
      <c r="AC70" s="41">
        <f t="shared" si="44"/>
        <v>2</v>
      </c>
      <c r="AD70" s="41">
        <f t="shared" si="45"/>
        <v>2</v>
      </c>
      <c r="AE70" s="41" t="str">
        <f t="shared" si="63"/>
        <v/>
      </c>
      <c r="AF70" s="41">
        <f t="shared" si="64"/>
        <v>454.52735394166518</v>
      </c>
      <c r="AG70" s="41" t="str">
        <f t="shared" si="65"/>
        <v/>
      </c>
      <c r="AH70" s="41">
        <f t="shared" si="46"/>
        <v>454.52735394166518</v>
      </c>
      <c r="AI70" s="31">
        <f>Hoja1!AE80</f>
        <v>3.1636460174834902E-2</v>
      </c>
      <c r="AJ70" s="31">
        <f t="shared" si="47"/>
        <v>2.1423640707867571</v>
      </c>
      <c r="AK70" s="31" t="str">
        <f t="shared" si="48"/>
        <v/>
      </c>
      <c r="AL70" s="31">
        <f t="shared" si="49"/>
        <v>456.66971801245194</v>
      </c>
      <c r="AM70" s="31" t="str">
        <f t="shared" si="50"/>
        <v/>
      </c>
      <c r="AN70" s="31">
        <f t="shared" si="51"/>
        <v>456.66971801245194</v>
      </c>
      <c r="AO70" s="25" t="str">
        <f t="shared" si="52"/>
        <v>A tiempo</v>
      </c>
      <c r="AP70" s="25" t="str">
        <f t="shared" si="53"/>
        <v/>
      </c>
      <c r="AQ70" s="25" t="str">
        <f t="shared" si="54"/>
        <v/>
      </c>
      <c r="AR70" s="25" t="str">
        <f t="shared" si="55"/>
        <v>Corro</v>
      </c>
      <c r="AU70" s="25">
        <f t="shared" si="56"/>
        <v>68</v>
      </c>
      <c r="AV70" s="25">
        <f t="shared" si="57"/>
        <v>37</v>
      </c>
      <c r="AW70" s="25">
        <f t="shared" si="66"/>
        <v>480</v>
      </c>
      <c r="AX70" s="33">
        <f>IF(AU70="","",Hoja1!BH80)</f>
        <v>0.18981433309147677</v>
      </c>
      <c r="AY70" s="33">
        <f t="shared" si="58"/>
        <v>33.287003316403371</v>
      </c>
      <c r="AZ70" s="33">
        <f t="shared" si="37"/>
        <v>513.28700331640334</v>
      </c>
    </row>
    <row r="71" spans="11:52" x14ac:dyDescent="0.25">
      <c r="K71" s="41">
        <f>+Hoja1!S81</f>
        <v>69</v>
      </c>
      <c r="L71" s="41">
        <f>+Hoja1!T81</f>
        <v>38</v>
      </c>
      <c r="M71" s="41">
        <f>+Hoja1!U81</f>
        <v>398.8492004583432</v>
      </c>
      <c r="N71" s="41">
        <f t="shared" si="59"/>
        <v>1</v>
      </c>
      <c r="O71" s="41">
        <f t="shared" si="60"/>
        <v>1</v>
      </c>
      <c r="P71" s="41">
        <f t="shared" si="61"/>
        <v>1</v>
      </c>
      <c r="Q71" s="41">
        <f t="shared" si="38"/>
        <v>3</v>
      </c>
      <c r="R71" s="31">
        <f>+MAX(AK$3:AK70)</f>
        <v>456.37403192159439</v>
      </c>
      <c r="S71" s="31">
        <f>+MAX(AL$3:AL70)</f>
        <v>456.66971801245194</v>
      </c>
      <c r="T71" s="31">
        <f>+MAX(AM$3:AM70)</f>
        <v>456.63482944794652</v>
      </c>
      <c r="U71" s="31">
        <f>+Hoja1!AR81</f>
        <v>0.40555227813260963</v>
      </c>
      <c r="V71" s="41" t="str">
        <f t="shared" si="39"/>
        <v/>
      </c>
      <c r="W71" s="41" t="str">
        <f t="shared" si="62"/>
        <v/>
      </c>
      <c r="X71" s="41" t="str">
        <f t="shared" si="40"/>
        <v/>
      </c>
      <c r="Y71" s="41" t="str">
        <f t="shared" si="41"/>
        <v/>
      </c>
      <c r="Z71" s="41" t="str">
        <f t="shared" si="34"/>
        <v/>
      </c>
      <c r="AA71" s="41" t="str">
        <f t="shared" si="42"/>
        <v/>
      </c>
      <c r="AB71" s="42" t="str">
        <f t="shared" si="43"/>
        <v/>
      </c>
      <c r="AC71" s="41">
        <f t="shared" si="44"/>
        <v>1</v>
      </c>
      <c r="AD71" s="41">
        <f t="shared" si="45"/>
        <v>1</v>
      </c>
      <c r="AE71" s="41">
        <f t="shared" si="63"/>
        <v>456.37403192159439</v>
      </c>
      <c r="AF71" s="41" t="str">
        <f t="shared" si="64"/>
        <v/>
      </c>
      <c r="AG71" s="41" t="str">
        <f t="shared" si="65"/>
        <v/>
      </c>
      <c r="AH71" s="41">
        <f t="shared" si="46"/>
        <v>456.37403192159439</v>
      </c>
      <c r="AI71" s="31">
        <f>Hoja1!AE81</f>
        <v>0.76289928860370515</v>
      </c>
      <c r="AJ71" s="31">
        <f t="shared" si="47"/>
        <v>5.4330467987166733</v>
      </c>
      <c r="AK71" s="31">
        <f t="shared" si="48"/>
        <v>461.80707872031104</v>
      </c>
      <c r="AL71" s="31" t="str">
        <f t="shared" si="49"/>
        <v/>
      </c>
      <c r="AM71" s="31" t="str">
        <f t="shared" si="50"/>
        <v/>
      </c>
      <c r="AN71" s="31">
        <f t="shared" si="51"/>
        <v>461.80707872031104</v>
      </c>
      <c r="AO71" s="25" t="str">
        <f t="shared" si="52"/>
        <v>A tiempo</v>
      </c>
      <c r="AP71" s="25" t="str">
        <f t="shared" si="53"/>
        <v/>
      </c>
      <c r="AQ71" s="25" t="str">
        <f t="shared" si="54"/>
        <v/>
      </c>
      <c r="AR71" s="25" t="str">
        <f t="shared" si="55"/>
        <v>Corro</v>
      </c>
      <c r="AU71" s="25">
        <f t="shared" si="56"/>
        <v>69</v>
      </c>
      <c r="AV71" s="25">
        <f t="shared" si="57"/>
        <v>38</v>
      </c>
      <c r="AW71" s="25">
        <f t="shared" si="66"/>
        <v>480</v>
      </c>
      <c r="AX71" s="33">
        <f>IF(AU71="","",Hoja1!BH81)</f>
        <v>0.65230038488994935</v>
      </c>
      <c r="AY71" s="33">
        <f t="shared" si="58"/>
        <v>65.661026942296445</v>
      </c>
      <c r="AZ71" s="33">
        <f t="shared" si="37"/>
        <v>545.66102694229642</v>
      </c>
    </row>
    <row r="72" spans="11:52" x14ac:dyDescent="0.25">
      <c r="K72" s="41">
        <f>+Hoja1!S82</f>
        <v>70</v>
      </c>
      <c r="L72" s="41">
        <f>+Hoja1!T82</f>
        <v>38</v>
      </c>
      <c r="M72" s="41">
        <f>+Hoja1!U82</f>
        <v>398.8492004583432</v>
      </c>
      <c r="N72" s="41">
        <f t="shared" si="59"/>
        <v>1</v>
      </c>
      <c r="O72" s="41">
        <f t="shared" si="60"/>
        <v>1</v>
      </c>
      <c r="P72" s="41">
        <f t="shared" si="61"/>
        <v>1</v>
      </c>
      <c r="Q72" s="41">
        <f t="shared" si="38"/>
        <v>3</v>
      </c>
      <c r="R72" s="31">
        <f>+MAX(AK$3:AK71)</f>
        <v>461.80707872031104</v>
      </c>
      <c r="S72" s="31">
        <f>+MAX(AL$3:AL71)</f>
        <v>456.66971801245194</v>
      </c>
      <c r="T72" s="31">
        <f>+MAX(AM$3:AM71)</f>
        <v>456.63482944794652</v>
      </c>
      <c r="U72" s="31">
        <f>+Hoja1!AR82</f>
        <v>0.3798108231568833</v>
      </c>
      <c r="V72" s="41" t="str">
        <f t="shared" si="39"/>
        <v/>
      </c>
      <c r="W72" s="41" t="str">
        <f t="shared" si="62"/>
        <v/>
      </c>
      <c r="X72" s="41" t="str">
        <f t="shared" si="40"/>
        <v/>
      </c>
      <c r="Y72" s="41" t="str">
        <f t="shared" si="41"/>
        <v/>
      </c>
      <c r="Z72" s="41" t="str">
        <f t="shared" si="34"/>
        <v/>
      </c>
      <c r="AA72" s="41" t="str">
        <f t="shared" si="42"/>
        <v/>
      </c>
      <c r="AB72" s="42" t="str">
        <f t="shared" si="43"/>
        <v/>
      </c>
      <c r="AC72" s="41">
        <f t="shared" si="44"/>
        <v>3</v>
      </c>
      <c r="AD72" s="41">
        <f t="shared" si="45"/>
        <v>3</v>
      </c>
      <c r="AE72" s="41" t="str">
        <f t="shared" si="63"/>
        <v/>
      </c>
      <c r="AF72" s="41" t="str">
        <f t="shared" si="64"/>
        <v/>
      </c>
      <c r="AG72" s="41">
        <f t="shared" si="65"/>
        <v>456.63482944794652</v>
      </c>
      <c r="AH72" s="41">
        <f t="shared" si="46"/>
        <v>456.63482944794652</v>
      </c>
      <c r="AI72" s="31">
        <f>Hoja1!AE82</f>
        <v>0.66478295036287149</v>
      </c>
      <c r="AJ72" s="31">
        <f t="shared" si="47"/>
        <v>4.9915232766329218</v>
      </c>
      <c r="AK72" s="31" t="str">
        <f t="shared" si="48"/>
        <v/>
      </c>
      <c r="AL72" s="31" t="str">
        <f t="shared" si="49"/>
        <v/>
      </c>
      <c r="AM72" s="31">
        <f t="shared" si="50"/>
        <v>461.62635272457942</v>
      </c>
      <c r="AN72" s="31">
        <f t="shared" si="51"/>
        <v>461.62635272457942</v>
      </c>
      <c r="AO72" s="25" t="str">
        <f t="shared" si="52"/>
        <v>A tiempo</v>
      </c>
      <c r="AP72" s="25" t="str">
        <f t="shared" si="53"/>
        <v/>
      </c>
      <c r="AQ72" s="25" t="str">
        <f t="shared" si="54"/>
        <v/>
      </c>
      <c r="AR72" s="25" t="str">
        <f t="shared" si="55"/>
        <v>Corro</v>
      </c>
      <c r="AU72" s="25">
        <f t="shared" si="56"/>
        <v>70</v>
      </c>
      <c r="AV72" s="25">
        <f t="shared" si="57"/>
        <v>38</v>
      </c>
      <c r="AW72" s="25">
        <f t="shared" si="66"/>
        <v>480</v>
      </c>
      <c r="AX72" s="33">
        <f>IF(AU72="","",Hoja1!BH82)</f>
        <v>0.6263985523989738</v>
      </c>
      <c r="AY72" s="33">
        <f t="shared" si="58"/>
        <v>63.847898667928163</v>
      </c>
      <c r="AZ72" s="33">
        <f t="shared" si="37"/>
        <v>543.84789866792812</v>
      </c>
    </row>
    <row r="73" spans="11:52" x14ac:dyDescent="0.25">
      <c r="K73" s="41">
        <f>+Hoja1!S83</f>
        <v>71</v>
      </c>
      <c r="L73" s="41">
        <f>+Hoja1!T83</f>
        <v>39</v>
      </c>
      <c r="M73" s="41">
        <f>+Hoja1!U83</f>
        <v>398.95877046890121</v>
      </c>
      <c r="N73" s="41">
        <f t="shared" si="59"/>
        <v>1</v>
      </c>
      <c r="O73" s="41">
        <f t="shared" si="60"/>
        <v>1</v>
      </c>
      <c r="P73" s="41">
        <f t="shared" si="61"/>
        <v>1</v>
      </c>
      <c r="Q73" s="41">
        <f t="shared" si="38"/>
        <v>3</v>
      </c>
      <c r="R73" s="31">
        <f>+MAX(AK$3:AK72)</f>
        <v>461.80707872031104</v>
      </c>
      <c r="S73" s="31">
        <f>+MAX(AL$3:AL72)</f>
        <v>456.66971801245194</v>
      </c>
      <c r="T73" s="31">
        <f>+MAX(AM$3:AM72)</f>
        <v>461.62635272457942</v>
      </c>
      <c r="U73" s="31">
        <f>+Hoja1!AR83</f>
        <v>0.69628553184995601</v>
      </c>
      <c r="V73" s="41" t="str">
        <f t="shared" si="39"/>
        <v/>
      </c>
      <c r="W73" s="41" t="str">
        <f t="shared" si="62"/>
        <v/>
      </c>
      <c r="X73" s="41" t="str">
        <f t="shared" si="40"/>
        <v/>
      </c>
      <c r="Y73" s="41" t="str">
        <f t="shared" si="41"/>
        <v/>
      </c>
      <c r="Z73" s="41" t="str">
        <f t="shared" si="34"/>
        <v/>
      </c>
      <c r="AA73" s="41" t="str">
        <f t="shared" si="42"/>
        <v/>
      </c>
      <c r="AB73" s="42" t="str">
        <f t="shared" si="43"/>
        <v/>
      </c>
      <c r="AC73" s="41">
        <f t="shared" si="44"/>
        <v>2</v>
      </c>
      <c r="AD73" s="41">
        <f t="shared" si="45"/>
        <v>2</v>
      </c>
      <c r="AE73" s="41" t="str">
        <f t="shared" si="63"/>
        <v/>
      </c>
      <c r="AF73" s="41">
        <f t="shared" si="64"/>
        <v>456.66971801245194</v>
      </c>
      <c r="AG73" s="41" t="str">
        <f t="shared" si="65"/>
        <v/>
      </c>
      <c r="AH73" s="41">
        <f t="shared" si="46"/>
        <v>456.66971801245194</v>
      </c>
      <c r="AI73" s="31">
        <f>Hoja1!AE83</f>
        <v>0.68659485708804335</v>
      </c>
      <c r="AJ73" s="31">
        <f t="shared" si="47"/>
        <v>5.0896768568961956</v>
      </c>
      <c r="AK73" s="31" t="str">
        <f t="shared" si="48"/>
        <v/>
      </c>
      <c r="AL73" s="31">
        <f t="shared" si="49"/>
        <v>461.75939486934811</v>
      </c>
      <c r="AM73" s="31" t="str">
        <f t="shared" si="50"/>
        <v/>
      </c>
      <c r="AN73" s="31">
        <f t="shared" si="51"/>
        <v>461.75939486934811</v>
      </c>
      <c r="AO73" s="25" t="str">
        <f t="shared" si="52"/>
        <v>A tiempo</v>
      </c>
      <c r="AP73" s="25" t="str">
        <f t="shared" si="53"/>
        <v/>
      </c>
      <c r="AQ73" s="25" t="str">
        <f t="shared" si="54"/>
        <v/>
      </c>
      <c r="AR73" s="25" t="str">
        <f t="shared" si="55"/>
        <v>Corro</v>
      </c>
      <c r="AU73" s="25">
        <f t="shared" si="56"/>
        <v>71</v>
      </c>
      <c r="AV73" s="25">
        <f t="shared" si="57"/>
        <v>39</v>
      </c>
      <c r="AW73" s="25">
        <f t="shared" si="66"/>
        <v>480</v>
      </c>
      <c r="AX73" s="33">
        <f>IF(AU73="","",Hoja1!BH83)</f>
        <v>0.86344442459312543</v>
      </c>
      <c r="AY73" s="33">
        <f t="shared" si="58"/>
        <v>80.441109721518785</v>
      </c>
      <c r="AZ73" s="33">
        <f t="shared" si="37"/>
        <v>560.44110972151884</v>
      </c>
    </row>
    <row r="74" spans="11:52" x14ac:dyDescent="0.25">
      <c r="K74" s="41">
        <f>+Hoja1!S84</f>
        <v>72</v>
      </c>
      <c r="L74" s="41">
        <f>+Hoja1!T84</f>
        <v>40</v>
      </c>
      <c r="M74" s="41">
        <f>+Hoja1!U84</f>
        <v>401.15709514775915</v>
      </c>
      <c r="N74" s="41">
        <f t="shared" si="59"/>
        <v>1</v>
      </c>
      <c r="O74" s="41">
        <f t="shared" si="60"/>
        <v>1</v>
      </c>
      <c r="P74" s="41">
        <f t="shared" si="61"/>
        <v>1</v>
      </c>
      <c r="Q74" s="41">
        <f t="shared" si="38"/>
        <v>3</v>
      </c>
      <c r="R74" s="31">
        <f>+MAX(AK$3:AK73)</f>
        <v>461.80707872031104</v>
      </c>
      <c r="S74" s="31">
        <f>+MAX(AL$3:AL73)</f>
        <v>461.75939486934811</v>
      </c>
      <c r="T74" s="31">
        <f>+MAX(AM$3:AM73)</f>
        <v>461.62635272457942</v>
      </c>
      <c r="U74" s="31">
        <f>+Hoja1!AR84</f>
        <v>0.1903891368442</v>
      </c>
      <c r="V74" s="41" t="str">
        <f t="shared" si="39"/>
        <v/>
      </c>
      <c r="W74" s="41" t="str">
        <f t="shared" si="62"/>
        <v/>
      </c>
      <c r="X74" s="41" t="str">
        <f t="shared" si="40"/>
        <v/>
      </c>
      <c r="Y74" s="41" t="str">
        <f t="shared" si="41"/>
        <v/>
      </c>
      <c r="Z74" s="41" t="str">
        <f t="shared" si="34"/>
        <v/>
      </c>
      <c r="AA74" s="41" t="str">
        <f t="shared" si="42"/>
        <v/>
      </c>
      <c r="AB74" s="42" t="str">
        <f t="shared" si="43"/>
        <v/>
      </c>
      <c r="AC74" s="41">
        <f t="shared" si="44"/>
        <v>3</v>
      </c>
      <c r="AD74" s="41">
        <f t="shared" si="45"/>
        <v>3</v>
      </c>
      <c r="AE74" s="41" t="str">
        <f t="shared" si="63"/>
        <v/>
      </c>
      <c r="AF74" s="41" t="str">
        <f t="shared" si="64"/>
        <v/>
      </c>
      <c r="AG74" s="41">
        <f t="shared" si="65"/>
        <v>461.62635272457942</v>
      </c>
      <c r="AH74" s="41">
        <f t="shared" si="46"/>
        <v>461.62635272457942</v>
      </c>
      <c r="AI74" s="31">
        <f>Hoja1!AE84</f>
        <v>0.98411806654896727</v>
      </c>
      <c r="AJ74" s="31">
        <f t="shared" si="47"/>
        <v>6.428531299470353</v>
      </c>
      <c r="AK74" s="31" t="str">
        <f t="shared" si="48"/>
        <v/>
      </c>
      <c r="AL74" s="31" t="str">
        <f t="shared" si="49"/>
        <v/>
      </c>
      <c r="AM74" s="31">
        <f t="shared" si="50"/>
        <v>468.05488402404978</v>
      </c>
      <c r="AN74" s="31">
        <f t="shared" si="51"/>
        <v>468.05488402404978</v>
      </c>
      <c r="AO74" s="25" t="str">
        <f t="shared" si="52"/>
        <v>A tiempo</v>
      </c>
      <c r="AP74" s="25" t="str">
        <f t="shared" si="53"/>
        <v/>
      </c>
      <c r="AQ74" s="25" t="str">
        <f t="shared" si="54"/>
        <v/>
      </c>
      <c r="AR74" s="25" t="str">
        <f t="shared" si="55"/>
        <v>Corro</v>
      </c>
      <c r="AU74" s="25">
        <f t="shared" si="56"/>
        <v>72</v>
      </c>
      <c r="AV74" s="25">
        <f t="shared" si="57"/>
        <v>40</v>
      </c>
      <c r="AW74" s="25">
        <f t="shared" si="66"/>
        <v>480</v>
      </c>
      <c r="AX74" s="33">
        <f>IF(AU74="","",Hoja1!BH84)</f>
        <v>0.90563179848223874</v>
      </c>
      <c r="AY74" s="33">
        <f t="shared" si="58"/>
        <v>83.394225893756712</v>
      </c>
      <c r="AZ74" s="33">
        <f t="shared" si="37"/>
        <v>563.3942258937567</v>
      </c>
    </row>
    <row r="75" spans="11:52" x14ac:dyDescent="0.25">
      <c r="K75" s="41">
        <f>+Hoja1!S85</f>
        <v>73</v>
      </c>
      <c r="L75" s="41">
        <f>+Hoja1!T85</f>
        <v>40</v>
      </c>
      <c r="M75" s="41">
        <f>+Hoja1!U85</f>
        <v>401.15709514775915</v>
      </c>
      <c r="N75" s="41">
        <f t="shared" si="59"/>
        <v>1</v>
      </c>
      <c r="O75" s="41">
        <f t="shared" si="60"/>
        <v>1</v>
      </c>
      <c r="P75" s="41">
        <f t="shared" si="61"/>
        <v>1</v>
      </c>
      <c r="Q75" s="41">
        <f t="shared" si="38"/>
        <v>3</v>
      </c>
      <c r="R75" s="31">
        <f>+MAX(AK$3:AK74)</f>
        <v>461.80707872031104</v>
      </c>
      <c r="S75" s="31">
        <f>+MAX(AL$3:AL74)</f>
        <v>461.75939486934811</v>
      </c>
      <c r="T75" s="31">
        <f>+MAX(AM$3:AM74)</f>
        <v>468.05488402404978</v>
      </c>
      <c r="U75" s="31">
        <f>+Hoja1!AR85</f>
        <v>0.38494759577290094</v>
      </c>
      <c r="V75" s="41" t="str">
        <f t="shared" si="39"/>
        <v/>
      </c>
      <c r="W75" s="41" t="str">
        <f t="shared" si="62"/>
        <v/>
      </c>
      <c r="X75" s="41" t="str">
        <f t="shared" si="40"/>
        <v/>
      </c>
      <c r="Y75" s="41" t="str">
        <f t="shared" si="41"/>
        <v/>
      </c>
      <c r="Z75" s="41" t="str">
        <f t="shared" si="34"/>
        <v/>
      </c>
      <c r="AA75" s="41" t="str">
        <f t="shared" si="42"/>
        <v/>
      </c>
      <c r="AB75" s="42" t="str">
        <f t="shared" si="43"/>
        <v/>
      </c>
      <c r="AC75" s="41">
        <f t="shared" si="44"/>
        <v>2</v>
      </c>
      <c r="AD75" s="41">
        <f t="shared" si="45"/>
        <v>2</v>
      </c>
      <c r="AE75" s="41" t="str">
        <f t="shared" si="63"/>
        <v/>
      </c>
      <c r="AF75" s="41">
        <f t="shared" si="64"/>
        <v>461.75939486934811</v>
      </c>
      <c r="AG75" s="41" t="str">
        <f t="shared" si="65"/>
        <v/>
      </c>
      <c r="AH75" s="41">
        <f t="shared" si="46"/>
        <v>461.75939486934811</v>
      </c>
      <c r="AI75" s="31">
        <f>Hoja1!AE85</f>
        <v>0.21167356802475934</v>
      </c>
      <c r="AJ75" s="31">
        <f t="shared" si="47"/>
        <v>2.9525310561114173</v>
      </c>
      <c r="AK75" s="31" t="str">
        <f t="shared" si="48"/>
        <v/>
      </c>
      <c r="AL75" s="31">
        <f t="shared" si="49"/>
        <v>464.71192592545952</v>
      </c>
      <c r="AM75" s="31" t="str">
        <f t="shared" si="50"/>
        <v/>
      </c>
      <c r="AN75" s="31">
        <f t="shared" si="51"/>
        <v>464.71192592545952</v>
      </c>
      <c r="AO75" s="25" t="str">
        <f t="shared" si="52"/>
        <v>A tiempo</v>
      </c>
      <c r="AP75" s="25" t="str">
        <f t="shared" si="53"/>
        <v/>
      </c>
      <c r="AQ75" s="25" t="str">
        <f t="shared" si="54"/>
        <v/>
      </c>
      <c r="AR75" s="25" t="str">
        <f t="shared" si="55"/>
        <v>Corro</v>
      </c>
      <c r="AU75" s="25">
        <f t="shared" si="56"/>
        <v>73</v>
      </c>
      <c r="AV75" s="25">
        <f t="shared" si="57"/>
        <v>40</v>
      </c>
      <c r="AW75" s="25">
        <f t="shared" si="66"/>
        <v>480</v>
      </c>
      <c r="AX75" s="33">
        <f>IF(AU75="","",Hoja1!BH85)</f>
        <v>0.25416872491230735</v>
      </c>
      <c r="AY75" s="33">
        <f t="shared" si="58"/>
        <v>37.791810743861518</v>
      </c>
      <c r="AZ75" s="33">
        <f t="shared" si="37"/>
        <v>517.79181074386156</v>
      </c>
    </row>
    <row r="76" spans="11:52" x14ac:dyDescent="0.25">
      <c r="K76" s="41">
        <f>+Hoja1!S86</f>
        <v>74</v>
      </c>
      <c r="L76" s="41">
        <f>+Hoja1!T86</f>
        <v>41</v>
      </c>
      <c r="M76" s="41">
        <f>+Hoja1!U86</f>
        <v>401.58258490061093</v>
      </c>
      <c r="N76" s="41">
        <f t="shared" si="59"/>
        <v>1</v>
      </c>
      <c r="O76" s="41">
        <f t="shared" si="60"/>
        <v>1</v>
      </c>
      <c r="P76" s="41">
        <f t="shared" si="61"/>
        <v>1</v>
      </c>
      <c r="Q76" s="41">
        <f t="shared" si="38"/>
        <v>3</v>
      </c>
      <c r="R76" s="31">
        <f>+MAX(AK$3:AK75)</f>
        <v>461.80707872031104</v>
      </c>
      <c r="S76" s="31">
        <f>+MAX(AL$3:AL75)</f>
        <v>464.71192592545952</v>
      </c>
      <c r="T76" s="31">
        <f>+MAX(AM$3:AM75)</f>
        <v>468.05488402404978</v>
      </c>
      <c r="U76" s="31">
        <f>+Hoja1!AR86</f>
        <v>0.41494083340269439</v>
      </c>
      <c r="V76" s="41" t="str">
        <f t="shared" si="39"/>
        <v/>
      </c>
      <c r="W76" s="41" t="str">
        <f t="shared" si="62"/>
        <v/>
      </c>
      <c r="X76" s="41" t="str">
        <f t="shared" si="40"/>
        <v/>
      </c>
      <c r="Y76" s="41" t="str">
        <f t="shared" si="41"/>
        <v/>
      </c>
      <c r="Z76" s="41" t="str">
        <f t="shared" si="34"/>
        <v/>
      </c>
      <c r="AA76" s="41" t="str">
        <f t="shared" si="42"/>
        <v/>
      </c>
      <c r="AB76" s="42" t="str">
        <f t="shared" si="43"/>
        <v/>
      </c>
      <c r="AC76" s="41">
        <f t="shared" si="44"/>
        <v>1</v>
      </c>
      <c r="AD76" s="41">
        <f t="shared" si="45"/>
        <v>1</v>
      </c>
      <c r="AE76" s="41">
        <f t="shared" si="63"/>
        <v>461.80707872031104</v>
      </c>
      <c r="AF76" s="41" t="str">
        <f t="shared" si="64"/>
        <v/>
      </c>
      <c r="AG76" s="41" t="str">
        <f t="shared" si="65"/>
        <v/>
      </c>
      <c r="AH76" s="41">
        <f t="shared" si="46"/>
        <v>461.80707872031104</v>
      </c>
      <c r="AI76" s="31">
        <f>Hoja1!AE86</f>
        <v>5.3933604996816431E-2</v>
      </c>
      <c r="AJ76" s="31">
        <f t="shared" si="47"/>
        <v>2.2427012224856737</v>
      </c>
      <c r="AK76" s="31">
        <f t="shared" si="48"/>
        <v>464.0497799427967</v>
      </c>
      <c r="AL76" s="31" t="str">
        <f t="shared" si="49"/>
        <v/>
      </c>
      <c r="AM76" s="31" t="str">
        <f t="shared" si="50"/>
        <v/>
      </c>
      <c r="AN76" s="31">
        <f t="shared" si="51"/>
        <v>464.0497799427967</v>
      </c>
      <c r="AO76" s="25" t="str">
        <f t="shared" si="52"/>
        <v>A tiempo</v>
      </c>
      <c r="AP76" s="25" t="str">
        <f t="shared" si="53"/>
        <v/>
      </c>
      <c r="AQ76" s="25" t="str">
        <f t="shared" si="54"/>
        <v/>
      </c>
      <c r="AR76" s="25" t="str">
        <f t="shared" si="55"/>
        <v>Corro</v>
      </c>
      <c r="AU76" s="25">
        <f t="shared" si="56"/>
        <v>74</v>
      </c>
      <c r="AV76" s="25">
        <f t="shared" si="57"/>
        <v>41</v>
      </c>
      <c r="AW76" s="25">
        <f t="shared" si="66"/>
        <v>480</v>
      </c>
      <c r="AX76" s="33">
        <f>IF(AU76="","",Hoja1!BH86)</f>
        <v>0.78105723745316569</v>
      </c>
      <c r="AY76" s="33">
        <f t="shared" si="58"/>
        <v>74.674006621721588</v>
      </c>
      <c r="AZ76" s="33">
        <f t="shared" si="37"/>
        <v>554.67400662172156</v>
      </c>
    </row>
    <row r="77" spans="11:52" x14ac:dyDescent="0.25">
      <c r="K77" s="41">
        <f>+Hoja1!S87</f>
        <v>75</v>
      </c>
      <c r="L77" s="41">
        <f>+Hoja1!T87</f>
        <v>41</v>
      </c>
      <c r="M77" s="41">
        <f>+Hoja1!U87</f>
        <v>401.58258490061093</v>
      </c>
      <c r="N77" s="41">
        <f t="shared" si="59"/>
        <v>1</v>
      </c>
      <c r="O77" s="41">
        <f t="shared" si="60"/>
        <v>1</v>
      </c>
      <c r="P77" s="41">
        <f t="shared" si="61"/>
        <v>1</v>
      </c>
      <c r="Q77" s="41">
        <f t="shared" si="38"/>
        <v>3</v>
      </c>
      <c r="R77" s="31">
        <f>+MAX(AK$3:AK76)</f>
        <v>464.0497799427967</v>
      </c>
      <c r="S77" s="31">
        <f>+MAX(AL$3:AL76)</f>
        <v>464.71192592545952</v>
      </c>
      <c r="T77" s="31">
        <f>+MAX(AM$3:AM76)</f>
        <v>468.05488402404978</v>
      </c>
      <c r="U77" s="31">
        <f>+Hoja1!AR87</f>
        <v>0.11306592079692934</v>
      </c>
      <c r="V77" s="41" t="str">
        <f t="shared" si="39"/>
        <v/>
      </c>
      <c r="W77" s="41" t="str">
        <f t="shared" si="62"/>
        <v/>
      </c>
      <c r="X77" s="41" t="str">
        <f t="shared" si="40"/>
        <v/>
      </c>
      <c r="Y77" s="41" t="str">
        <f t="shared" si="41"/>
        <v/>
      </c>
      <c r="Z77" s="41" t="str">
        <f t="shared" si="34"/>
        <v/>
      </c>
      <c r="AA77" s="41" t="str">
        <f t="shared" si="42"/>
        <v/>
      </c>
      <c r="AB77" s="42" t="str">
        <f t="shared" si="43"/>
        <v/>
      </c>
      <c r="AC77" s="41">
        <f t="shared" si="44"/>
        <v>1</v>
      </c>
      <c r="AD77" s="41">
        <f t="shared" si="45"/>
        <v>1</v>
      </c>
      <c r="AE77" s="41">
        <f t="shared" si="63"/>
        <v>464.0497799427967</v>
      </c>
      <c r="AF77" s="41" t="str">
        <f t="shared" si="64"/>
        <v/>
      </c>
      <c r="AG77" s="41" t="str">
        <f t="shared" si="65"/>
        <v/>
      </c>
      <c r="AH77" s="41">
        <f t="shared" si="46"/>
        <v>464.0497799427967</v>
      </c>
      <c r="AI77" s="31">
        <f>Hoja1!AE87</f>
        <v>0.191752901411122</v>
      </c>
      <c r="AJ77" s="31">
        <f t="shared" si="47"/>
        <v>2.8628880563500489</v>
      </c>
      <c r="AK77" s="31">
        <f t="shared" si="48"/>
        <v>466.91266799914678</v>
      </c>
      <c r="AL77" s="31" t="str">
        <f t="shared" si="49"/>
        <v/>
      </c>
      <c r="AM77" s="31" t="str">
        <f t="shared" si="50"/>
        <v/>
      </c>
      <c r="AN77" s="31">
        <f t="shared" si="51"/>
        <v>466.91266799914678</v>
      </c>
      <c r="AO77" s="25" t="str">
        <f t="shared" si="52"/>
        <v>A tiempo</v>
      </c>
      <c r="AP77" s="25" t="str">
        <f t="shared" si="53"/>
        <v/>
      </c>
      <c r="AQ77" s="25" t="str">
        <f t="shared" si="54"/>
        <v/>
      </c>
      <c r="AR77" s="25" t="str">
        <f t="shared" si="55"/>
        <v>Corro</v>
      </c>
      <c r="AU77" s="25">
        <f t="shared" si="56"/>
        <v>75</v>
      </c>
      <c r="AV77" s="25">
        <f t="shared" si="57"/>
        <v>41</v>
      </c>
      <c r="AW77" s="25">
        <f t="shared" si="66"/>
        <v>480</v>
      </c>
      <c r="AX77" s="33">
        <f>IF(AU77="","",Hoja1!BH87)</f>
        <v>0.48230867060731897</v>
      </c>
      <c r="AY77" s="33">
        <f t="shared" si="58"/>
        <v>53.76160694251233</v>
      </c>
      <c r="AZ77" s="33">
        <f t="shared" si="37"/>
        <v>533.76160694251234</v>
      </c>
    </row>
    <row r="78" spans="11:52" x14ac:dyDescent="0.25">
      <c r="K78" s="41">
        <f>+Hoja1!S88</f>
        <v>76</v>
      </c>
      <c r="L78" s="41">
        <f>+Hoja1!T88</f>
        <v>42</v>
      </c>
      <c r="M78" s="41">
        <f>+Hoja1!U88</f>
        <v>401.68225475785744</v>
      </c>
      <c r="N78" s="41">
        <f t="shared" si="59"/>
        <v>1</v>
      </c>
      <c r="O78" s="41">
        <f t="shared" si="60"/>
        <v>1</v>
      </c>
      <c r="P78" s="41">
        <f t="shared" si="61"/>
        <v>1</v>
      </c>
      <c r="Q78" s="41">
        <f t="shared" si="38"/>
        <v>3</v>
      </c>
      <c r="R78" s="31">
        <f>+MAX(AK$3:AK77)</f>
        <v>466.91266799914678</v>
      </c>
      <c r="S78" s="31">
        <f>+MAX(AL$3:AL77)</f>
        <v>464.71192592545952</v>
      </c>
      <c r="T78" s="31">
        <f>+MAX(AM$3:AM77)</f>
        <v>468.05488402404978</v>
      </c>
      <c r="U78" s="31">
        <f>+Hoja1!AR88</f>
        <v>0.83077622515898997</v>
      </c>
      <c r="V78" s="41" t="str">
        <f t="shared" si="39"/>
        <v/>
      </c>
      <c r="W78" s="41" t="str">
        <f t="shared" si="62"/>
        <v/>
      </c>
      <c r="X78" s="41" t="str">
        <f t="shared" si="40"/>
        <v/>
      </c>
      <c r="Y78" s="41" t="str">
        <f t="shared" si="41"/>
        <v/>
      </c>
      <c r="Z78" s="41" t="str">
        <f t="shared" si="34"/>
        <v/>
      </c>
      <c r="AA78" s="41" t="str">
        <f t="shared" si="42"/>
        <v/>
      </c>
      <c r="AB78" s="42" t="str">
        <f t="shared" si="43"/>
        <v/>
      </c>
      <c r="AC78" s="41">
        <f t="shared" si="44"/>
        <v>2</v>
      </c>
      <c r="AD78" s="41">
        <f t="shared" si="45"/>
        <v>2</v>
      </c>
      <c r="AE78" s="41" t="str">
        <f t="shared" si="63"/>
        <v/>
      </c>
      <c r="AF78" s="41">
        <f t="shared" si="64"/>
        <v>464.71192592545952</v>
      </c>
      <c r="AG78" s="41" t="str">
        <f t="shared" si="65"/>
        <v/>
      </c>
      <c r="AH78" s="41">
        <f t="shared" si="46"/>
        <v>464.71192592545952</v>
      </c>
      <c r="AI78" s="31">
        <f>Hoja1!AE88</f>
        <v>0.64229019040521174</v>
      </c>
      <c r="AJ78" s="31">
        <f t="shared" si="47"/>
        <v>4.8903058568234528</v>
      </c>
      <c r="AK78" s="31" t="str">
        <f t="shared" si="48"/>
        <v/>
      </c>
      <c r="AL78" s="31">
        <f t="shared" si="49"/>
        <v>469.60223178228296</v>
      </c>
      <c r="AM78" s="31" t="str">
        <f t="shared" si="50"/>
        <v/>
      </c>
      <c r="AN78" s="31">
        <f t="shared" si="51"/>
        <v>469.60223178228296</v>
      </c>
      <c r="AO78" s="25" t="str">
        <f t="shared" si="52"/>
        <v>A tiempo</v>
      </c>
      <c r="AP78" s="25" t="str">
        <f t="shared" si="53"/>
        <v/>
      </c>
      <c r="AQ78" s="25" t="str">
        <f t="shared" si="54"/>
        <v/>
      </c>
      <c r="AR78" s="25" t="str">
        <f t="shared" si="55"/>
        <v>Corro</v>
      </c>
      <c r="AU78" s="25">
        <f t="shared" si="56"/>
        <v>76</v>
      </c>
      <c r="AV78" s="25">
        <f t="shared" si="57"/>
        <v>42</v>
      </c>
      <c r="AW78" s="25">
        <f t="shared" si="66"/>
        <v>480</v>
      </c>
      <c r="AX78" s="33">
        <f>IF(AU78="","",Hoja1!BH88)</f>
        <v>0.80564011670974855</v>
      </c>
      <c r="AY78" s="33">
        <f t="shared" si="58"/>
        <v>76.394808169682392</v>
      </c>
      <c r="AZ78" s="33">
        <f t="shared" si="37"/>
        <v>556.39480816968239</v>
      </c>
    </row>
    <row r="79" spans="11:52" x14ac:dyDescent="0.25">
      <c r="K79" s="41">
        <f>+Hoja1!S89</f>
        <v>77</v>
      </c>
      <c r="L79" s="41">
        <f>+Hoja1!T89</f>
        <v>43</v>
      </c>
      <c r="M79" s="41">
        <f>+Hoja1!U89</f>
        <v>401.97467250879481</v>
      </c>
      <c r="N79" s="41">
        <f t="shared" si="59"/>
        <v>1</v>
      </c>
      <c r="O79" s="41">
        <f t="shared" si="60"/>
        <v>1</v>
      </c>
      <c r="P79" s="41">
        <f t="shared" si="61"/>
        <v>1</v>
      </c>
      <c r="Q79" s="41">
        <f t="shared" si="38"/>
        <v>3</v>
      </c>
      <c r="R79" s="31">
        <f>+MAX(AK$3:AK78)</f>
        <v>466.91266799914678</v>
      </c>
      <c r="S79" s="31">
        <f>+MAX(AL$3:AL78)</f>
        <v>469.60223178228296</v>
      </c>
      <c r="T79" s="31">
        <f>+MAX(AM$3:AM78)</f>
        <v>468.05488402404978</v>
      </c>
      <c r="U79" s="31">
        <f>+Hoja1!AR89</f>
        <v>0.29606710253822166</v>
      </c>
      <c r="V79" s="41" t="str">
        <f t="shared" si="39"/>
        <v/>
      </c>
      <c r="W79" s="41" t="str">
        <f t="shared" si="62"/>
        <v/>
      </c>
      <c r="X79" s="41" t="str">
        <f t="shared" si="40"/>
        <v/>
      </c>
      <c r="Y79" s="41" t="str">
        <f t="shared" si="41"/>
        <v/>
      </c>
      <c r="Z79" s="41" t="str">
        <f t="shared" si="34"/>
        <v/>
      </c>
      <c r="AA79" s="41" t="str">
        <f t="shared" si="42"/>
        <v/>
      </c>
      <c r="AB79" s="42" t="str">
        <f t="shared" si="43"/>
        <v/>
      </c>
      <c r="AC79" s="41">
        <f t="shared" si="44"/>
        <v>1</v>
      </c>
      <c r="AD79" s="41">
        <f t="shared" si="45"/>
        <v>1</v>
      </c>
      <c r="AE79" s="41">
        <f t="shared" si="63"/>
        <v>466.91266799914678</v>
      </c>
      <c r="AF79" s="41" t="str">
        <f t="shared" si="64"/>
        <v/>
      </c>
      <c r="AG79" s="41" t="str">
        <f t="shared" si="65"/>
        <v/>
      </c>
      <c r="AH79" s="41">
        <f t="shared" si="46"/>
        <v>466.91266799914678</v>
      </c>
      <c r="AI79" s="31">
        <f>Hoja1!AE89</f>
        <v>0.53549310592541144</v>
      </c>
      <c r="AJ79" s="31">
        <f t="shared" si="47"/>
        <v>4.409718976664351</v>
      </c>
      <c r="AK79" s="31">
        <f t="shared" si="48"/>
        <v>471.32238697581113</v>
      </c>
      <c r="AL79" s="31" t="str">
        <f t="shared" si="49"/>
        <v/>
      </c>
      <c r="AM79" s="31" t="str">
        <f t="shared" si="50"/>
        <v/>
      </c>
      <c r="AN79" s="31">
        <f t="shared" si="51"/>
        <v>471.32238697581113</v>
      </c>
      <c r="AO79" s="25" t="str">
        <f t="shared" si="52"/>
        <v>A tiempo</v>
      </c>
      <c r="AP79" s="25" t="str">
        <f t="shared" si="53"/>
        <v/>
      </c>
      <c r="AQ79" s="25" t="str">
        <f t="shared" si="54"/>
        <v/>
      </c>
      <c r="AR79" s="25" t="str">
        <f t="shared" si="55"/>
        <v>Corro</v>
      </c>
      <c r="AU79" s="25">
        <f t="shared" si="56"/>
        <v>77</v>
      </c>
      <c r="AV79" s="25">
        <f t="shared" si="57"/>
        <v>43</v>
      </c>
      <c r="AW79" s="25">
        <f t="shared" si="66"/>
        <v>480</v>
      </c>
      <c r="AX79" s="33">
        <f>IF(AU79="","",Hoja1!BH89)</f>
        <v>0.75109749028724182</v>
      </c>
      <c r="AY79" s="33">
        <f t="shared" si="58"/>
        <v>72.576824320106937</v>
      </c>
      <c r="AZ79" s="33">
        <f t="shared" si="37"/>
        <v>552.57682432010688</v>
      </c>
    </row>
    <row r="80" spans="11:52" x14ac:dyDescent="0.25">
      <c r="K80" s="41">
        <f>+Hoja1!S90</f>
        <v>78</v>
      </c>
      <c r="L80" s="41">
        <f>+Hoja1!T90</f>
        <v>43</v>
      </c>
      <c r="M80" s="41">
        <f>+Hoja1!U90</f>
        <v>401.97467250879481</v>
      </c>
      <c r="N80" s="41">
        <f t="shared" si="59"/>
        <v>1</v>
      </c>
      <c r="O80" s="41">
        <f t="shared" si="60"/>
        <v>1</v>
      </c>
      <c r="P80" s="41">
        <f t="shared" si="61"/>
        <v>1</v>
      </c>
      <c r="Q80" s="41">
        <f t="shared" si="38"/>
        <v>3</v>
      </c>
      <c r="R80" s="31">
        <f>+MAX(AK$3:AK79)</f>
        <v>471.32238697581113</v>
      </c>
      <c r="S80" s="31">
        <f>+MAX(AL$3:AL79)</f>
        <v>469.60223178228296</v>
      </c>
      <c r="T80" s="31">
        <f>+MAX(AM$3:AM79)</f>
        <v>468.05488402404978</v>
      </c>
      <c r="U80" s="31">
        <f>+Hoja1!AR90</f>
        <v>0.75743930738702048</v>
      </c>
      <c r="V80" s="41" t="str">
        <f t="shared" si="39"/>
        <v/>
      </c>
      <c r="W80" s="41" t="str">
        <f t="shared" si="62"/>
        <v/>
      </c>
      <c r="X80" s="41" t="str">
        <f t="shared" si="40"/>
        <v/>
      </c>
      <c r="Y80" s="41" t="str">
        <f t="shared" si="41"/>
        <v/>
      </c>
      <c r="Z80" s="41" t="str">
        <f t="shared" si="34"/>
        <v/>
      </c>
      <c r="AA80" s="41" t="str">
        <f t="shared" si="42"/>
        <v/>
      </c>
      <c r="AB80" s="42" t="str">
        <f t="shared" si="43"/>
        <v/>
      </c>
      <c r="AC80" s="41">
        <f t="shared" si="44"/>
        <v>3</v>
      </c>
      <c r="AD80" s="41">
        <f t="shared" si="45"/>
        <v>3</v>
      </c>
      <c r="AE80" s="41" t="str">
        <f t="shared" si="63"/>
        <v/>
      </c>
      <c r="AF80" s="41" t="str">
        <f t="shared" si="64"/>
        <v/>
      </c>
      <c r="AG80" s="41">
        <f t="shared" si="65"/>
        <v>468.05488402404978</v>
      </c>
      <c r="AH80" s="41">
        <f t="shared" si="46"/>
        <v>468.05488402404978</v>
      </c>
      <c r="AI80" s="31">
        <f>Hoja1!AE90</f>
        <v>0.74744856968318973</v>
      </c>
      <c r="AJ80" s="31">
        <f t="shared" si="47"/>
        <v>5.3635185635743543</v>
      </c>
      <c r="AK80" s="31" t="str">
        <f t="shared" si="48"/>
        <v/>
      </c>
      <c r="AL80" s="31" t="str">
        <f t="shared" si="49"/>
        <v/>
      </c>
      <c r="AM80" s="31">
        <f t="shared" si="50"/>
        <v>473.41840258762414</v>
      </c>
      <c r="AN80" s="31">
        <f t="shared" si="51"/>
        <v>473.41840258762414</v>
      </c>
      <c r="AO80" s="25" t="str">
        <f t="shared" si="52"/>
        <v>A tiempo</v>
      </c>
      <c r="AP80" s="25" t="str">
        <f t="shared" si="53"/>
        <v/>
      </c>
      <c r="AQ80" s="25" t="str">
        <f t="shared" si="54"/>
        <v/>
      </c>
      <c r="AR80" s="25" t="str">
        <f t="shared" si="55"/>
        <v>Corro</v>
      </c>
      <c r="AU80" s="25">
        <f t="shared" si="56"/>
        <v>78</v>
      </c>
      <c r="AV80" s="25">
        <f t="shared" si="57"/>
        <v>43</v>
      </c>
      <c r="AW80" s="25">
        <f t="shared" si="66"/>
        <v>480</v>
      </c>
      <c r="AX80" s="33">
        <f>IF(AU80="","",Hoja1!BH90)</f>
        <v>0.21870037747939075</v>
      </c>
      <c r="AY80" s="33">
        <f t="shared" si="58"/>
        <v>35.309026423557356</v>
      </c>
      <c r="AZ80" s="33">
        <f t="shared" si="37"/>
        <v>515.30902642355738</v>
      </c>
    </row>
    <row r="81" spans="11:52" x14ac:dyDescent="0.25">
      <c r="K81" s="41">
        <f>+Hoja1!S91</f>
        <v>79</v>
      </c>
      <c r="L81" s="41">
        <f>+Hoja1!T91</f>
        <v>44</v>
      </c>
      <c r="M81" s="41">
        <f>+Hoja1!U91</f>
        <v>402.56266263925392</v>
      </c>
      <c r="N81" s="41">
        <f t="shared" si="59"/>
        <v>1</v>
      </c>
      <c r="O81" s="41">
        <f t="shared" si="60"/>
        <v>1</v>
      </c>
      <c r="P81" s="41">
        <f t="shared" si="61"/>
        <v>1</v>
      </c>
      <c r="Q81" s="41">
        <f t="shared" si="38"/>
        <v>3</v>
      </c>
      <c r="R81" s="31">
        <f>+MAX(AK$3:AK80)</f>
        <v>471.32238697581113</v>
      </c>
      <c r="S81" s="31">
        <f>+MAX(AL$3:AL80)</f>
        <v>469.60223178228296</v>
      </c>
      <c r="T81" s="31">
        <f>+MAX(AM$3:AM80)</f>
        <v>473.41840258762414</v>
      </c>
      <c r="U81" s="31">
        <f>+Hoja1!AR91</f>
        <v>0.1503679664511397</v>
      </c>
      <c r="V81" s="41" t="str">
        <f t="shared" si="39"/>
        <v/>
      </c>
      <c r="W81" s="41" t="str">
        <f t="shared" si="62"/>
        <v/>
      </c>
      <c r="X81" s="41" t="str">
        <f t="shared" si="40"/>
        <v/>
      </c>
      <c r="Y81" s="41" t="str">
        <f t="shared" si="41"/>
        <v/>
      </c>
      <c r="Z81" s="41" t="str">
        <f t="shared" si="34"/>
        <v/>
      </c>
      <c r="AA81" s="41" t="str">
        <f t="shared" si="42"/>
        <v/>
      </c>
      <c r="AB81" s="42" t="str">
        <f t="shared" si="43"/>
        <v/>
      </c>
      <c r="AC81" s="41">
        <f t="shared" si="44"/>
        <v>2</v>
      </c>
      <c r="AD81" s="41">
        <f t="shared" si="45"/>
        <v>2</v>
      </c>
      <c r="AE81" s="41" t="str">
        <f t="shared" si="63"/>
        <v/>
      </c>
      <c r="AF81" s="41">
        <f t="shared" si="64"/>
        <v>469.60223178228296</v>
      </c>
      <c r="AG81" s="41" t="str">
        <f t="shared" si="65"/>
        <v/>
      </c>
      <c r="AH81" s="41">
        <f t="shared" si="46"/>
        <v>469.60223178228296</v>
      </c>
      <c r="AI81" s="31">
        <f>Hoja1!AE91</f>
        <v>0.32749415773535706</v>
      </c>
      <c r="AJ81" s="31">
        <f t="shared" si="47"/>
        <v>3.4737237098091067</v>
      </c>
      <c r="AK81" s="31" t="str">
        <f t="shared" si="48"/>
        <v/>
      </c>
      <c r="AL81" s="31">
        <f t="shared" si="49"/>
        <v>473.07595549209208</v>
      </c>
      <c r="AM81" s="31" t="str">
        <f t="shared" si="50"/>
        <v/>
      </c>
      <c r="AN81" s="31">
        <f t="shared" si="51"/>
        <v>473.07595549209208</v>
      </c>
      <c r="AO81" s="25" t="str">
        <f t="shared" si="52"/>
        <v>A tiempo</v>
      </c>
      <c r="AP81" s="25" t="str">
        <f t="shared" si="53"/>
        <v/>
      </c>
      <c r="AQ81" s="25" t="str">
        <f t="shared" si="54"/>
        <v/>
      </c>
      <c r="AR81" s="25" t="str">
        <f t="shared" si="55"/>
        <v>Corro</v>
      </c>
      <c r="AU81" s="25">
        <f t="shared" si="56"/>
        <v>79</v>
      </c>
      <c r="AV81" s="25">
        <f t="shared" si="57"/>
        <v>44</v>
      </c>
      <c r="AW81" s="25">
        <f t="shared" si="66"/>
        <v>480</v>
      </c>
      <c r="AX81" s="33">
        <f>IF(AU81="","",Hoja1!BH91)</f>
        <v>0.86140116205871287</v>
      </c>
      <c r="AY81" s="33">
        <f t="shared" si="58"/>
        <v>80.298081344109903</v>
      </c>
      <c r="AZ81" s="33">
        <f t="shared" si="37"/>
        <v>560.29808134410996</v>
      </c>
    </row>
    <row r="82" spans="11:52" x14ac:dyDescent="0.25">
      <c r="K82" s="41">
        <f>+Hoja1!S92</f>
        <v>80</v>
      </c>
      <c r="L82" s="41">
        <f>+Hoja1!T92</f>
        <v>44</v>
      </c>
      <c r="M82" s="41">
        <f>+Hoja1!U92</f>
        <v>402.56266263925392</v>
      </c>
      <c r="N82" s="41">
        <f t="shared" si="59"/>
        <v>1</v>
      </c>
      <c r="O82" s="41">
        <f t="shared" si="60"/>
        <v>1</v>
      </c>
      <c r="P82" s="41">
        <f t="shared" si="61"/>
        <v>1</v>
      </c>
      <c r="Q82" s="41">
        <f t="shared" si="38"/>
        <v>3</v>
      </c>
      <c r="R82" s="31">
        <f>+MAX(AK$3:AK81)</f>
        <v>471.32238697581113</v>
      </c>
      <c r="S82" s="31">
        <f>+MAX(AL$3:AL81)</f>
        <v>473.07595549209208</v>
      </c>
      <c r="T82" s="31">
        <f>+MAX(AM$3:AM81)</f>
        <v>473.41840258762414</v>
      </c>
      <c r="U82" s="31">
        <f>+Hoja1!AR92</f>
        <v>0.57235388837350765</v>
      </c>
      <c r="V82" s="41" t="str">
        <f t="shared" si="39"/>
        <v/>
      </c>
      <c r="W82" s="41" t="str">
        <f t="shared" si="62"/>
        <v/>
      </c>
      <c r="X82" s="41" t="str">
        <f t="shared" si="40"/>
        <v/>
      </c>
      <c r="Y82" s="41" t="str">
        <f t="shared" si="41"/>
        <v/>
      </c>
      <c r="Z82" s="41" t="str">
        <f t="shared" si="34"/>
        <v/>
      </c>
      <c r="AA82" s="41" t="str">
        <f t="shared" si="42"/>
        <v/>
      </c>
      <c r="AB82" s="42" t="str">
        <f t="shared" si="43"/>
        <v/>
      </c>
      <c r="AC82" s="41">
        <f t="shared" si="44"/>
        <v>1</v>
      </c>
      <c r="AD82" s="41">
        <f t="shared" si="45"/>
        <v>1</v>
      </c>
      <c r="AE82" s="41">
        <f t="shared" si="63"/>
        <v>471.32238697581113</v>
      </c>
      <c r="AF82" s="41" t="str">
        <f t="shared" si="64"/>
        <v/>
      </c>
      <c r="AG82" s="41" t="str">
        <f t="shared" si="65"/>
        <v/>
      </c>
      <c r="AH82" s="41">
        <f t="shared" si="46"/>
        <v>471.32238697581113</v>
      </c>
      <c r="AI82" s="31">
        <f>Hoja1!AE92</f>
        <v>0.39264817894761916</v>
      </c>
      <c r="AJ82" s="31">
        <f t="shared" si="47"/>
        <v>3.7669168052642865</v>
      </c>
      <c r="AK82" s="31">
        <f t="shared" si="48"/>
        <v>475.08930378107539</v>
      </c>
      <c r="AL82" s="31" t="str">
        <f t="shared" si="49"/>
        <v/>
      </c>
      <c r="AM82" s="31" t="str">
        <f t="shared" si="50"/>
        <v/>
      </c>
      <c r="AN82" s="31">
        <f t="shared" si="51"/>
        <v>475.08930378107539</v>
      </c>
      <c r="AO82" s="25" t="str">
        <f t="shared" si="52"/>
        <v>A tiempo</v>
      </c>
      <c r="AP82" s="25" t="str">
        <f t="shared" si="53"/>
        <v/>
      </c>
      <c r="AQ82" s="25" t="str">
        <f t="shared" si="54"/>
        <v/>
      </c>
      <c r="AR82" s="25" t="str">
        <f t="shared" si="55"/>
        <v>Corro</v>
      </c>
      <c r="AU82" s="25">
        <f t="shared" si="56"/>
        <v>80</v>
      </c>
      <c r="AV82" s="25">
        <f t="shared" si="57"/>
        <v>44</v>
      </c>
      <c r="AW82" s="25">
        <f t="shared" si="66"/>
        <v>480</v>
      </c>
      <c r="AX82" s="33">
        <f>IF(AU82="","",Hoja1!BH92)</f>
        <v>0.21593830775740508</v>
      </c>
      <c r="AY82" s="33">
        <f t="shared" si="58"/>
        <v>35.115681543018354</v>
      </c>
      <c r="AZ82" s="33">
        <f t="shared" si="37"/>
        <v>515.11568154301835</v>
      </c>
    </row>
    <row r="83" spans="11:52" x14ac:dyDescent="0.25">
      <c r="K83" s="41">
        <f>+Hoja1!S93</f>
        <v>81</v>
      </c>
      <c r="L83" s="41">
        <f>+Hoja1!T93</f>
        <v>45</v>
      </c>
      <c r="M83" s="41">
        <f>+Hoja1!U93</f>
        <v>405.57179899969606</v>
      </c>
      <c r="N83" s="41">
        <f t="shared" si="59"/>
        <v>1</v>
      </c>
      <c r="O83" s="41">
        <f t="shared" si="60"/>
        <v>1</v>
      </c>
      <c r="P83" s="41">
        <f t="shared" si="61"/>
        <v>1</v>
      </c>
      <c r="Q83" s="41">
        <f t="shared" si="38"/>
        <v>3</v>
      </c>
      <c r="R83" s="31">
        <f>+MAX(AK$3:AK82)</f>
        <v>475.08930378107539</v>
      </c>
      <c r="S83" s="31">
        <f>+MAX(AL$3:AL82)</f>
        <v>473.07595549209208</v>
      </c>
      <c r="T83" s="31">
        <f>+MAX(AM$3:AM82)</f>
        <v>473.41840258762414</v>
      </c>
      <c r="U83" s="31">
        <f>+Hoja1!AR93</f>
        <v>0.43694727690991153</v>
      </c>
      <c r="V83" s="41" t="str">
        <f t="shared" si="39"/>
        <v/>
      </c>
      <c r="W83" s="41" t="str">
        <f t="shared" si="62"/>
        <v/>
      </c>
      <c r="X83" s="41" t="str">
        <f t="shared" si="40"/>
        <v/>
      </c>
      <c r="Y83" s="41" t="str">
        <f t="shared" si="41"/>
        <v/>
      </c>
      <c r="Z83" s="41" t="str">
        <f t="shared" si="34"/>
        <v/>
      </c>
      <c r="AA83" s="41" t="str">
        <f t="shared" si="42"/>
        <v/>
      </c>
      <c r="AB83" s="42" t="str">
        <f t="shared" si="43"/>
        <v/>
      </c>
      <c r="AC83" s="41">
        <f t="shared" si="44"/>
        <v>2</v>
      </c>
      <c r="AD83" s="41">
        <f t="shared" si="45"/>
        <v>2</v>
      </c>
      <c r="AE83" s="41" t="str">
        <f t="shared" si="63"/>
        <v/>
      </c>
      <c r="AF83" s="41">
        <f t="shared" si="64"/>
        <v>473.07595549209208</v>
      </c>
      <c r="AG83" s="41" t="str">
        <f t="shared" si="65"/>
        <v/>
      </c>
      <c r="AH83" s="41">
        <f t="shared" si="46"/>
        <v>473.07595549209208</v>
      </c>
      <c r="AI83" s="31">
        <f>Hoja1!AE93</f>
        <v>0.26037363339338127</v>
      </c>
      <c r="AJ83" s="31">
        <f t="shared" si="47"/>
        <v>3.1716813502702159</v>
      </c>
      <c r="AK83" s="31" t="str">
        <f t="shared" si="48"/>
        <v/>
      </c>
      <c r="AL83" s="31">
        <f t="shared" si="49"/>
        <v>476.24763684236228</v>
      </c>
      <c r="AM83" s="31" t="str">
        <f t="shared" si="50"/>
        <v/>
      </c>
      <c r="AN83" s="31">
        <f t="shared" si="51"/>
        <v>476.24763684236228</v>
      </c>
      <c r="AO83" s="25" t="str">
        <f t="shared" si="52"/>
        <v>A tiempo</v>
      </c>
      <c r="AP83" s="25" t="str">
        <f t="shared" si="53"/>
        <v/>
      </c>
      <c r="AQ83" s="25" t="str">
        <f t="shared" si="54"/>
        <v/>
      </c>
      <c r="AR83" s="25" t="str">
        <f t="shared" si="55"/>
        <v>Corro</v>
      </c>
      <c r="AU83" s="25">
        <f t="shared" si="56"/>
        <v>81</v>
      </c>
      <c r="AV83" s="25">
        <f t="shared" si="57"/>
        <v>45</v>
      </c>
      <c r="AW83" s="25">
        <f t="shared" si="66"/>
        <v>480</v>
      </c>
      <c r="AX83" s="33">
        <f>IF(AU83="","",Hoja1!BH93)</f>
        <v>0.608305474047107</v>
      </c>
      <c r="AY83" s="33">
        <f t="shared" si="58"/>
        <v>62.58138318329749</v>
      </c>
      <c r="AZ83" s="33">
        <f t="shared" si="37"/>
        <v>542.58138318329748</v>
      </c>
    </row>
    <row r="84" spans="11:52" x14ac:dyDescent="0.25">
      <c r="K84" s="41">
        <f>+Hoja1!S94</f>
        <v>82</v>
      </c>
      <c r="L84" s="41">
        <f>+Hoja1!T94</f>
        <v>46</v>
      </c>
      <c r="M84" s="41">
        <f>+Hoja1!U94</f>
        <v>405.97988771094208</v>
      </c>
      <c r="N84" s="41">
        <f t="shared" si="59"/>
        <v>1</v>
      </c>
      <c r="O84" s="41">
        <f t="shared" si="60"/>
        <v>1</v>
      </c>
      <c r="P84" s="41">
        <f t="shared" si="61"/>
        <v>1</v>
      </c>
      <c r="Q84" s="41">
        <f t="shared" si="38"/>
        <v>3</v>
      </c>
      <c r="R84" s="31">
        <f>+MAX(AK$3:AK83)</f>
        <v>475.08930378107539</v>
      </c>
      <c r="S84" s="31">
        <f>+MAX(AL$3:AL83)</f>
        <v>476.24763684236228</v>
      </c>
      <c r="T84" s="31">
        <f>+MAX(AM$3:AM83)</f>
        <v>473.41840258762414</v>
      </c>
      <c r="U84" s="31">
        <f>+Hoja1!AR94</f>
        <v>9.876783795016264E-2</v>
      </c>
      <c r="V84" s="41" t="str">
        <f t="shared" si="39"/>
        <v/>
      </c>
      <c r="W84" s="41" t="str">
        <f t="shared" si="62"/>
        <v/>
      </c>
      <c r="X84" s="41" t="str">
        <f t="shared" si="40"/>
        <v/>
      </c>
      <c r="Y84" s="41" t="str">
        <f t="shared" si="41"/>
        <v/>
      </c>
      <c r="Z84" s="41" t="str">
        <f t="shared" ref="Z84:Z102" si="67">+IF(AND($Q84=2,N84=0),1,"")</f>
        <v/>
      </c>
      <c r="AA84" s="41" t="str">
        <f t="shared" si="42"/>
        <v/>
      </c>
      <c r="AB84" s="42" t="str">
        <f t="shared" si="43"/>
        <v/>
      </c>
      <c r="AC84" s="41">
        <f t="shared" si="44"/>
        <v>3</v>
      </c>
      <c r="AD84" s="41">
        <f t="shared" si="45"/>
        <v>3</v>
      </c>
      <c r="AE84" s="41" t="str">
        <f t="shared" si="63"/>
        <v/>
      </c>
      <c r="AF84" s="41" t="str">
        <f t="shared" si="64"/>
        <v/>
      </c>
      <c r="AG84" s="41">
        <f t="shared" si="65"/>
        <v>473.41840258762414</v>
      </c>
      <c r="AH84" s="41">
        <f t="shared" si="46"/>
        <v>473.41840258762414</v>
      </c>
      <c r="AI84" s="31">
        <f>Hoja1!AE94</f>
        <v>0.10613720969589702</v>
      </c>
      <c r="AJ84" s="31">
        <f t="shared" si="47"/>
        <v>2.4776174436315364</v>
      </c>
      <c r="AK84" s="31" t="str">
        <f t="shared" si="48"/>
        <v/>
      </c>
      <c r="AL84" s="31" t="str">
        <f t="shared" si="49"/>
        <v/>
      </c>
      <c r="AM84" s="31">
        <f t="shared" si="50"/>
        <v>475.89602003125566</v>
      </c>
      <c r="AN84" s="31">
        <f t="shared" si="51"/>
        <v>475.89602003125566</v>
      </c>
      <c r="AO84" s="25" t="str">
        <f t="shared" si="52"/>
        <v>A tiempo</v>
      </c>
      <c r="AP84" s="25" t="str">
        <f t="shared" si="53"/>
        <v/>
      </c>
      <c r="AQ84" s="25" t="str">
        <f t="shared" si="54"/>
        <v/>
      </c>
      <c r="AR84" s="25" t="str">
        <f t="shared" si="55"/>
        <v>Corro</v>
      </c>
      <c r="AU84" s="25">
        <f t="shared" si="56"/>
        <v>82</v>
      </c>
      <c r="AV84" s="25">
        <f t="shared" si="57"/>
        <v>46</v>
      </c>
      <c r="AW84" s="25">
        <f t="shared" si="66"/>
        <v>480</v>
      </c>
      <c r="AX84" s="33">
        <f>IF(AU84="","",Hoja1!BH94)</f>
        <v>0.95419903540454776</v>
      </c>
      <c r="AY84" s="33">
        <f t="shared" si="58"/>
        <v>86.793932478318339</v>
      </c>
      <c r="AZ84" s="33">
        <f t="shared" si="37"/>
        <v>566.79393247831831</v>
      </c>
    </row>
    <row r="85" spans="11:52" x14ac:dyDescent="0.25">
      <c r="K85" s="41">
        <f>+Hoja1!S95</f>
        <v>83</v>
      </c>
      <c r="L85" s="41">
        <f>+Hoja1!T95</f>
        <v>47</v>
      </c>
      <c r="M85" s="41">
        <f>+Hoja1!U95</f>
        <v>412.01555130823181</v>
      </c>
      <c r="N85" s="41">
        <f t="shared" si="59"/>
        <v>1</v>
      </c>
      <c r="O85" s="41">
        <f t="shared" si="60"/>
        <v>1</v>
      </c>
      <c r="P85" s="41">
        <f t="shared" si="61"/>
        <v>1</v>
      </c>
      <c r="Q85" s="41">
        <f t="shared" si="38"/>
        <v>3</v>
      </c>
      <c r="R85" s="31">
        <f>+MAX(AK$3:AK84)</f>
        <v>475.08930378107539</v>
      </c>
      <c r="S85" s="31">
        <f>+MAX(AL$3:AL84)</f>
        <v>476.24763684236228</v>
      </c>
      <c r="T85" s="31">
        <f>+MAX(AM$3:AM84)</f>
        <v>475.89602003125566</v>
      </c>
      <c r="U85" s="31">
        <f>+Hoja1!AR95</f>
        <v>0.12799753539217895</v>
      </c>
      <c r="V85" s="41" t="str">
        <f t="shared" si="39"/>
        <v/>
      </c>
      <c r="W85" s="41" t="str">
        <f t="shared" si="62"/>
        <v/>
      </c>
      <c r="X85" s="41" t="str">
        <f t="shared" si="40"/>
        <v/>
      </c>
      <c r="Y85" s="41" t="str">
        <f t="shared" si="41"/>
        <v/>
      </c>
      <c r="Z85" s="41" t="str">
        <f t="shared" si="67"/>
        <v/>
      </c>
      <c r="AA85" s="41" t="str">
        <f t="shared" si="42"/>
        <v/>
      </c>
      <c r="AB85" s="42" t="str">
        <f t="shared" si="43"/>
        <v/>
      </c>
      <c r="AC85" s="41">
        <f t="shared" si="44"/>
        <v>1</v>
      </c>
      <c r="AD85" s="41">
        <f t="shared" si="45"/>
        <v>1</v>
      </c>
      <c r="AE85" s="41">
        <f t="shared" si="63"/>
        <v>475.08930378107539</v>
      </c>
      <c r="AF85" s="41" t="str">
        <f t="shared" si="64"/>
        <v/>
      </c>
      <c r="AG85" s="41" t="str">
        <f t="shared" si="65"/>
        <v/>
      </c>
      <c r="AH85" s="41">
        <f t="shared" si="46"/>
        <v>475.08930378107539</v>
      </c>
      <c r="AI85" s="31">
        <f>Hoja1!AE95</f>
        <v>0.76692093561596508</v>
      </c>
      <c r="AJ85" s="31">
        <f t="shared" si="47"/>
        <v>5.4511442102718428</v>
      </c>
      <c r="AK85" s="31">
        <f t="shared" si="48"/>
        <v>480.54044799134721</v>
      </c>
      <c r="AL85" s="31" t="str">
        <f t="shared" si="49"/>
        <v/>
      </c>
      <c r="AM85" s="31" t="str">
        <f t="shared" si="50"/>
        <v/>
      </c>
      <c r="AN85" s="31">
        <f t="shared" si="51"/>
        <v>480.54044799134721</v>
      </c>
      <c r="AO85" s="25" t="str">
        <f t="shared" si="52"/>
        <v>Tarde</v>
      </c>
      <c r="AP85" s="25">
        <f t="shared" si="53"/>
        <v>47</v>
      </c>
      <c r="AQ85" s="25" t="str">
        <f t="shared" si="54"/>
        <v>Amigo</v>
      </c>
      <c r="AR85" s="25" t="str">
        <f t="shared" si="55"/>
        <v>Chao</v>
      </c>
      <c r="AU85" s="25" t="str">
        <f t="shared" si="56"/>
        <v/>
      </c>
      <c r="AV85" s="25" t="str">
        <f t="shared" si="57"/>
        <v/>
      </c>
      <c r="AW85" s="25" t="str">
        <f t="shared" si="66"/>
        <v/>
      </c>
      <c r="AX85" s="33" t="str">
        <f>IF(AU85="","",Hoja1!BH95)</f>
        <v/>
      </c>
      <c r="AY85" s="33" t="str">
        <f t="shared" si="58"/>
        <v/>
      </c>
      <c r="AZ85" s="33" t="str">
        <f t="shared" si="37"/>
        <v/>
      </c>
    </row>
    <row r="86" spans="11:52" x14ac:dyDescent="0.25">
      <c r="K86" s="41">
        <f>+Hoja1!S96</f>
        <v>84</v>
      </c>
      <c r="L86" s="41">
        <f>+Hoja1!T96</f>
        <v>48</v>
      </c>
      <c r="M86" s="41">
        <f>+Hoja1!U96</f>
        <v>413.66152640161994</v>
      </c>
      <c r="N86" s="41">
        <f t="shared" si="59"/>
        <v>1</v>
      </c>
      <c r="O86" s="41">
        <f t="shared" si="60"/>
        <v>1</v>
      </c>
      <c r="P86" s="41">
        <f t="shared" si="61"/>
        <v>1</v>
      </c>
      <c r="Q86" s="41">
        <f t="shared" si="38"/>
        <v>3</v>
      </c>
      <c r="R86" s="31">
        <f>+MAX(AK$3:AK85)</f>
        <v>480.54044799134721</v>
      </c>
      <c r="S86" s="31">
        <f>+MAX(AL$3:AL85)</f>
        <v>476.24763684236228</v>
      </c>
      <c r="T86" s="31">
        <f>+MAX(AM$3:AM85)</f>
        <v>475.89602003125566</v>
      </c>
      <c r="U86" s="31">
        <f>+Hoja1!AR96</f>
        <v>0.46023732042208787</v>
      </c>
      <c r="V86" s="41" t="str">
        <f t="shared" si="39"/>
        <v/>
      </c>
      <c r="W86" s="41" t="str">
        <f t="shared" si="62"/>
        <v/>
      </c>
      <c r="X86" s="41" t="str">
        <f t="shared" si="40"/>
        <v/>
      </c>
      <c r="Y86" s="41" t="str">
        <f t="shared" si="41"/>
        <v/>
      </c>
      <c r="Z86" s="41" t="str">
        <f t="shared" si="67"/>
        <v/>
      </c>
      <c r="AA86" s="41" t="str">
        <f t="shared" si="42"/>
        <v/>
      </c>
      <c r="AB86" s="42" t="str">
        <f t="shared" si="43"/>
        <v/>
      </c>
      <c r="AC86" s="41">
        <f t="shared" si="44"/>
        <v>3</v>
      </c>
      <c r="AD86" s="41">
        <f t="shared" si="45"/>
        <v>3</v>
      </c>
      <c r="AE86" s="41" t="str">
        <f t="shared" si="63"/>
        <v/>
      </c>
      <c r="AF86" s="41" t="str">
        <f t="shared" si="64"/>
        <v/>
      </c>
      <c r="AG86" s="41">
        <f t="shared" si="65"/>
        <v>475.89602003125566</v>
      </c>
      <c r="AH86" s="41">
        <f t="shared" si="46"/>
        <v>475.89602003125566</v>
      </c>
      <c r="AI86" s="31">
        <f>Hoja1!AE96</f>
        <v>0.71833105620072557</v>
      </c>
      <c r="AJ86" s="31">
        <f t="shared" si="47"/>
        <v>5.2324897529032652</v>
      </c>
      <c r="AK86" s="31" t="str">
        <f t="shared" si="48"/>
        <v/>
      </c>
      <c r="AL86" s="31" t="str">
        <f t="shared" si="49"/>
        <v/>
      </c>
      <c r="AM86" s="31">
        <f t="shared" si="50"/>
        <v>481.12850978415895</v>
      </c>
      <c r="AN86" s="31">
        <f t="shared" si="51"/>
        <v>481.12850978415895</v>
      </c>
      <c r="AO86" s="25" t="str">
        <f t="shared" si="52"/>
        <v>Tarde</v>
      </c>
      <c r="AP86" s="25">
        <f t="shared" si="53"/>
        <v>48</v>
      </c>
      <c r="AQ86" s="25" t="str">
        <f t="shared" si="54"/>
        <v>Amigo</v>
      </c>
      <c r="AR86" s="25" t="str">
        <f t="shared" si="55"/>
        <v>Chao</v>
      </c>
      <c r="AU86" s="25" t="str">
        <f t="shared" si="56"/>
        <v/>
      </c>
      <c r="AV86" s="25" t="str">
        <f t="shared" si="57"/>
        <v/>
      </c>
      <c r="AW86" s="25" t="str">
        <f t="shared" si="66"/>
        <v/>
      </c>
      <c r="AX86" s="33" t="str">
        <f>IF(AU86="","",Hoja1!BH96)</f>
        <v/>
      </c>
      <c r="AY86" s="33" t="str">
        <f t="shared" si="58"/>
        <v/>
      </c>
      <c r="AZ86" s="33" t="str">
        <f t="shared" si="37"/>
        <v/>
      </c>
    </row>
    <row r="87" spans="11:52" x14ac:dyDescent="0.25">
      <c r="K87" s="41">
        <f>+Hoja1!S97</f>
        <v>85</v>
      </c>
      <c r="L87" s="41">
        <f>+Hoja1!T97</f>
        <v>49</v>
      </c>
      <c r="M87" s="41">
        <f>+Hoja1!U97</f>
        <v>414.4390379755144</v>
      </c>
      <c r="N87" s="41">
        <f t="shared" si="59"/>
        <v>1</v>
      </c>
      <c r="O87" s="41">
        <f t="shared" si="60"/>
        <v>1</v>
      </c>
      <c r="P87" s="41">
        <f t="shared" si="61"/>
        <v>1</v>
      </c>
      <c r="Q87" s="41">
        <f t="shared" si="38"/>
        <v>3</v>
      </c>
      <c r="R87" s="31">
        <f>+MAX(AK$3:AK86)</f>
        <v>480.54044799134721</v>
      </c>
      <c r="S87" s="31">
        <f>+MAX(AL$3:AL86)</f>
        <v>476.24763684236228</v>
      </c>
      <c r="T87" s="31">
        <f>+MAX(AM$3:AM86)</f>
        <v>481.12850978415895</v>
      </c>
      <c r="U87" s="31">
        <f>+Hoja1!AR97</f>
        <v>4.0895228829176511E-2</v>
      </c>
      <c r="V87" s="41" t="str">
        <f t="shared" si="39"/>
        <v/>
      </c>
      <c r="W87" s="41" t="str">
        <f t="shared" si="62"/>
        <v/>
      </c>
      <c r="X87" s="41" t="str">
        <f t="shared" si="40"/>
        <v/>
      </c>
      <c r="Y87" s="41" t="str">
        <f t="shared" si="41"/>
        <v/>
      </c>
      <c r="Z87" s="41" t="str">
        <f t="shared" si="67"/>
        <v/>
      </c>
      <c r="AA87" s="41" t="str">
        <f t="shared" si="42"/>
        <v/>
      </c>
      <c r="AB87" s="42" t="str">
        <f t="shared" si="43"/>
        <v/>
      </c>
      <c r="AC87" s="41">
        <f t="shared" si="44"/>
        <v>2</v>
      </c>
      <c r="AD87" s="41">
        <f t="shared" si="45"/>
        <v>2</v>
      </c>
      <c r="AE87" s="41" t="str">
        <f t="shared" si="63"/>
        <v/>
      </c>
      <c r="AF87" s="41">
        <f t="shared" si="64"/>
        <v>476.24763684236228</v>
      </c>
      <c r="AG87" s="41" t="str">
        <f t="shared" si="65"/>
        <v/>
      </c>
      <c r="AH87" s="41">
        <f t="shared" si="46"/>
        <v>476.24763684236228</v>
      </c>
      <c r="AI87" s="31">
        <f>Hoja1!AE97</f>
        <v>0.56650052777661297</v>
      </c>
      <c r="AJ87" s="31">
        <f t="shared" si="47"/>
        <v>4.549252374994758</v>
      </c>
      <c r="AK87" s="31" t="str">
        <f t="shared" si="48"/>
        <v/>
      </c>
      <c r="AL87" s="31">
        <f t="shared" si="49"/>
        <v>480.79688921735703</v>
      </c>
      <c r="AM87" s="31" t="str">
        <f t="shared" si="50"/>
        <v/>
      </c>
      <c r="AN87" s="31">
        <f t="shared" si="51"/>
        <v>480.79688921735703</v>
      </c>
      <c r="AO87" s="25" t="str">
        <f t="shared" si="52"/>
        <v>Tarde</v>
      </c>
      <c r="AP87" s="25">
        <f t="shared" si="53"/>
        <v>49</v>
      </c>
      <c r="AQ87" s="25" t="str">
        <f t="shared" si="54"/>
        <v>Amigo</v>
      </c>
      <c r="AR87" s="25" t="str">
        <f t="shared" si="55"/>
        <v>Chao</v>
      </c>
      <c r="AU87" s="25" t="str">
        <f t="shared" si="56"/>
        <v/>
      </c>
      <c r="AV87" s="25" t="str">
        <f t="shared" si="57"/>
        <v/>
      </c>
      <c r="AW87" s="25" t="str">
        <f t="shared" si="66"/>
        <v/>
      </c>
      <c r="AX87" s="33" t="str">
        <f>IF(AU87="","",Hoja1!BH97)</f>
        <v/>
      </c>
      <c r="AY87" s="33" t="str">
        <f t="shared" si="58"/>
        <v/>
      </c>
      <c r="AZ87" s="33" t="str">
        <f t="shared" si="37"/>
        <v/>
      </c>
    </row>
    <row r="88" spans="11:52" x14ac:dyDescent="0.25">
      <c r="K88" s="41">
        <f>+Hoja1!S98</f>
        <v>86</v>
      </c>
      <c r="L88" s="41">
        <f>+Hoja1!T98</f>
        <v>50</v>
      </c>
      <c r="M88" s="41">
        <f>+Hoja1!U98</f>
        <v>414.67605726007696</v>
      </c>
      <c r="N88" s="41">
        <f t="shared" si="59"/>
        <v>1</v>
      </c>
      <c r="O88" s="41">
        <f t="shared" si="60"/>
        <v>1</v>
      </c>
      <c r="P88" s="41">
        <f t="shared" si="61"/>
        <v>1</v>
      </c>
      <c r="Q88" s="41">
        <f t="shared" si="38"/>
        <v>3</v>
      </c>
      <c r="R88" s="31">
        <f>+MAX(AK$3:AK87)</f>
        <v>480.54044799134721</v>
      </c>
      <c r="S88" s="31">
        <f>+MAX(AL$3:AL87)</f>
        <v>480.79688921735703</v>
      </c>
      <c r="T88" s="31">
        <f>+MAX(AM$3:AM87)</f>
        <v>481.12850978415895</v>
      </c>
      <c r="U88" s="31">
        <f>+Hoja1!AR98</f>
        <v>0.91927889163640997</v>
      </c>
      <c r="V88" s="41" t="str">
        <f t="shared" si="39"/>
        <v/>
      </c>
      <c r="W88" s="41" t="str">
        <f t="shared" si="62"/>
        <v/>
      </c>
      <c r="X88" s="41" t="str">
        <f t="shared" si="40"/>
        <v/>
      </c>
      <c r="Y88" s="41" t="str">
        <f t="shared" si="41"/>
        <v/>
      </c>
      <c r="Z88" s="41" t="str">
        <f t="shared" si="67"/>
        <v/>
      </c>
      <c r="AA88" s="41" t="str">
        <f t="shared" si="42"/>
        <v/>
      </c>
      <c r="AB88" s="42" t="str">
        <f t="shared" si="43"/>
        <v/>
      </c>
      <c r="AC88" s="41">
        <f t="shared" si="44"/>
        <v>1</v>
      </c>
      <c r="AD88" s="41">
        <f t="shared" si="45"/>
        <v>1</v>
      </c>
      <c r="AE88" s="41">
        <f t="shared" si="63"/>
        <v>480.54044799134721</v>
      </c>
      <c r="AF88" s="41" t="str">
        <f t="shared" si="64"/>
        <v/>
      </c>
      <c r="AG88" s="41" t="str">
        <f t="shared" si="65"/>
        <v/>
      </c>
      <c r="AH88" s="41">
        <f t="shared" si="46"/>
        <v>480.54044799134721</v>
      </c>
      <c r="AI88" s="31">
        <f>Hoja1!AE98</f>
        <v>0.75455704428682613</v>
      </c>
      <c r="AJ88" s="31">
        <f t="shared" si="47"/>
        <v>5.395506699290717</v>
      </c>
      <c r="AK88" s="31">
        <f t="shared" si="48"/>
        <v>485.93595469063791</v>
      </c>
      <c r="AL88" s="31" t="str">
        <f t="shared" si="49"/>
        <v/>
      </c>
      <c r="AM88" s="31" t="str">
        <f t="shared" si="50"/>
        <v/>
      </c>
      <c r="AN88" s="31">
        <f t="shared" si="51"/>
        <v>485.93595469063791</v>
      </c>
      <c r="AO88" s="25" t="str">
        <f t="shared" si="52"/>
        <v>Tarde</v>
      </c>
      <c r="AP88" s="25">
        <f t="shared" si="53"/>
        <v>50</v>
      </c>
      <c r="AQ88" s="25" t="str">
        <f t="shared" si="54"/>
        <v>Amigo</v>
      </c>
      <c r="AR88" s="25" t="str">
        <f t="shared" si="55"/>
        <v>Chao</v>
      </c>
      <c r="AU88" s="25" t="str">
        <f t="shared" si="56"/>
        <v/>
      </c>
      <c r="AV88" s="25" t="str">
        <f t="shared" si="57"/>
        <v/>
      </c>
      <c r="AW88" s="25" t="str">
        <f t="shared" si="66"/>
        <v/>
      </c>
      <c r="AX88" s="33" t="str">
        <f>IF(AU88="","",Hoja1!BH98)</f>
        <v/>
      </c>
      <c r="AY88" s="33" t="str">
        <f t="shared" si="58"/>
        <v/>
      </c>
      <c r="AZ88" s="33" t="str">
        <f t="shared" si="37"/>
        <v/>
      </c>
    </row>
    <row r="89" spans="11:52" x14ac:dyDescent="0.25">
      <c r="K89" s="41">
        <f>+Hoja1!S99</f>
        <v>87</v>
      </c>
      <c r="L89" s="41">
        <f>+Hoja1!T99</f>
        <v>51</v>
      </c>
      <c r="M89" s="41">
        <f>+Hoja1!U99</f>
        <v>417.70556217134458</v>
      </c>
      <c r="N89" s="41">
        <f t="shared" si="59"/>
        <v>1</v>
      </c>
      <c r="O89" s="41">
        <f t="shared" si="60"/>
        <v>1</v>
      </c>
      <c r="P89" s="41">
        <f t="shared" si="61"/>
        <v>1</v>
      </c>
      <c r="Q89" s="41">
        <f t="shared" si="38"/>
        <v>3</v>
      </c>
      <c r="R89" s="31">
        <f>+MAX(AK$3:AK88)</f>
        <v>485.93595469063791</v>
      </c>
      <c r="S89" s="31">
        <f>+MAX(AL$3:AL88)</f>
        <v>480.79688921735703</v>
      </c>
      <c r="T89" s="31">
        <f>+MAX(AM$3:AM88)</f>
        <v>481.12850978415895</v>
      </c>
      <c r="U89" s="31">
        <f>+Hoja1!AR99</f>
        <v>0.18001046971761692</v>
      </c>
      <c r="V89" s="41" t="str">
        <f t="shared" si="39"/>
        <v/>
      </c>
      <c r="W89" s="41" t="str">
        <f t="shared" si="62"/>
        <v/>
      </c>
      <c r="X89" s="41" t="str">
        <f t="shared" si="40"/>
        <v/>
      </c>
      <c r="Y89" s="41" t="str">
        <f t="shared" si="41"/>
        <v/>
      </c>
      <c r="Z89" s="41" t="str">
        <f t="shared" si="67"/>
        <v/>
      </c>
      <c r="AA89" s="41" t="str">
        <f t="shared" si="42"/>
        <v/>
      </c>
      <c r="AB89" s="42" t="str">
        <f t="shared" si="43"/>
        <v/>
      </c>
      <c r="AC89" s="41">
        <f t="shared" si="44"/>
        <v>2</v>
      </c>
      <c r="AD89" s="41">
        <f t="shared" si="45"/>
        <v>2</v>
      </c>
      <c r="AE89" s="41" t="str">
        <f t="shared" si="63"/>
        <v/>
      </c>
      <c r="AF89" s="41">
        <f t="shared" si="64"/>
        <v>480.79688921735703</v>
      </c>
      <c r="AG89" s="41" t="str">
        <f t="shared" si="65"/>
        <v/>
      </c>
      <c r="AH89" s="41">
        <f t="shared" si="46"/>
        <v>480.79688921735703</v>
      </c>
      <c r="AI89" s="31">
        <f>Hoja1!AE99</f>
        <v>0.23248416382211456</v>
      </c>
      <c r="AJ89" s="31">
        <f t="shared" si="47"/>
        <v>3.0461787371995155</v>
      </c>
      <c r="AK89" s="31" t="str">
        <f t="shared" si="48"/>
        <v/>
      </c>
      <c r="AL89" s="31">
        <f t="shared" si="49"/>
        <v>483.84306795455655</v>
      </c>
      <c r="AM89" s="31" t="str">
        <f t="shared" si="50"/>
        <v/>
      </c>
      <c r="AN89" s="31">
        <f t="shared" si="51"/>
        <v>483.84306795455655</v>
      </c>
      <c r="AO89" s="25" t="str">
        <f t="shared" si="52"/>
        <v>Tarde</v>
      </c>
      <c r="AP89" s="25">
        <f t="shared" si="53"/>
        <v>51</v>
      </c>
      <c r="AQ89" s="25" t="str">
        <f t="shared" si="54"/>
        <v>Amigo</v>
      </c>
      <c r="AR89" s="25" t="str">
        <f t="shared" si="55"/>
        <v>Chao</v>
      </c>
      <c r="AU89" s="25" t="str">
        <f t="shared" si="56"/>
        <v/>
      </c>
      <c r="AV89" s="25" t="str">
        <f t="shared" si="57"/>
        <v/>
      </c>
      <c r="AW89" s="25" t="str">
        <f t="shared" si="66"/>
        <v/>
      </c>
      <c r="AX89" s="33" t="str">
        <f>IF(AU89="","",Hoja1!BH99)</f>
        <v/>
      </c>
      <c r="AY89" s="33" t="str">
        <f t="shared" si="58"/>
        <v/>
      </c>
      <c r="AZ89" s="33" t="str">
        <f t="shared" si="37"/>
        <v/>
      </c>
    </row>
    <row r="90" spans="11:52" x14ac:dyDescent="0.25">
      <c r="K90" s="41">
        <f>+Hoja1!S100</f>
        <v>88</v>
      </c>
      <c r="L90" s="41">
        <f>+Hoja1!T100</f>
        <v>52</v>
      </c>
      <c r="M90" s="41">
        <f>+Hoja1!U100</f>
        <v>418.32939611462706</v>
      </c>
      <c r="N90" s="41">
        <f t="shared" si="59"/>
        <v>1</v>
      </c>
      <c r="O90" s="41">
        <f t="shared" si="60"/>
        <v>1</v>
      </c>
      <c r="P90" s="41">
        <f t="shared" si="61"/>
        <v>1</v>
      </c>
      <c r="Q90" s="41">
        <f t="shared" si="38"/>
        <v>3</v>
      </c>
      <c r="R90" s="31">
        <f>+MAX(AK$3:AK89)</f>
        <v>485.93595469063791</v>
      </c>
      <c r="S90" s="31">
        <f>+MAX(AL$3:AL89)</f>
        <v>483.84306795455655</v>
      </c>
      <c r="T90" s="31">
        <f>+MAX(AM$3:AM89)</f>
        <v>481.12850978415895</v>
      </c>
      <c r="U90" s="31">
        <f>+Hoja1!AR100</f>
        <v>0.50002000293630289</v>
      </c>
      <c r="V90" s="41" t="str">
        <f t="shared" si="39"/>
        <v/>
      </c>
      <c r="W90" s="41" t="str">
        <f t="shared" si="62"/>
        <v/>
      </c>
      <c r="X90" s="41" t="str">
        <f t="shared" si="40"/>
        <v/>
      </c>
      <c r="Y90" s="41" t="str">
        <f t="shared" si="41"/>
        <v/>
      </c>
      <c r="Z90" s="41" t="str">
        <f t="shared" si="67"/>
        <v/>
      </c>
      <c r="AA90" s="41" t="str">
        <f t="shared" si="42"/>
        <v/>
      </c>
      <c r="AB90" s="42" t="str">
        <f t="shared" si="43"/>
        <v/>
      </c>
      <c r="AC90" s="41">
        <f t="shared" si="44"/>
        <v>3</v>
      </c>
      <c r="AD90" s="41">
        <f t="shared" si="45"/>
        <v>3</v>
      </c>
      <c r="AE90" s="41" t="str">
        <f t="shared" si="63"/>
        <v/>
      </c>
      <c r="AF90" s="41" t="str">
        <f t="shared" si="64"/>
        <v/>
      </c>
      <c r="AG90" s="41">
        <f t="shared" si="65"/>
        <v>481.12850978415895</v>
      </c>
      <c r="AH90" s="41">
        <f t="shared" si="46"/>
        <v>481.12850978415895</v>
      </c>
      <c r="AI90" s="31">
        <f>Hoja1!AE100</f>
        <v>2.6162683831917111E-2</v>
      </c>
      <c r="AJ90" s="31">
        <f t="shared" si="47"/>
        <v>2.1177320772436268</v>
      </c>
      <c r="AK90" s="31" t="str">
        <f t="shared" si="48"/>
        <v/>
      </c>
      <c r="AL90" s="31" t="str">
        <f t="shared" si="49"/>
        <v/>
      </c>
      <c r="AM90" s="31">
        <f t="shared" si="50"/>
        <v>483.24624186140255</v>
      </c>
      <c r="AN90" s="31">
        <f t="shared" si="51"/>
        <v>483.24624186140255</v>
      </c>
      <c r="AO90" s="25" t="str">
        <f t="shared" si="52"/>
        <v>Tarde</v>
      </c>
      <c r="AP90" s="25">
        <f t="shared" si="53"/>
        <v>52</v>
      </c>
      <c r="AQ90" s="25" t="str">
        <f t="shared" si="54"/>
        <v>Amigo</v>
      </c>
      <c r="AR90" s="25" t="str">
        <f t="shared" si="55"/>
        <v>Chao</v>
      </c>
      <c r="AU90" s="25" t="str">
        <f t="shared" si="56"/>
        <v/>
      </c>
      <c r="AV90" s="25" t="str">
        <f t="shared" si="57"/>
        <v/>
      </c>
      <c r="AW90" s="25" t="str">
        <f t="shared" si="66"/>
        <v/>
      </c>
      <c r="AX90" s="33" t="str">
        <f>IF(AU90="","",Hoja1!BH100)</f>
        <v/>
      </c>
      <c r="AY90" s="33" t="str">
        <f t="shared" si="58"/>
        <v/>
      </c>
      <c r="AZ90" s="33" t="str">
        <f t="shared" si="37"/>
        <v/>
      </c>
    </row>
    <row r="91" spans="11:52" x14ac:dyDescent="0.25">
      <c r="K91" s="41">
        <f>+Hoja1!S101</f>
        <v>89</v>
      </c>
      <c r="L91" s="41">
        <f>+Hoja1!T101</f>
        <v>53</v>
      </c>
      <c r="M91" s="41">
        <f>+Hoja1!U101</f>
        <v>418.80078258935271</v>
      </c>
      <c r="N91" s="41">
        <f t="shared" si="59"/>
        <v>1</v>
      </c>
      <c r="O91" s="41">
        <f t="shared" si="60"/>
        <v>1</v>
      </c>
      <c r="P91" s="41">
        <f t="shared" si="61"/>
        <v>1</v>
      </c>
      <c r="Q91" s="41">
        <f t="shared" si="38"/>
        <v>3</v>
      </c>
      <c r="R91" s="31">
        <f>+MAX(AK$3:AK90)</f>
        <v>485.93595469063791</v>
      </c>
      <c r="S91" s="31">
        <f>+MAX(AL$3:AL90)</f>
        <v>483.84306795455655</v>
      </c>
      <c r="T91" s="31">
        <f>+MAX(AM$3:AM90)</f>
        <v>483.24624186140255</v>
      </c>
      <c r="U91" s="31">
        <f>+Hoja1!AR101</f>
        <v>0.43491516448704193</v>
      </c>
      <c r="V91" s="41" t="str">
        <f t="shared" si="39"/>
        <v/>
      </c>
      <c r="W91" s="41" t="str">
        <f t="shared" si="62"/>
        <v/>
      </c>
      <c r="X91" s="41" t="str">
        <f t="shared" si="40"/>
        <v/>
      </c>
      <c r="Y91" s="41" t="str">
        <f t="shared" si="41"/>
        <v/>
      </c>
      <c r="Z91" s="41" t="str">
        <f t="shared" si="67"/>
        <v/>
      </c>
      <c r="AA91" s="41" t="str">
        <f t="shared" si="42"/>
        <v/>
      </c>
      <c r="AB91" s="42" t="str">
        <f t="shared" si="43"/>
        <v/>
      </c>
      <c r="AC91" s="41">
        <f t="shared" si="44"/>
        <v>3</v>
      </c>
      <c r="AD91" s="41">
        <f t="shared" si="45"/>
        <v>3</v>
      </c>
      <c r="AE91" s="41" t="str">
        <f t="shared" si="63"/>
        <v/>
      </c>
      <c r="AF91" s="41" t="str">
        <f t="shared" si="64"/>
        <v/>
      </c>
      <c r="AG91" s="41">
        <f t="shared" si="65"/>
        <v>483.24624186140255</v>
      </c>
      <c r="AH91" s="41">
        <f t="shared" si="46"/>
        <v>483.24624186140255</v>
      </c>
      <c r="AI91" s="31">
        <f>Hoja1!AE101</f>
        <v>3.2429507046828343E-3</v>
      </c>
      <c r="AJ91" s="31">
        <f t="shared" si="47"/>
        <v>2.0145932781710729</v>
      </c>
      <c r="AK91" s="31" t="str">
        <f t="shared" si="48"/>
        <v/>
      </c>
      <c r="AL91" s="31" t="str">
        <f t="shared" si="49"/>
        <v/>
      </c>
      <c r="AM91" s="31">
        <f t="shared" si="50"/>
        <v>485.2608351395736</v>
      </c>
      <c r="AN91" s="31">
        <f t="shared" si="51"/>
        <v>485.2608351395736</v>
      </c>
      <c r="AO91" s="25" t="str">
        <f t="shared" si="52"/>
        <v>Tarde</v>
      </c>
      <c r="AP91" s="25">
        <f t="shared" si="53"/>
        <v>53</v>
      </c>
      <c r="AQ91" s="25" t="str">
        <f t="shared" si="54"/>
        <v>Amigo</v>
      </c>
      <c r="AR91" s="25" t="str">
        <f t="shared" si="55"/>
        <v>Chao</v>
      </c>
      <c r="AU91" s="25" t="str">
        <f t="shared" si="56"/>
        <v/>
      </c>
      <c r="AV91" s="25" t="str">
        <f t="shared" si="57"/>
        <v/>
      </c>
      <c r="AW91" s="25" t="str">
        <f t="shared" si="66"/>
        <v/>
      </c>
      <c r="AX91" s="33" t="str">
        <f>IF(AU91="","",Hoja1!BH101)</f>
        <v/>
      </c>
      <c r="AY91" s="33" t="str">
        <f t="shared" si="58"/>
        <v/>
      </c>
      <c r="AZ91" s="33" t="str">
        <f t="shared" si="37"/>
        <v/>
      </c>
    </row>
    <row r="92" spans="11:52" x14ac:dyDescent="0.25">
      <c r="K92" s="41">
        <f>+Hoja1!S102</f>
        <v>90</v>
      </c>
      <c r="L92" s="41">
        <f>+Hoja1!T102</f>
        <v>53</v>
      </c>
      <c r="M92" s="41">
        <f>+Hoja1!U102</f>
        <v>418.80078258935271</v>
      </c>
      <c r="N92" s="41">
        <f t="shared" si="59"/>
        <v>1</v>
      </c>
      <c r="O92" s="41">
        <f t="shared" si="60"/>
        <v>1</v>
      </c>
      <c r="P92" s="41">
        <f t="shared" si="61"/>
        <v>1</v>
      </c>
      <c r="Q92" s="41">
        <f t="shared" si="38"/>
        <v>3</v>
      </c>
      <c r="R92" s="31">
        <f>+MAX(AK$3:AK91)</f>
        <v>485.93595469063791</v>
      </c>
      <c r="S92" s="31">
        <f>+MAX(AL$3:AL91)</f>
        <v>483.84306795455655</v>
      </c>
      <c r="T92" s="31">
        <f>+MAX(AM$3:AM91)</f>
        <v>485.2608351395736</v>
      </c>
      <c r="U92" s="31">
        <f>+Hoja1!AR102</f>
        <v>0.64257817907712633</v>
      </c>
      <c r="V92" s="41" t="str">
        <f t="shared" si="39"/>
        <v/>
      </c>
      <c r="W92" s="41" t="str">
        <f t="shared" si="62"/>
        <v/>
      </c>
      <c r="X92" s="41" t="str">
        <f t="shared" si="40"/>
        <v/>
      </c>
      <c r="Y92" s="41" t="str">
        <f t="shared" si="41"/>
        <v/>
      </c>
      <c r="Z92" s="41" t="str">
        <f t="shared" si="67"/>
        <v/>
      </c>
      <c r="AA92" s="41" t="str">
        <f t="shared" si="42"/>
        <v/>
      </c>
      <c r="AB92" s="42" t="str">
        <f t="shared" si="43"/>
        <v/>
      </c>
      <c r="AC92" s="41">
        <f t="shared" si="44"/>
        <v>2</v>
      </c>
      <c r="AD92" s="41">
        <f t="shared" si="45"/>
        <v>2</v>
      </c>
      <c r="AE92" s="41" t="str">
        <f t="shared" si="63"/>
        <v/>
      </c>
      <c r="AF92" s="41">
        <f t="shared" si="64"/>
        <v>483.84306795455655</v>
      </c>
      <c r="AG92" s="41" t="str">
        <f t="shared" si="65"/>
        <v/>
      </c>
      <c r="AH92" s="41">
        <f t="shared" si="46"/>
        <v>483.84306795455655</v>
      </c>
      <c r="AI92" s="31">
        <f>Hoja1!AE102</f>
        <v>0.76145842642814354</v>
      </c>
      <c r="AJ92" s="31">
        <f t="shared" si="47"/>
        <v>5.4265629189266456</v>
      </c>
      <c r="AK92" s="31" t="str">
        <f t="shared" si="48"/>
        <v/>
      </c>
      <c r="AL92" s="31">
        <f t="shared" si="49"/>
        <v>489.26963087348321</v>
      </c>
      <c r="AM92" s="31" t="str">
        <f t="shared" si="50"/>
        <v/>
      </c>
      <c r="AN92" s="31">
        <f t="shared" si="51"/>
        <v>489.26963087348321</v>
      </c>
      <c r="AO92" s="25" t="str">
        <f t="shared" si="52"/>
        <v>Tarde</v>
      </c>
      <c r="AP92" s="25">
        <f t="shared" si="53"/>
        <v>53</v>
      </c>
      <c r="AQ92" s="25" t="str">
        <f t="shared" si="54"/>
        <v>Amigo</v>
      </c>
      <c r="AR92" s="25" t="str">
        <f t="shared" si="55"/>
        <v>Chao</v>
      </c>
      <c r="AU92" s="25" t="str">
        <f t="shared" si="56"/>
        <v/>
      </c>
      <c r="AV92" s="25" t="str">
        <f t="shared" si="57"/>
        <v/>
      </c>
      <c r="AW92" s="25" t="str">
        <f t="shared" si="66"/>
        <v/>
      </c>
      <c r="AX92" s="33" t="str">
        <f>IF(AU92="","",Hoja1!BH102)</f>
        <v/>
      </c>
      <c r="AY92" s="33" t="str">
        <f t="shared" si="58"/>
        <v/>
      </c>
      <c r="AZ92" s="33" t="str">
        <f t="shared" si="37"/>
        <v/>
      </c>
    </row>
    <row r="93" spans="11:52" x14ac:dyDescent="0.25">
      <c r="K93" s="41">
        <f>+Hoja1!S103</f>
        <v>91</v>
      </c>
      <c r="L93" s="41">
        <f>+Hoja1!T103</f>
        <v>53</v>
      </c>
      <c r="M93" s="41">
        <f>+Hoja1!U103</f>
        <v>418.80078258935271</v>
      </c>
      <c r="N93" s="41">
        <f t="shared" si="59"/>
        <v>1</v>
      </c>
      <c r="O93" s="41">
        <f t="shared" si="60"/>
        <v>1</v>
      </c>
      <c r="P93" s="41">
        <f t="shared" si="61"/>
        <v>1</v>
      </c>
      <c r="Q93" s="41">
        <f t="shared" si="38"/>
        <v>3</v>
      </c>
      <c r="R93" s="31">
        <f>+MAX(AK$3:AK92)</f>
        <v>485.93595469063791</v>
      </c>
      <c r="S93" s="31">
        <f>+MAX(AL$3:AL92)</f>
        <v>489.26963087348321</v>
      </c>
      <c r="T93" s="31">
        <f>+MAX(AM$3:AM92)</f>
        <v>485.2608351395736</v>
      </c>
      <c r="U93" s="31">
        <f>+Hoja1!AR103</f>
        <v>0.18908775246261333</v>
      </c>
      <c r="V93" s="41" t="str">
        <f t="shared" si="39"/>
        <v/>
      </c>
      <c r="W93" s="41" t="str">
        <f t="shared" si="62"/>
        <v/>
      </c>
      <c r="X93" s="41" t="str">
        <f t="shared" si="40"/>
        <v/>
      </c>
      <c r="Y93" s="41" t="str">
        <f t="shared" si="41"/>
        <v/>
      </c>
      <c r="Z93" s="41" t="str">
        <f t="shared" si="67"/>
        <v/>
      </c>
      <c r="AA93" s="41" t="str">
        <f t="shared" si="42"/>
        <v/>
      </c>
      <c r="AB93" s="42" t="str">
        <f t="shared" si="43"/>
        <v/>
      </c>
      <c r="AC93" s="41">
        <f t="shared" si="44"/>
        <v>3</v>
      </c>
      <c r="AD93" s="41">
        <f t="shared" si="45"/>
        <v>3</v>
      </c>
      <c r="AE93" s="41" t="str">
        <f t="shared" si="63"/>
        <v/>
      </c>
      <c r="AF93" s="41" t="str">
        <f t="shared" si="64"/>
        <v/>
      </c>
      <c r="AG93" s="41">
        <f t="shared" si="65"/>
        <v>485.2608351395736</v>
      </c>
      <c r="AH93" s="41">
        <f t="shared" si="46"/>
        <v>485.2608351395736</v>
      </c>
      <c r="AI93" s="31">
        <f>Hoja1!AE103</f>
        <v>0.61667694414367613</v>
      </c>
      <c r="AJ93" s="31">
        <f t="shared" si="47"/>
        <v>4.775046248646543</v>
      </c>
      <c r="AK93" s="31" t="str">
        <f t="shared" si="48"/>
        <v/>
      </c>
      <c r="AL93" s="31" t="str">
        <f t="shared" si="49"/>
        <v/>
      </c>
      <c r="AM93" s="31">
        <f t="shared" si="50"/>
        <v>490.03588138822016</v>
      </c>
      <c r="AN93" s="31">
        <f t="shared" si="51"/>
        <v>490.03588138822016</v>
      </c>
      <c r="AO93" s="25" t="str">
        <f t="shared" si="52"/>
        <v>Tarde</v>
      </c>
      <c r="AP93" s="25">
        <f t="shared" si="53"/>
        <v>53</v>
      </c>
      <c r="AQ93" s="25" t="str">
        <f t="shared" si="54"/>
        <v>Amigo</v>
      </c>
      <c r="AR93" s="25" t="str">
        <f t="shared" si="55"/>
        <v>Chao</v>
      </c>
      <c r="AU93" s="25" t="str">
        <f t="shared" si="56"/>
        <v/>
      </c>
      <c r="AV93" s="25" t="str">
        <f t="shared" si="57"/>
        <v/>
      </c>
      <c r="AW93" s="25" t="str">
        <f t="shared" si="66"/>
        <v/>
      </c>
      <c r="AX93" s="33" t="str">
        <f>IF(AU93="","",Hoja1!BH103)</f>
        <v/>
      </c>
      <c r="AY93" s="33" t="str">
        <f t="shared" si="58"/>
        <v/>
      </c>
      <c r="AZ93" s="33" t="str">
        <f t="shared" si="37"/>
        <v/>
      </c>
    </row>
    <row r="94" spans="11:52" x14ac:dyDescent="0.25">
      <c r="K94" s="41">
        <f>+Hoja1!S104</f>
        <v>92</v>
      </c>
      <c r="L94" s="41">
        <f>+Hoja1!T104</f>
        <v>54</v>
      </c>
      <c r="M94" s="41">
        <f>+Hoja1!U104</f>
        <v>419.04727443602434</v>
      </c>
      <c r="N94" s="41">
        <f t="shared" si="59"/>
        <v>1</v>
      </c>
      <c r="O94" s="41">
        <f t="shared" si="60"/>
        <v>1</v>
      </c>
      <c r="P94" s="41">
        <f t="shared" si="61"/>
        <v>1</v>
      </c>
      <c r="Q94" s="41">
        <f t="shared" si="38"/>
        <v>3</v>
      </c>
      <c r="R94" s="31">
        <f>+MAX(AK$3:AK93)</f>
        <v>485.93595469063791</v>
      </c>
      <c r="S94" s="31">
        <f>+MAX(AL$3:AL93)</f>
        <v>489.26963087348321</v>
      </c>
      <c r="T94" s="31">
        <f>+MAX(AM$3:AM93)</f>
        <v>490.03588138822016</v>
      </c>
      <c r="U94" s="31">
        <f>+Hoja1!AR104</f>
        <v>0.56221424942467413</v>
      </c>
      <c r="V94" s="41" t="str">
        <f t="shared" si="39"/>
        <v/>
      </c>
      <c r="W94" s="41" t="str">
        <f t="shared" si="62"/>
        <v/>
      </c>
      <c r="X94" s="41" t="str">
        <f t="shared" si="40"/>
        <v/>
      </c>
      <c r="Y94" s="41" t="str">
        <f t="shared" si="41"/>
        <v/>
      </c>
      <c r="Z94" s="41" t="str">
        <f t="shared" si="67"/>
        <v/>
      </c>
      <c r="AA94" s="41" t="str">
        <f t="shared" si="42"/>
        <v/>
      </c>
      <c r="AB94" s="42" t="str">
        <f t="shared" si="43"/>
        <v/>
      </c>
      <c r="AC94" s="41">
        <f t="shared" si="44"/>
        <v>1</v>
      </c>
      <c r="AD94" s="41">
        <f t="shared" si="45"/>
        <v>1</v>
      </c>
      <c r="AE94" s="41">
        <f t="shared" si="63"/>
        <v>485.93595469063791</v>
      </c>
      <c r="AF94" s="41" t="str">
        <f t="shared" si="64"/>
        <v/>
      </c>
      <c r="AG94" s="41" t="str">
        <f t="shared" si="65"/>
        <v/>
      </c>
      <c r="AH94" s="41">
        <f t="shared" si="46"/>
        <v>485.93595469063791</v>
      </c>
      <c r="AI94" s="31">
        <f>Hoja1!AE104</f>
        <v>0.39618980977231422</v>
      </c>
      <c r="AJ94" s="31">
        <f t="shared" si="47"/>
        <v>3.7828541439754142</v>
      </c>
      <c r="AK94" s="31">
        <f t="shared" si="48"/>
        <v>489.71880883461336</v>
      </c>
      <c r="AL94" s="31" t="str">
        <f t="shared" si="49"/>
        <v/>
      </c>
      <c r="AM94" s="31" t="str">
        <f t="shared" si="50"/>
        <v/>
      </c>
      <c r="AN94" s="31">
        <f t="shared" si="51"/>
        <v>489.71880883461336</v>
      </c>
      <c r="AO94" s="25" t="str">
        <f t="shared" si="52"/>
        <v>Tarde</v>
      </c>
      <c r="AP94" s="25">
        <f t="shared" si="53"/>
        <v>54</v>
      </c>
      <c r="AQ94" s="25" t="str">
        <f t="shared" si="54"/>
        <v>Amigo</v>
      </c>
      <c r="AR94" s="25" t="str">
        <f t="shared" si="55"/>
        <v>Chao</v>
      </c>
      <c r="AU94" s="25" t="str">
        <f t="shared" si="56"/>
        <v/>
      </c>
      <c r="AV94" s="25" t="str">
        <f t="shared" si="57"/>
        <v/>
      </c>
      <c r="AW94" s="25" t="str">
        <f t="shared" si="66"/>
        <v/>
      </c>
      <c r="AX94" s="33" t="str">
        <f>IF(AU94="","",Hoja1!BH104)</f>
        <v/>
      </c>
      <c r="AY94" s="33" t="str">
        <f t="shared" si="58"/>
        <v/>
      </c>
      <c r="AZ94" s="33" t="str">
        <f t="shared" si="37"/>
        <v/>
      </c>
    </row>
    <row r="95" spans="11:52" x14ac:dyDescent="0.25">
      <c r="K95" s="41">
        <f>+Hoja1!S105</f>
        <v>93</v>
      </c>
      <c r="L95" s="41">
        <f>+Hoja1!T105</f>
        <v>54</v>
      </c>
      <c r="M95" s="41">
        <f>+Hoja1!U105</f>
        <v>419.04727443602434</v>
      </c>
      <c r="N95" s="41">
        <f t="shared" si="59"/>
        <v>1</v>
      </c>
      <c r="O95" s="41">
        <f t="shared" si="60"/>
        <v>1</v>
      </c>
      <c r="P95" s="41">
        <f t="shared" si="61"/>
        <v>1</v>
      </c>
      <c r="Q95" s="41">
        <f t="shared" si="38"/>
        <v>3</v>
      </c>
      <c r="R95" s="31">
        <f>+MAX(AK$3:AK94)</f>
        <v>489.71880883461336</v>
      </c>
      <c r="S95" s="31">
        <f>+MAX(AL$3:AL94)</f>
        <v>489.26963087348321</v>
      </c>
      <c r="T95" s="31">
        <f>+MAX(AM$3:AM94)</f>
        <v>490.03588138822016</v>
      </c>
      <c r="U95" s="31">
        <f>+Hoja1!AR105</f>
        <v>0.3917158013992833</v>
      </c>
      <c r="V95" s="41" t="str">
        <f t="shared" si="39"/>
        <v/>
      </c>
      <c r="W95" s="41" t="str">
        <f t="shared" si="62"/>
        <v/>
      </c>
      <c r="X95" s="41" t="str">
        <f t="shared" si="40"/>
        <v/>
      </c>
      <c r="Y95" s="41" t="str">
        <f t="shared" si="41"/>
        <v/>
      </c>
      <c r="Z95" s="41" t="str">
        <f t="shared" si="67"/>
        <v/>
      </c>
      <c r="AA95" s="41" t="str">
        <f t="shared" si="42"/>
        <v/>
      </c>
      <c r="AB95" s="42" t="str">
        <f t="shared" si="43"/>
        <v/>
      </c>
      <c r="AC95" s="41">
        <f t="shared" si="44"/>
        <v>2</v>
      </c>
      <c r="AD95" s="41">
        <f t="shared" si="45"/>
        <v>2</v>
      </c>
      <c r="AE95" s="41" t="str">
        <f t="shared" si="63"/>
        <v/>
      </c>
      <c r="AF95" s="41">
        <f t="shared" si="64"/>
        <v>489.26963087348321</v>
      </c>
      <c r="AG95" s="41" t="str">
        <f t="shared" si="65"/>
        <v/>
      </c>
      <c r="AH95" s="41">
        <f t="shared" si="46"/>
        <v>489.26963087348321</v>
      </c>
      <c r="AI95" s="31">
        <f>Hoja1!AE105</f>
        <v>0.18108103337131265</v>
      </c>
      <c r="AJ95" s="31">
        <f t="shared" si="47"/>
        <v>2.8148646501709069</v>
      </c>
      <c r="AK95" s="31" t="str">
        <f t="shared" si="48"/>
        <v/>
      </c>
      <c r="AL95" s="31">
        <f t="shared" si="49"/>
        <v>492.08449552365414</v>
      </c>
      <c r="AM95" s="31" t="str">
        <f t="shared" si="50"/>
        <v/>
      </c>
      <c r="AN95" s="31">
        <f t="shared" si="51"/>
        <v>492.08449552365414</v>
      </c>
      <c r="AO95" s="25" t="str">
        <f t="shared" si="52"/>
        <v>Tarde</v>
      </c>
      <c r="AP95" s="25">
        <f t="shared" si="53"/>
        <v>54</v>
      </c>
      <c r="AQ95" s="25" t="str">
        <f t="shared" si="54"/>
        <v>Amigo</v>
      </c>
      <c r="AR95" s="25" t="str">
        <f t="shared" si="55"/>
        <v>Chao</v>
      </c>
      <c r="AU95" s="25" t="str">
        <f t="shared" si="56"/>
        <v/>
      </c>
      <c r="AV95" s="25" t="str">
        <f t="shared" si="57"/>
        <v/>
      </c>
      <c r="AW95" s="25" t="str">
        <f t="shared" si="66"/>
        <v/>
      </c>
      <c r="AX95" s="33" t="str">
        <f>IF(AU95="","",Hoja1!BH105)</f>
        <v/>
      </c>
      <c r="AY95" s="33" t="str">
        <f t="shared" si="58"/>
        <v/>
      </c>
      <c r="AZ95" s="33" t="str">
        <f t="shared" si="37"/>
        <v/>
      </c>
    </row>
    <row r="96" spans="11:52" x14ac:dyDescent="0.25">
      <c r="K96" s="41">
        <f>+Hoja1!S106</f>
        <v>94</v>
      </c>
      <c r="L96" s="41">
        <f>+Hoja1!T106</f>
        <v>55</v>
      </c>
      <c r="M96" s="41">
        <f>+Hoja1!U106</f>
        <v>419.900060755038</v>
      </c>
      <c r="N96" s="41">
        <f t="shared" si="59"/>
        <v>1</v>
      </c>
      <c r="O96" s="41">
        <f t="shared" si="60"/>
        <v>1</v>
      </c>
      <c r="P96" s="41">
        <f t="shared" si="61"/>
        <v>1</v>
      </c>
      <c r="Q96" s="41">
        <f t="shared" si="38"/>
        <v>3</v>
      </c>
      <c r="R96" s="31">
        <f>+MAX(AK$3:AK95)</f>
        <v>489.71880883461336</v>
      </c>
      <c r="S96" s="31">
        <f>+MAX(AL$3:AL95)</f>
        <v>492.08449552365414</v>
      </c>
      <c r="T96" s="31">
        <f>+MAX(AM$3:AM95)</f>
        <v>490.03588138822016</v>
      </c>
      <c r="U96" s="31">
        <f>+Hoja1!AR106</f>
        <v>0.7864177235462172</v>
      </c>
      <c r="V96" s="41" t="str">
        <f t="shared" si="39"/>
        <v/>
      </c>
      <c r="W96" s="41" t="str">
        <f t="shared" si="62"/>
        <v/>
      </c>
      <c r="X96" s="41" t="str">
        <f t="shared" si="40"/>
        <v/>
      </c>
      <c r="Y96" s="41" t="str">
        <f t="shared" si="41"/>
        <v/>
      </c>
      <c r="Z96" s="41" t="str">
        <f t="shared" si="67"/>
        <v/>
      </c>
      <c r="AA96" s="41" t="str">
        <f t="shared" si="42"/>
        <v/>
      </c>
      <c r="AB96" s="42" t="str">
        <f t="shared" si="43"/>
        <v/>
      </c>
      <c r="AC96" s="41">
        <f t="shared" si="44"/>
        <v>1</v>
      </c>
      <c r="AD96" s="41">
        <f t="shared" si="45"/>
        <v>1</v>
      </c>
      <c r="AE96" s="41">
        <f t="shared" si="63"/>
        <v>489.71880883461336</v>
      </c>
      <c r="AF96" s="41" t="str">
        <f t="shared" si="64"/>
        <v/>
      </c>
      <c r="AG96" s="41" t="str">
        <f t="shared" si="65"/>
        <v/>
      </c>
      <c r="AH96" s="41">
        <f t="shared" si="46"/>
        <v>489.71880883461336</v>
      </c>
      <c r="AI96" s="31">
        <f>Hoja1!AE106</f>
        <v>0.3281584461380771</v>
      </c>
      <c r="AJ96" s="31">
        <f t="shared" si="47"/>
        <v>3.4767130076213468</v>
      </c>
      <c r="AK96" s="31">
        <f t="shared" si="48"/>
        <v>493.19552184223471</v>
      </c>
      <c r="AL96" s="31" t="str">
        <f t="shared" si="49"/>
        <v/>
      </c>
      <c r="AM96" s="31" t="str">
        <f t="shared" si="50"/>
        <v/>
      </c>
      <c r="AN96" s="31">
        <f t="shared" si="51"/>
        <v>493.19552184223471</v>
      </c>
      <c r="AO96" s="25" t="str">
        <f t="shared" si="52"/>
        <v>Tarde</v>
      </c>
      <c r="AP96" s="25">
        <f t="shared" si="53"/>
        <v>55</v>
      </c>
      <c r="AQ96" s="25" t="str">
        <f t="shared" si="54"/>
        <v>Amigo</v>
      </c>
      <c r="AR96" s="25" t="str">
        <f t="shared" si="55"/>
        <v>Chao</v>
      </c>
      <c r="AU96" s="25" t="str">
        <f t="shared" si="56"/>
        <v/>
      </c>
      <c r="AV96" s="25" t="str">
        <f t="shared" si="57"/>
        <v/>
      </c>
      <c r="AW96" s="25" t="str">
        <f t="shared" si="66"/>
        <v/>
      </c>
      <c r="AX96" s="33" t="str">
        <f>IF(AU96="","",Hoja1!BH106)</f>
        <v/>
      </c>
      <c r="AY96" s="33" t="str">
        <f t="shared" si="58"/>
        <v/>
      </c>
      <c r="AZ96" s="33" t="str">
        <f t="shared" si="37"/>
        <v/>
      </c>
    </row>
    <row r="97" spans="9:52" x14ac:dyDescent="0.25">
      <c r="K97" s="41">
        <f>+Hoja1!S107</f>
        <v>95</v>
      </c>
      <c r="L97" s="41">
        <f>+Hoja1!T107</f>
        <v>56</v>
      </c>
      <c r="M97" s="41">
        <f>+Hoja1!U107</f>
        <v>420.17149640499366</v>
      </c>
      <c r="N97" s="41">
        <f t="shared" si="59"/>
        <v>1</v>
      </c>
      <c r="O97" s="41">
        <f t="shared" si="60"/>
        <v>1</v>
      </c>
      <c r="P97" s="41">
        <f t="shared" si="61"/>
        <v>1</v>
      </c>
      <c r="Q97" s="41">
        <f t="shared" si="38"/>
        <v>3</v>
      </c>
      <c r="R97" s="31">
        <f>+MAX(AK$3:AK96)</f>
        <v>493.19552184223471</v>
      </c>
      <c r="S97" s="31">
        <f>+MAX(AL$3:AL96)</f>
        <v>492.08449552365414</v>
      </c>
      <c r="T97" s="31">
        <f>+MAX(AM$3:AM96)</f>
        <v>490.03588138822016</v>
      </c>
      <c r="U97" s="31">
        <f>+Hoja1!AR107</f>
        <v>0.11771127221362432</v>
      </c>
      <c r="V97" s="41" t="str">
        <f t="shared" si="39"/>
        <v/>
      </c>
      <c r="W97" s="41" t="str">
        <f t="shared" si="62"/>
        <v/>
      </c>
      <c r="X97" s="41" t="str">
        <f t="shared" si="40"/>
        <v/>
      </c>
      <c r="Y97" s="41" t="str">
        <f t="shared" si="41"/>
        <v/>
      </c>
      <c r="Z97" s="41" t="str">
        <f t="shared" si="67"/>
        <v/>
      </c>
      <c r="AA97" s="41" t="str">
        <f t="shared" si="42"/>
        <v/>
      </c>
      <c r="AB97" s="42" t="str">
        <f t="shared" si="43"/>
        <v/>
      </c>
      <c r="AC97" s="41">
        <f t="shared" si="44"/>
        <v>3</v>
      </c>
      <c r="AD97" s="41">
        <f t="shared" si="45"/>
        <v>3</v>
      </c>
      <c r="AE97" s="41" t="str">
        <f t="shared" si="63"/>
        <v/>
      </c>
      <c r="AF97" s="41" t="str">
        <f t="shared" si="64"/>
        <v/>
      </c>
      <c r="AG97" s="41">
        <f t="shared" si="65"/>
        <v>490.03588138822016</v>
      </c>
      <c r="AH97" s="41">
        <f t="shared" si="46"/>
        <v>490.03588138822016</v>
      </c>
      <c r="AI97" s="31">
        <f>Hoja1!AE107</f>
        <v>0.58957247634223398</v>
      </c>
      <c r="AJ97" s="31">
        <f t="shared" si="47"/>
        <v>4.6530761435400532</v>
      </c>
      <c r="AK97" s="31" t="str">
        <f t="shared" si="48"/>
        <v/>
      </c>
      <c r="AL97" s="31" t="str">
        <f t="shared" si="49"/>
        <v/>
      </c>
      <c r="AM97" s="31">
        <f t="shared" si="50"/>
        <v>494.6889575317602</v>
      </c>
      <c r="AN97" s="31">
        <f t="shared" si="51"/>
        <v>494.6889575317602</v>
      </c>
      <c r="AO97" s="25" t="str">
        <f t="shared" si="52"/>
        <v>Tarde</v>
      </c>
      <c r="AP97" s="25">
        <f t="shared" si="53"/>
        <v>56</v>
      </c>
      <c r="AQ97" s="25" t="str">
        <f t="shared" si="54"/>
        <v>Amigo</v>
      </c>
      <c r="AR97" s="25" t="str">
        <f t="shared" si="55"/>
        <v>Chao</v>
      </c>
      <c r="AU97" s="25" t="str">
        <f t="shared" si="56"/>
        <v/>
      </c>
      <c r="AV97" s="25" t="str">
        <f t="shared" si="57"/>
        <v/>
      </c>
      <c r="AW97" s="25" t="str">
        <f t="shared" si="66"/>
        <v/>
      </c>
      <c r="AX97" s="33" t="str">
        <f>IF(AU97="","",Hoja1!BH107)</f>
        <v/>
      </c>
      <c r="AY97" s="33" t="str">
        <f t="shared" si="58"/>
        <v/>
      </c>
      <c r="AZ97" s="33" t="str">
        <f t="shared" si="37"/>
        <v/>
      </c>
    </row>
    <row r="98" spans="9:52" x14ac:dyDescent="0.25">
      <c r="K98" s="41">
        <f>+Hoja1!S108</f>
        <v>96</v>
      </c>
      <c r="L98" s="41">
        <f>+Hoja1!T108</f>
        <v>57</v>
      </c>
      <c r="M98" s="41">
        <f>+Hoja1!U108</f>
        <v>421.74946140208374</v>
      </c>
      <c r="N98" s="41">
        <f t="shared" si="59"/>
        <v>1</v>
      </c>
      <c r="O98" s="41">
        <f t="shared" si="60"/>
        <v>1</v>
      </c>
      <c r="P98" s="41">
        <f t="shared" si="61"/>
        <v>1</v>
      </c>
      <c r="Q98" s="41">
        <f t="shared" si="38"/>
        <v>3</v>
      </c>
      <c r="R98" s="31">
        <f>+MAX(AK$3:AK97)</f>
        <v>493.19552184223471</v>
      </c>
      <c r="S98" s="31">
        <f>+MAX(AL$3:AL97)</f>
        <v>492.08449552365414</v>
      </c>
      <c r="T98" s="31">
        <f>+MAX(AM$3:AM97)</f>
        <v>494.6889575317602</v>
      </c>
      <c r="U98" s="31">
        <f>+Hoja1!AR108</f>
        <v>9.2273345380030847E-2</v>
      </c>
      <c r="V98" s="41" t="str">
        <f t="shared" si="39"/>
        <v/>
      </c>
      <c r="W98" s="41" t="str">
        <f t="shared" si="62"/>
        <v/>
      </c>
      <c r="X98" s="41" t="str">
        <f t="shared" si="40"/>
        <v/>
      </c>
      <c r="Y98" s="41" t="str">
        <f t="shared" si="41"/>
        <v/>
      </c>
      <c r="Z98" s="41" t="str">
        <f t="shared" si="67"/>
        <v/>
      </c>
      <c r="AA98" s="41" t="str">
        <f t="shared" si="42"/>
        <v/>
      </c>
      <c r="AB98" s="42" t="str">
        <f t="shared" si="43"/>
        <v/>
      </c>
      <c r="AC98" s="41">
        <f t="shared" si="44"/>
        <v>2</v>
      </c>
      <c r="AD98" s="41">
        <f t="shared" si="45"/>
        <v>2</v>
      </c>
      <c r="AE98" s="41" t="str">
        <f t="shared" si="63"/>
        <v/>
      </c>
      <c r="AF98" s="41">
        <f t="shared" si="64"/>
        <v>492.08449552365414</v>
      </c>
      <c r="AG98" s="41" t="str">
        <f t="shared" si="65"/>
        <v/>
      </c>
      <c r="AH98" s="41">
        <f t="shared" si="46"/>
        <v>492.08449552365414</v>
      </c>
      <c r="AI98" s="31">
        <f>Hoja1!AE108</f>
        <v>0.29350924387654342</v>
      </c>
      <c r="AJ98" s="31">
        <f t="shared" si="47"/>
        <v>3.3207915974444453</v>
      </c>
      <c r="AK98" s="31" t="str">
        <f t="shared" si="48"/>
        <v/>
      </c>
      <c r="AL98" s="31">
        <f t="shared" si="49"/>
        <v>495.40528712109858</v>
      </c>
      <c r="AM98" s="31" t="str">
        <f t="shared" si="50"/>
        <v/>
      </c>
      <c r="AN98" s="31">
        <f t="shared" si="51"/>
        <v>495.40528712109858</v>
      </c>
      <c r="AO98" s="25" t="str">
        <f t="shared" si="52"/>
        <v>Tarde</v>
      </c>
      <c r="AP98" s="25">
        <f t="shared" si="53"/>
        <v>57</v>
      </c>
      <c r="AQ98" s="25" t="str">
        <f t="shared" si="54"/>
        <v>Amigo</v>
      </c>
      <c r="AR98" s="25" t="str">
        <f t="shared" si="55"/>
        <v>Chao</v>
      </c>
      <c r="AU98" s="25" t="str">
        <f t="shared" si="56"/>
        <v/>
      </c>
      <c r="AV98" s="25" t="str">
        <f t="shared" si="57"/>
        <v/>
      </c>
      <c r="AW98" s="25" t="str">
        <f t="shared" si="66"/>
        <v/>
      </c>
      <c r="AX98" s="33" t="str">
        <f>IF(AU98="","",Hoja1!BH108)</f>
        <v/>
      </c>
      <c r="AY98" s="33" t="str">
        <f t="shared" si="58"/>
        <v/>
      </c>
      <c r="AZ98" s="33" t="str">
        <f t="shared" si="37"/>
        <v/>
      </c>
    </row>
    <row r="99" spans="9:52" x14ac:dyDescent="0.25">
      <c r="K99" s="41">
        <f>+Hoja1!S109</f>
        <v>97</v>
      </c>
      <c r="L99" s="41">
        <f>+Hoja1!T109</f>
        <v>57</v>
      </c>
      <c r="M99" s="41">
        <f>+Hoja1!U109</f>
        <v>421.74946140208374</v>
      </c>
      <c r="N99" s="41">
        <f t="shared" si="59"/>
        <v>1</v>
      </c>
      <c r="O99" s="41">
        <f t="shared" si="60"/>
        <v>1</v>
      </c>
      <c r="P99" s="41">
        <f t="shared" si="61"/>
        <v>1</v>
      </c>
      <c r="Q99" s="41">
        <f t="shared" si="38"/>
        <v>3</v>
      </c>
      <c r="R99" s="31">
        <f>+MAX(AK$3:AK98)</f>
        <v>493.19552184223471</v>
      </c>
      <c r="S99" s="31">
        <f>+MAX(AL$3:AL98)</f>
        <v>495.40528712109858</v>
      </c>
      <c r="T99" s="31">
        <f>+MAX(AM$3:AM98)</f>
        <v>494.6889575317602</v>
      </c>
      <c r="U99" s="31">
        <f>+Hoja1!AR109</f>
        <v>0.63716745795490837</v>
      </c>
      <c r="V99" s="41" t="str">
        <f t="shared" si="39"/>
        <v/>
      </c>
      <c r="W99" s="41" t="str">
        <f t="shared" si="62"/>
        <v/>
      </c>
      <c r="X99" s="41" t="str">
        <f t="shared" si="40"/>
        <v/>
      </c>
      <c r="Y99" s="41" t="str">
        <f t="shared" si="41"/>
        <v/>
      </c>
      <c r="Z99" s="41" t="str">
        <f t="shared" si="67"/>
        <v/>
      </c>
      <c r="AA99" s="41" t="str">
        <f t="shared" si="42"/>
        <v/>
      </c>
      <c r="AB99" s="42" t="str">
        <f t="shared" si="43"/>
        <v/>
      </c>
      <c r="AC99" s="41">
        <f t="shared" si="44"/>
        <v>1</v>
      </c>
      <c r="AD99" s="41">
        <f t="shared" si="45"/>
        <v>1</v>
      </c>
      <c r="AE99" s="41">
        <f t="shared" si="63"/>
        <v>493.19552184223471</v>
      </c>
      <c r="AF99" s="41" t="str">
        <f t="shared" si="64"/>
        <v/>
      </c>
      <c r="AG99" s="41" t="str">
        <f t="shared" si="65"/>
        <v/>
      </c>
      <c r="AH99" s="41">
        <f t="shared" si="46"/>
        <v>493.19552184223471</v>
      </c>
      <c r="AI99" s="31">
        <f>Hoja1!AE109</f>
        <v>0.13732896582695076</v>
      </c>
      <c r="AJ99" s="31">
        <f t="shared" si="47"/>
        <v>2.6179803462212785</v>
      </c>
      <c r="AK99" s="31">
        <f t="shared" si="48"/>
        <v>495.81350218845597</v>
      </c>
      <c r="AL99" s="31" t="str">
        <f t="shared" si="49"/>
        <v/>
      </c>
      <c r="AM99" s="31" t="str">
        <f t="shared" si="50"/>
        <v/>
      </c>
      <c r="AN99" s="31">
        <f t="shared" si="51"/>
        <v>495.81350218845597</v>
      </c>
      <c r="AO99" s="25" t="str">
        <f t="shared" si="52"/>
        <v>Tarde</v>
      </c>
      <c r="AP99" s="25">
        <f t="shared" si="53"/>
        <v>57</v>
      </c>
      <c r="AQ99" s="25" t="str">
        <f t="shared" si="54"/>
        <v>Amigo</v>
      </c>
      <c r="AR99" s="25" t="str">
        <f t="shared" si="55"/>
        <v>Chao</v>
      </c>
      <c r="AU99" s="25" t="str">
        <f t="shared" si="56"/>
        <v/>
      </c>
      <c r="AV99" s="25" t="str">
        <f t="shared" si="57"/>
        <v/>
      </c>
      <c r="AW99" s="25" t="str">
        <f t="shared" si="66"/>
        <v/>
      </c>
      <c r="AX99" s="33" t="str">
        <f>IF(AU99="","",Hoja1!BH109)</f>
        <v/>
      </c>
      <c r="AY99" s="33" t="str">
        <f t="shared" si="58"/>
        <v/>
      </c>
      <c r="AZ99" s="33" t="str">
        <f t="shared" si="37"/>
        <v/>
      </c>
    </row>
    <row r="100" spans="9:52" x14ac:dyDescent="0.25">
      <c r="K100" s="41">
        <f>+Hoja1!S110</f>
        <v>98</v>
      </c>
      <c r="L100" s="41">
        <f>+Hoja1!T110</f>
        <v>58</v>
      </c>
      <c r="M100" s="41">
        <f>+Hoja1!U110</f>
        <v>423.77686443546384</v>
      </c>
      <c r="N100" s="41">
        <f t="shared" si="59"/>
        <v>1</v>
      </c>
      <c r="O100" s="41">
        <f t="shared" si="60"/>
        <v>1</v>
      </c>
      <c r="P100" s="41">
        <f t="shared" si="61"/>
        <v>1</v>
      </c>
      <c r="Q100" s="41">
        <f t="shared" si="38"/>
        <v>3</v>
      </c>
      <c r="R100" s="31">
        <f>+MAX(AK$3:AK99)</f>
        <v>495.81350218845597</v>
      </c>
      <c r="S100" s="31">
        <f>+MAX(AL$3:AL99)</f>
        <v>495.40528712109858</v>
      </c>
      <c r="T100" s="31">
        <f>+MAX(AM$3:AM99)</f>
        <v>494.6889575317602</v>
      </c>
      <c r="U100" s="31">
        <f>+Hoja1!AR110</f>
        <v>0.53370844895718916</v>
      </c>
      <c r="V100" s="41" t="str">
        <f t="shared" si="39"/>
        <v/>
      </c>
      <c r="W100" s="41" t="str">
        <f t="shared" si="62"/>
        <v/>
      </c>
      <c r="X100" s="41" t="str">
        <f t="shared" si="40"/>
        <v/>
      </c>
      <c r="Y100" s="41" t="str">
        <f t="shared" si="41"/>
        <v/>
      </c>
      <c r="Z100" s="41" t="str">
        <f t="shared" si="67"/>
        <v/>
      </c>
      <c r="AA100" s="41" t="str">
        <f t="shared" si="42"/>
        <v/>
      </c>
      <c r="AB100" s="42" t="str">
        <f t="shared" si="43"/>
        <v/>
      </c>
      <c r="AC100" s="41">
        <f t="shared" si="44"/>
        <v>3</v>
      </c>
      <c r="AD100" s="41">
        <f t="shared" si="45"/>
        <v>3</v>
      </c>
      <c r="AE100" s="41" t="str">
        <f t="shared" si="63"/>
        <v/>
      </c>
      <c r="AF100" s="41" t="str">
        <f t="shared" si="64"/>
        <v/>
      </c>
      <c r="AG100" s="41">
        <f t="shared" si="65"/>
        <v>494.6889575317602</v>
      </c>
      <c r="AH100" s="41">
        <f t="shared" si="46"/>
        <v>494.6889575317602</v>
      </c>
      <c r="AI100" s="31">
        <f>Hoja1!AE110</f>
        <v>0.5126689401129082</v>
      </c>
      <c r="AJ100" s="31">
        <f t="shared" si="47"/>
        <v>4.3070102305080873</v>
      </c>
      <c r="AK100" s="31" t="str">
        <f t="shared" si="48"/>
        <v/>
      </c>
      <c r="AL100" s="31" t="str">
        <f t="shared" si="49"/>
        <v/>
      </c>
      <c r="AM100" s="31">
        <f t="shared" si="50"/>
        <v>498.99596776226826</v>
      </c>
      <c r="AN100" s="31">
        <f t="shared" si="51"/>
        <v>498.99596776226826</v>
      </c>
      <c r="AO100" s="25" t="str">
        <f t="shared" si="52"/>
        <v>Tarde</v>
      </c>
      <c r="AP100" s="25">
        <f t="shared" si="53"/>
        <v>58</v>
      </c>
      <c r="AQ100" s="25" t="str">
        <f t="shared" si="54"/>
        <v>Amigo</v>
      </c>
      <c r="AR100" s="25" t="str">
        <f t="shared" si="55"/>
        <v>Chao</v>
      </c>
      <c r="AU100" s="25" t="str">
        <f t="shared" si="56"/>
        <v/>
      </c>
      <c r="AV100" s="25" t="str">
        <f t="shared" si="57"/>
        <v/>
      </c>
      <c r="AW100" s="25" t="str">
        <f t="shared" si="66"/>
        <v/>
      </c>
      <c r="AX100" s="33" t="str">
        <f>IF(AU100="","",Hoja1!BH110)</f>
        <v/>
      </c>
      <c r="AY100" s="33" t="str">
        <f t="shared" si="58"/>
        <v/>
      </c>
      <c r="AZ100" s="33" t="str">
        <f t="shared" si="37"/>
        <v/>
      </c>
    </row>
    <row r="101" spans="9:52" x14ac:dyDescent="0.25">
      <c r="K101" s="41">
        <f>+Hoja1!S111</f>
        <v>99</v>
      </c>
      <c r="L101" s="41">
        <f>+Hoja1!T111</f>
        <v>58</v>
      </c>
      <c r="M101" s="41">
        <f>+Hoja1!U111</f>
        <v>423.77686443546384</v>
      </c>
      <c r="N101" s="41">
        <f t="shared" si="59"/>
        <v>1</v>
      </c>
      <c r="O101" s="41">
        <f t="shared" si="60"/>
        <v>1</v>
      </c>
      <c r="P101" s="41">
        <f t="shared" si="61"/>
        <v>1</v>
      </c>
      <c r="Q101" s="41">
        <f t="shared" si="38"/>
        <v>3</v>
      </c>
      <c r="R101" s="31">
        <f>+MAX(AK$3:AK100)</f>
        <v>495.81350218845597</v>
      </c>
      <c r="S101" s="31">
        <f>+MAX(AL$3:AL100)</f>
        <v>495.40528712109858</v>
      </c>
      <c r="T101" s="31">
        <f>+MAX(AM$3:AM100)</f>
        <v>498.99596776226826</v>
      </c>
      <c r="U101" s="31">
        <f>+Hoja1!AR111</f>
        <v>0.74964462341553673</v>
      </c>
      <c r="V101" s="41" t="str">
        <f t="shared" si="39"/>
        <v/>
      </c>
      <c r="W101" s="41" t="str">
        <f t="shared" si="62"/>
        <v/>
      </c>
      <c r="X101" s="41" t="str">
        <f t="shared" si="40"/>
        <v/>
      </c>
      <c r="Y101" s="41" t="str">
        <f t="shared" si="41"/>
        <v/>
      </c>
      <c r="Z101" s="41" t="str">
        <f t="shared" si="67"/>
        <v/>
      </c>
      <c r="AA101" s="41" t="str">
        <f t="shared" si="42"/>
        <v/>
      </c>
      <c r="AB101" s="42" t="str">
        <f t="shared" si="43"/>
        <v/>
      </c>
      <c r="AC101" s="41">
        <f t="shared" si="44"/>
        <v>2</v>
      </c>
      <c r="AD101" s="41">
        <f t="shared" si="45"/>
        <v>2</v>
      </c>
      <c r="AE101" s="41" t="str">
        <f t="shared" si="63"/>
        <v/>
      </c>
      <c r="AF101" s="41">
        <f t="shared" si="64"/>
        <v>495.40528712109858</v>
      </c>
      <c r="AG101" s="41" t="str">
        <f t="shared" si="65"/>
        <v/>
      </c>
      <c r="AH101" s="41">
        <f t="shared" si="46"/>
        <v>495.40528712109858</v>
      </c>
      <c r="AI101" s="31">
        <f>Hoja1!AE111</f>
        <v>0.24438669230069376</v>
      </c>
      <c r="AJ101" s="31">
        <f t="shared" si="47"/>
        <v>3.0997401153531219</v>
      </c>
      <c r="AK101" s="31" t="str">
        <f t="shared" si="48"/>
        <v/>
      </c>
      <c r="AL101" s="31">
        <f t="shared" si="49"/>
        <v>498.50502723645172</v>
      </c>
      <c r="AM101" s="31" t="str">
        <f t="shared" si="50"/>
        <v/>
      </c>
      <c r="AN101" s="31">
        <f t="shared" si="51"/>
        <v>498.50502723645172</v>
      </c>
      <c r="AO101" s="25" t="str">
        <f t="shared" si="52"/>
        <v>Tarde</v>
      </c>
      <c r="AP101" s="25">
        <f t="shared" si="53"/>
        <v>58</v>
      </c>
      <c r="AQ101" s="25" t="str">
        <f t="shared" si="54"/>
        <v>Amigo</v>
      </c>
      <c r="AR101" s="25" t="str">
        <f t="shared" si="55"/>
        <v>Chao</v>
      </c>
      <c r="AU101" s="25" t="str">
        <f t="shared" si="56"/>
        <v/>
      </c>
      <c r="AV101" s="25" t="str">
        <f t="shared" si="57"/>
        <v/>
      </c>
      <c r="AW101" s="25" t="str">
        <f t="shared" si="66"/>
        <v/>
      </c>
      <c r="AX101" s="33" t="str">
        <f>IF(AU101="","",Hoja1!BH111)</f>
        <v/>
      </c>
      <c r="AY101" s="33" t="str">
        <f t="shared" si="58"/>
        <v/>
      </c>
      <c r="AZ101" s="33" t="str">
        <f t="shared" si="37"/>
        <v/>
      </c>
    </row>
    <row r="102" spans="9:52" x14ac:dyDescent="0.25">
      <c r="K102" s="41">
        <f>+Hoja1!S112</f>
        <v>100</v>
      </c>
      <c r="L102" s="41">
        <f>+Hoja1!T112</f>
        <v>58</v>
      </c>
      <c r="M102" s="41">
        <f>+Hoja1!U112</f>
        <v>423.77686443546384</v>
      </c>
      <c r="N102" s="41">
        <f t="shared" si="59"/>
        <v>1</v>
      </c>
      <c r="O102" s="41">
        <f t="shared" si="60"/>
        <v>1</v>
      </c>
      <c r="P102" s="41">
        <f t="shared" si="61"/>
        <v>1</v>
      </c>
      <c r="Q102" s="41">
        <f t="shared" si="38"/>
        <v>3</v>
      </c>
      <c r="R102" s="31">
        <f>+MAX(AK$3:AK101)</f>
        <v>495.81350218845597</v>
      </c>
      <c r="S102" s="31">
        <f>+MAX(AL$3:AL101)</f>
        <v>498.50502723645172</v>
      </c>
      <c r="T102" s="31">
        <f>+MAX(AM$3:AM101)</f>
        <v>498.99596776226826</v>
      </c>
      <c r="U102" s="31">
        <f>+Hoja1!AR112</f>
        <v>0.79683374291164188</v>
      </c>
      <c r="V102" s="41" t="str">
        <f t="shared" si="39"/>
        <v/>
      </c>
      <c r="W102" s="41" t="str">
        <f t="shared" si="62"/>
        <v/>
      </c>
      <c r="X102" s="41" t="str">
        <f t="shared" si="40"/>
        <v/>
      </c>
      <c r="Y102" s="41" t="str">
        <f t="shared" si="41"/>
        <v/>
      </c>
      <c r="Z102" s="41" t="str">
        <f t="shared" si="67"/>
        <v/>
      </c>
      <c r="AA102" s="41" t="str">
        <f t="shared" si="42"/>
        <v/>
      </c>
      <c r="AB102" s="42" t="str">
        <f t="shared" si="43"/>
        <v/>
      </c>
      <c r="AC102" s="41">
        <f t="shared" si="44"/>
        <v>1</v>
      </c>
      <c r="AD102" s="41">
        <f t="shared" si="45"/>
        <v>1</v>
      </c>
      <c r="AE102" s="41">
        <f t="shared" si="63"/>
        <v>495.81350218845597</v>
      </c>
      <c r="AF102" s="41" t="str">
        <f t="shared" si="64"/>
        <v/>
      </c>
      <c r="AG102" s="41" t="str">
        <f t="shared" si="65"/>
        <v/>
      </c>
      <c r="AH102" s="41">
        <f t="shared" si="46"/>
        <v>495.81350218845597</v>
      </c>
      <c r="AI102" s="31">
        <f>Hoja1!AE112</f>
        <v>0.32428091059389708</v>
      </c>
      <c r="AJ102" s="31">
        <f t="shared" si="47"/>
        <v>3.4592640976725368</v>
      </c>
      <c r="AK102" s="31">
        <f t="shared" si="48"/>
        <v>499.2727662861285</v>
      </c>
      <c r="AL102" s="31" t="str">
        <f t="shared" si="49"/>
        <v/>
      </c>
      <c r="AM102" s="31" t="str">
        <f t="shared" si="50"/>
        <v/>
      </c>
      <c r="AN102" s="31">
        <f t="shared" si="51"/>
        <v>499.2727662861285</v>
      </c>
      <c r="AO102" s="25" t="str">
        <f t="shared" si="52"/>
        <v>Tarde</v>
      </c>
      <c r="AP102" s="25">
        <f t="shared" si="53"/>
        <v>58</v>
      </c>
      <c r="AQ102" s="25" t="str">
        <f t="shared" si="54"/>
        <v>Amigo</v>
      </c>
      <c r="AR102" s="25" t="str">
        <f t="shared" si="55"/>
        <v>Chao</v>
      </c>
      <c r="AU102" s="25" t="str">
        <f t="shared" si="56"/>
        <v/>
      </c>
      <c r="AV102" s="25" t="str">
        <f t="shared" si="57"/>
        <v/>
      </c>
      <c r="AW102" s="25" t="str">
        <f t="shared" si="66"/>
        <v/>
      </c>
      <c r="AX102" s="33" t="str">
        <f>IF(AU102="","",Hoja1!BH112)</f>
        <v/>
      </c>
      <c r="AY102" s="33" t="str">
        <f t="shared" si="58"/>
        <v/>
      </c>
      <c r="AZ102" s="33" t="str">
        <f t="shared" si="37"/>
        <v/>
      </c>
    </row>
    <row r="104" spans="9:52" x14ac:dyDescent="0.25">
      <c r="I104" s="8" t="s">
        <v>126</v>
      </c>
      <c r="J104" s="8">
        <f>+COUNT(K3:K102)</f>
        <v>100</v>
      </c>
    </row>
    <row r="105" spans="9:52" x14ac:dyDescent="0.25">
      <c r="I105" s="8" t="s">
        <v>127</v>
      </c>
      <c r="J105" s="8">
        <f>+COUNTIF(AO3:AO102,"A tiempo")</f>
        <v>82</v>
      </c>
    </row>
    <row r="106" spans="9:52" x14ac:dyDescent="0.25">
      <c r="I106" s="8" t="s">
        <v>128</v>
      </c>
      <c r="J106" s="8">
        <f>+COUNTIF(AR3:AR102,"Corro")</f>
        <v>82</v>
      </c>
    </row>
    <row r="108" spans="9:52" x14ac:dyDescent="0.25">
      <c r="I108" s="8" t="s">
        <v>86</v>
      </c>
      <c r="J108">
        <f>+J104-J105</f>
        <v>18</v>
      </c>
    </row>
    <row r="109" spans="9:52" x14ac:dyDescent="0.25">
      <c r="I109" s="8" t="s">
        <v>87</v>
      </c>
      <c r="J109">
        <f>+J105-J106</f>
        <v>0</v>
      </c>
    </row>
  </sheetData>
  <mergeCells count="9">
    <mergeCell ref="BC20:BE20"/>
    <mergeCell ref="BC29:BE29"/>
    <mergeCell ref="BB33:BF33"/>
    <mergeCell ref="W1:Y1"/>
    <mergeCell ref="Z1:AB1"/>
    <mergeCell ref="BC8:BE8"/>
    <mergeCell ref="BC2:BE2"/>
    <mergeCell ref="BB15:BF15"/>
    <mergeCell ref="BC13:BE13"/>
  </mergeCells>
  <conditionalFormatting sqref="AR3:AR102">
    <cfRule type="containsText" dxfId="13" priority="1" operator="containsText" text="Corro">
      <formula>NOT(ISERROR(SEARCH("Corro",AR3)))</formula>
    </cfRule>
    <cfRule type="cellIs" dxfId="12" priority="2" operator="equal">
      <formula>"""Corro"""</formula>
    </cfRule>
    <cfRule type="cellIs" dxfId="11" priority="3" operator="equal">
      <formula>"""Corro"""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A570-5057-461E-B5B5-83411A6FAB76}">
  <dimension ref="C2:AC32"/>
  <sheetViews>
    <sheetView topLeftCell="L19" zoomScale="145" zoomScaleNormal="145" workbookViewId="0">
      <selection activeCell="N6" sqref="N6"/>
    </sheetView>
  </sheetViews>
  <sheetFormatPr baseColWidth="10" defaultRowHeight="15" x14ac:dyDescent="0.25"/>
  <cols>
    <col min="3" max="5" width="11.42578125" style="24"/>
    <col min="6" max="6" width="19.85546875" bestFit="1" customWidth="1"/>
    <col min="7" max="7" width="21.140625" bestFit="1" customWidth="1"/>
    <col min="8" max="14" width="21.140625" customWidth="1"/>
    <col min="15" max="15" width="21.140625" hidden="1" customWidth="1"/>
    <col min="16" max="19" width="21.140625" customWidth="1"/>
    <col min="25" max="26" width="12.85546875" bestFit="1" customWidth="1"/>
    <col min="27" max="27" width="25" bestFit="1" customWidth="1"/>
    <col min="28" max="28" width="28.85546875" bestFit="1" customWidth="1"/>
    <col min="29" max="29" width="19.85546875" bestFit="1" customWidth="1"/>
  </cols>
  <sheetData>
    <row r="2" spans="3:29" x14ac:dyDescent="0.25">
      <c r="V2" t="s">
        <v>135</v>
      </c>
      <c r="W2" t="s">
        <v>136</v>
      </c>
      <c r="X2" t="s">
        <v>137</v>
      </c>
    </row>
    <row r="4" spans="3:29" x14ac:dyDescent="0.25">
      <c r="C4" s="24" t="s">
        <v>133</v>
      </c>
      <c r="D4" s="24" t="s">
        <v>134</v>
      </c>
      <c r="E4" s="24" t="s">
        <v>135</v>
      </c>
      <c r="F4" s="24" t="s">
        <v>153</v>
      </c>
      <c r="G4" s="24" t="s">
        <v>154</v>
      </c>
      <c r="H4" s="24" t="s">
        <v>130</v>
      </c>
      <c r="I4" s="24" t="s">
        <v>155</v>
      </c>
      <c r="J4" s="24" t="s">
        <v>156</v>
      </c>
      <c r="K4" s="24" t="s">
        <v>136</v>
      </c>
      <c r="L4" s="24" t="s">
        <v>137</v>
      </c>
      <c r="M4" s="24" t="s">
        <v>57</v>
      </c>
      <c r="N4" s="24" t="s">
        <v>55</v>
      </c>
      <c r="O4" s="24" t="s">
        <v>159</v>
      </c>
      <c r="P4" s="24" t="s">
        <v>157</v>
      </c>
      <c r="Q4" s="24" t="s">
        <v>158</v>
      </c>
      <c r="R4" s="24" t="s">
        <v>58</v>
      </c>
      <c r="S4" s="24" t="s">
        <v>59</v>
      </c>
      <c r="T4" s="24" t="s">
        <v>29</v>
      </c>
      <c r="W4" s="25" t="s">
        <v>138</v>
      </c>
      <c r="X4" s="25" t="s">
        <v>138</v>
      </c>
      <c r="Y4" s="41" t="s">
        <v>144</v>
      </c>
      <c r="Z4" s="41" t="s">
        <v>145</v>
      </c>
      <c r="AA4" s="25" t="s">
        <v>143</v>
      </c>
      <c r="AB4" s="41" t="s">
        <v>150</v>
      </c>
      <c r="AC4" s="25"/>
    </row>
    <row r="5" spans="3:29" x14ac:dyDescent="0.25">
      <c r="C5" s="24">
        <v>1</v>
      </c>
      <c r="D5" s="83">
        <v>0</v>
      </c>
      <c r="E5" s="83">
        <v>0</v>
      </c>
      <c r="F5" s="24">
        <f>+IF(SUM(Tabla8[[#This Row],[Ocupada M1]:[Ocupada M2]])&gt;0,"", 1)</f>
        <v>1</v>
      </c>
      <c r="G5" s="24" t="str">
        <f>IF(SUM(Tabla8[[#This Row],[Ocupada M1]:[Ocupada M2]])=0, "", IF(Tabla8[[#This Row],[TLM1]]&lt;=Tabla8[[#This Row],[TLM2]],1,2))</f>
        <v/>
      </c>
      <c r="H5" s="24">
        <f>+SUM(Tabla8[[#This Row],[quien si empate]:[quien sin empate]])</f>
        <v>1</v>
      </c>
      <c r="I5" s="24">
        <f>+IF(Tabla8[[#This Row],[HLL]]&lt;Tabla8[[#This Row],[TLM1]],1,0)</f>
        <v>0</v>
      </c>
      <c r="J5" s="24">
        <f>+IF(Tabla8[[#This Row],[HLL]]&lt;Tabla8[[#This Row],[TLM2]],1,0)</f>
        <v>0</v>
      </c>
      <c r="K5" s="24">
        <v>0</v>
      </c>
      <c r="L5" s="24">
        <v>0</v>
      </c>
      <c r="M5" s="24">
        <f>+IF(Tabla8[[#This Row],[Quien]]=1,MAX(Tabla8[[#This Row],[TLM1]],Tabla8[[#This Row],[HLL]]),"")</f>
        <v>0</v>
      </c>
      <c r="N5" s="24" t="str">
        <f>+IF(Tabla8[[#This Row],[Quien]]=2,MAX(Tabla8[[#This Row],[TLM2]],Tabla8[[#This Row],[HLL]]),"")</f>
        <v/>
      </c>
      <c r="O5" s="24">
        <v>0.26039333038635371</v>
      </c>
      <c r="P5" s="24">
        <f>+IF(Tabla8[[#This Row],[Quien]]=1,2+2*Tabla8[[#This Row],[Aleatorios]],"")</f>
        <v>2.5207866607727074</v>
      </c>
      <c r="Q5" s="24" t="str">
        <f>+IF(Tabla8[[#This Row],[Quien]]=2,2+2*Tabla8[[#This Row],[Aleatorios]],"")</f>
        <v/>
      </c>
      <c r="R5" s="24">
        <f>+IF(Tabla8[[#This Row],[Quien]]=1,Tabla8[[#This Row],[Entrada M1]]+Tabla8[[#This Row],[Tiempo M1]],"")</f>
        <v>2.5207866607727074</v>
      </c>
      <c r="S5" s="24" t="str">
        <f>+IF(Tabla8[[#This Row],[Quien]]=2,Tabla8[[#This Row],[Entrada M2]]+Tabla8[[#This Row],[Tiempo M2]],"")</f>
        <v/>
      </c>
      <c r="T5" s="24">
        <f>+SUM(Tabla8[[#This Row],[Salida M1]:[Salida M2]])</f>
        <v>2.5207866607727074</v>
      </c>
      <c r="W5" s="25">
        <v>0</v>
      </c>
      <c r="X5" s="25">
        <v>0</v>
      </c>
      <c r="Y5" s="41" t="s">
        <v>139</v>
      </c>
      <c r="Z5" s="41" t="s">
        <v>141</v>
      </c>
      <c r="AA5" s="41" t="s">
        <v>146</v>
      </c>
      <c r="AB5" s="87" t="s">
        <v>149</v>
      </c>
      <c r="AC5" s="25"/>
    </row>
    <row r="6" spans="3:29" x14ac:dyDescent="0.25">
      <c r="C6" s="24">
        <v>2</v>
      </c>
      <c r="D6" s="83">
        <v>3.692990112428344</v>
      </c>
      <c r="E6" s="83">
        <f>+E5+D6</f>
        <v>3.692990112428344</v>
      </c>
      <c r="F6" s="24">
        <f>+IF(SUM(Tabla8[[#This Row],[Ocupada M1]:[Ocupada M2]])&gt;0,"", 1)</f>
        <v>1</v>
      </c>
      <c r="G6" s="24" t="str">
        <f>IF(SUM(Tabla8[[#This Row],[Ocupada M1]:[Ocupada M2]])=0, "", IF(Tabla8[[#This Row],[TLM1]]&lt;=Tabla8[[#This Row],[TLM2]],1,2))</f>
        <v/>
      </c>
      <c r="H6" s="24">
        <f>+SUM(Tabla8[[#This Row],[quien si empate]:[quien sin empate]])</f>
        <v>1</v>
      </c>
      <c r="I6" s="24">
        <f>+IF(Tabla8[[#This Row],[HLL]]&lt;Tabla8[[#This Row],[TLM1]],1,0)</f>
        <v>0</v>
      </c>
      <c r="J6" s="24">
        <f>+IF(Tabla8[[#This Row],[HLL]]&lt;Tabla8[[#This Row],[TLM2]],1,0)</f>
        <v>0</v>
      </c>
      <c r="K6" s="24">
        <f>+MAX($R$5:R5)</f>
        <v>2.5207866607727074</v>
      </c>
      <c r="L6" s="24">
        <f>+MAX($S$5:S5)</f>
        <v>0</v>
      </c>
      <c r="M6" s="24">
        <f>+IF(Tabla8[[#This Row],[Quien]]=1,MAX(Tabla8[[#This Row],[TLM1]],Tabla8[[#This Row],[HLL]]),"")</f>
        <v>3.692990112428344</v>
      </c>
      <c r="N6" s="24" t="str">
        <f>+IF(Tabla8[[#This Row],[Quien]]=2,MAX(Tabla8[[#This Row],[TLM2]],Tabla8[[#This Row],[HLL]]),"")</f>
        <v/>
      </c>
      <c r="O6" s="24">
        <v>0.88241658092624509</v>
      </c>
      <c r="P6" s="24">
        <f>+IF(Tabla8[[#This Row],[Quien]]=1,2+2*Tabla8[[#This Row],[Aleatorios]],"")</f>
        <v>3.76483316185249</v>
      </c>
      <c r="Q6" s="24" t="str">
        <f>+IF(Tabla8[[#This Row],[Quien]]=2,2+2*Tabla8[[#This Row],[Aleatorios]],"")</f>
        <v/>
      </c>
      <c r="R6" s="24">
        <f>+IF(Tabla8[[#This Row],[Quien]]=1,Tabla8[[#This Row],[Entrada M1]]+Tabla8[[#This Row],[Tiempo M1]],"")</f>
        <v>7.4578232742808339</v>
      </c>
      <c r="S6" s="24" t="str">
        <f>+IF(Tabla8[[#This Row],[Quien]]=2,Tabla8[[#This Row],[Entrada M2]]+Tabla8[[#This Row],[Tiempo M2]],"")</f>
        <v/>
      </c>
      <c r="T6" s="24">
        <f>+SUM(Tabla8[[#This Row],[Salida M1]:[Salida M2]])</f>
        <v>7.4578232742808339</v>
      </c>
      <c r="W6" s="25">
        <v>0</v>
      </c>
      <c r="X6" s="25">
        <v>1</v>
      </c>
      <c r="Y6" s="41" t="s">
        <v>139</v>
      </c>
      <c r="Z6" s="41" t="s">
        <v>142</v>
      </c>
      <c r="AA6" s="41" t="s">
        <v>147</v>
      </c>
      <c r="AB6" s="41">
        <v>1</v>
      </c>
      <c r="AC6" s="88" t="s">
        <v>151</v>
      </c>
    </row>
    <row r="7" spans="3:29" x14ac:dyDescent="0.25">
      <c r="C7" s="24">
        <v>3</v>
      </c>
      <c r="D7" s="83">
        <v>8.0851753798670138</v>
      </c>
      <c r="E7" s="83">
        <f t="shared" ref="E7:E29" si="0">+E6+D7</f>
        <v>11.778165492295358</v>
      </c>
      <c r="F7" s="24">
        <f>+IF(SUM(Tabla8[[#This Row],[Ocupada M1]:[Ocupada M2]])&gt;0,"", 1)</f>
        <v>1</v>
      </c>
      <c r="G7" s="24" t="str">
        <f>IF(SUM(Tabla8[[#This Row],[Ocupada M1]:[Ocupada M2]])=0, "", IF(Tabla8[[#This Row],[TLM1]]&lt;=Tabla8[[#This Row],[TLM2]],1,2))</f>
        <v/>
      </c>
      <c r="H7" s="24">
        <f>+SUM(Tabla8[[#This Row],[quien si empate]:[quien sin empate]])</f>
        <v>1</v>
      </c>
      <c r="I7" s="24">
        <f>+IF(Tabla8[[#This Row],[HLL]]&lt;Tabla8[[#This Row],[TLM1]],1,0)</f>
        <v>0</v>
      </c>
      <c r="J7" s="24">
        <f>+IF(Tabla8[[#This Row],[HLL]]&lt;Tabla8[[#This Row],[TLM2]],1,0)</f>
        <v>0</v>
      </c>
      <c r="K7" s="24">
        <f>+MAX($R$5:R6)</f>
        <v>7.4578232742808339</v>
      </c>
      <c r="L7" s="24">
        <f>+MAX($S$5:S6)</f>
        <v>0</v>
      </c>
      <c r="M7" s="24">
        <f>+IF(Tabla8[[#This Row],[Quien]]=1,MAX(Tabla8[[#This Row],[TLM1]],Tabla8[[#This Row],[HLL]]),"")</f>
        <v>11.778165492295358</v>
      </c>
      <c r="N7" s="24" t="str">
        <f>+IF(Tabla8[[#This Row],[Quien]]=2,MAX(Tabla8[[#This Row],[TLM2]],Tabla8[[#This Row],[HLL]]),"")</f>
        <v/>
      </c>
      <c r="O7" s="24">
        <v>0.3990871848659614</v>
      </c>
      <c r="P7" s="24">
        <f>+IF(Tabla8[[#This Row],[Quien]]=1,2+2*Tabla8[[#This Row],[Aleatorios]],"")</f>
        <v>2.7981743697319228</v>
      </c>
      <c r="Q7" s="24" t="str">
        <f>+IF(Tabla8[[#This Row],[Quien]]=2,2+2*Tabla8[[#This Row],[Aleatorios]],"")</f>
        <v/>
      </c>
      <c r="R7" s="24">
        <f>+IF(Tabla8[[#This Row],[Quien]]=1,Tabla8[[#This Row],[Entrada M1]]+Tabla8[[#This Row],[Tiempo M1]],"")</f>
        <v>14.576339862027281</v>
      </c>
      <c r="S7" s="24" t="str">
        <f>+IF(Tabla8[[#This Row],[Quien]]=2,Tabla8[[#This Row],[Entrada M2]]+Tabla8[[#This Row],[Tiempo M2]],"")</f>
        <v/>
      </c>
      <c r="T7" s="24">
        <f>+SUM(Tabla8[[#This Row],[Salida M1]:[Salida M2]])</f>
        <v>14.576339862027281</v>
      </c>
      <c r="W7" s="25">
        <v>1</v>
      </c>
      <c r="X7" s="25">
        <v>0</v>
      </c>
      <c r="Y7" s="41" t="s">
        <v>140</v>
      </c>
      <c r="Z7" s="41" t="s">
        <v>141</v>
      </c>
      <c r="AA7" s="41" t="s">
        <v>148</v>
      </c>
      <c r="AB7" s="41">
        <v>2</v>
      </c>
      <c r="AC7" s="88"/>
    </row>
    <row r="8" spans="3:29" x14ac:dyDescent="0.25">
      <c r="C8" s="24">
        <v>4</v>
      </c>
      <c r="D8" s="83">
        <v>0.47170337009221452</v>
      </c>
      <c r="E8" s="83">
        <f t="shared" si="0"/>
        <v>12.249868862387572</v>
      </c>
      <c r="F8" s="24" t="str">
        <f>+IF(SUM(Tabla8[[#This Row],[Ocupada M1]:[Ocupada M2]])&gt;0,"", 1)</f>
        <v/>
      </c>
      <c r="G8" s="24">
        <f>IF(SUM(Tabla8[[#This Row],[Ocupada M1]:[Ocupada M2]])=0, "", IF(Tabla8[[#This Row],[TLM1]]&lt;=Tabla8[[#This Row],[TLM2]],1,2))</f>
        <v>2</v>
      </c>
      <c r="H8" s="24">
        <f>+SUM(Tabla8[[#This Row],[quien si empate]:[quien sin empate]])</f>
        <v>2</v>
      </c>
      <c r="I8" s="24">
        <f>+IF(Tabla8[[#This Row],[HLL]]&lt;Tabla8[[#This Row],[TLM1]],1,0)</f>
        <v>1</v>
      </c>
      <c r="J8" s="24">
        <f>+IF(Tabla8[[#This Row],[HLL]]&lt;Tabla8[[#This Row],[TLM2]],1,0)</f>
        <v>0</v>
      </c>
      <c r="K8" s="24">
        <f>+MAX($R$5:R7)</f>
        <v>14.576339862027281</v>
      </c>
      <c r="L8" s="24">
        <f>+MAX($S$5:S7)</f>
        <v>0</v>
      </c>
      <c r="M8" s="24" t="str">
        <f>+IF(Tabla8[[#This Row],[Quien]]=1,MAX(Tabla8[[#This Row],[TLM1]],Tabla8[[#This Row],[HLL]]),"")</f>
        <v/>
      </c>
      <c r="N8" s="24">
        <f>+IF(Tabla8[[#This Row],[Quien]]=2,MAX(Tabla8[[#This Row],[TLM2]],Tabla8[[#This Row],[HLL]]),"")</f>
        <v>12.249868862387572</v>
      </c>
      <c r="O8" s="24">
        <v>0.22272045966272325</v>
      </c>
      <c r="P8" s="24" t="str">
        <f>+IF(Tabla8[[#This Row],[Quien]]=1,2+2*Tabla8[[#This Row],[Aleatorios]],"")</f>
        <v/>
      </c>
      <c r="Q8" s="24">
        <f>+IF(Tabla8[[#This Row],[Quien]]=2,2+2*Tabla8[[#This Row],[Aleatorios]],"")</f>
        <v>2.4454409193254465</v>
      </c>
      <c r="R8" s="24" t="str">
        <f>+IF(Tabla8[[#This Row],[Quien]]=1,Tabla8[[#This Row],[Entrada M1]]+Tabla8[[#This Row],[Tiempo M1]],"")</f>
        <v/>
      </c>
      <c r="S8" s="24">
        <f>+IF(Tabla8[[#This Row],[Quien]]=2,Tabla8[[#This Row],[Entrada M2]]+Tabla8[[#This Row],[Tiempo M2]],"")</f>
        <v>14.695309781713018</v>
      </c>
      <c r="T8" s="24">
        <f>+SUM(Tabla8[[#This Row],[Salida M1]:[Salida M2]])</f>
        <v>14.695309781713018</v>
      </c>
      <c r="W8" s="25">
        <v>1</v>
      </c>
      <c r="X8" s="25">
        <v>1</v>
      </c>
      <c r="Y8" s="41" t="s">
        <v>140</v>
      </c>
      <c r="Z8" s="41" t="s">
        <v>142</v>
      </c>
      <c r="AA8" s="41" t="s">
        <v>146</v>
      </c>
      <c r="AB8" s="41" t="s">
        <v>152</v>
      </c>
      <c r="AC8" s="89" t="s">
        <v>151</v>
      </c>
    </row>
    <row r="9" spans="3:29" x14ac:dyDescent="0.25">
      <c r="C9" s="24">
        <v>5</v>
      </c>
      <c r="D9" s="83">
        <v>5.8051485158496909</v>
      </c>
      <c r="E9" s="83">
        <f t="shared" si="0"/>
        <v>18.055017378237263</v>
      </c>
      <c r="F9" s="24">
        <f>+IF(SUM(Tabla8[[#This Row],[Ocupada M1]:[Ocupada M2]])&gt;0,"", 1)</f>
        <v>1</v>
      </c>
      <c r="G9" s="24" t="str">
        <f>IF(SUM(Tabla8[[#This Row],[Ocupada M1]:[Ocupada M2]])=0, "", IF(Tabla8[[#This Row],[TLM1]]&lt;=Tabla8[[#This Row],[TLM2]],1,2))</f>
        <v/>
      </c>
      <c r="H9" s="24">
        <f>+SUM(Tabla8[[#This Row],[quien si empate]:[quien sin empate]])</f>
        <v>1</v>
      </c>
      <c r="I9" s="24">
        <f>+IF(Tabla8[[#This Row],[HLL]]&lt;Tabla8[[#This Row],[TLM1]],1,0)</f>
        <v>0</v>
      </c>
      <c r="J9" s="24">
        <f>+IF(Tabla8[[#This Row],[HLL]]&lt;Tabla8[[#This Row],[TLM2]],1,0)</f>
        <v>0</v>
      </c>
      <c r="K9" s="24">
        <f>+MAX($R$5:R8)</f>
        <v>14.576339862027281</v>
      </c>
      <c r="L9" s="24">
        <f>+MAX($S$5:S8)</f>
        <v>14.695309781713018</v>
      </c>
      <c r="M9" s="24">
        <f>+IF(Tabla8[[#This Row],[Quien]]=1,MAX(Tabla8[[#This Row],[TLM1]],Tabla8[[#This Row],[HLL]]),"")</f>
        <v>18.055017378237263</v>
      </c>
      <c r="N9" s="24" t="str">
        <f>+IF(Tabla8[[#This Row],[Quien]]=2,MAX(Tabla8[[#This Row],[TLM2]],Tabla8[[#This Row],[HLL]]),"")</f>
        <v/>
      </c>
      <c r="O9" s="24">
        <v>0.94859514988273241</v>
      </c>
      <c r="P9" s="24">
        <f>+IF(Tabla8[[#This Row],[Quien]]=1,2+2*Tabla8[[#This Row],[Aleatorios]],"")</f>
        <v>3.897190299765465</v>
      </c>
      <c r="Q9" s="24" t="str">
        <f>+IF(Tabla8[[#This Row],[Quien]]=2,2+2*Tabla8[[#This Row],[Aleatorios]],"")</f>
        <v/>
      </c>
      <c r="R9" s="24">
        <f>+IF(Tabla8[[#This Row],[Quien]]=1,Tabla8[[#This Row],[Entrada M1]]+Tabla8[[#This Row],[Tiempo M1]],"")</f>
        <v>21.952207678002729</v>
      </c>
      <c r="S9" s="24" t="str">
        <f>+IF(Tabla8[[#This Row],[Quien]]=2,Tabla8[[#This Row],[Entrada M2]]+Tabla8[[#This Row],[Tiempo M2]],"")</f>
        <v/>
      </c>
      <c r="T9" s="24">
        <f>+SUM(Tabla8[[#This Row],[Salida M1]:[Salida M2]])</f>
        <v>21.952207678002729</v>
      </c>
    </row>
    <row r="10" spans="3:29" x14ac:dyDescent="0.25">
      <c r="C10" s="24">
        <v>6</v>
      </c>
      <c r="D10" s="83">
        <v>1.2286935836381445</v>
      </c>
      <c r="E10" s="83">
        <f t="shared" si="0"/>
        <v>19.283710961875407</v>
      </c>
      <c r="F10" s="24" t="str">
        <f>+IF(SUM(Tabla8[[#This Row],[Ocupada M1]:[Ocupada M2]])&gt;0,"", 1)</f>
        <v/>
      </c>
      <c r="G10" s="24">
        <f>IF(SUM(Tabla8[[#This Row],[Ocupada M1]:[Ocupada M2]])=0, "", IF(Tabla8[[#This Row],[TLM1]]&lt;=Tabla8[[#This Row],[TLM2]],1,2))</f>
        <v>2</v>
      </c>
      <c r="H10" s="24">
        <f>+SUM(Tabla8[[#This Row],[quien si empate]:[quien sin empate]])</f>
        <v>2</v>
      </c>
      <c r="I10" s="24">
        <f>+IF(Tabla8[[#This Row],[HLL]]&lt;Tabla8[[#This Row],[TLM1]],1,0)</f>
        <v>1</v>
      </c>
      <c r="J10" s="24">
        <f>+IF(Tabla8[[#This Row],[HLL]]&lt;Tabla8[[#This Row],[TLM2]],1,0)</f>
        <v>0</v>
      </c>
      <c r="K10" s="24">
        <f>+MAX($R$5:R9)</f>
        <v>21.952207678002729</v>
      </c>
      <c r="L10" s="24">
        <f>+MAX($S$5:S9)</f>
        <v>14.695309781713018</v>
      </c>
      <c r="M10" s="24" t="str">
        <f>+IF(Tabla8[[#This Row],[Quien]]=1,MAX(Tabla8[[#This Row],[TLM1]],Tabla8[[#This Row],[HLL]]),"")</f>
        <v/>
      </c>
      <c r="N10" s="24">
        <f>+IF(Tabla8[[#This Row],[Quien]]=2,MAX(Tabla8[[#This Row],[TLM2]],Tabla8[[#This Row],[HLL]]),"")</f>
        <v>19.283710961875407</v>
      </c>
      <c r="O10" s="24">
        <v>0.75425803007475056</v>
      </c>
      <c r="P10" s="24" t="str">
        <f>+IF(Tabla8[[#This Row],[Quien]]=1,2+2*Tabla8[[#This Row],[Aleatorios]],"")</f>
        <v/>
      </c>
      <c r="Q10" s="24">
        <f>+IF(Tabla8[[#This Row],[Quien]]=2,2+2*Tabla8[[#This Row],[Aleatorios]],"")</f>
        <v>3.5085160601495011</v>
      </c>
      <c r="R10" s="24" t="str">
        <f>+IF(Tabla8[[#This Row],[Quien]]=1,Tabla8[[#This Row],[Entrada M1]]+Tabla8[[#This Row],[Tiempo M1]],"")</f>
        <v/>
      </c>
      <c r="S10" s="24">
        <f>+IF(Tabla8[[#This Row],[Quien]]=2,Tabla8[[#This Row],[Entrada M2]]+Tabla8[[#This Row],[Tiempo M2]],"")</f>
        <v>22.792227022024907</v>
      </c>
      <c r="T10" s="24">
        <f>+SUM(Tabla8[[#This Row],[Salida M1]:[Salida M2]])</f>
        <v>22.792227022024907</v>
      </c>
    </row>
    <row r="11" spans="3:29" x14ac:dyDescent="0.25">
      <c r="C11" s="24">
        <v>7</v>
      </c>
      <c r="D11" s="83">
        <v>1.2917328687054099</v>
      </c>
      <c r="E11" s="83">
        <f t="shared" si="0"/>
        <v>20.575443830580816</v>
      </c>
      <c r="F11" s="24" t="str">
        <f>+IF(SUM(Tabla8[[#This Row],[Ocupada M1]:[Ocupada M2]])&gt;0,"", 1)</f>
        <v/>
      </c>
      <c r="G11" s="24">
        <f>IF(SUM(Tabla8[[#This Row],[Ocupada M1]:[Ocupada M2]])=0, "", IF(Tabla8[[#This Row],[TLM1]]&lt;=Tabla8[[#This Row],[TLM2]],1,2))</f>
        <v>1</v>
      </c>
      <c r="H11" s="24">
        <f>+SUM(Tabla8[[#This Row],[quien si empate]:[quien sin empate]])</f>
        <v>1</v>
      </c>
      <c r="I11" s="24">
        <f>+IF(Tabla8[[#This Row],[HLL]]&lt;Tabla8[[#This Row],[TLM1]],1,0)</f>
        <v>1</v>
      </c>
      <c r="J11" s="24">
        <f>+IF(Tabla8[[#This Row],[HLL]]&lt;Tabla8[[#This Row],[TLM2]],1,0)</f>
        <v>1</v>
      </c>
      <c r="K11" s="24">
        <f>+MAX($R$5:R10)</f>
        <v>21.952207678002729</v>
      </c>
      <c r="L11" s="24">
        <f>+MAX($S$5:S10)</f>
        <v>22.792227022024907</v>
      </c>
      <c r="M11" s="24">
        <f>+IF(Tabla8[[#This Row],[Quien]]=1,MAX(Tabla8[[#This Row],[TLM1]],Tabla8[[#This Row],[HLL]]),"")</f>
        <v>21.952207678002729</v>
      </c>
      <c r="N11" s="24" t="str">
        <f>+IF(Tabla8[[#This Row],[Quien]]=2,MAX(Tabla8[[#This Row],[TLM2]],Tabla8[[#This Row],[HLL]]),"")</f>
        <v/>
      </c>
      <c r="O11" s="24">
        <v>0.97889112535579503</v>
      </c>
      <c r="P11" s="24">
        <f>+IF(Tabla8[[#This Row],[Quien]]=1,2+2*Tabla8[[#This Row],[Aleatorios]],"")</f>
        <v>3.9577822507115901</v>
      </c>
      <c r="Q11" s="24" t="str">
        <f>+IF(Tabla8[[#This Row],[Quien]]=2,2+2*Tabla8[[#This Row],[Aleatorios]],"")</f>
        <v/>
      </c>
      <c r="R11" s="24">
        <f>+IF(Tabla8[[#This Row],[Quien]]=1,Tabla8[[#This Row],[Entrada M1]]+Tabla8[[#This Row],[Tiempo M1]],"")</f>
        <v>25.909989928714317</v>
      </c>
      <c r="S11" s="24" t="str">
        <f>+IF(Tabla8[[#This Row],[Quien]]=2,Tabla8[[#This Row],[Entrada M2]]+Tabla8[[#This Row],[Tiempo M2]],"")</f>
        <v/>
      </c>
      <c r="T11" s="24">
        <f>+SUM(Tabla8[[#This Row],[Salida M1]:[Salida M2]])</f>
        <v>25.909989928714317</v>
      </c>
    </row>
    <row r="12" spans="3:29" x14ac:dyDescent="0.25">
      <c r="C12" s="24">
        <v>8</v>
      </c>
      <c r="D12" s="83">
        <v>3.1434494473516796</v>
      </c>
      <c r="E12" s="83">
        <f t="shared" si="0"/>
        <v>23.718893277932494</v>
      </c>
      <c r="F12" s="24" t="str">
        <f>+IF(SUM(Tabla8[[#This Row],[Ocupada M1]:[Ocupada M2]])&gt;0,"", 1)</f>
        <v/>
      </c>
      <c r="G12" s="24">
        <f>IF(SUM(Tabla8[[#This Row],[Ocupada M1]:[Ocupada M2]])=0, "", IF(Tabla8[[#This Row],[TLM1]]&lt;=Tabla8[[#This Row],[TLM2]],1,2))</f>
        <v>2</v>
      </c>
      <c r="H12" s="24">
        <f>+SUM(Tabla8[[#This Row],[quien si empate]:[quien sin empate]])</f>
        <v>2</v>
      </c>
      <c r="I12" s="24">
        <f>+IF(Tabla8[[#This Row],[HLL]]&lt;Tabla8[[#This Row],[TLM1]],1,0)</f>
        <v>1</v>
      </c>
      <c r="J12" s="24">
        <f>+IF(Tabla8[[#This Row],[HLL]]&lt;Tabla8[[#This Row],[TLM2]],1,0)</f>
        <v>0</v>
      </c>
      <c r="K12" s="24">
        <f>+MAX($R$5:R11)</f>
        <v>25.909989928714317</v>
      </c>
      <c r="L12" s="24">
        <f>+MAX($S$5:S11)</f>
        <v>22.792227022024907</v>
      </c>
      <c r="M12" s="24" t="str">
        <f>+IF(Tabla8[[#This Row],[Quien]]=1,MAX(Tabla8[[#This Row],[TLM1]],Tabla8[[#This Row],[HLL]]),"")</f>
        <v/>
      </c>
      <c r="N12" s="24">
        <f>+IF(Tabla8[[#This Row],[Quien]]=2,MAX(Tabla8[[#This Row],[TLM2]],Tabla8[[#This Row],[HLL]]),"")</f>
        <v>23.718893277932494</v>
      </c>
      <c r="O12" s="24">
        <v>0.21571982596892403</v>
      </c>
      <c r="P12" s="24" t="str">
        <f>+IF(Tabla8[[#This Row],[Quien]]=1,2+2*Tabla8[[#This Row],[Aleatorios]],"")</f>
        <v/>
      </c>
      <c r="Q12" s="24">
        <f>+IF(Tabla8[[#This Row],[Quien]]=2,2+2*Tabla8[[#This Row],[Aleatorios]],"")</f>
        <v>2.4314396519378478</v>
      </c>
      <c r="R12" s="24" t="str">
        <f>+IF(Tabla8[[#This Row],[Quien]]=1,Tabla8[[#This Row],[Entrada M1]]+Tabla8[[#This Row],[Tiempo M1]],"")</f>
        <v/>
      </c>
      <c r="S12" s="24">
        <f>+IF(Tabla8[[#This Row],[Quien]]=2,Tabla8[[#This Row],[Entrada M2]]+Tabla8[[#This Row],[Tiempo M2]],"")</f>
        <v>26.150332929870341</v>
      </c>
      <c r="T12" s="24">
        <f>+SUM(Tabla8[[#This Row],[Salida M1]:[Salida M2]])</f>
        <v>26.150332929870341</v>
      </c>
    </row>
    <row r="13" spans="3:29" x14ac:dyDescent="0.25">
      <c r="C13" s="24">
        <v>9</v>
      </c>
      <c r="D13" s="83">
        <v>2.8706706564964306</v>
      </c>
      <c r="E13" s="83">
        <f t="shared" si="0"/>
        <v>26.589563934428924</v>
      </c>
      <c r="F13" s="24">
        <f>+IF(SUM(Tabla8[[#This Row],[Ocupada M1]:[Ocupada M2]])&gt;0,"", 1)</f>
        <v>1</v>
      </c>
      <c r="G13" s="24" t="str">
        <f>IF(SUM(Tabla8[[#This Row],[Ocupada M1]:[Ocupada M2]])=0, "", IF(Tabla8[[#This Row],[TLM1]]&lt;=Tabla8[[#This Row],[TLM2]],1,2))</f>
        <v/>
      </c>
      <c r="H13" s="24">
        <f>+SUM(Tabla8[[#This Row],[quien si empate]:[quien sin empate]])</f>
        <v>1</v>
      </c>
      <c r="I13" s="24">
        <f>+IF(Tabla8[[#This Row],[HLL]]&lt;Tabla8[[#This Row],[TLM1]],1,0)</f>
        <v>0</v>
      </c>
      <c r="J13" s="24">
        <f>+IF(Tabla8[[#This Row],[HLL]]&lt;Tabla8[[#This Row],[TLM2]],1,0)</f>
        <v>0</v>
      </c>
      <c r="K13" s="24">
        <f>+MAX($R$5:R12)</f>
        <v>25.909989928714317</v>
      </c>
      <c r="L13" s="24">
        <f>+MAX($S$5:S12)</f>
        <v>26.150332929870341</v>
      </c>
      <c r="M13" s="24">
        <f>+IF(Tabla8[[#This Row],[Quien]]=1,MAX(Tabla8[[#This Row],[TLM1]],Tabla8[[#This Row],[HLL]]),"")</f>
        <v>26.589563934428924</v>
      </c>
      <c r="N13" s="24" t="str">
        <f>+IF(Tabla8[[#This Row],[Quien]]=2,MAX(Tabla8[[#This Row],[TLM2]],Tabla8[[#This Row],[HLL]]),"")</f>
        <v/>
      </c>
      <c r="O13" s="24">
        <v>0.77151927339547544</v>
      </c>
      <c r="P13" s="24">
        <f>+IF(Tabla8[[#This Row],[Quien]]=1,2+2*Tabla8[[#This Row],[Aleatorios]],"")</f>
        <v>3.5430385467909509</v>
      </c>
      <c r="Q13" s="24" t="str">
        <f>+IF(Tabla8[[#This Row],[Quien]]=2,2+2*Tabla8[[#This Row],[Aleatorios]],"")</f>
        <v/>
      </c>
      <c r="R13" s="24">
        <f>+IF(Tabla8[[#This Row],[Quien]]=1,Tabla8[[#This Row],[Entrada M1]]+Tabla8[[#This Row],[Tiempo M1]],"")</f>
        <v>30.132602481219873</v>
      </c>
      <c r="S13" s="24" t="str">
        <f>+IF(Tabla8[[#This Row],[Quien]]=2,Tabla8[[#This Row],[Entrada M2]]+Tabla8[[#This Row],[Tiempo M2]],"")</f>
        <v/>
      </c>
      <c r="T13" s="24">
        <f>+SUM(Tabla8[[#This Row],[Salida M1]:[Salida M2]])</f>
        <v>30.132602481219873</v>
      </c>
    </row>
    <row r="14" spans="3:29" x14ac:dyDescent="0.25">
      <c r="C14" s="24">
        <v>10</v>
      </c>
      <c r="D14" s="83">
        <v>3.6581939961585377</v>
      </c>
      <c r="E14" s="83">
        <f t="shared" si="0"/>
        <v>30.247757930587461</v>
      </c>
      <c r="F14" s="24">
        <f>+IF(SUM(Tabla8[[#This Row],[Ocupada M1]:[Ocupada M2]])&gt;0,"", 1)</f>
        <v>1</v>
      </c>
      <c r="G14" s="24" t="str">
        <f>IF(SUM(Tabla8[[#This Row],[Ocupada M1]:[Ocupada M2]])=0, "", IF(Tabla8[[#This Row],[TLM1]]&lt;=Tabla8[[#This Row],[TLM2]],1,2))</f>
        <v/>
      </c>
      <c r="H14" s="24">
        <f>+SUM(Tabla8[[#This Row],[quien si empate]:[quien sin empate]])</f>
        <v>1</v>
      </c>
      <c r="I14" s="24">
        <f>+IF(Tabla8[[#This Row],[HLL]]&lt;Tabla8[[#This Row],[TLM1]],1,0)</f>
        <v>0</v>
      </c>
      <c r="J14" s="24">
        <f>+IF(Tabla8[[#This Row],[HLL]]&lt;Tabla8[[#This Row],[TLM2]],1,0)</f>
        <v>0</v>
      </c>
      <c r="K14" s="24">
        <f>+MAX($R$5:R13)</f>
        <v>30.132602481219873</v>
      </c>
      <c r="L14" s="24">
        <f>+MAX($S$5:S13)</f>
        <v>26.150332929870341</v>
      </c>
      <c r="M14" s="24">
        <f>+IF(Tabla8[[#This Row],[Quien]]=1,MAX(Tabla8[[#This Row],[TLM1]],Tabla8[[#This Row],[HLL]]),"")</f>
        <v>30.247757930587461</v>
      </c>
      <c r="N14" s="24" t="str">
        <f>+IF(Tabla8[[#This Row],[Quien]]=2,MAX(Tabla8[[#This Row],[TLM2]],Tabla8[[#This Row],[HLL]]),"")</f>
        <v/>
      </c>
      <c r="O14" s="24">
        <v>0.75617036912762703</v>
      </c>
      <c r="P14" s="24">
        <f>+IF(Tabla8[[#This Row],[Quien]]=1,2+2*Tabla8[[#This Row],[Aleatorios]],"")</f>
        <v>3.5123407382552543</v>
      </c>
      <c r="Q14" s="24" t="str">
        <f>+IF(Tabla8[[#This Row],[Quien]]=2,2+2*Tabla8[[#This Row],[Aleatorios]],"")</f>
        <v/>
      </c>
      <c r="R14" s="24">
        <f>+IF(Tabla8[[#This Row],[Quien]]=1,Tabla8[[#This Row],[Entrada M1]]+Tabla8[[#This Row],[Tiempo M1]],"")</f>
        <v>33.760098668842716</v>
      </c>
      <c r="S14" s="24" t="str">
        <f>+IF(Tabla8[[#This Row],[Quien]]=2,Tabla8[[#This Row],[Entrada M2]]+Tabla8[[#This Row],[Tiempo M2]],"")</f>
        <v/>
      </c>
      <c r="T14" s="24">
        <f>+SUM(Tabla8[[#This Row],[Salida M1]:[Salida M2]])</f>
        <v>33.760098668842716</v>
      </c>
    </row>
    <row r="15" spans="3:29" x14ac:dyDescent="0.25">
      <c r="C15" s="24">
        <v>11</v>
      </c>
      <c r="D15" s="83">
        <v>6.5581595156006225</v>
      </c>
      <c r="E15" s="83">
        <f t="shared" si="0"/>
        <v>36.805917446188083</v>
      </c>
      <c r="F15" s="24">
        <f>+IF(SUM(Tabla8[[#This Row],[Ocupada M1]:[Ocupada M2]])&gt;0,"", 1)</f>
        <v>1</v>
      </c>
      <c r="G15" s="24" t="str">
        <f>IF(SUM(Tabla8[[#This Row],[Ocupada M1]:[Ocupada M2]])=0, "", IF(Tabla8[[#This Row],[TLM1]]&lt;=Tabla8[[#This Row],[TLM2]],1,2))</f>
        <v/>
      </c>
      <c r="H15" s="24">
        <f>+SUM(Tabla8[[#This Row],[quien si empate]:[quien sin empate]])</f>
        <v>1</v>
      </c>
      <c r="I15" s="24">
        <f>+IF(Tabla8[[#This Row],[HLL]]&lt;Tabla8[[#This Row],[TLM1]],1,0)</f>
        <v>0</v>
      </c>
      <c r="J15" s="24">
        <f>+IF(Tabla8[[#This Row],[HLL]]&lt;Tabla8[[#This Row],[TLM2]],1,0)</f>
        <v>0</v>
      </c>
      <c r="K15" s="24">
        <f>+MAX($R$5:R14)</f>
        <v>33.760098668842716</v>
      </c>
      <c r="L15" s="24">
        <f>+MAX($S$5:S14)</f>
        <v>26.150332929870341</v>
      </c>
      <c r="M15" s="24">
        <f>+IF(Tabla8[[#This Row],[Quien]]=1,MAX(Tabla8[[#This Row],[TLM1]],Tabla8[[#This Row],[HLL]]),"")</f>
        <v>36.805917446188083</v>
      </c>
      <c r="N15" s="24" t="str">
        <f>+IF(Tabla8[[#This Row],[Quien]]=2,MAX(Tabla8[[#This Row],[TLM2]],Tabla8[[#This Row],[HLL]]),"")</f>
        <v/>
      </c>
      <c r="O15" s="24">
        <v>0.67316682776248271</v>
      </c>
      <c r="P15" s="24">
        <f>+IF(Tabla8[[#This Row],[Quien]]=1,2+2*Tabla8[[#This Row],[Aleatorios]],"")</f>
        <v>3.3463336555249654</v>
      </c>
      <c r="Q15" s="24" t="str">
        <f>+IF(Tabla8[[#This Row],[Quien]]=2,2+2*Tabla8[[#This Row],[Aleatorios]],"")</f>
        <v/>
      </c>
      <c r="R15" s="24">
        <f>+IF(Tabla8[[#This Row],[Quien]]=1,Tabla8[[#This Row],[Entrada M1]]+Tabla8[[#This Row],[Tiempo M1]],"")</f>
        <v>40.152251101713048</v>
      </c>
      <c r="S15" s="24" t="str">
        <f>+IF(Tabla8[[#This Row],[Quien]]=2,Tabla8[[#This Row],[Entrada M2]]+Tabla8[[#This Row],[Tiempo M2]],"")</f>
        <v/>
      </c>
      <c r="T15" s="24">
        <f>+SUM(Tabla8[[#This Row],[Salida M1]:[Salida M2]])</f>
        <v>40.152251101713048</v>
      </c>
    </row>
    <row r="16" spans="3:29" x14ac:dyDescent="0.25">
      <c r="C16" s="24">
        <v>12</v>
      </c>
      <c r="D16" s="83">
        <v>24.022988815480812</v>
      </c>
      <c r="E16" s="83">
        <f t="shared" si="0"/>
        <v>60.828906261668891</v>
      </c>
      <c r="F16" s="24">
        <f>+IF(SUM(Tabla8[[#This Row],[Ocupada M1]:[Ocupada M2]])&gt;0,"", 1)</f>
        <v>1</v>
      </c>
      <c r="G16" s="24" t="str">
        <f>IF(SUM(Tabla8[[#This Row],[Ocupada M1]:[Ocupada M2]])=0, "", IF(Tabla8[[#This Row],[TLM1]]&lt;=Tabla8[[#This Row],[TLM2]],1,2))</f>
        <v/>
      </c>
      <c r="H16" s="24">
        <f>+SUM(Tabla8[[#This Row],[quien si empate]:[quien sin empate]])</f>
        <v>1</v>
      </c>
      <c r="I16" s="24">
        <f>+IF(Tabla8[[#This Row],[HLL]]&lt;Tabla8[[#This Row],[TLM1]],1,0)</f>
        <v>0</v>
      </c>
      <c r="J16" s="24">
        <f>+IF(Tabla8[[#This Row],[HLL]]&lt;Tabla8[[#This Row],[TLM2]],1,0)</f>
        <v>0</v>
      </c>
      <c r="K16" s="24">
        <f>+MAX($R$5:R15)</f>
        <v>40.152251101713048</v>
      </c>
      <c r="L16" s="24">
        <f>+MAX($S$5:S15)</f>
        <v>26.150332929870341</v>
      </c>
      <c r="M16" s="24">
        <f>+IF(Tabla8[[#This Row],[Quien]]=1,MAX(Tabla8[[#This Row],[TLM1]],Tabla8[[#This Row],[HLL]]),"")</f>
        <v>60.828906261668891</v>
      </c>
      <c r="N16" s="24" t="str">
        <f>+IF(Tabla8[[#This Row],[Quien]]=2,MAX(Tabla8[[#This Row],[TLM2]],Tabla8[[#This Row],[HLL]]),"")</f>
        <v/>
      </c>
      <c r="O16" s="24">
        <v>8.6693660027582609E-2</v>
      </c>
      <c r="P16" s="24">
        <f>+IF(Tabla8[[#This Row],[Quien]]=1,2+2*Tabla8[[#This Row],[Aleatorios]],"")</f>
        <v>2.1733873200551654</v>
      </c>
      <c r="Q16" s="24" t="str">
        <f>+IF(Tabla8[[#This Row],[Quien]]=2,2+2*Tabla8[[#This Row],[Aleatorios]],"")</f>
        <v/>
      </c>
      <c r="R16" s="24">
        <f>+IF(Tabla8[[#This Row],[Quien]]=1,Tabla8[[#This Row],[Entrada M1]]+Tabla8[[#This Row],[Tiempo M1]],"")</f>
        <v>63.002293581724054</v>
      </c>
      <c r="S16" s="24" t="str">
        <f>+IF(Tabla8[[#This Row],[Quien]]=2,Tabla8[[#This Row],[Entrada M2]]+Tabla8[[#This Row],[Tiempo M2]],"")</f>
        <v/>
      </c>
      <c r="T16" s="24">
        <f>+SUM(Tabla8[[#This Row],[Salida M1]:[Salida M2]])</f>
        <v>63.002293581724054</v>
      </c>
    </row>
    <row r="17" spans="3:20" x14ac:dyDescent="0.25">
      <c r="C17" s="24">
        <v>13</v>
      </c>
      <c r="D17" s="83">
        <v>1.0063463619062472</v>
      </c>
      <c r="E17" s="83">
        <f t="shared" si="0"/>
        <v>61.835252623575137</v>
      </c>
      <c r="F17" s="24" t="str">
        <f>+IF(SUM(Tabla8[[#This Row],[Ocupada M1]:[Ocupada M2]])&gt;0,"", 1)</f>
        <v/>
      </c>
      <c r="G17" s="24">
        <f>IF(SUM(Tabla8[[#This Row],[Ocupada M1]:[Ocupada M2]])=0, "", IF(Tabla8[[#This Row],[TLM1]]&lt;=Tabla8[[#This Row],[TLM2]],1,2))</f>
        <v>2</v>
      </c>
      <c r="H17" s="24">
        <f>+SUM(Tabla8[[#This Row],[quien si empate]:[quien sin empate]])</f>
        <v>2</v>
      </c>
      <c r="I17" s="24">
        <f>+IF(Tabla8[[#This Row],[HLL]]&lt;Tabla8[[#This Row],[TLM1]],1,0)</f>
        <v>1</v>
      </c>
      <c r="J17" s="24">
        <f>+IF(Tabla8[[#This Row],[HLL]]&lt;Tabla8[[#This Row],[TLM2]],1,0)</f>
        <v>0</v>
      </c>
      <c r="K17" s="24">
        <f>+MAX($R$5:R16)</f>
        <v>63.002293581724054</v>
      </c>
      <c r="L17" s="24">
        <f>+MAX($S$5:S16)</f>
        <v>26.150332929870341</v>
      </c>
      <c r="M17" s="24" t="str">
        <f>+IF(Tabla8[[#This Row],[Quien]]=1,MAX(Tabla8[[#This Row],[TLM1]],Tabla8[[#This Row],[HLL]]),"")</f>
        <v/>
      </c>
      <c r="N17" s="24">
        <f>+IF(Tabla8[[#This Row],[Quien]]=2,MAX(Tabla8[[#This Row],[TLM2]],Tabla8[[#This Row],[HLL]]),"")</f>
        <v>61.835252623575137</v>
      </c>
      <c r="O17" s="24">
        <v>0.50056622381112881</v>
      </c>
      <c r="P17" s="24" t="str">
        <f>+IF(Tabla8[[#This Row],[Quien]]=1,2+2*Tabla8[[#This Row],[Aleatorios]],"")</f>
        <v/>
      </c>
      <c r="Q17" s="24">
        <f>+IF(Tabla8[[#This Row],[Quien]]=2,2+2*Tabla8[[#This Row],[Aleatorios]],"")</f>
        <v>3.0011324476222576</v>
      </c>
      <c r="R17" s="24" t="str">
        <f>+IF(Tabla8[[#This Row],[Quien]]=1,Tabla8[[#This Row],[Entrada M1]]+Tabla8[[#This Row],[Tiempo M1]],"")</f>
        <v/>
      </c>
      <c r="S17" s="24">
        <f>+IF(Tabla8[[#This Row],[Quien]]=2,Tabla8[[#This Row],[Entrada M2]]+Tabla8[[#This Row],[Tiempo M2]],"")</f>
        <v>64.836385071197398</v>
      </c>
      <c r="T17" s="24">
        <f>+SUM(Tabla8[[#This Row],[Salida M1]:[Salida M2]])</f>
        <v>64.836385071197398</v>
      </c>
    </row>
    <row r="18" spans="3:20" x14ac:dyDescent="0.25">
      <c r="C18" s="24">
        <v>14</v>
      </c>
      <c r="D18" s="83">
        <v>0.99558488632152509</v>
      </c>
      <c r="E18" s="83">
        <f t="shared" si="0"/>
        <v>62.830837509896661</v>
      </c>
      <c r="F18" s="24" t="str">
        <f>+IF(SUM(Tabla8[[#This Row],[Ocupada M1]:[Ocupada M2]])&gt;0,"", 1)</f>
        <v/>
      </c>
      <c r="G18" s="24">
        <f>IF(SUM(Tabla8[[#This Row],[Ocupada M1]:[Ocupada M2]])=0, "", IF(Tabla8[[#This Row],[TLM1]]&lt;=Tabla8[[#This Row],[TLM2]],1,2))</f>
        <v>1</v>
      </c>
      <c r="H18" s="24">
        <f>+SUM(Tabla8[[#This Row],[quien si empate]:[quien sin empate]])</f>
        <v>1</v>
      </c>
      <c r="I18" s="24">
        <f>+IF(Tabla8[[#This Row],[HLL]]&lt;Tabla8[[#This Row],[TLM1]],1,0)</f>
        <v>1</v>
      </c>
      <c r="J18" s="24">
        <f>+IF(Tabla8[[#This Row],[HLL]]&lt;Tabla8[[#This Row],[TLM2]],1,0)</f>
        <v>1</v>
      </c>
      <c r="K18" s="24">
        <f>+MAX($R$5:R17)</f>
        <v>63.002293581724054</v>
      </c>
      <c r="L18" s="24">
        <f>+MAX($S$5:S17)</f>
        <v>64.836385071197398</v>
      </c>
      <c r="M18" s="24">
        <f>+IF(Tabla8[[#This Row],[Quien]]=1,MAX(Tabla8[[#This Row],[TLM1]],Tabla8[[#This Row],[HLL]]),"")</f>
        <v>63.002293581724054</v>
      </c>
      <c r="N18" s="24" t="str">
        <f>+IF(Tabla8[[#This Row],[Quien]]=2,MAX(Tabla8[[#This Row],[TLM2]],Tabla8[[#This Row],[HLL]]),"")</f>
        <v/>
      </c>
      <c r="O18" s="24">
        <v>8.6644056548451087E-2</v>
      </c>
      <c r="P18" s="24">
        <f>+IF(Tabla8[[#This Row],[Quien]]=1,2+2*Tabla8[[#This Row],[Aleatorios]],"")</f>
        <v>2.173288113096902</v>
      </c>
      <c r="Q18" s="24" t="str">
        <f>+IF(Tabla8[[#This Row],[Quien]]=2,2+2*Tabla8[[#This Row],[Aleatorios]],"")</f>
        <v/>
      </c>
      <c r="R18" s="24">
        <f>+IF(Tabla8[[#This Row],[Quien]]=1,Tabla8[[#This Row],[Entrada M1]]+Tabla8[[#This Row],[Tiempo M1]],"")</f>
        <v>65.175581694820949</v>
      </c>
      <c r="S18" s="24" t="str">
        <f>+IF(Tabla8[[#This Row],[Quien]]=2,Tabla8[[#This Row],[Entrada M2]]+Tabla8[[#This Row],[Tiempo M2]],"")</f>
        <v/>
      </c>
      <c r="T18" s="24">
        <f>+SUM(Tabla8[[#This Row],[Salida M1]:[Salida M2]])</f>
        <v>65.175581694820949</v>
      </c>
    </row>
    <row r="19" spans="3:20" x14ac:dyDescent="0.25">
      <c r="C19" s="24">
        <v>15</v>
      </c>
      <c r="D19" s="83">
        <v>1.0850414584835886</v>
      </c>
      <c r="E19" s="83">
        <f t="shared" si="0"/>
        <v>63.915878968380248</v>
      </c>
      <c r="F19" s="24" t="str">
        <f>+IF(SUM(Tabla8[[#This Row],[Ocupada M1]:[Ocupada M2]])&gt;0,"", 1)</f>
        <v/>
      </c>
      <c r="G19" s="24">
        <f>IF(SUM(Tabla8[[#This Row],[Ocupada M1]:[Ocupada M2]])=0, "", IF(Tabla8[[#This Row],[TLM1]]&lt;=Tabla8[[#This Row],[TLM2]],1,2))</f>
        <v>2</v>
      </c>
      <c r="H19" s="24">
        <f>+SUM(Tabla8[[#This Row],[quien si empate]:[quien sin empate]])</f>
        <v>2</v>
      </c>
      <c r="I19" s="24">
        <f>+IF(Tabla8[[#This Row],[HLL]]&lt;Tabla8[[#This Row],[TLM1]],1,0)</f>
        <v>1</v>
      </c>
      <c r="J19" s="24">
        <f>+IF(Tabla8[[#This Row],[HLL]]&lt;Tabla8[[#This Row],[TLM2]],1,0)</f>
        <v>1</v>
      </c>
      <c r="K19" s="24">
        <f>+MAX($R$5:R18)</f>
        <v>65.175581694820949</v>
      </c>
      <c r="L19" s="24">
        <f>+MAX($S$5:S18)</f>
        <v>64.836385071197398</v>
      </c>
      <c r="M19" s="24" t="str">
        <f>+IF(Tabla8[[#This Row],[Quien]]=1,MAX(Tabla8[[#This Row],[TLM1]],Tabla8[[#This Row],[HLL]]),"")</f>
        <v/>
      </c>
      <c r="N19" s="24">
        <f>+IF(Tabla8[[#This Row],[Quien]]=2,MAX(Tabla8[[#This Row],[TLM2]],Tabla8[[#This Row],[HLL]]),"")</f>
        <v>64.836385071197398</v>
      </c>
      <c r="O19" s="24">
        <v>0.23095638231729132</v>
      </c>
      <c r="P19" s="24" t="str">
        <f>+IF(Tabla8[[#This Row],[Quien]]=1,2+2*Tabla8[[#This Row],[Aleatorios]],"")</f>
        <v/>
      </c>
      <c r="Q19" s="24">
        <f>+IF(Tabla8[[#This Row],[Quien]]=2,2+2*Tabla8[[#This Row],[Aleatorios]],"")</f>
        <v>2.4619127646345826</v>
      </c>
      <c r="R19" s="24" t="str">
        <f>+IF(Tabla8[[#This Row],[Quien]]=1,Tabla8[[#This Row],[Entrada M1]]+Tabla8[[#This Row],[Tiempo M1]],"")</f>
        <v/>
      </c>
      <c r="S19" s="24">
        <f>+IF(Tabla8[[#This Row],[Quien]]=2,Tabla8[[#This Row],[Entrada M2]]+Tabla8[[#This Row],[Tiempo M2]],"")</f>
        <v>67.298297835831974</v>
      </c>
      <c r="T19" s="24">
        <f>+SUM(Tabla8[[#This Row],[Salida M1]:[Salida M2]])</f>
        <v>67.298297835831974</v>
      </c>
    </row>
    <row r="20" spans="3:20" x14ac:dyDescent="0.25">
      <c r="C20" s="24">
        <v>16</v>
      </c>
      <c r="D20" s="83">
        <v>0.38592557999279953</v>
      </c>
      <c r="E20" s="83">
        <f t="shared" si="0"/>
        <v>64.301804548373042</v>
      </c>
      <c r="F20" s="24" t="str">
        <f>+IF(SUM(Tabla8[[#This Row],[Ocupada M1]:[Ocupada M2]])&gt;0,"", 1)</f>
        <v/>
      </c>
      <c r="G20" s="24">
        <f>IF(SUM(Tabla8[[#This Row],[Ocupada M1]:[Ocupada M2]])=0, "", IF(Tabla8[[#This Row],[TLM1]]&lt;=Tabla8[[#This Row],[TLM2]],1,2))</f>
        <v>1</v>
      </c>
      <c r="H20" s="24">
        <f>+SUM(Tabla8[[#This Row],[quien si empate]:[quien sin empate]])</f>
        <v>1</v>
      </c>
      <c r="I20" s="24">
        <f>+IF(Tabla8[[#This Row],[HLL]]&lt;Tabla8[[#This Row],[TLM1]],1,0)</f>
        <v>1</v>
      </c>
      <c r="J20" s="24">
        <f>+IF(Tabla8[[#This Row],[HLL]]&lt;Tabla8[[#This Row],[TLM2]],1,0)</f>
        <v>1</v>
      </c>
      <c r="K20" s="24">
        <f>+MAX($R$5:R19)</f>
        <v>65.175581694820949</v>
      </c>
      <c r="L20" s="24">
        <f>+MAX($S$5:S19)</f>
        <v>67.298297835831974</v>
      </c>
      <c r="M20" s="24">
        <f>+IF(Tabla8[[#This Row],[Quien]]=1,MAX(Tabla8[[#This Row],[TLM1]],Tabla8[[#This Row],[HLL]]),"")</f>
        <v>65.175581694820949</v>
      </c>
      <c r="N20" s="24" t="str">
        <f>+IF(Tabla8[[#This Row],[Quien]]=2,MAX(Tabla8[[#This Row],[TLM2]],Tabla8[[#This Row],[HLL]]),"")</f>
        <v/>
      </c>
      <c r="O20" s="24">
        <v>0.44123869747614786</v>
      </c>
      <c r="P20" s="24">
        <f>+IF(Tabla8[[#This Row],[Quien]]=1,2+2*Tabla8[[#This Row],[Aleatorios]],"")</f>
        <v>2.8824773949522955</v>
      </c>
      <c r="Q20" s="24" t="str">
        <f>+IF(Tabla8[[#This Row],[Quien]]=2,2+2*Tabla8[[#This Row],[Aleatorios]],"")</f>
        <v/>
      </c>
      <c r="R20" s="24">
        <f>+IF(Tabla8[[#This Row],[Quien]]=1,Tabla8[[#This Row],[Entrada M1]]+Tabla8[[#This Row],[Tiempo M1]],"")</f>
        <v>68.058059089773238</v>
      </c>
      <c r="S20" s="24" t="str">
        <f>+IF(Tabla8[[#This Row],[Quien]]=2,Tabla8[[#This Row],[Entrada M2]]+Tabla8[[#This Row],[Tiempo M2]],"")</f>
        <v/>
      </c>
      <c r="T20" s="24">
        <f>+SUM(Tabla8[[#This Row],[Salida M1]:[Salida M2]])</f>
        <v>68.058059089773238</v>
      </c>
    </row>
    <row r="21" spans="3:20" x14ac:dyDescent="0.25">
      <c r="C21" s="24">
        <v>17</v>
      </c>
      <c r="D21" s="83">
        <v>0.11646389068687193</v>
      </c>
      <c r="E21" s="83">
        <f t="shared" si="0"/>
        <v>64.418268439059915</v>
      </c>
      <c r="F21" s="24" t="str">
        <f>+IF(SUM(Tabla8[[#This Row],[Ocupada M1]:[Ocupada M2]])&gt;0,"", 1)</f>
        <v/>
      </c>
      <c r="G21" s="24">
        <f>IF(SUM(Tabla8[[#This Row],[Ocupada M1]:[Ocupada M2]])=0, "", IF(Tabla8[[#This Row],[TLM1]]&lt;=Tabla8[[#This Row],[TLM2]],1,2))</f>
        <v>2</v>
      </c>
      <c r="H21" s="24">
        <f>+SUM(Tabla8[[#This Row],[quien si empate]:[quien sin empate]])</f>
        <v>2</v>
      </c>
      <c r="I21" s="24">
        <f>+IF(Tabla8[[#This Row],[HLL]]&lt;Tabla8[[#This Row],[TLM1]],1,0)</f>
        <v>1</v>
      </c>
      <c r="J21" s="24">
        <f>+IF(Tabla8[[#This Row],[HLL]]&lt;Tabla8[[#This Row],[TLM2]],1,0)</f>
        <v>1</v>
      </c>
      <c r="K21" s="24">
        <f>+MAX($R$5:R20)</f>
        <v>68.058059089773238</v>
      </c>
      <c r="L21" s="24">
        <f>+MAX($S$5:S20)</f>
        <v>67.298297835831974</v>
      </c>
      <c r="M21" s="24" t="str">
        <f>+IF(Tabla8[[#This Row],[Quien]]=1,MAX(Tabla8[[#This Row],[TLM1]],Tabla8[[#This Row],[HLL]]),"")</f>
        <v/>
      </c>
      <c r="N21" s="24">
        <f>+IF(Tabla8[[#This Row],[Quien]]=2,MAX(Tabla8[[#This Row],[TLM2]],Tabla8[[#This Row],[HLL]]),"")</f>
        <v>67.298297835831974</v>
      </c>
      <c r="O21" s="24">
        <v>0.24100758489031782</v>
      </c>
      <c r="P21" s="24" t="str">
        <f>+IF(Tabla8[[#This Row],[Quien]]=1,2+2*Tabla8[[#This Row],[Aleatorios]],"")</f>
        <v/>
      </c>
      <c r="Q21" s="24">
        <f>+IF(Tabla8[[#This Row],[Quien]]=2,2+2*Tabla8[[#This Row],[Aleatorios]],"")</f>
        <v>2.4820151697806354</v>
      </c>
      <c r="R21" s="24" t="str">
        <f>+IF(Tabla8[[#This Row],[Quien]]=1,Tabla8[[#This Row],[Entrada M1]]+Tabla8[[#This Row],[Tiempo M1]],"")</f>
        <v/>
      </c>
      <c r="S21" s="24">
        <f>+IF(Tabla8[[#This Row],[Quien]]=2,Tabla8[[#This Row],[Entrada M2]]+Tabla8[[#This Row],[Tiempo M2]],"")</f>
        <v>69.780313005612612</v>
      </c>
      <c r="T21" s="24">
        <f>+SUM(Tabla8[[#This Row],[Salida M1]:[Salida M2]])</f>
        <v>69.780313005612612</v>
      </c>
    </row>
    <row r="22" spans="3:20" x14ac:dyDescent="0.25">
      <c r="C22" s="24">
        <v>18</v>
      </c>
      <c r="D22" s="83">
        <v>10.389204368174244</v>
      </c>
      <c r="E22" s="83">
        <f t="shared" si="0"/>
        <v>74.807472807234163</v>
      </c>
      <c r="F22" s="24">
        <f>+IF(SUM(Tabla8[[#This Row],[Ocupada M1]:[Ocupada M2]])&gt;0,"", 1)</f>
        <v>1</v>
      </c>
      <c r="G22" s="24" t="str">
        <f>IF(SUM(Tabla8[[#This Row],[Ocupada M1]:[Ocupada M2]])=0, "", IF(Tabla8[[#This Row],[TLM1]]&lt;=Tabla8[[#This Row],[TLM2]],1,2))</f>
        <v/>
      </c>
      <c r="H22" s="24">
        <f>+SUM(Tabla8[[#This Row],[quien si empate]:[quien sin empate]])</f>
        <v>1</v>
      </c>
      <c r="I22" s="24">
        <f>+IF(Tabla8[[#This Row],[HLL]]&lt;Tabla8[[#This Row],[TLM1]],1,0)</f>
        <v>0</v>
      </c>
      <c r="J22" s="24">
        <f>+IF(Tabla8[[#This Row],[HLL]]&lt;Tabla8[[#This Row],[TLM2]],1,0)</f>
        <v>0</v>
      </c>
      <c r="K22" s="24">
        <f>+MAX($R$5:R21)</f>
        <v>68.058059089773238</v>
      </c>
      <c r="L22" s="24">
        <f>+MAX($S$5:S21)</f>
        <v>69.780313005612612</v>
      </c>
      <c r="M22" s="24">
        <f>+IF(Tabla8[[#This Row],[Quien]]=1,MAX(Tabla8[[#This Row],[TLM1]],Tabla8[[#This Row],[HLL]]),"")</f>
        <v>74.807472807234163</v>
      </c>
      <c r="N22" s="24" t="str">
        <f>+IF(Tabla8[[#This Row],[Quien]]=2,MAX(Tabla8[[#This Row],[TLM2]],Tabla8[[#This Row],[HLL]]),"")</f>
        <v/>
      </c>
      <c r="O22" s="24">
        <v>0.64944946082042765</v>
      </c>
      <c r="P22" s="24">
        <f>+IF(Tabla8[[#This Row],[Quien]]=1,2+2*Tabla8[[#This Row],[Aleatorios]],"")</f>
        <v>3.2988989216408555</v>
      </c>
      <c r="Q22" s="24" t="str">
        <f>+IF(Tabla8[[#This Row],[Quien]]=2,2+2*Tabla8[[#This Row],[Aleatorios]],"")</f>
        <v/>
      </c>
      <c r="R22" s="24">
        <f>+IF(Tabla8[[#This Row],[Quien]]=1,Tabla8[[#This Row],[Entrada M1]]+Tabla8[[#This Row],[Tiempo M1]],"")</f>
        <v>78.106371728875018</v>
      </c>
      <c r="S22" s="24" t="str">
        <f>+IF(Tabla8[[#This Row],[Quien]]=2,Tabla8[[#This Row],[Entrada M2]]+Tabla8[[#This Row],[Tiempo M2]],"")</f>
        <v/>
      </c>
      <c r="T22" s="24">
        <f>+SUM(Tabla8[[#This Row],[Salida M1]:[Salida M2]])</f>
        <v>78.106371728875018</v>
      </c>
    </row>
    <row r="23" spans="3:20" x14ac:dyDescent="0.25">
      <c r="C23" s="24">
        <v>19</v>
      </c>
      <c r="D23" s="83">
        <v>5.8239730528170233</v>
      </c>
      <c r="E23" s="83">
        <f t="shared" si="0"/>
        <v>80.631445860051187</v>
      </c>
      <c r="F23" s="24">
        <f>+IF(SUM(Tabla8[[#This Row],[Ocupada M1]:[Ocupada M2]])&gt;0,"", 1)</f>
        <v>1</v>
      </c>
      <c r="G23" s="24" t="str">
        <f>IF(SUM(Tabla8[[#This Row],[Ocupada M1]:[Ocupada M2]])=0, "", IF(Tabla8[[#This Row],[TLM1]]&lt;=Tabla8[[#This Row],[TLM2]],1,2))</f>
        <v/>
      </c>
      <c r="H23" s="24">
        <f>+SUM(Tabla8[[#This Row],[quien si empate]:[quien sin empate]])</f>
        <v>1</v>
      </c>
      <c r="I23" s="24">
        <f>+IF(Tabla8[[#This Row],[HLL]]&lt;Tabla8[[#This Row],[TLM1]],1,0)</f>
        <v>0</v>
      </c>
      <c r="J23" s="24">
        <f>+IF(Tabla8[[#This Row],[HLL]]&lt;Tabla8[[#This Row],[TLM2]],1,0)</f>
        <v>0</v>
      </c>
      <c r="K23" s="24">
        <f>+MAX($R$5:R22)</f>
        <v>78.106371728875018</v>
      </c>
      <c r="L23" s="24">
        <f>+MAX($S$5:S22)</f>
        <v>69.780313005612612</v>
      </c>
      <c r="M23" s="24">
        <f>+IF(Tabla8[[#This Row],[Quien]]=1,MAX(Tabla8[[#This Row],[TLM1]],Tabla8[[#This Row],[HLL]]),"")</f>
        <v>80.631445860051187</v>
      </c>
      <c r="N23" s="24" t="str">
        <f>+IF(Tabla8[[#This Row],[Quien]]=2,MAX(Tabla8[[#This Row],[TLM2]],Tabla8[[#This Row],[HLL]]),"")</f>
        <v/>
      </c>
      <c r="O23" s="24">
        <v>0.61017935162855841</v>
      </c>
      <c r="P23" s="24">
        <f>+IF(Tabla8[[#This Row],[Quien]]=1,2+2*Tabla8[[#This Row],[Aleatorios]],"")</f>
        <v>3.2203587032571166</v>
      </c>
      <c r="Q23" s="24" t="str">
        <f>+IF(Tabla8[[#This Row],[Quien]]=2,2+2*Tabla8[[#This Row],[Aleatorios]],"")</f>
        <v/>
      </c>
      <c r="R23" s="24">
        <f>+IF(Tabla8[[#This Row],[Quien]]=1,Tabla8[[#This Row],[Entrada M1]]+Tabla8[[#This Row],[Tiempo M1]],"")</f>
        <v>83.851804563308306</v>
      </c>
      <c r="S23" s="24" t="str">
        <f>+IF(Tabla8[[#This Row],[Quien]]=2,Tabla8[[#This Row],[Entrada M2]]+Tabla8[[#This Row],[Tiempo M2]],"")</f>
        <v/>
      </c>
      <c r="T23" s="24">
        <f>+SUM(Tabla8[[#This Row],[Salida M1]:[Salida M2]])</f>
        <v>83.851804563308306</v>
      </c>
    </row>
    <row r="24" spans="3:20" x14ac:dyDescent="0.25">
      <c r="C24" s="24">
        <v>20</v>
      </c>
      <c r="D24" s="83">
        <v>2.4291932771887548</v>
      </c>
      <c r="E24" s="83">
        <f t="shared" si="0"/>
        <v>83.060639137239946</v>
      </c>
      <c r="F24" s="24" t="str">
        <f>+IF(SUM(Tabla8[[#This Row],[Ocupada M1]:[Ocupada M2]])&gt;0,"", 1)</f>
        <v/>
      </c>
      <c r="G24" s="24">
        <f>IF(SUM(Tabla8[[#This Row],[Ocupada M1]:[Ocupada M2]])=0, "", IF(Tabla8[[#This Row],[TLM1]]&lt;=Tabla8[[#This Row],[TLM2]],1,2))</f>
        <v>2</v>
      </c>
      <c r="H24" s="24">
        <f>+SUM(Tabla8[[#This Row],[quien si empate]:[quien sin empate]])</f>
        <v>2</v>
      </c>
      <c r="I24" s="24">
        <f>+IF(Tabla8[[#This Row],[HLL]]&lt;Tabla8[[#This Row],[TLM1]],1,0)</f>
        <v>1</v>
      </c>
      <c r="J24" s="24">
        <f>+IF(Tabla8[[#This Row],[HLL]]&lt;Tabla8[[#This Row],[TLM2]],1,0)</f>
        <v>0</v>
      </c>
      <c r="K24" s="24">
        <f>+MAX($R$5:R23)</f>
        <v>83.851804563308306</v>
      </c>
      <c r="L24" s="24">
        <f>+MAX($S$5:S23)</f>
        <v>69.780313005612612</v>
      </c>
      <c r="M24" s="24" t="str">
        <f>+IF(Tabla8[[#This Row],[Quien]]=1,MAX(Tabla8[[#This Row],[TLM1]],Tabla8[[#This Row],[HLL]]),"")</f>
        <v/>
      </c>
      <c r="N24" s="24">
        <f>+IF(Tabla8[[#This Row],[Quien]]=2,MAX(Tabla8[[#This Row],[TLM2]],Tabla8[[#This Row],[HLL]]),"")</f>
        <v>83.060639137239946</v>
      </c>
      <c r="O24" s="24">
        <v>0.37949098703621575</v>
      </c>
      <c r="P24" s="24" t="str">
        <f>+IF(Tabla8[[#This Row],[Quien]]=1,2+2*Tabla8[[#This Row],[Aleatorios]],"")</f>
        <v/>
      </c>
      <c r="Q24" s="24">
        <f>+IF(Tabla8[[#This Row],[Quien]]=2,2+2*Tabla8[[#This Row],[Aleatorios]],"")</f>
        <v>2.7589819740724315</v>
      </c>
      <c r="R24" s="24" t="str">
        <f>+IF(Tabla8[[#This Row],[Quien]]=1,Tabla8[[#This Row],[Entrada M1]]+Tabla8[[#This Row],[Tiempo M1]],"")</f>
        <v/>
      </c>
      <c r="S24" s="24">
        <f>+IF(Tabla8[[#This Row],[Quien]]=2,Tabla8[[#This Row],[Entrada M2]]+Tabla8[[#This Row],[Tiempo M2]],"")</f>
        <v>85.819621111312372</v>
      </c>
      <c r="T24" s="24">
        <f>+SUM(Tabla8[[#This Row],[Salida M1]:[Salida M2]])</f>
        <v>85.819621111312372</v>
      </c>
    </row>
    <row r="25" spans="3:20" x14ac:dyDescent="0.25">
      <c r="C25" s="24">
        <v>21</v>
      </c>
      <c r="D25" s="83">
        <v>8.0733002213396183</v>
      </c>
      <c r="E25" s="83">
        <f t="shared" si="0"/>
        <v>91.133939358579568</v>
      </c>
      <c r="F25" s="24">
        <f>+IF(SUM(Tabla8[[#This Row],[Ocupada M1]:[Ocupada M2]])&gt;0,"", 1)</f>
        <v>1</v>
      </c>
      <c r="G25" s="24" t="str">
        <f>IF(SUM(Tabla8[[#This Row],[Ocupada M1]:[Ocupada M2]])=0, "", IF(Tabla8[[#This Row],[TLM1]]&lt;=Tabla8[[#This Row],[TLM2]],1,2))</f>
        <v/>
      </c>
      <c r="H25" s="24">
        <f>+SUM(Tabla8[[#This Row],[quien si empate]:[quien sin empate]])</f>
        <v>1</v>
      </c>
      <c r="I25" s="24">
        <f>+IF(Tabla8[[#This Row],[HLL]]&lt;Tabla8[[#This Row],[TLM1]],1,0)</f>
        <v>0</v>
      </c>
      <c r="J25" s="24">
        <f>+IF(Tabla8[[#This Row],[HLL]]&lt;Tabla8[[#This Row],[TLM2]],1,0)</f>
        <v>0</v>
      </c>
      <c r="K25" s="24">
        <f>+MAX($R$5:R24)</f>
        <v>83.851804563308306</v>
      </c>
      <c r="L25" s="24">
        <f>+MAX($S$5:S24)</f>
        <v>85.819621111312372</v>
      </c>
      <c r="M25" s="24">
        <f>+IF(Tabla8[[#This Row],[Quien]]=1,MAX(Tabla8[[#This Row],[TLM1]],Tabla8[[#This Row],[HLL]]),"")</f>
        <v>91.133939358579568</v>
      </c>
      <c r="N25" s="24" t="str">
        <f>+IF(Tabla8[[#This Row],[Quien]]=2,MAX(Tabla8[[#This Row],[TLM2]],Tabla8[[#This Row],[HLL]]),"")</f>
        <v/>
      </c>
      <c r="O25" s="24">
        <v>0.80793577542948891</v>
      </c>
      <c r="P25" s="24">
        <f>+IF(Tabla8[[#This Row],[Quien]]=1,2+2*Tabla8[[#This Row],[Aleatorios]],"")</f>
        <v>3.6158715508589778</v>
      </c>
      <c r="Q25" s="24" t="str">
        <f>+IF(Tabla8[[#This Row],[Quien]]=2,2+2*Tabla8[[#This Row],[Aleatorios]],"")</f>
        <v/>
      </c>
      <c r="R25" s="24">
        <f>+IF(Tabla8[[#This Row],[Quien]]=1,Tabla8[[#This Row],[Entrada M1]]+Tabla8[[#This Row],[Tiempo M1]],"")</f>
        <v>94.749810909438551</v>
      </c>
      <c r="S25" s="24" t="str">
        <f>+IF(Tabla8[[#This Row],[Quien]]=2,Tabla8[[#This Row],[Entrada M2]]+Tabla8[[#This Row],[Tiempo M2]],"")</f>
        <v/>
      </c>
      <c r="T25" s="24">
        <f>+SUM(Tabla8[[#This Row],[Salida M1]:[Salida M2]])</f>
        <v>94.749810909438551</v>
      </c>
    </row>
    <row r="26" spans="3:20" x14ac:dyDescent="0.25">
      <c r="C26" s="24">
        <v>22</v>
      </c>
      <c r="D26" s="83">
        <v>6.8840626966802034</v>
      </c>
      <c r="E26" s="83">
        <f t="shared" si="0"/>
        <v>98.018002055259771</v>
      </c>
      <c r="F26" s="24">
        <f>+IF(SUM(Tabla8[[#This Row],[Ocupada M1]:[Ocupada M2]])&gt;0,"", 1)</f>
        <v>1</v>
      </c>
      <c r="G26" s="24" t="str">
        <f>IF(SUM(Tabla8[[#This Row],[Ocupada M1]:[Ocupada M2]])=0, "", IF(Tabla8[[#This Row],[TLM1]]&lt;=Tabla8[[#This Row],[TLM2]],1,2))</f>
        <v/>
      </c>
      <c r="H26" s="24">
        <f>+SUM(Tabla8[[#This Row],[quien si empate]:[quien sin empate]])</f>
        <v>1</v>
      </c>
      <c r="I26" s="24">
        <f>+IF(Tabla8[[#This Row],[HLL]]&lt;Tabla8[[#This Row],[TLM1]],1,0)</f>
        <v>0</v>
      </c>
      <c r="J26" s="24">
        <f>+IF(Tabla8[[#This Row],[HLL]]&lt;Tabla8[[#This Row],[TLM2]],1,0)</f>
        <v>0</v>
      </c>
      <c r="K26" s="24">
        <f>+MAX($R$5:R25)</f>
        <v>94.749810909438551</v>
      </c>
      <c r="L26" s="24">
        <f>+MAX($S$5:S25)</f>
        <v>85.819621111312372</v>
      </c>
      <c r="M26" s="24">
        <f>+IF(Tabla8[[#This Row],[Quien]]=1,MAX(Tabla8[[#This Row],[TLM1]],Tabla8[[#This Row],[HLL]]),"")</f>
        <v>98.018002055259771</v>
      </c>
      <c r="N26" s="24" t="str">
        <f>+IF(Tabla8[[#This Row],[Quien]]=2,MAX(Tabla8[[#This Row],[TLM2]],Tabla8[[#This Row],[HLL]]),"")</f>
        <v/>
      </c>
      <c r="O26" s="24">
        <v>0.34478808361396174</v>
      </c>
      <c r="P26" s="24">
        <f>+IF(Tabla8[[#This Row],[Quien]]=1,2+2*Tabla8[[#This Row],[Aleatorios]],"")</f>
        <v>2.6895761672279237</v>
      </c>
      <c r="Q26" s="24" t="str">
        <f>+IF(Tabla8[[#This Row],[Quien]]=2,2+2*Tabla8[[#This Row],[Aleatorios]],"")</f>
        <v/>
      </c>
      <c r="R26" s="24">
        <f>+IF(Tabla8[[#This Row],[Quien]]=1,Tabla8[[#This Row],[Entrada M1]]+Tabla8[[#This Row],[Tiempo M1]],"")</f>
        <v>100.7075782224877</v>
      </c>
      <c r="S26" s="24" t="str">
        <f>+IF(Tabla8[[#This Row],[Quien]]=2,Tabla8[[#This Row],[Entrada M2]]+Tabla8[[#This Row],[Tiempo M2]],"")</f>
        <v/>
      </c>
      <c r="T26" s="24">
        <f>+SUM(Tabla8[[#This Row],[Salida M1]:[Salida M2]])</f>
        <v>100.7075782224877</v>
      </c>
    </row>
    <row r="27" spans="3:20" x14ac:dyDescent="0.25">
      <c r="C27" s="24">
        <v>23</v>
      </c>
      <c r="D27" s="83">
        <v>6.8457980899341999</v>
      </c>
      <c r="E27" s="83">
        <f t="shared" si="0"/>
        <v>104.86380014519398</v>
      </c>
      <c r="F27" s="24">
        <f>+IF(SUM(Tabla8[[#This Row],[Ocupada M1]:[Ocupada M2]])&gt;0,"", 1)</f>
        <v>1</v>
      </c>
      <c r="G27" s="24" t="str">
        <f>IF(SUM(Tabla8[[#This Row],[Ocupada M1]:[Ocupada M2]])=0, "", IF(Tabla8[[#This Row],[TLM1]]&lt;=Tabla8[[#This Row],[TLM2]],1,2))</f>
        <v/>
      </c>
      <c r="H27" s="24">
        <f>+SUM(Tabla8[[#This Row],[quien si empate]:[quien sin empate]])</f>
        <v>1</v>
      </c>
      <c r="I27" s="24">
        <f>+IF(Tabla8[[#This Row],[HLL]]&lt;Tabla8[[#This Row],[TLM1]],1,0)</f>
        <v>0</v>
      </c>
      <c r="J27" s="24">
        <f>+IF(Tabla8[[#This Row],[HLL]]&lt;Tabla8[[#This Row],[TLM2]],1,0)</f>
        <v>0</v>
      </c>
      <c r="K27" s="24">
        <f>+MAX($R$5:R26)</f>
        <v>100.7075782224877</v>
      </c>
      <c r="L27" s="24">
        <f>+MAX($S$5:S26)</f>
        <v>85.819621111312372</v>
      </c>
      <c r="M27" s="24">
        <f>+IF(Tabla8[[#This Row],[Quien]]=1,MAX(Tabla8[[#This Row],[TLM1]],Tabla8[[#This Row],[HLL]]),"")</f>
        <v>104.86380014519398</v>
      </c>
      <c r="N27" s="24" t="str">
        <f>+IF(Tabla8[[#This Row],[Quien]]=2,MAX(Tabla8[[#This Row],[TLM2]],Tabla8[[#This Row],[HLL]]),"")</f>
        <v/>
      </c>
      <c r="O27" s="24">
        <v>0.58056429391859554</v>
      </c>
      <c r="P27" s="24">
        <f>+IF(Tabla8[[#This Row],[Quien]]=1,2+2*Tabla8[[#This Row],[Aleatorios]],"")</f>
        <v>3.1611285878371911</v>
      </c>
      <c r="Q27" s="24" t="str">
        <f>+IF(Tabla8[[#This Row],[Quien]]=2,2+2*Tabla8[[#This Row],[Aleatorios]],"")</f>
        <v/>
      </c>
      <c r="R27" s="24">
        <f>+IF(Tabla8[[#This Row],[Quien]]=1,Tabla8[[#This Row],[Entrada M1]]+Tabla8[[#This Row],[Tiempo M1]],"")</f>
        <v>108.02492873303117</v>
      </c>
      <c r="S27" s="24" t="str">
        <f>+IF(Tabla8[[#This Row],[Quien]]=2,Tabla8[[#This Row],[Entrada M2]]+Tabla8[[#This Row],[Tiempo M2]],"")</f>
        <v/>
      </c>
      <c r="T27" s="24">
        <f>+SUM(Tabla8[[#This Row],[Salida M1]:[Salida M2]])</f>
        <v>108.02492873303117</v>
      </c>
    </row>
    <row r="28" spans="3:20" x14ac:dyDescent="0.25">
      <c r="C28" s="24">
        <v>24</v>
      </c>
      <c r="D28" s="83">
        <v>8.2212336855782386E-2</v>
      </c>
      <c r="E28" s="83">
        <f t="shared" si="0"/>
        <v>104.94601248204975</v>
      </c>
      <c r="F28" s="24" t="str">
        <f>+IF(SUM(Tabla8[[#This Row],[Ocupada M1]:[Ocupada M2]])&gt;0,"", 1)</f>
        <v/>
      </c>
      <c r="G28" s="24">
        <f>IF(SUM(Tabla8[[#This Row],[Ocupada M1]:[Ocupada M2]])=0, "", IF(Tabla8[[#This Row],[TLM1]]&lt;=Tabla8[[#This Row],[TLM2]],1,2))</f>
        <v>2</v>
      </c>
      <c r="H28" s="24">
        <f>+SUM(Tabla8[[#This Row],[quien si empate]:[quien sin empate]])</f>
        <v>2</v>
      </c>
      <c r="I28" s="24">
        <f>+IF(Tabla8[[#This Row],[HLL]]&lt;Tabla8[[#This Row],[TLM1]],1,0)</f>
        <v>1</v>
      </c>
      <c r="J28" s="24">
        <f>+IF(Tabla8[[#This Row],[HLL]]&lt;Tabla8[[#This Row],[TLM2]],1,0)</f>
        <v>0</v>
      </c>
      <c r="K28" s="24">
        <f>+MAX($R$5:R27)</f>
        <v>108.02492873303117</v>
      </c>
      <c r="L28" s="24">
        <f>+MAX($S$5:S27)</f>
        <v>85.819621111312372</v>
      </c>
      <c r="M28" s="24" t="str">
        <f>+IF(Tabla8[[#This Row],[Quien]]=1,MAX(Tabla8[[#This Row],[TLM1]],Tabla8[[#This Row],[HLL]]),"")</f>
        <v/>
      </c>
      <c r="N28" s="24">
        <f>+IF(Tabla8[[#This Row],[Quien]]=2,MAX(Tabla8[[#This Row],[TLM2]],Tabla8[[#This Row],[HLL]]),"")</f>
        <v>104.94601248204975</v>
      </c>
      <c r="O28" s="24">
        <v>0.19672595880637789</v>
      </c>
      <c r="P28" s="24" t="str">
        <f>+IF(Tabla8[[#This Row],[Quien]]=1,2+2*Tabla8[[#This Row],[Aleatorios]],"")</f>
        <v/>
      </c>
      <c r="Q28" s="24">
        <f>+IF(Tabla8[[#This Row],[Quien]]=2,2+2*Tabla8[[#This Row],[Aleatorios]],"")</f>
        <v>2.3934519176127558</v>
      </c>
      <c r="R28" s="24" t="str">
        <f>+IF(Tabla8[[#This Row],[Quien]]=1,Tabla8[[#This Row],[Entrada M1]]+Tabla8[[#This Row],[Tiempo M1]],"")</f>
        <v/>
      </c>
      <c r="S28" s="24">
        <f>+IF(Tabla8[[#This Row],[Quien]]=2,Tabla8[[#This Row],[Entrada M2]]+Tabla8[[#This Row],[Tiempo M2]],"")</f>
        <v>107.3394643996625</v>
      </c>
      <c r="T28" s="24">
        <f>+SUM(Tabla8[[#This Row],[Salida M1]:[Salida M2]])</f>
        <v>107.3394643996625</v>
      </c>
    </row>
    <row r="29" spans="3:20" x14ac:dyDescent="0.25">
      <c r="C29" s="24">
        <v>25</v>
      </c>
      <c r="D29" s="83">
        <v>1.0368305227255761</v>
      </c>
      <c r="E29" s="83">
        <f t="shared" si="0"/>
        <v>105.98284300477533</v>
      </c>
      <c r="F29" s="24" t="str">
        <f>+IF(SUM(Tabla8[[#This Row],[Ocupada M1]:[Ocupada M2]])&gt;0,"", 1)</f>
        <v/>
      </c>
      <c r="G29" s="24">
        <f>IF(SUM(Tabla8[[#This Row],[Ocupada M1]:[Ocupada M2]])=0, "", IF(Tabla8[[#This Row],[TLM1]]&lt;=Tabla8[[#This Row],[TLM2]],1,2))</f>
        <v>2</v>
      </c>
      <c r="H29" s="24">
        <f>+SUM(Tabla8[[#This Row],[quien si empate]:[quien sin empate]])</f>
        <v>2</v>
      </c>
      <c r="I29" s="24">
        <f>+IF(Tabla8[[#This Row],[HLL]]&lt;Tabla8[[#This Row],[TLM1]],1,0)</f>
        <v>1</v>
      </c>
      <c r="J29" s="24">
        <f>+IF(Tabla8[[#This Row],[HLL]]&lt;Tabla8[[#This Row],[TLM2]],1,0)</f>
        <v>1</v>
      </c>
      <c r="K29" s="24">
        <f>+MAX($R$5:R28)</f>
        <v>108.02492873303117</v>
      </c>
      <c r="L29" s="24">
        <f>+MAX($S$5:S28)</f>
        <v>107.3394643996625</v>
      </c>
      <c r="M29" s="24" t="str">
        <f>+IF(Tabla8[[#This Row],[Quien]]=1,MAX(Tabla8[[#This Row],[TLM1]],Tabla8[[#This Row],[HLL]]),"")</f>
        <v/>
      </c>
      <c r="N29" s="24">
        <f>+IF(Tabla8[[#This Row],[Quien]]=2,MAX(Tabla8[[#This Row],[TLM2]],Tabla8[[#This Row],[HLL]]),"")</f>
        <v>107.3394643996625</v>
      </c>
      <c r="O29" s="24">
        <v>7.2847442732761003E-2</v>
      </c>
      <c r="P29" s="24" t="str">
        <f>+IF(Tabla8[[#This Row],[Quien]]=1,2+2*Tabla8[[#This Row],[Aleatorios]],"")</f>
        <v/>
      </c>
      <c r="Q29" s="24">
        <f>+IF(Tabla8[[#This Row],[Quien]]=2,2+2*Tabla8[[#This Row],[Aleatorios]],"")</f>
        <v>2.145694885465522</v>
      </c>
      <c r="R29" s="24" t="str">
        <f>+IF(Tabla8[[#This Row],[Quien]]=1,Tabla8[[#This Row],[Entrada M1]]+Tabla8[[#This Row],[Tiempo M1]],"")</f>
        <v/>
      </c>
      <c r="S29" s="24">
        <f>+IF(Tabla8[[#This Row],[Quien]]=2,Tabla8[[#This Row],[Entrada M2]]+Tabla8[[#This Row],[Tiempo M2]],"")</f>
        <v>109.48515928512802</v>
      </c>
      <c r="T29" s="24">
        <f>+SUM(Tabla8[[#This Row],[Salida M1]:[Salida M2]])</f>
        <v>109.48515928512802</v>
      </c>
    </row>
    <row r="31" spans="3:20" x14ac:dyDescent="0.25">
      <c r="N31" t="s">
        <v>160</v>
      </c>
      <c r="P31">
        <f>+SUM(Tabla8[Tiempo M1])</f>
        <v>50.555466442331777</v>
      </c>
      <c r="Q31">
        <f>+SUM(Tabla8[Tiempo M2])</f>
        <v>23.62858579060098</v>
      </c>
    </row>
    <row r="32" spans="3:20" x14ac:dyDescent="0.25">
      <c r="P32" s="91">
        <f>+P31/MAX(Tabla8[Salida])</f>
        <v>0.46175634005949706</v>
      </c>
      <c r="Q32" s="91">
        <f>+Q31/MAX(Tabla8[Salida])</f>
        <v>0.21581542142224003</v>
      </c>
    </row>
  </sheetData>
  <mergeCells count="1">
    <mergeCell ref="AC6:AC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C110-2120-4FB4-9BEE-C600E8AB58B6}">
  <dimension ref="C2:AD32"/>
  <sheetViews>
    <sheetView topLeftCell="A10" zoomScale="145" zoomScaleNormal="145" workbookViewId="0">
      <selection activeCell="E5" sqref="E5:E29"/>
    </sheetView>
  </sheetViews>
  <sheetFormatPr baseColWidth="10" defaultRowHeight="15" x14ac:dyDescent="0.25"/>
  <cols>
    <col min="3" max="6" width="11.42578125" style="24"/>
    <col min="7" max="7" width="19.85546875" bestFit="1" customWidth="1"/>
    <col min="8" max="8" width="21.140625" bestFit="1" customWidth="1"/>
    <col min="9" max="20" width="21.140625" customWidth="1"/>
    <col min="26" max="26" width="12.85546875" bestFit="1" customWidth="1"/>
    <col min="27" max="27" width="31.140625" bestFit="1" customWidth="1"/>
    <col min="28" max="28" width="25" bestFit="1" customWidth="1"/>
    <col min="29" max="29" width="49.5703125" bestFit="1" customWidth="1"/>
    <col min="30" max="30" width="19.85546875" bestFit="1" customWidth="1"/>
  </cols>
  <sheetData>
    <row r="2" spans="3:30" x14ac:dyDescent="0.25">
      <c r="G2">
        <v>0.1</v>
      </c>
      <c r="W2" t="s">
        <v>135</v>
      </c>
      <c r="X2" t="s">
        <v>136</v>
      </c>
      <c r="Y2" t="s">
        <v>137</v>
      </c>
    </row>
    <row r="4" spans="3:30" x14ac:dyDescent="0.25">
      <c r="C4" s="24" t="s">
        <v>133</v>
      </c>
      <c r="D4" s="24" t="s">
        <v>134</v>
      </c>
      <c r="E4" s="24" t="s">
        <v>135</v>
      </c>
      <c r="F4" s="24" t="s">
        <v>161</v>
      </c>
      <c r="G4" s="24" t="s">
        <v>153</v>
      </c>
      <c r="H4" s="24" t="s">
        <v>154</v>
      </c>
      <c r="I4" s="24" t="s">
        <v>130</v>
      </c>
      <c r="J4" s="24" t="s">
        <v>155</v>
      </c>
      <c r="K4" s="24" t="s">
        <v>156</v>
      </c>
      <c r="L4" s="24" t="s">
        <v>136</v>
      </c>
      <c r="M4" s="24" t="s">
        <v>137</v>
      </c>
      <c r="N4" s="24" t="s">
        <v>57</v>
      </c>
      <c r="O4" s="24" t="s">
        <v>55</v>
      </c>
      <c r="P4" s="24" t="s">
        <v>159</v>
      </c>
      <c r="Q4" s="24" t="s">
        <v>157</v>
      </c>
      <c r="R4" s="24" t="s">
        <v>158</v>
      </c>
      <c r="S4" s="24" t="s">
        <v>58</v>
      </c>
      <c r="T4" s="24" t="s">
        <v>59</v>
      </c>
      <c r="U4" s="24" t="s">
        <v>29</v>
      </c>
      <c r="X4" s="25" t="s">
        <v>138</v>
      </c>
      <c r="Y4" s="25" t="s">
        <v>162</v>
      </c>
      <c r="Z4" s="41" t="s">
        <v>144</v>
      </c>
      <c r="AA4" s="41" t="s">
        <v>145</v>
      </c>
      <c r="AB4" s="25" t="s">
        <v>143</v>
      </c>
      <c r="AC4" s="41" t="s">
        <v>150</v>
      </c>
      <c r="AD4" s="25"/>
    </row>
    <row r="5" spans="3:30" x14ac:dyDescent="0.25">
      <c r="C5" s="24">
        <v>1</v>
      </c>
      <c r="D5" s="83">
        <v>0</v>
      </c>
      <c r="E5" s="83">
        <v>0</v>
      </c>
      <c r="F5" s="83">
        <v>0.11429023407722827</v>
      </c>
      <c r="G5" s="24">
        <f>+IF(SUM(Tabla810[[#This Row],[Ocupada M1]:[Ocupada M2]])&gt;0,"", IF(Tabla810[[#This Row],[Aleatorio 2]]&lt;$G$2,1,2))</f>
        <v>2</v>
      </c>
      <c r="H5" s="24" t="str">
        <f>IF(SUM(Tabla810[[#This Row],[Ocupada M1]:[Ocupada M2]])=0, "", IF(Tabla810[[#This Row],[TLM1]]&lt;Tabla810[[#This Row],[TLM2]],1,2))</f>
        <v/>
      </c>
      <c r="I5" s="24">
        <f>+SUM(Tabla810[[#This Row],[quien si empate]:[quien sin empate]])</f>
        <v>2</v>
      </c>
      <c r="J5" s="24">
        <f>+IF(Tabla810[[#This Row],[HLL]]&lt;Tabla810[[#This Row],[TLM1]],1,0)</f>
        <v>0</v>
      </c>
      <c r="K5" s="24">
        <f>+IF(Tabla810[[#This Row],[HLL]]&lt;Tabla810[[#This Row],[TLM2]],1,0)</f>
        <v>0</v>
      </c>
      <c r="L5" s="24">
        <v>0</v>
      </c>
      <c r="M5" s="24">
        <v>0</v>
      </c>
      <c r="N5" s="24" t="str">
        <f>+IF(Tabla810[[#This Row],[Quien]]=1,MAX(Tabla810[[#This Row],[TLM1]],Tabla810[[#This Row],[HLL]]),"")</f>
        <v/>
      </c>
      <c r="O5" s="24">
        <f>+IF(Tabla810[[#This Row],[Quien]]=2,MAX(Tabla810[[#This Row],[TLM2]],Tabla810[[#This Row],[HLL]]),"")</f>
        <v>0</v>
      </c>
      <c r="P5" s="24">
        <v>0.26039333038635371</v>
      </c>
      <c r="Q5" s="24" t="str">
        <f>+IF(Tabla810[[#This Row],[Quien]]=1,2+2*Tabla810[[#This Row],[Aleatorios]],"")</f>
        <v/>
      </c>
      <c r="R5" s="24">
        <f>+IF(Tabla810[[#This Row],[Quien]]=2,2+2*Tabla810[[#This Row],[Aleatorios]],"")</f>
        <v>2.5207866607727074</v>
      </c>
      <c r="S5" s="24" t="str">
        <f>+IF(Tabla810[[#This Row],[Quien]]=1,Tabla810[[#This Row],[Entrada M1]]+Tabla810[[#This Row],[Tiempo M1]],"")</f>
        <v/>
      </c>
      <c r="T5" s="24">
        <f>+IF(Tabla810[[#This Row],[Quien]]=2,Tabla810[[#This Row],[Entrada M2]]+Tabla810[[#This Row],[Tiempo M2]],"")</f>
        <v>2.5207866607727074</v>
      </c>
      <c r="U5" s="24">
        <f>+SUM(Tabla810[[#This Row],[Salida M1]:[Salida M2]])</f>
        <v>2.5207866607727074</v>
      </c>
      <c r="X5" s="25">
        <v>0</v>
      </c>
      <c r="Y5" s="25">
        <v>0</v>
      </c>
      <c r="Z5" s="41" t="s">
        <v>139</v>
      </c>
      <c r="AA5" s="41" t="s">
        <v>141</v>
      </c>
      <c r="AB5" s="41" t="s">
        <v>146</v>
      </c>
      <c r="AC5" s="87" t="s">
        <v>149</v>
      </c>
      <c r="AD5" s="25"/>
    </row>
    <row r="6" spans="3:30" x14ac:dyDescent="0.25">
      <c r="C6" s="24">
        <v>2</v>
      </c>
      <c r="D6" s="83">
        <v>3.692990112428344</v>
      </c>
      <c r="E6" s="83">
        <f>+E5+D6</f>
        <v>3.692990112428344</v>
      </c>
      <c r="F6" s="83">
        <v>0.17826778969103085</v>
      </c>
      <c r="G6" s="24">
        <f>+IF(SUM(Tabla810[[#This Row],[Ocupada M1]:[Ocupada M2]])&gt;0,"", IF(Tabla810[[#This Row],[Aleatorio 2]]&lt;$G$2,1,2))</f>
        <v>2</v>
      </c>
      <c r="H6" s="24" t="str">
        <f>IF(SUM(Tabla810[[#This Row],[Ocupada M1]:[Ocupada M2]])=0, "", IF(Tabla810[[#This Row],[TLM1]]&lt;Tabla810[[#This Row],[TLM2]],1,2))</f>
        <v/>
      </c>
      <c r="I6" s="24">
        <f>+SUM(Tabla810[[#This Row],[quien si empate]:[quien sin empate]])</f>
        <v>2</v>
      </c>
      <c r="J6" s="24">
        <f>+IF(Tabla810[[#This Row],[HLL]]&lt;Tabla810[[#This Row],[TLM1]],1,0)</f>
        <v>0</v>
      </c>
      <c r="K6" s="24">
        <f>+IF(Tabla810[[#This Row],[HLL]]&lt;Tabla810[[#This Row],[TLM2]],1,0)</f>
        <v>0</v>
      </c>
      <c r="L6" s="24">
        <f>+MAX($S$5:S5)</f>
        <v>0</v>
      </c>
      <c r="M6" s="24">
        <f>+MAX($T$5:T5)</f>
        <v>2.5207866607727074</v>
      </c>
      <c r="N6" s="24" t="str">
        <f>+IF(Tabla810[[#This Row],[Quien]]=1,MAX(Tabla810[[#This Row],[TLM1]],Tabla810[[#This Row],[HLL]]),"")</f>
        <v/>
      </c>
      <c r="O6" s="24">
        <f>+IF(Tabla810[[#This Row],[Quien]]=2,MAX(Tabla810[[#This Row],[TLM2]],Tabla810[[#This Row],[HLL]]),"")</f>
        <v>3.692990112428344</v>
      </c>
      <c r="P6" s="24">
        <v>0.88241658092624509</v>
      </c>
      <c r="Q6" s="24" t="str">
        <f>+IF(Tabla810[[#This Row],[Quien]]=1,2+2*Tabla810[[#This Row],[Aleatorios]],"")</f>
        <v/>
      </c>
      <c r="R6" s="24">
        <f>+IF(Tabla810[[#This Row],[Quien]]=2,2+2*Tabla810[[#This Row],[Aleatorios]],"")</f>
        <v>3.76483316185249</v>
      </c>
      <c r="S6" s="24" t="str">
        <f>+IF(Tabla810[[#This Row],[Quien]]=1,Tabla810[[#This Row],[Entrada M1]]+Tabla810[[#This Row],[Tiempo M1]],"")</f>
        <v/>
      </c>
      <c r="T6" s="24">
        <f>+IF(Tabla810[[#This Row],[Quien]]=2,Tabla810[[#This Row],[Entrada M2]]+Tabla810[[#This Row],[Tiempo M2]],"")</f>
        <v>7.4578232742808339</v>
      </c>
      <c r="U6" s="24">
        <f>+SUM(Tabla810[[#This Row],[Salida M1]:[Salida M2]])</f>
        <v>7.4578232742808339</v>
      </c>
      <c r="X6" s="25">
        <v>0</v>
      </c>
      <c r="Y6" s="25">
        <v>1</v>
      </c>
      <c r="Z6" s="41" t="s">
        <v>139</v>
      </c>
      <c r="AA6" s="41" t="s">
        <v>142</v>
      </c>
      <c r="AB6" s="41" t="s">
        <v>147</v>
      </c>
      <c r="AC6" s="41">
        <v>1</v>
      </c>
      <c r="AD6" s="88" t="s">
        <v>151</v>
      </c>
    </row>
    <row r="7" spans="3:30" x14ac:dyDescent="0.25">
      <c r="C7" s="24">
        <v>3</v>
      </c>
      <c r="D7" s="83">
        <v>8.0851753798670138</v>
      </c>
      <c r="E7" s="83">
        <f t="shared" ref="E7:E29" si="0">+E6+D7</f>
        <v>11.778165492295358</v>
      </c>
      <c r="F7" s="83">
        <v>0.91337333043150004</v>
      </c>
      <c r="G7" s="24">
        <f>+IF(SUM(Tabla810[[#This Row],[Ocupada M1]:[Ocupada M2]])&gt;0,"", IF(Tabla810[[#This Row],[Aleatorio 2]]&lt;$G$2,1,2))</f>
        <v>2</v>
      </c>
      <c r="H7" s="24" t="str">
        <f>IF(SUM(Tabla810[[#This Row],[Ocupada M1]:[Ocupada M2]])=0, "", IF(Tabla810[[#This Row],[TLM1]]&lt;Tabla810[[#This Row],[TLM2]],1,2))</f>
        <v/>
      </c>
      <c r="I7" s="24">
        <f>+SUM(Tabla810[[#This Row],[quien si empate]:[quien sin empate]])</f>
        <v>2</v>
      </c>
      <c r="J7" s="24">
        <f>+IF(Tabla810[[#This Row],[HLL]]&lt;Tabla810[[#This Row],[TLM1]],1,0)</f>
        <v>0</v>
      </c>
      <c r="K7" s="24">
        <f>+IF(Tabla810[[#This Row],[HLL]]&lt;Tabla810[[#This Row],[TLM2]],1,0)</f>
        <v>0</v>
      </c>
      <c r="L7" s="24">
        <f>+MAX($S$5:S6)</f>
        <v>0</v>
      </c>
      <c r="M7" s="24">
        <f>+MAX($T$5:T6)</f>
        <v>7.4578232742808339</v>
      </c>
      <c r="N7" s="24" t="str">
        <f>+IF(Tabla810[[#This Row],[Quien]]=1,MAX(Tabla810[[#This Row],[TLM1]],Tabla810[[#This Row],[HLL]]),"")</f>
        <v/>
      </c>
      <c r="O7" s="24">
        <f>+IF(Tabla810[[#This Row],[Quien]]=2,MAX(Tabla810[[#This Row],[TLM2]],Tabla810[[#This Row],[HLL]]),"")</f>
        <v>11.778165492295358</v>
      </c>
      <c r="P7" s="24">
        <v>0.3990871848659614</v>
      </c>
      <c r="Q7" s="24" t="str">
        <f>+IF(Tabla810[[#This Row],[Quien]]=1,2+2*Tabla810[[#This Row],[Aleatorios]],"")</f>
        <v/>
      </c>
      <c r="R7" s="24">
        <f>+IF(Tabla810[[#This Row],[Quien]]=2,2+2*Tabla810[[#This Row],[Aleatorios]],"")</f>
        <v>2.7981743697319228</v>
      </c>
      <c r="S7" s="24" t="str">
        <f>+IF(Tabla810[[#This Row],[Quien]]=1,Tabla810[[#This Row],[Entrada M1]]+Tabla810[[#This Row],[Tiempo M1]],"")</f>
        <v/>
      </c>
      <c r="T7" s="24">
        <f>+IF(Tabla810[[#This Row],[Quien]]=2,Tabla810[[#This Row],[Entrada M2]]+Tabla810[[#This Row],[Tiempo M2]],"")</f>
        <v>14.576339862027281</v>
      </c>
      <c r="U7" s="24">
        <f>+SUM(Tabla810[[#This Row],[Salida M1]:[Salida M2]])</f>
        <v>14.576339862027281</v>
      </c>
      <c r="X7" s="25">
        <v>1</v>
      </c>
      <c r="Y7" s="25">
        <v>0</v>
      </c>
      <c r="Z7" s="41" t="s">
        <v>140</v>
      </c>
      <c r="AA7" s="41" t="s">
        <v>141</v>
      </c>
      <c r="AB7" s="41" t="s">
        <v>148</v>
      </c>
      <c r="AC7" s="41">
        <v>2</v>
      </c>
      <c r="AD7" s="88"/>
    </row>
    <row r="8" spans="3:30" x14ac:dyDescent="0.25">
      <c r="C8" s="24">
        <v>4</v>
      </c>
      <c r="D8" s="83">
        <v>0.47170337009221452</v>
      </c>
      <c r="E8" s="83">
        <f t="shared" si="0"/>
        <v>12.249868862387572</v>
      </c>
      <c r="F8" s="83">
        <v>0.19600281315629242</v>
      </c>
      <c r="G8" s="24" t="str">
        <f>+IF(SUM(Tabla810[[#This Row],[Ocupada M1]:[Ocupada M2]])&gt;0,"", IF(Tabla810[[#This Row],[Aleatorio 2]]&lt;$G$2,1,2))</f>
        <v/>
      </c>
      <c r="H8" s="24">
        <f>IF(SUM(Tabla810[[#This Row],[Ocupada M1]:[Ocupada M2]])=0, "", IF(Tabla810[[#This Row],[TLM1]]&lt;Tabla810[[#This Row],[TLM2]],1,2))</f>
        <v>1</v>
      </c>
      <c r="I8" s="24">
        <f>+SUM(Tabla810[[#This Row],[quien si empate]:[quien sin empate]])</f>
        <v>1</v>
      </c>
      <c r="J8" s="24">
        <f>+IF(Tabla810[[#This Row],[HLL]]&lt;Tabla810[[#This Row],[TLM1]],1,0)</f>
        <v>0</v>
      </c>
      <c r="K8" s="24">
        <f>+IF(Tabla810[[#This Row],[HLL]]&lt;Tabla810[[#This Row],[TLM2]],1,0)</f>
        <v>1</v>
      </c>
      <c r="L8" s="24">
        <f>+MAX($S$5:S7)</f>
        <v>0</v>
      </c>
      <c r="M8" s="24">
        <f>+MAX($T$5:T7)</f>
        <v>14.576339862027281</v>
      </c>
      <c r="N8" s="24">
        <f>+IF(Tabla810[[#This Row],[Quien]]=1,MAX(Tabla810[[#This Row],[TLM1]],Tabla810[[#This Row],[HLL]]),"")</f>
        <v>12.249868862387572</v>
      </c>
      <c r="O8" s="24" t="str">
        <f>+IF(Tabla810[[#This Row],[Quien]]=2,MAX(Tabla810[[#This Row],[TLM2]],Tabla810[[#This Row],[HLL]]),"")</f>
        <v/>
      </c>
      <c r="P8" s="24">
        <v>0.22272045966272325</v>
      </c>
      <c r="Q8" s="24">
        <f>+IF(Tabla810[[#This Row],[Quien]]=1,2+2*Tabla810[[#This Row],[Aleatorios]],"")</f>
        <v>2.4454409193254465</v>
      </c>
      <c r="R8" s="24" t="str">
        <f>+IF(Tabla810[[#This Row],[Quien]]=2,2+2*Tabla810[[#This Row],[Aleatorios]],"")</f>
        <v/>
      </c>
      <c r="S8" s="24">
        <f>+IF(Tabla810[[#This Row],[Quien]]=1,Tabla810[[#This Row],[Entrada M1]]+Tabla810[[#This Row],[Tiempo M1]],"")</f>
        <v>14.695309781713018</v>
      </c>
      <c r="T8" s="24" t="str">
        <f>+IF(Tabla810[[#This Row],[Quien]]=2,Tabla810[[#This Row],[Entrada M2]]+Tabla810[[#This Row],[Tiempo M2]],"")</f>
        <v/>
      </c>
      <c r="U8" s="24">
        <f>+SUM(Tabla810[[#This Row],[Salida M1]:[Salida M2]])</f>
        <v>14.695309781713018</v>
      </c>
      <c r="X8" s="25">
        <v>1</v>
      </c>
      <c r="Y8" s="25">
        <v>1</v>
      </c>
      <c r="Z8" s="41" t="s">
        <v>140</v>
      </c>
      <c r="AA8" s="41" t="s">
        <v>142</v>
      </c>
      <c r="AB8" s="41" t="s">
        <v>146</v>
      </c>
      <c r="AC8" s="41" t="s">
        <v>152</v>
      </c>
      <c r="AD8" s="89" t="s">
        <v>151</v>
      </c>
    </row>
    <row r="9" spans="3:30" x14ac:dyDescent="0.25">
      <c r="C9" s="24">
        <v>5</v>
      </c>
      <c r="D9" s="83">
        <v>5.8051485158496909</v>
      </c>
      <c r="E9" s="83">
        <f t="shared" si="0"/>
        <v>18.055017378237263</v>
      </c>
      <c r="F9" s="83">
        <v>0.50090778918974721</v>
      </c>
      <c r="G9" s="24">
        <f>+IF(SUM(Tabla810[[#This Row],[Ocupada M1]:[Ocupada M2]])&gt;0,"", IF(Tabla810[[#This Row],[Aleatorio 2]]&lt;$G$2,1,2))</f>
        <v>2</v>
      </c>
      <c r="H9" s="24" t="str">
        <f>IF(SUM(Tabla810[[#This Row],[Ocupada M1]:[Ocupada M2]])=0, "", IF(Tabla810[[#This Row],[TLM1]]&lt;Tabla810[[#This Row],[TLM2]],1,2))</f>
        <v/>
      </c>
      <c r="I9" s="24">
        <f>+SUM(Tabla810[[#This Row],[quien si empate]:[quien sin empate]])</f>
        <v>2</v>
      </c>
      <c r="J9" s="24">
        <f>+IF(Tabla810[[#This Row],[HLL]]&lt;Tabla810[[#This Row],[TLM1]],1,0)</f>
        <v>0</v>
      </c>
      <c r="K9" s="24">
        <f>+IF(Tabla810[[#This Row],[HLL]]&lt;Tabla810[[#This Row],[TLM2]],1,0)</f>
        <v>0</v>
      </c>
      <c r="L9" s="24">
        <f>+MAX($S$5:S8)</f>
        <v>14.695309781713018</v>
      </c>
      <c r="M9" s="24">
        <f>+MAX($T$5:T8)</f>
        <v>14.576339862027281</v>
      </c>
      <c r="N9" s="24" t="str">
        <f>+IF(Tabla810[[#This Row],[Quien]]=1,MAX(Tabla810[[#This Row],[TLM1]],Tabla810[[#This Row],[HLL]]),"")</f>
        <v/>
      </c>
      <c r="O9" s="24">
        <f>+IF(Tabla810[[#This Row],[Quien]]=2,MAX(Tabla810[[#This Row],[TLM2]],Tabla810[[#This Row],[HLL]]),"")</f>
        <v>18.055017378237263</v>
      </c>
      <c r="P9" s="24">
        <v>0.94859514988273241</v>
      </c>
      <c r="Q9" s="24" t="str">
        <f>+IF(Tabla810[[#This Row],[Quien]]=1,2+2*Tabla810[[#This Row],[Aleatorios]],"")</f>
        <v/>
      </c>
      <c r="R9" s="24">
        <f>+IF(Tabla810[[#This Row],[Quien]]=2,2+2*Tabla810[[#This Row],[Aleatorios]],"")</f>
        <v>3.897190299765465</v>
      </c>
      <c r="S9" s="24" t="str">
        <f>+IF(Tabla810[[#This Row],[Quien]]=1,Tabla810[[#This Row],[Entrada M1]]+Tabla810[[#This Row],[Tiempo M1]],"")</f>
        <v/>
      </c>
      <c r="T9" s="24">
        <f>+IF(Tabla810[[#This Row],[Quien]]=2,Tabla810[[#This Row],[Entrada M2]]+Tabla810[[#This Row],[Tiempo M2]],"")</f>
        <v>21.952207678002729</v>
      </c>
      <c r="U9" s="24">
        <f>+SUM(Tabla810[[#This Row],[Salida M1]:[Salida M2]])</f>
        <v>21.952207678002729</v>
      </c>
    </row>
    <row r="10" spans="3:30" x14ac:dyDescent="0.25">
      <c r="C10" s="24">
        <v>6</v>
      </c>
      <c r="D10" s="83">
        <v>1.2286935836381445</v>
      </c>
      <c r="E10" s="83">
        <f t="shared" si="0"/>
        <v>19.283710961875407</v>
      </c>
      <c r="F10" s="83">
        <v>0.4275208776619317</v>
      </c>
      <c r="G10" s="24" t="str">
        <f>+IF(SUM(Tabla810[[#This Row],[Ocupada M1]:[Ocupada M2]])&gt;0,"", IF(Tabla810[[#This Row],[Aleatorio 2]]&lt;$G$2,1,2))</f>
        <v/>
      </c>
      <c r="H10" s="24">
        <f>IF(SUM(Tabla810[[#This Row],[Ocupada M1]:[Ocupada M2]])=0, "", IF(Tabla810[[#This Row],[TLM1]]&lt;Tabla810[[#This Row],[TLM2]],1,2))</f>
        <v>1</v>
      </c>
      <c r="I10" s="24">
        <f>+SUM(Tabla810[[#This Row],[quien si empate]:[quien sin empate]])</f>
        <v>1</v>
      </c>
      <c r="J10" s="24">
        <f>+IF(Tabla810[[#This Row],[HLL]]&lt;Tabla810[[#This Row],[TLM1]],1,0)</f>
        <v>0</v>
      </c>
      <c r="K10" s="24">
        <f>+IF(Tabla810[[#This Row],[HLL]]&lt;Tabla810[[#This Row],[TLM2]],1,0)</f>
        <v>1</v>
      </c>
      <c r="L10" s="24">
        <f>+MAX($S$5:S9)</f>
        <v>14.695309781713018</v>
      </c>
      <c r="M10" s="24">
        <f>+MAX($T$5:T9)</f>
        <v>21.952207678002729</v>
      </c>
      <c r="N10" s="24">
        <f>+IF(Tabla810[[#This Row],[Quien]]=1,MAX(Tabla810[[#This Row],[TLM1]],Tabla810[[#This Row],[HLL]]),"")</f>
        <v>19.283710961875407</v>
      </c>
      <c r="O10" s="24" t="str">
        <f>+IF(Tabla810[[#This Row],[Quien]]=2,MAX(Tabla810[[#This Row],[TLM2]],Tabla810[[#This Row],[HLL]]),"")</f>
        <v/>
      </c>
      <c r="P10" s="24">
        <v>0.75425803007475056</v>
      </c>
      <c r="Q10" s="24">
        <f>+IF(Tabla810[[#This Row],[Quien]]=1,2+2*Tabla810[[#This Row],[Aleatorios]],"")</f>
        <v>3.5085160601495011</v>
      </c>
      <c r="R10" s="24" t="str">
        <f>+IF(Tabla810[[#This Row],[Quien]]=2,2+2*Tabla810[[#This Row],[Aleatorios]],"")</f>
        <v/>
      </c>
      <c r="S10" s="24">
        <f>+IF(Tabla810[[#This Row],[Quien]]=1,Tabla810[[#This Row],[Entrada M1]]+Tabla810[[#This Row],[Tiempo M1]],"")</f>
        <v>22.792227022024907</v>
      </c>
      <c r="T10" s="24" t="str">
        <f>+IF(Tabla810[[#This Row],[Quien]]=2,Tabla810[[#This Row],[Entrada M2]]+Tabla810[[#This Row],[Tiempo M2]],"")</f>
        <v/>
      </c>
      <c r="U10" s="24">
        <f>+SUM(Tabla810[[#This Row],[Salida M1]:[Salida M2]])</f>
        <v>22.792227022024907</v>
      </c>
    </row>
    <row r="11" spans="3:30" x14ac:dyDescent="0.25">
      <c r="C11" s="24">
        <v>7</v>
      </c>
      <c r="D11" s="83">
        <v>1.2917328687054099</v>
      </c>
      <c r="E11" s="83">
        <f t="shared" si="0"/>
        <v>20.575443830580816</v>
      </c>
      <c r="F11" s="83">
        <v>0.80407186218066207</v>
      </c>
      <c r="G11" s="24" t="str">
        <f>+IF(SUM(Tabla810[[#This Row],[Ocupada M1]:[Ocupada M2]])&gt;0,"", IF(Tabla810[[#This Row],[Aleatorio 2]]&lt;$G$2,1,2))</f>
        <v/>
      </c>
      <c r="H11" s="24">
        <f>IF(SUM(Tabla810[[#This Row],[Ocupada M1]:[Ocupada M2]])=0, "", IF(Tabla810[[#This Row],[TLM1]]&lt;Tabla810[[#This Row],[TLM2]],1,2))</f>
        <v>2</v>
      </c>
      <c r="I11" s="24">
        <f>+SUM(Tabla810[[#This Row],[quien si empate]:[quien sin empate]])</f>
        <v>2</v>
      </c>
      <c r="J11" s="24">
        <f>+IF(Tabla810[[#This Row],[HLL]]&lt;Tabla810[[#This Row],[TLM1]],1,0)</f>
        <v>1</v>
      </c>
      <c r="K11" s="24">
        <f>+IF(Tabla810[[#This Row],[HLL]]&lt;Tabla810[[#This Row],[TLM2]],1,0)</f>
        <v>1</v>
      </c>
      <c r="L11" s="24">
        <f>+MAX($S$5:S10)</f>
        <v>22.792227022024907</v>
      </c>
      <c r="M11" s="24">
        <f>+MAX($T$5:T10)</f>
        <v>21.952207678002729</v>
      </c>
      <c r="N11" s="24" t="str">
        <f>+IF(Tabla810[[#This Row],[Quien]]=1,MAX(Tabla810[[#This Row],[TLM1]],Tabla810[[#This Row],[HLL]]),"")</f>
        <v/>
      </c>
      <c r="O11" s="24">
        <f>+IF(Tabla810[[#This Row],[Quien]]=2,MAX(Tabla810[[#This Row],[TLM2]],Tabla810[[#This Row],[HLL]]),"")</f>
        <v>21.952207678002729</v>
      </c>
      <c r="P11" s="24">
        <v>0.97889112535579503</v>
      </c>
      <c r="Q11" s="24" t="str">
        <f>+IF(Tabla810[[#This Row],[Quien]]=1,2+2*Tabla810[[#This Row],[Aleatorios]],"")</f>
        <v/>
      </c>
      <c r="R11" s="24">
        <f>+IF(Tabla810[[#This Row],[Quien]]=2,2+2*Tabla810[[#This Row],[Aleatorios]],"")</f>
        <v>3.9577822507115901</v>
      </c>
      <c r="S11" s="24" t="str">
        <f>+IF(Tabla810[[#This Row],[Quien]]=1,Tabla810[[#This Row],[Entrada M1]]+Tabla810[[#This Row],[Tiempo M1]],"")</f>
        <v/>
      </c>
      <c r="T11" s="24">
        <f>+IF(Tabla810[[#This Row],[Quien]]=2,Tabla810[[#This Row],[Entrada M2]]+Tabla810[[#This Row],[Tiempo M2]],"")</f>
        <v>25.909989928714317</v>
      </c>
      <c r="U11" s="24">
        <f>+SUM(Tabla810[[#This Row],[Salida M1]:[Salida M2]])</f>
        <v>25.909989928714317</v>
      </c>
      <c r="X11" t="s">
        <v>135</v>
      </c>
      <c r="Y11" t="s">
        <v>136</v>
      </c>
      <c r="Z11" t="s">
        <v>137</v>
      </c>
      <c r="AA11" s="86" t="s">
        <v>164</v>
      </c>
    </row>
    <row r="12" spans="3:30" x14ac:dyDescent="0.25">
      <c r="C12" s="24">
        <v>8</v>
      </c>
      <c r="D12" s="83">
        <v>3.1434494473516796</v>
      </c>
      <c r="E12" s="83">
        <f t="shared" si="0"/>
        <v>23.718893277932494</v>
      </c>
      <c r="F12" s="83">
        <v>0.99737590711897073</v>
      </c>
      <c r="G12" s="24" t="str">
        <f>+IF(SUM(Tabla810[[#This Row],[Ocupada M1]:[Ocupada M2]])&gt;0,"", IF(Tabla810[[#This Row],[Aleatorio 2]]&lt;$G$2,1,2))</f>
        <v/>
      </c>
      <c r="H12" s="24">
        <f>IF(SUM(Tabla810[[#This Row],[Ocupada M1]:[Ocupada M2]])=0, "", IF(Tabla810[[#This Row],[TLM1]]&lt;Tabla810[[#This Row],[TLM2]],1,2))</f>
        <v>1</v>
      </c>
      <c r="I12" s="24">
        <f>+SUM(Tabla810[[#This Row],[quien si empate]:[quien sin empate]])</f>
        <v>1</v>
      </c>
      <c r="J12" s="24">
        <f>+IF(Tabla810[[#This Row],[HLL]]&lt;Tabla810[[#This Row],[TLM1]],1,0)</f>
        <v>0</v>
      </c>
      <c r="K12" s="24">
        <f>+IF(Tabla810[[#This Row],[HLL]]&lt;Tabla810[[#This Row],[TLM2]],1,0)</f>
        <v>1</v>
      </c>
      <c r="L12" s="24">
        <f>+MAX($S$5:S11)</f>
        <v>22.792227022024907</v>
      </c>
      <c r="M12" s="24">
        <f>+MAX($T$5:T11)</f>
        <v>25.909989928714317</v>
      </c>
      <c r="N12" s="24">
        <f>+IF(Tabla810[[#This Row],[Quien]]=1,MAX(Tabla810[[#This Row],[TLM1]],Tabla810[[#This Row],[HLL]]),"")</f>
        <v>23.718893277932494</v>
      </c>
      <c r="O12" s="24" t="str">
        <f>+IF(Tabla810[[#This Row],[Quien]]=2,MAX(Tabla810[[#This Row],[TLM2]],Tabla810[[#This Row],[HLL]]),"")</f>
        <v/>
      </c>
      <c r="P12" s="24">
        <v>0.21571982596892403</v>
      </c>
      <c r="Q12" s="24">
        <f>+IF(Tabla810[[#This Row],[Quien]]=1,2+2*Tabla810[[#This Row],[Aleatorios]],"")</f>
        <v>2.4314396519378478</v>
      </c>
      <c r="R12" s="24" t="str">
        <f>+IF(Tabla810[[#This Row],[Quien]]=2,2+2*Tabla810[[#This Row],[Aleatorios]],"")</f>
        <v/>
      </c>
      <c r="S12" s="24">
        <f>+IF(Tabla810[[#This Row],[Quien]]=1,Tabla810[[#This Row],[Entrada M1]]+Tabla810[[#This Row],[Tiempo M1]],"")</f>
        <v>26.150332929870341</v>
      </c>
      <c r="T12" s="24" t="str">
        <f>+IF(Tabla810[[#This Row],[Quien]]=2,Tabla810[[#This Row],[Entrada M2]]+Tabla810[[#This Row],[Tiempo M2]],"")</f>
        <v/>
      </c>
      <c r="U12" s="24">
        <f>+SUM(Tabla810[[#This Row],[Salida M1]:[Salida M2]])</f>
        <v>26.150332929870341</v>
      </c>
    </row>
    <row r="13" spans="3:30" x14ac:dyDescent="0.25">
      <c r="C13" s="24">
        <v>9</v>
      </c>
      <c r="D13" s="83">
        <v>2.8706706564964306</v>
      </c>
      <c r="E13" s="83">
        <f t="shared" si="0"/>
        <v>26.589563934428924</v>
      </c>
      <c r="F13" s="83">
        <v>0.96994375418701062</v>
      </c>
      <c r="G13" s="24">
        <f>+IF(SUM(Tabla810[[#This Row],[Ocupada M1]:[Ocupada M2]])&gt;0,"", IF(Tabla810[[#This Row],[Aleatorio 2]]&lt;$G$2,1,2))</f>
        <v>2</v>
      </c>
      <c r="H13" s="24" t="str">
        <f>IF(SUM(Tabla810[[#This Row],[Ocupada M1]:[Ocupada M2]])=0, "", IF(Tabla810[[#This Row],[TLM1]]&lt;Tabla810[[#This Row],[TLM2]],1,2))</f>
        <v/>
      </c>
      <c r="I13" s="24">
        <f>+SUM(Tabla810[[#This Row],[quien si empate]:[quien sin empate]])</f>
        <v>2</v>
      </c>
      <c r="J13" s="24">
        <f>+IF(Tabla810[[#This Row],[HLL]]&lt;Tabla810[[#This Row],[TLM1]],1,0)</f>
        <v>0</v>
      </c>
      <c r="K13" s="24">
        <f>+IF(Tabla810[[#This Row],[HLL]]&lt;Tabla810[[#This Row],[TLM2]],1,0)</f>
        <v>0</v>
      </c>
      <c r="L13" s="24">
        <f>+MAX($S$5:S12)</f>
        <v>26.150332929870341</v>
      </c>
      <c r="M13" s="24">
        <f>+MAX($T$5:T12)</f>
        <v>25.909989928714317</v>
      </c>
      <c r="N13" s="24" t="str">
        <f>+IF(Tabla810[[#This Row],[Quien]]=1,MAX(Tabla810[[#This Row],[TLM1]],Tabla810[[#This Row],[HLL]]),"")</f>
        <v/>
      </c>
      <c r="O13" s="24">
        <f>+IF(Tabla810[[#This Row],[Quien]]=2,MAX(Tabla810[[#This Row],[TLM2]],Tabla810[[#This Row],[HLL]]),"")</f>
        <v>26.589563934428924</v>
      </c>
      <c r="P13" s="24">
        <v>0.77151927339547544</v>
      </c>
      <c r="Q13" s="24" t="str">
        <f>+IF(Tabla810[[#This Row],[Quien]]=1,2+2*Tabla810[[#This Row],[Aleatorios]],"")</f>
        <v/>
      </c>
      <c r="R13" s="24">
        <f>+IF(Tabla810[[#This Row],[Quien]]=2,2+2*Tabla810[[#This Row],[Aleatorios]],"")</f>
        <v>3.5430385467909509</v>
      </c>
      <c r="S13" s="24" t="str">
        <f>+IF(Tabla810[[#This Row],[Quien]]=1,Tabla810[[#This Row],[Entrada M1]]+Tabla810[[#This Row],[Tiempo M1]],"")</f>
        <v/>
      </c>
      <c r="T13" s="24">
        <f>+IF(Tabla810[[#This Row],[Quien]]=2,Tabla810[[#This Row],[Entrada M2]]+Tabla810[[#This Row],[Tiempo M2]],"")</f>
        <v>30.132602481219873</v>
      </c>
      <c r="U13" s="24">
        <f>+SUM(Tabla810[[#This Row],[Salida M1]:[Salida M2]])</f>
        <v>30.132602481219873</v>
      </c>
      <c r="X13" s="41" t="s">
        <v>138</v>
      </c>
      <c r="Y13" s="41" t="s">
        <v>162</v>
      </c>
      <c r="Z13" s="41" t="s">
        <v>163</v>
      </c>
      <c r="AA13" s="25" t="s">
        <v>165</v>
      </c>
      <c r="AB13" s="41" t="s">
        <v>150</v>
      </c>
      <c r="AC13" s="93" t="s">
        <v>169</v>
      </c>
    </row>
    <row r="14" spans="3:30" x14ac:dyDescent="0.25">
      <c r="C14" s="24">
        <v>10</v>
      </c>
      <c r="D14" s="83">
        <v>3.6581939961585377</v>
      </c>
      <c r="E14" s="83">
        <f t="shared" si="0"/>
        <v>30.247757930587461</v>
      </c>
      <c r="F14" s="83">
        <v>0.81926959309113589</v>
      </c>
      <c r="G14" s="24">
        <f>+IF(SUM(Tabla810[[#This Row],[Ocupada M1]:[Ocupada M2]])&gt;0,"", IF(Tabla810[[#This Row],[Aleatorio 2]]&lt;$G$2,1,2))</f>
        <v>2</v>
      </c>
      <c r="H14" s="24" t="str">
        <f>IF(SUM(Tabla810[[#This Row],[Ocupada M1]:[Ocupada M2]])=0, "", IF(Tabla810[[#This Row],[TLM1]]&lt;Tabla810[[#This Row],[TLM2]],1,2))</f>
        <v/>
      </c>
      <c r="I14" s="24">
        <f>+SUM(Tabla810[[#This Row],[quien si empate]:[quien sin empate]])</f>
        <v>2</v>
      </c>
      <c r="J14" s="24">
        <f>+IF(Tabla810[[#This Row],[HLL]]&lt;Tabla810[[#This Row],[TLM1]],1,0)</f>
        <v>0</v>
      </c>
      <c r="K14" s="24">
        <f>+IF(Tabla810[[#This Row],[HLL]]&lt;Tabla810[[#This Row],[TLM2]],1,0)</f>
        <v>0</v>
      </c>
      <c r="L14" s="24">
        <f>+MAX($S$5:S13)</f>
        <v>26.150332929870341</v>
      </c>
      <c r="M14" s="24">
        <f>+MAX($T$5:T13)</f>
        <v>30.132602481219873</v>
      </c>
      <c r="N14" s="24" t="str">
        <f>+IF(Tabla810[[#This Row],[Quien]]=1,MAX(Tabla810[[#This Row],[TLM1]],Tabla810[[#This Row],[HLL]]),"")</f>
        <v/>
      </c>
      <c r="O14" s="24">
        <f>+IF(Tabla810[[#This Row],[Quien]]=2,MAX(Tabla810[[#This Row],[TLM2]],Tabla810[[#This Row],[HLL]]),"")</f>
        <v>30.247757930587461</v>
      </c>
      <c r="P14" s="24">
        <v>0.75617036912762703</v>
      </c>
      <c r="Q14" s="24" t="str">
        <f>+IF(Tabla810[[#This Row],[Quien]]=1,2+2*Tabla810[[#This Row],[Aleatorios]],"")</f>
        <v/>
      </c>
      <c r="R14" s="24">
        <f>+IF(Tabla810[[#This Row],[Quien]]=2,2+2*Tabla810[[#This Row],[Aleatorios]],"")</f>
        <v>3.5123407382552543</v>
      </c>
      <c r="S14" s="24" t="str">
        <f>+IF(Tabla810[[#This Row],[Quien]]=1,Tabla810[[#This Row],[Entrada M1]]+Tabla810[[#This Row],[Tiempo M1]],"")</f>
        <v/>
      </c>
      <c r="T14" s="24">
        <f>+IF(Tabla810[[#This Row],[Quien]]=2,Tabla810[[#This Row],[Entrada M2]]+Tabla810[[#This Row],[Tiempo M2]],"")</f>
        <v>33.760098668842716</v>
      </c>
      <c r="U14" s="24">
        <f>+SUM(Tabla810[[#This Row],[Salida M1]:[Salida M2]])</f>
        <v>33.760098668842716</v>
      </c>
      <c r="W14">
        <v>0</v>
      </c>
      <c r="X14" s="24">
        <v>0</v>
      </c>
      <c r="Y14" s="24">
        <v>0</v>
      </c>
      <c r="Z14" s="24">
        <v>0</v>
      </c>
      <c r="AA14" t="s">
        <v>166</v>
      </c>
      <c r="AB14" t="s">
        <v>167</v>
      </c>
    </row>
    <row r="15" spans="3:30" x14ac:dyDescent="0.25">
      <c r="C15" s="24">
        <v>11</v>
      </c>
      <c r="D15" s="83">
        <v>6.5581595156006225</v>
      </c>
      <c r="E15" s="83">
        <f t="shared" si="0"/>
        <v>36.805917446188083</v>
      </c>
      <c r="F15" s="83">
        <v>6.1604691467297301E-2</v>
      </c>
      <c r="G15" s="24">
        <f>+IF(SUM(Tabla810[[#This Row],[Ocupada M1]:[Ocupada M2]])&gt;0,"", IF(Tabla810[[#This Row],[Aleatorio 2]]&lt;$G$2,1,2))</f>
        <v>1</v>
      </c>
      <c r="H15" s="24" t="str">
        <f>IF(SUM(Tabla810[[#This Row],[Ocupada M1]:[Ocupada M2]])=0, "", IF(Tabla810[[#This Row],[TLM1]]&lt;Tabla810[[#This Row],[TLM2]],1,2))</f>
        <v/>
      </c>
      <c r="I15" s="24">
        <f>+SUM(Tabla810[[#This Row],[quien si empate]:[quien sin empate]])</f>
        <v>1</v>
      </c>
      <c r="J15" s="24">
        <f>+IF(Tabla810[[#This Row],[HLL]]&lt;Tabla810[[#This Row],[TLM1]],1,0)</f>
        <v>0</v>
      </c>
      <c r="K15" s="24">
        <f>+IF(Tabla810[[#This Row],[HLL]]&lt;Tabla810[[#This Row],[TLM2]],1,0)</f>
        <v>0</v>
      </c>
      <c r="L15" s="24">
        <f>+MAX($S$5:S14)</f>
        <v>26.150332929870341</v>
      </c>
      <c r="M15" s="24">
        <f>+MAX($T$5:T14)</f>
        <v>33.760098668842716</v>
      </c>
      <c r="N15" s="24">
        <f>+IF(Tabla810[[#This Row],[Quien]]=1,MAX(Tabla810[[#This Row],[TLM1]],Tabla810[[#This Row],[HLL]]),"")</f>
        <v>36.805917446188083</v>
      </c>
      <c r="O15" s="24" t="str">
        <f>+IF(Tabla810[[#This Row],[Quien]]=2,MAX(Tabla810[[#This Row],[TLM2]],Tabla810[[#This Row],[HLL]]),"")</f>
        <v/>
      </c>
      <c r="P15" s="24">
        <v>0.67316682776248271</v>
      </c>
      <c r="Q15" s="24">
        <f>+IF(Tabla810[[#This Row],[Quien]]=1,2+2*Tabla810[[#This Row],[Aleatorios]],"")</f>
        <v>3.3463336555249654</v>
      </c>
      <c r="R15" s="24" t="str">
        <f>+IF(Tabla810[[#This Row],[Quien]]=2,2+2*Tabla810[[#This Row],[Aleatorios]],"")</f>
        <v/>
      </c>
      <c r="S15" s="24">
        <f>+IF(Tabla810[[#This Row],[Quien]]=1,Tabla810[[#This Row],[Entrada M1]]+Tabla810[[#This Row],[Tiempo M1]],"")</f>
        <v>40.152251101713048</v>
      </c>
      <c r="T15" s="24" t="str">
        <f>+IF(Tabla810[[#This Row],[Quien]]=2,Tabla810[[#This Row],[Entrada M2]]+Tabla810[[#This Row],[Tiempo M2]],"")</f>
        <v/>
      </c>
      <c r="U15" s="24">
        <f>+SUM(Tabla810[[#This Row],[Salida M1]:[Salida M2]])</f>
        <v>40.152251101713048</v>
      </c>
      <c r="W15">
        <v>1</v>
      </c>
      <c r="X15" s="92">
        <v>0</v>
      </c>
      <c r="Y15" s="92">
        <v>0</v>
      </c>
      <c r="Z15" s="92">
        <v>1</v>
      </c>
      <c r="AA15" t="s">
        <v>166</v>
      </c>
      <c r="AB15" t="s">
        <v>167</v>
      </c>
    </row>
    <row r="16" spans="3:30" x14ac:dyDescent="0.25">
      <c r="C16" s="24">
        <v>12</v>
      </c>
      <c r="D16" s="83">
        <v>24.022988815480812</v>
      </c>
      <c r="E16" s="83">
        <f t="shared" si="0"/>
        <v>60.828906261668891</v>
      </c>
      <c r="F16" s="83">
        <v>0.31065582434949346</v>
      </c>
      <c r="G16" s="24">
        <f>+IF(SUM(Tabla810[[#This Row],[Ocupada M1]:[Ocupada M2]])&gt;0,"", IF(Tabla810[[#This Row],[Aleatorio 2]]&lt;$G$2,1,2))</f>
        <v>2</v>
      </c>
      <c r="H16" s="24" t="str">
        <f>IF(SUM(Tabla810[[#This Row],[Ocupada M1]:[Ocupada M2]])=0, "", IF(Tabla810[[#This Row],[TLM1]]&lt;Tabla810[[#This Row],[TLM2]],1,2))</f>
        <v/>
      </c>
      <c r="I16" s="24">
        <f>+SUM(Tabla810[[#This Row],[quien si empate]:[quien sin empate]])</f>
        <v>2</v>
      </c>
      <c r="J16" s="24">
        <f>+IF(Tabla810[[#This Row],[HLL]]&lt;Tabla810[[#This Row],[TLM1]],1,0)</f>
        <v>0</v>
      </c>
      <c r="K16" s="24">
        <f>+IF(Tabla810[[#This Row],[HLL]]&lt;Tabla810[[#This Row],[TLM2]],1,0)</f>
        <v>0</v>
      </c>
      <c r="L16" s="24">
        <f>+MAX($S$5:S15)</f>
        <v>40.152251101713048</v>
      </c>
      <c r="M16" s="24">
        <f>+MAX($T$5:T15)</f>
        <v>33.760098668842716</v>
      </c>
      <c r="N16" s="24" t="str">
        <f>+IF(Tabla810[[#This Row],[Quien]]=1,MAX(Tabla810[[#This Row],[TLM1]],Tabla810[[#This Row],[HLL]]),"")</f>
        <v/>
      </c>
      <c r="O16" s="24">
        <f>+IF(Tabla810[[#This Row],[Quien]]=2,MAX(Tabla810[[#This Row],[TLM2]],Tabla810[[#This Row],[HLL]]),"")</f>
        <v>60.828906261668891</v>
      </c>
      <c r="P16" s="24">
        <v>8.6693660027582609E-2</v>
      </c>
      <c r="Q16" s="24" t="str">
        <f>+IF(Tabla810[[#This Row],[Quien]]=1,2+2*Tabla810[[#This Row],[Aleatorios]],"")</f>
        <v/>
      </c>
      <c r="R16" s="24">
        <f>+IF(Tabla810[[#This Row],[Quien]]=2,2+2*Tabla810[[#This Row],[Aleatorios]],"")</f>
        <v>2.1733873200551654</v>
      </c>
      <c r="S16" s="24" t="str">
        <f>+IF(Tabla810[[#This Row],[Quien]]=1,Tabla810[[#This Row],[Entrada M1]]+Tabla810[[#This Row],[Tiempo M1]],"")</f>
        <v/>
      </c>
      <c r="T16" s="24">
        <f>+IF(Tabla810[[#This Row],[Quien]]=2,Tabla810[[#This Row],[Entrada M2]]+Tabla810[[#This Row],[Tiempo M2]],"")</f>
        <v>63.002293581724054</v>
      </c>
      <c r="U16" s="24">
        <f>+SUM(Tabla810[[#This Row],[Salida M1]:[Salida M2]])</f>
        <v>63.002293581724054</v>
      </c>
      <c r="W16">
        <v>1</v>
      </c>
      <c r="X16" s="92">
        <v>0</v>
      </c>
      <c r="Y16" s="92">
        <v>1</v>
      </c>
      <c r="Z16" s="92">
        <v>0</v>
      </c>
      <c r="AA16" t="s">
        <v>166</v>
      </c>
      <c r="AB16" t="s">
        <v>167</v>
      </c>
    </row>
    <row r="17" spans="3:29" x14ac:dyDescent="0.25">
      <c r="C17" s="24">
        <v>13</v>
      </c>
      <c r="D17" s="83">
        <v>1.0063463619062472</v>
      </c>
      <c r="E17" s="83">
        <f t="shared" si="0"/>
        <v>61.835252623575137</v>
      </c>
      <c r="F17" s="83">
        <v>0.22501009951078932</v>
      </c>
      <c r="G17" s="24" t="str">
        <f>+IF(SUM(Tabla810[[#This Row],[Ocupada M1]:[Ocupada M2]])&gt;0,"", IF(Tabla810[[#This Row],[Aleatorio 2]]&lt;$G$2,1,2))</f>
        <v/>
      </c>
      <c r="H17" s="24">
        <f>IF(SUM(Tabla810[[#This Row],[Ocupada M1]:[Ocupada M2]])=0, "", IF(Tabla810[[#This Row],[TLM1]]&lt;Tabla810[[#This Row],[TLM2]],1,2))</f>
        <v>1</v>
      </c>
      <c r="I17" s="24">
        <f>+SUM(Tabla810[[#This Row],[quien si empate]:[quien sin empate]])</f>
        <v>1</v>
      </c>
      <c r="J17" s="24">
        <f>+IF(Tabla810[[#This Row],[HLL]]&lt;Tabla810[[#This Row],[TLM1]],1,0)</f>
        <v>0</v>
      </c>
      <c r="K17" s="24">
        <f>+IF(Tabla810[[#This Row],[HLL]]&lt;Tabla810[[#This Row],[TLM2]],1,0)</f>
        <v>1</v>
      </c>
      <c r="L17" s="24">
        <f>+MAX($S$5:S16)</f>
        <v>40.152251101713048</v>
      </c>
      <c r="M17" s="24">
        <f>+MAX($T$5:T16)</f>
        <v>63.002293581724054</v>
      </c>
      <c r="N17" s="24">
        <f>+IF(Tabla810[[#This Row],[Quien]]=1,MAX(Tabla810[[#This Row],[TLM1]],Tabla810[[#This Row],[HLL]]),"")</f>
        <v>61.835252623575137</v>
      </c>
      <c r="O17" s="24" t="str">
        <f>+IF(Tabla810[[#This Row],[Quien]]=2,MAX(Tabla810[[#This Row],[TLM2]],Tabla810[[#This Row],[HLL]]),"")</f>
        <v/>
      </c>
      <c r="P17" s="24">
        <v>0.50056622381112881</v>
      </c>
      <c r="Q17" s="24">
        <f>+IF(Tabla810[[#This Row],[Quien]]=1,2+2*Tabla810[[#This Row],[Aleatorios]],"")</f>
        <v>3.0011324476222576</v>
      </c>
      <c r="R17" s="24" t="str">
        <f>+IF(Tabla810[[#This Row],[Quien]]=2,2+2*Tabla810[[#This Row],[Aleatorios]],"")</f>
        <v/>
      </c>
      <c r="S17" s="24">
        <f>+IF(Tabla810[[#This Row],[Quien]]=1,Tabla810[[#This Row],[Entrada M1]]+Tabla810[[#This Row],[Tiempo M1]],"")</f>
        <v>64.836385071197398</v>
      </c>
      <c r="T17" s="24" t="str">
        <f>+IF(Tabla810[[#This Row],[Quien]]=2,Tabla810[[#This Row],[Entrada M2]]+Tabla810[[#This Row],[Tiempo M2]],"")</f>
        <v/>
      </c>
      <c r="U17" s="24">
        <f>+SUM(Tabla810[[#This Row],[Salida M1]:[Salida M2]])</f>
        <v>64.836385071197398</v>
      </c>
      <c r="W17">
        <v>2</v>
      </c>
      <c r="X17" s="24">
        <v>0</v>
      </c>
      <c r="Y17" s="24">
        <v>1</v>
      </c>
      <c r="Z17" s="24">
        <v>1</v>
      </c>
      <c r="AA17" t="s">
        <v>168</v>
      </c>
      <c r="AC17" t="s">
        <v>170</v>
      </c>
    </row>
    <row r="18" spans="3:29" x14ac:dyDescent="0.25">
      <c r="C18" s="24">
        <v>14</v>
      </c>
      <c r="D18" s="83">
        <v>0.99558488632152509</v>
      </c>
      <c r="E18" s="83">
        <f t="shared" si="0"/>
        <v>62.830837509896661</v>
      </c>
      <c r="F18" s="83">
        <v>0.55385247597415677</v>
      </c>
      <c r="G18" s="24" t="str">
        <f>+IF(SUM(Tabla810[[#This Row],[Ocupada M1]:[Ocupada M2]])&gt;0,"", IF(Tabla810[[#This Row],[Aleatorio 2]]&lt;$G$2,1,2))</f>
        <v/>
      </c>
      <c r="H18" s="24">
        <f>IF(SUM(Tabla810[[#This Row],[Ocupada M1]:[Ocupada M2]])=0, "", IF(Tabla810[[#This Row],[TLM1]]&lt;Tabla810[[#This Row],[TLM2]],1,2))</f>
        <v>2</v>
      </c>
      <c r="I18" s="24">
        <f>+SUM(Tabla810[[#This Row],[quien si empate]:[quien sin empate]])</f>
        <v>2</v>
      </c>
      <c r="J18" s="24">
        <f>+IF(Tabla810[[#This Row],[HLL]]&lt;Tabla810[[#This Row],[TLM1]],1,0)</f>
        <v>1</v>
      </c>
      <c r="K18" s="24">
        <f>+IF(Tabla810[[#This Row],[HLL]]&lt;Tabla810[[#This Row],[TLM2]],1,0)</f>
        <v>1</v>
      </c>
      <c r="L18" s="24">
        <f>+MAX($S$5:S17)</f>
        <v>64.836385071197398</v>
      </c>
      <c r="M18" s="24">
        <f>+MAX($T$5:T17)</f>
        <v>63.002293581724054</v>
      </c>
      <c r="N18" s="24" t="str">
        <f>+IF(Tabla810[[#This Row],[Quien]]=1,MAX(Tabla810[[#This Row],[TLM1]],Tabla810[[#This Row],[HLL]]),"")</f>
        <v/>
      </c>
      <c r="O18" s="24">
        <f>+IF(Tabla810[[#This Row],[Quien]]=2,MAX(Tabla810[[#This Row],[TLM2]],Tabla810[[#This Row],[HLL]]),"")</f>
        <v>63.002293581724054</v>
      </c>
      <c r="P18" s="24">
        <v>8.6644056548451087E-2</v>
      </c>
      <c r="Q18" s="24" t="str">
        <f>+IF(Tabla810[[#This Row],[Quien]]=1,2+2*Tabla810[[#This Row],[Aleatorios]],"")</f>
        <v/>
      </c>
      <c r="R18" s="24">
        <f>+IF(Tabla810[[#This Row],[Quien]]=2,2+2*Tabla810[[#This Row],[Aleatorios]],"")</f>
        <v>2.173288113096902</v>
      </c>
      <c r="S18" s="24" t="str">
        <f>+IF(Tabla810[[#This Row],[Quien]]=1,Tabla810[[#This Row],[Entrada M1]]+Tabla810[[#This Row],[Tiempo M1]],"")</f>
        <v/>
      </c>
      <c r="T18" s="24">
        <f>+IF(Tabla810[[#This Row],[Quien]]=2,Tabla810[[#This Row],[Entrada M2]]+Tabla810[[#This Row],[Tiempo M2]],"")</f>
        <v>65.175581694820949</v>
      </c>
      <c r="U18" s="24">
        <f>+SUM(Tabla810[[#This Row],[Salida M1]:[Salida M2]])</f>
        <v>65.175581694820949</v>
      </c>
      <c r="W18">
        <v>1</v>
      </c>
      <c r="X18" s="92">
        <v>1</v>
      </c>
      <c r="Y18" s="92">
        <v>0</v>
      </c>
      <c r="Z18" s="92">
        <v>0</v>
      </c>
      <c r="AA18" t="s">
        <v>166</v>
      </c>
      <c r="AB18" t="s">
        <v>167</v>
      </c>
    </row>
    <row r="19" spans="3:29" x14ac:dyDescent="0.25">
      <c r="C19" s="24">
        <v>15</v>
      </c>
      <c r="D19" s="83">
        <v>1.0850414584835886</v>
      </c>
      <c r="E19" s="83">
        <f t="shared" si="0"/>
        <v>63.915878968380248</v>
      </c>
      <c r="F19" s="83">
        <v>0.77967924415858114</v>
      </c>
      <c r="G19" s="24" t="str">
        <f>+IF(SUM(Tabla810[[#This Row],[Ocupada M1]:[Ocupada M2]])&gt;0,"", IF(Tabla810[[#This Row],[Aleatorio 2]]&lt;$G$2,1,2))</f>
        <v/>
      </c>
      <c r="H19" s="24">
        <f>IF(SUM(Tabla810[[#This Row],[Ocupada M1]:[Ocupada M2]])=0, "", IF(Tabla810[[#This Row],[TLM1]]&lt;Tabla810[[#This Row],[TLM2]],1,2))</f>
        <v>1</v>
      </c>
      <c r="I19" s="24">
        <f>+SUM(Tabla810[[#This Row],[quien si empate]:[quien sin empate]])</f>
        <v>1</v>
      </c>
      <c r="J19" s="24">
        <f>+IF(Tabla810[[#This Row],[HLL]]&lt;Tabla810[[#This Row],[TLM1]],1,0)</f>
        <v>1</v>
      </c>
      <c r="K19" s="24">
        <f>+IF(Tabla810[[#This Row],[HLL]]&lt;Tabla810[[#This Row],[TLM2]],1,0)</f>
        <v>1</v>
      </c>
      <c r="L19" s="24">
        <f>+MAX($S$5:S18)</f>
        <v>64.836385071197398</v>
      </c>
      <c r="M19" s="24">
        <f>+MAX($T$5:T18)</f>
        <v>65.175581694820949</v>
      </c>
      <c r="N19" s="24">
        <f>+IF(Tabla810[[#This Row],[Quien]]=1,MAX(Tabla810[[#This Row],[TLM1]],Tabla810[[#This Row],[HLL]]),"")</f>
        <v>64.836385071197398</v>
      </c>
      <c r="O19" s="24" t="str">
        <f>+IF(Tabla810[[#This Row],[Quien]]=2,MAX(Tabla810[[#This Row],[TLM2]],Tabla810[[#This Row],[HLL]]),"")</f>
        <v/>
      </c>
      <c r="P19" s="24">
        <v>0.23095638231729132</v>
      </c>
      <c r="Q19" s="24">
        <f>+IF(Tabla810[[#This Row],[Quien]]=1,2+2*Tabla810[[#This Row],[Aleatorios]],"")</f>
        <v>2.4619127646345826</v>
      </c>
      <c r="R19" s="24" t="str">
        <f>+IF(Tabla810[[#This Row],[Quien]]=2,2+2*Tabla810[[#This Row],[Aleatorios]],"")</f>
        <v/>
      </c>
      <c r="S19" s="24">
        <f>+IF(Tabla810[[#This Row],[Quien]]=1,Tabla810[[#This Row],[Entrada M1]]+Tabla810[[#This Row],[Tiempo M1]],"")</f>
        <v>67.298297835831974</v>
      </c>
      <c r="T19" s="24" t="str">
        <f>+IF(Tabla810[[#This Row],[Quien]]=2,Tabla810[[#This Row],[Entrada M2]]+Tabla810[[#This Row],[Tiempo M2]],"")</f>
        <v/>
      </c>
      <c r="U19" s="24">
        <f>+SUM(Tabla810[[#This Row],[Salida M1]:[Salida M2]])</f>
        <v>67.298297835831974</v>
      </c>
      <c r="W19">
        <v>2</v>
      </c>
      <c r="X19" s="24">
        <v>1</v>
      </c>
      <c r="Y19" s="24">
        <v>0</v>
      </c>
      <c r="Z19" s="24">
        <v>1</v>
      </c>
      <c r="AA19" t="s">
        <v>168</v>
      </c>
      <c r="AC19" t="s">
        <v>170</v>
      </c>
    </row>
    <row r="20" spans="3:29" x14ac:dyDescent="0.25">
      <c r="C20" s="24">
        <v>16</v>
      </c>
      <c r="D20" s="83">
        <v>0.38592557999279953</v>
      </c>
      <c r="E20" s="83">
        <f t="shared" si="0"/>
        <v>64.301804548373042</v>
      </c>
      <c r="F20" s="83">
        <v>0.6142298283331098</v>
      </c>
      <c r="G20" s="24" t="str">
        <f>+IF(SUM(Tabla810[[#This Row],[Ocupada M1]:[Ocupada M2]])&gt;0,"", IF(Tabla810[[#This Row],[Aleatorio 2]]&lt;$G$2,1,2))</f>
        <v/>
      </c>
      <c r="H20" s="24">
        <f>IF(SUM(Tabla810[[#This Row],[Ocupada M1]:[Ocupada M2]])=0, "", IF(Tabla810[[#This Row],[TLM1]]&lt;Tabla810[[#This Row],[TLM2]],1,2))</f>
        <v>2</v>
      </c>
      <c r="I20" s="24">
        <f>+SUM(Tabla810[[#This Row],[quien si empate]:[quien sin empate]])</f>
        <v>2</v>
      </c>
      <c r="J20" s="24">
        <f>+IF(Tabla810[[#This Row],[HLL]]&lt;Tabla810[[#This Row],[TLM1]],1,0)</f>
        <v>1</v>
      </c>
      <c r="K20" s="24">
        <f>+IF(Tabla810[[#This Row],[HLL]]&lt;Tabla810[[#This Row],[TLM2]],1,0)</f>
        <v>1</v>
      </c>
      <c r="L20" s="24">
        <f>+MAX($S$5:S19)</f>
        <v>67.298297835831974</v>
      </c>
      <c r="M20" s="24">
        <f>+MAX($T$5:T19)</f>
        <v>65.175581694820949</v>
      </c>
      <c r="N20" s="24" t="str">
        <f>+IF(Tabla810[[#This Row],[Quien]]=1,MAX(Tabla810[[#This Row],[TLM1]],Tabla810[[#This Row],[HLL]]),"")</f>
        <v/>
      </c>
      <c r="O20" s="24">
        <f>+IF(Tabla810[[#This Row],[Quien]]=2,MAX(Tabla810[[#This Row],[TLM2]],Tabla810[[#This Row],[HLL]]),"")</f>
        <v>65.175581694820949</v>
      </c>
      <c r="P20" s="24">
        <v>0.44123869747614786</v>
      </c>
      <c r="Q20" s="24" t="str">
        <f>+IF(Tabla810[[#This Row],[Quien]]=1,2+2*Tabla810[[#This Row],[Aleatorios]],"")</f>
        <v/>
      </c>
      <c r="R20" s="24">
        <f>+IF(Tabla810[[#This Row],[Quien]]=2,2+2*Tabla810[[#This Row],[Aleatorios]],"")</f>
        <v>2.8824773949522955</v>
      </c>
      <c r="S20" s="24" t="str">
        <f>+IF(Tabla810[[#This Row],[Quien]]=1,Tabla810[[#This Row],[Entrada M1]]+Tabla810[[#This Row],[Tiempo M1]],"")</f>
        <v/>
      </c>
      <c r="T20" s="24">
        <f>+IF(Tabla810[[#This Row],[Quien]]=2,Tabla810[[#This Row],[Entrada M2]]+Tabla810[[#This Row],[Tiempo M2]],"")</f>
        <v>68.058059089773238</v>
      </c>
      <c r="U20" s="24">
        <f>+SUM(Tabla810[[#This Row],[Salida M1]:[Salida M2]])</f>
        <v>68.058059089773238</v>
      </c>
      <c r="W20">
        <v>2</v>
      </c>
      <c r="X20" s="24">
        <v>1</v>
      </c>
      <c r="Y20" s="24">
        <v>1</v>
      </c>
      <c r="Z20" s="24">
        <v>0</v>
      </c>
      <c r="AA20" t="s">
        <v>168</v>
      </c>
      <c r="AC20" t="s">
        <v>170</v>
      </c>
    </row>
    <row r="21" spans="3:29" x14ac:dyDescent="0.25">
      <c r="C21" s="24">
        <v>17</v>
      </c>
      <c r="D21" s="83">
        <v>0.11646389068687193</v>
      </c>
      <c r="E21" s="83">
        <f t="shared" si="0"/>
        <v>64.418268439059915</v>
      </c>
      <c r="F21" s="83">
        <v>0.64689568430311928</v>
      </c>
      <c r="G21" s="24" t="str">
        <f>+IF(SUM(Tabla810[[#This Row],[Ocupada M1]:[Ocupada M2]])&gt;0,"", IF(Tabla810[[#This Row],[Aleatorio 2]]&lt;$G$2,1,2))</f>
        <v/>
      </c>
      <c r="H21" s="24">
        <f>IF(SUM(Tabla810[[#This Row],[Ocupada M1]:[Ocupada M2]])=0, "", IF(Tabla810[[#This Row],[TLM1]]&lt;Tabla810[[#This Row],[TLM2]],1,2))</f>
        <v>1</v>
      </c>
      <c r="I21" s="24">
        <f>+SUM(Tabla810[[#This Row],[quien si empate]:[quien sin empate]])</f>
        <v>1</v>
      </c>
      <c r="J21" s="24">
        <f>+IF(Tabla810[[#This Row],[HLL]]&lt;Tabla810[[#This Row],[TLM1]],1,0)</f>
        <v>1</v>
      </c>
      <c r="K21" s="24">
        <f>+IF(Tabla810[[#This Row],[HLL]]&lt;Tabla810[[#This Row],[TLM2]],1,0)</f>
        <v>1</v>
      </c>
      <c r="L21" s="24">
        <f>+MAX($S$5:S20)</f>
        <v>67.298297835831974</v>
      </c>
      <c r="M21" s="24">
        <f>+MAX($T$5:T20)</f>
        <v>68.058059089773238</v>
      </c>
      <c r="N21" s="24">
        <f>+IF(Tabla810[[#This Row],[Quien]]=1,MAX(Tabla810[[#This Row],[TLM1]],Tabla810[[#This Row],[HLL]]),"")</f>
        <v>67.298297835831974</v>
      </c>
      <c r="O21" s="24" t="str">
        <f>+IF(Tabla810[[#This Row],[Quien]]=2,MAX(Tabla810[[#This Row],[TLM2]],Tabla810[[#This Row],[HLL]]),"")</f>
        <v/>
      </c>
      <c r="P21" s="24">
        <v>0.24100758489031782</v>
      </c>
      <c r="Q21" s="24">
        <f>+IF(Tabla810[[#This Row],[Quien]]=1,2+2*Tabla810[[#This Row],[Aleatorios]],"")</f>
        <v>2.4820151697806354</v>
      </c>
      <c r="R21" s="24" t="str">
        <f>+IF(Tabla810[[#This Row],[Quien]]=2,2+2*Tabla810[[#This Row],[Aleatorios]],"")</f>
        <v/>
      </c>
      <c r="S21" s="24">
        <f>+IF(Tabla810[[#This Row],[Quien]]=1,Tabla810[[#This Row],[Entrada M1]]+Tabla810[[#This Row],[Tiempo M1]],"")</f>
        <v>69.780313005612612</v>
      </c>
      <c r="T21" s="24" t="str">
        <f>+IF(Tabla810[[#This Row],[Quien]]=2,Tabla810[[#This Row],[Entrada M2]]+Tabla810[[#This Row],[Tiempo M2]],"")</f>
        <v/>
      </c>
      <c r="U21" s="24">
        <f>+SUM(Tabla810[[#This Row],[Salida M1]:[Salida M2]])</f>
        <v>69.780313005612612</v>
      </c>
      <c r="W21">
        <v>3</v>
      </c>
      <c r="X21" s="24">
        <v>1</v>
      </c>
      <c r="Y21" s="24">
        <v>1</v>
      </c>
      <c r="Z21" s="24">
        <v>1</v>
      </c>
      <c r="AA21" s="41" t="s">
        <v>152</v>
      </c>
      <c r="AC21" t="s">
        <v>170</v>
      </c>
    </row>
    <row r="22" spans="3:29" x14ac:dyDescent="0.25">
      <c r="C22" s="24">
        <v>18</v>
      </c>
      <c r="D22" s="83">
        <v>10.389204368174244</v>
      </c>
      <c r="E22" s="83">
        <f t="shared" si="0"/>
        <v>74.807472807234163</v>
      </c>
      <c r="F22" s="83">
        <v>0.5973468870525438</v>
      </c>
      <c r="G22" s="24">
        <f>+IF(SUM(Tabla810[[#This Row],[Ocupada M1]:[Ocupada M2]])&gt;0,"", IF(Tabla810[[#This Row],[Aleatorio 2]]&lt;$G$2,1,2))</f>
        <v>2</v>
      </c>
      <c r="H22" s="24" t="str">
        <f>IF(SUM(Tabla810[[#This Row],[Ocupada M1]:[Ocupada M2]])=0, "", IF(Tabla810[[#This Row],[TLM1]]&lt;Tabla810[[#This Row],[TLM2]],1,2))</f>
        <v/>
      </c>
      <c r="I22" s="24">
        <f>+SUM(Tabla810[[#This Row],[quien si empate]:[quien sin empate]])</f>
        <v>2</v>
      </c>
      <c r="J22" s="24">
        <f>+IF(Tabla810[[#This Row],[HLL]]&lt;Tabla810[[#This Row],[TLM1]],1,0)</f>
        <v>0</v>
      </c>
      <c r="K22" s="24">
        <f>+IF(Tabla810[[#This Row],[HLL]]&lt;Tabla810[[#This Row],[TLM2]],1,0)</f>
        <v>0</v>
      </c>
      <c r="L22" s="24">
        <f>+MAX($S$5:S21)</f>
        <v>69.780313005612612</v>
      </c>
      <c r="M22" s="24">
        <f>+MAX($T$5:T21)</f>
        <v>68.058059089773238</v>
      </c>
      <c r="N22" s="24" t="str">
        <f>+IF(Tabla810[[#This Row],[Quien]]=1,MAX(Tabla810[[#This Row],[TLM1]],Tabla810[[#This Row],[HLL]]),"")</f>
        <v/>
      </c>
      <c r="O22" s="24">
        <f>+IF(Tabla810[[#This Row],[Quien]]=2,MAX(Tabla810[[#This Row],[TLM2]],Tabla810[[#This Row],[HLL]]),"")</f>
        <v>74.807472807234163</v>
      </c>
      <c r="P22" s="24">
        <v>0.64944946082042765</v>
      </c>
      <c r="Q22" s="24" t="str">
        <f>+IF(Tabla810[[#This Row],[Quien]]=1,2+2*Tabla810[[#This Row],[Aleatorios]],"")</f>
        <v/>
      </c>
      <c r="R22" s="24">
        <f>+IF(Tabla810[[#This Row],[Quien]]=2,2+2*Tabla810[[#This Row],[Aleatorios]],"")</f>
        <v>3.2988989216408555</v>
      </c>
      <c r="S22" s="24" t="str">
        <f>+IF(Tabla810[[#This Row],[Quien]]=1,Tabla810[[#This Row],[Entrada M1]]+Tabla810[[#This Row],[Tiempo M1]],"")</f>
        <v/>
      </c>
      <c r="T22" s="24">
        <f>+IF(Tabla810[[#This Row],[Quien]]=2,Tabla810[[#This Row],[Entrada M2]]+Tabla810[[#This Row],[Tiempo M2]],"")</f>
        <v>78.106371728875018</v>
      </c>
      <c r="U22" s="24">
        <f>+SUM(Tabla810[[#This Row],[Salida M1]:[Salida M2]])</f>
        <v>78.106371728875018</v>
      </c>
    </row>
    <row r="23" spans="3:29" x14ac:dyDescent="0.25">
      <c r="C23" s="24">
        <v>19</v>
      </c>
      <c r="D23" s="83">
        <v>5.8239730528170233</v>
      </c>
      <c r="E23" s="83">
        <f t="shared" si="0"/>
        <v>80.631445860051187</v>
      </c>
      <c r="F23" s="83">
        <v>0.8787584643250933</v>
      </c>
      <c r="G23" s="24">
        <f>+IF(SUM(Tabla810[[#This Row],[Ocupada M1]:[Ocupada M2]])&gt;0,"", IF(Tabla810[[#This Row],[Aleatorio 2]]&lt;$G$2,1,2))</f>
        <v>2</v>
      </c>
      <c r="H23" s="24" t="str">
        <f>IF(SUM(Tabla810[[#This Row],[Ocupada M1]:[Ocupada M2]])=0, "", IF(Tabla810[[#This Row],[TLM1]]&lt;Tabla810[[#This Row],[TLM2]],1,2))</f>
        <v/>
      </c>
      <c r="I23" s="24">
        <f>+SUM(Tabla810[[#This Row],[quien si empate]:[quien sin empate]])</f>
        <v>2</v>
      </c>
      <c r="J23" s="24">
        <f>+IF(Tabla810[[#This Row],[HLL]]&lt;Tabla810[[#This Row],[TLM1]],1,0)</f>
        <v>0</v>
      </c>
      <c r="K23" s="24">
        <f>+IF(Tabla810[[#This Row],[HLL]]&lt;Tabla810[[#This Row],[TLM2]],1,0)</f>
        <v>0</v>
      </c>
      <c r="L23" s="24">
        <f>+MAX($S$5:S22)</f>
        <v>69.780313005612612</v>
      </c>
      <c r="M23" s="24">
        <f>+MAX($T$5:T22)</f>
        <v>78.106371728875018</v>
      </c>
      <c r="N23" s="24" t="str">
        <f>+IF(Tabla810[[#This Row],[Quien]]=1,MAX(Tabla810[[#This Row],[TLM1]],Tabla810[[#This Row],[HLL]]),"")</f>
        <v/>
      </c>
      <c r="O23" s="24">
        <f>+IF(Tabla810[[#This Row],[Quien]]=2,MAX(Tabla810[[#This Row],[TLM2]],Tabla810[[#This Row],[HLL]]),"")</f>
        <v>80.631445860051187</v>
      </c>
      <c r="P23" s="24">
        <v>0.61017935162855841</v>
      </c>
      <c r="Q23" s="24" t="str">
        <f>+IF(Tabla810[[#This Row],[Quien]]=1,2+2*Tabla810[[#This Row],[Aleatorios]],"")</f>
        <v/>
      </c>
      <c r="R23" s="24">
        <f>+IF(Tabla810[[#This Row],[Quien]]=2,2+2*Tabla810[[#This Row],[Aleatorios]],"")</f>
        <v>3.2203587032571166</v>
      </c>
      <c r="S23" s="24" t="str">
        <f>+IF(Tabla810[[#This Row],[Quien]]=1,Tabla810[[#This Row],[Entrada M1]]+Tabla810[[#This Row],[Tiempo M1]],"")</f>
        <v/>
      </c>
      <c r="T23" s="24">
        <f>+IF(Tabla810[[#This Row],[Quien]]=2,Tabla810[[#This Row],[Entrada M2]]+Tabla810[[#This Row],[Tiempo M2]],"")</f>
        <v>83.851804563308306</v>
      </c>
      <c r="U23" s="24">
        <f>+SUM(Tabla810[[#This Row],[Salida M1]:[Salida M2]])</f>
        <v>83.851804563308306</v>
      </c>
    </row>
    <row r="24" spans="3:29" x14ac:dyDescent="0.25">
      <c r="C24" s="24">
        <v>20</v>
      </c>
      <c r="D24" s="83">
        <v>2.4291932771887548</v>
      </c>
      <c r="E24" s="83">
        <f t="shared" si="0"/>
        <v>83.060639137239946</v>
      </c>
      <c r="F24" s="83">
        <v>0.23411239562284947</v>
      </c>
      <c r="G24" s="24" t="str">
        <f>+IF(SUM(Tabla810[[#This Row],[Ocupada M1]:[Ocupada M2]])&gt;0,"", IF(Tabla810[[#This Row],[Aleatorio 2]]&lt;$G$2,1,2))</f>
        <v/>
      </c>
      <c r="H24" s="24">
        <f>IF(SUM(Tabla810[[#This Row],[Ocupada M1]:[Ocupada M2]])=0, "", IF(Tabla810[[#This Row],[TLM1]]&lt;Tabla810[[#This Row],[TLM2]],1,2))</f>
        <v>1</v>
      </c>
      <c r="I24" s="24">
        <f>+SUM(Tabla810[[#This Row],[quien si empate]:[quien sin empate]])</f>
        <v>1</v>
      </c>
      <c r="J24" s="24">
        <f>+IF(Tabla810[[#This Row],[HLL]]&lt;Tabla810[[#This Row],[TLM1]],1,0)</f>
        <v>0</v>
      </c>
      <c r="K24" s="24">
        <f>+IF(Tabla810[[#This Row],[HLL]]&lt;Tabla810[[#This Row],[TLM2]],1,0)</f>
        <v>1</v>
      </c>
      <c r="L24" s="24">
        <f>+MAX($S$5:S23)</f>
        <v>69.780313005612612</v>
      </c>
      <c r="M24" s="24">
        <f>+MAX($T$5:T23)</f>
        <v>83.851804563308306</v>
      </c>
      <c r="N24" s="24">
        <f>+IF(Tabla810[[#This Row],[Quien]]=1,MAX(Tabla810[[#This Row],[TLM1]],Tabla810[[#This Row],[HLL]]),"")</f>
        <v>83.060639137239946</v>
      </c>
      <c r="O24" s="24" t="str">
        <f>+IF(Tabla810[[#This Row],[Quien]]=2,MAX(Tabla810[[#This Row],[TLM2]],Tabla810[[#This Row],[HLL]]),"")</f>
        <v/>
      </c>
      <c r="P24" s="24">
        <v>0.37949098703621575</v>
      </c>
      <c r="Q24" s="24">
        <f>+IF(Tabla810[[#This Row],[Quien]]=1,2+2*Tabla810[[#This Row],[Aleatorios]],"")</f>
        <v>2.7589819740724315</v>
      </c>
      <c r="R24" s="24" t="str">
        <f>+IF(Tabla810[[#This Row],[Quien]]=2,2+2*Tabla810[[#This Row],[Aleatorios]],"")</f>
        <v/>
      </c>
      <c r="S24" s="24">
        <f>+IF(Tabla810[[#This Row],[Quien]]=1,Tabla810[[#This Row],[Entrada M1]]+Tabla810[[#This Row],[Tiempo M1]],"")</f>
        <v>85.819621111312372</v>
      </c>
      <c r="T24" s="24" t="str">
        <f>+IF(Tabla810[[#This Row],[Quien]]=2,Tabla810[[#This Row],[Entrada M2]]+Tabla810[[#This Row],[Tiempo M2]],"")</f>
        <v/>
      </c>
      <c r="U24" s="24">
        <f>+SUM(Tabla810[[#This Row],[Salida M1]:[Salida M2]])</f>
        <v>85.819621111312372</v>
      </c>
    </row>
    <row r="25" spans="3:29" x14ac:dyDescent="0.25">
      <c r="C25" s="24">
        <v>21</v>
      </c>
      <c r="D25" s="83">
        <v>8.0733002213396183</v>
      </c>
      <c r="E25" s="83">
        <f t="shared" si="0"/>
        <v>91.133939358579568</v>
      </c>
      <c r="F25" s="83">
        <v>0.22262020526154347</v>
      </c>
      <c r="G25" s="24">
        <f>+IF(SUM(Tabla810[[#This Row],[Ocupada M1]:[Ocupada M2]])&gt;0,"", IF(Tabla810[[#This Row],[Aleatorio 2]]&lt;$G$2,1,2))</f>
        <v>2</v>
      </c>
      <c r="H25" s="24" t="str">
        <f>IF(SUM(Tabla810[[#This Row],[Ocupada M1]:[Ocupada M2]])=0, "", IF(Tabla810[[#This Row],[TLM1]]&lt;Tabla810[[#This Row],[TLM2]],1,2))</f>
        <v/>
      </c>
      <c r="I25" s="24">
        <f>+SUM(Tabla810[[#This Row],[quien si empate]:[quien sin empate]])</f>
        <v>2</v>
      </c>
      <c r="J25" s="24">
        <f>+IF(Tabla810[[#This Row],[HLL]]&lt;Tabla810[[#This Row],[TLM1]],1,0)</f>
        <v>0</v>
      </c>
      <c r="K25" s="24">
        <f>+IF(Tabla810[[#This Row],[HLL]]&lt;Tabla810[[#This Row],[TLM2]],1,0)</f>
        <v>0</v>
      </c>
      <c r="L25" s="24">
        <f>+MAX($S$5:S24)</f>
        <v>85.819621111312372</v>
      </c>
      <c r="M25" s="24">
        <f>+MAX($T$5:T24)</f>
        <v>83.851804563308306</v>
      </c>
      <c r="N25" s="24" t="str">
        <f>+IF(Tabla810[[#This Row],[Quien]]=1,MAX(Tabla810[[#This Row],[TLM1]],Tabla810[[#This Row],[HLL]]),"")</f>
        <v/>
      </c>
      <c r="O25" s="24">
        <f>+IF(Tabla810[[#This Row],[Quien]]=2,MAX(Tabla810[[#This Row],[TLM2]],Tabla810[[#This Row],[HLL]]),"")</f>
        <v>91.133939358579568</v>
      </c>
      <c r="P25" s="24">
        <v>0.80793577542948891</v>
      </c>
      <c r="Q25" s="24" t="str">
        <f>+IF(Tabla810[[#This Row],[Quien]]=1,2+2*Tabla810[[#This Row],[Aleatorios]],"")</f>
        <v/>
      </c>
      <c r="R25" s="24">
        <f>+IF(Tabla810[[#This Row],[Quien]]=2,2+2*Tabla810[[#This Row],[Aleatorios]],"")</f>
        <v>3.6158715508589778</v>
      </c>
      <c r="S25" s="24" t="str">
        <f>+IF(Tabla810[[#This Row],[Quien]]=1,Tabla810[[#This Row],[Entrada M1]]+Tabla810[[#This Row],[Tiempo M1]],"")</f>
        <v/>
      </c>
      <c r="T25" s="24">
        <f>+IF(Tabla810[[#This Row],[Quien]]=2,Tabla810[[#This Row],[Entrada M2]]+Tabla810[[#This Row],[Tiempo M2]],"")</f>
        <v>94.749810909438551</v>
      </c>
      <c r="U25" s="24">
        <f>+SUM(Tabla810[[#This Row],[Salida M1]:[Salida M2]])</f>
        <v>94.749810909438551</v>
      </c>
    </row>
    <row r="26" spans="3:29" x14ac:dyDescent="0.25">
      <c r="C26" s="24">
        <v>22</v>
      </c>
      <c r="D26" s="83">
        <v>6.8840626966802034</v>
      </c>
      <c r="E26" s="83">
        <f t="shared" si="0"/>
        <v>98.018002055259771</v>
      </c>
      <c r="F26" s="83">
        <v>0.82252669512708487</v>
      </c>
      <c r="G26" s="24">
        <f>+IF(SUM(Tabla810[[#This Row],[Ocupada M1]:[Ocupada M2]])&gt;0,"", IF(Tabla810[[#This Row],[Aleatorio 2]]&lt;$G$2,1,2))</f>
        <v>2</v>
      </c>
      <c r="H26" s="24" t="str">
        <f>IF(SUM(Tabla810[[#This Row],[Ocupada M1]:[Ocupada M2]])=0, "", IF(Tabla810[[#This Row],[TLM1]]&lt;Tabla810[[#This Row],[TLM2]],1,2))</f>
        <v/>
      </c>
      <c r="I26" s="24">
        <f>+SUM(Tabla810[[#This Row],[quien si empate]:[quien sin empate]])</f>
        <v>2</v>
      </c>
      <c r="J26" s="24">
        <f>+IF(Tabla810[[#This Row],[HLL]]&lt;Tabla810[[#This Row],[TLM1]],1,0)</f>
        <v>0</v>
      </c>
      <c r="K26" s="24">
        <f>+IF(Tabla810[[#This Row],[HLL]]&lt;Tabla810[[#This Row],[TLM2]],1,0)</f>
        <v>0</v>
      </c>
      <c r="L26" s="24">
        <f>+MAX($S$5:S25)</f>
        <v>85.819621111312372</v>
      </c>
      <c r="M26" s="24">
        <f>+MAX($T$5:T25)</f>
        <v>94.749810909438551</v>
      </c>
      <c r="N26" s="24" t="str">
        <f>+IF(Tabla810[[#This Row],[Quien]]=1,MAX(Tabla810[[#This Row],[TLM1]],Tabla810[[#This Row],[HLL]]),"")</f>
        <v/>
      </c>
      <c r="O26" s="24">
        <f>+IF(Tabla810[[#This Row],[Quien]]=2,MAX(Tabla810[[#This Row],[TLM2]],Tabla810[[#This Row],[HLL]]),"")</f>
        <v>98.018002055259771</v>
      </c>
      <c r="P26" s="24">
        <v>0.34478808361396174</v>
      </c>
      <c r="Q26" s="24" t="str">
        <f>+IF(Tabla810[[#This Row],[Quien]]=1,2+2*Tabla810[[#This Row],[Aleatorios]],"")</f>
        <v/>
      </c>
      <c r="R26" s="24">
        <f>+IF(Tabla810[[#This Row],[Quien]]=2,2+2*Tabla810[[#This Row],[Aleatorios]],"")</f>
        <v>2.6895761672279237</v>
      </c>
      <c r="S26" s="24" t="str">
        <f>+IF(Tabla810[[#This Row],[Quien]]=1,Tabla810[[#This Row],[Entrada M1]]+Tabla810[[#This Row],[Tiempo M1]],"")</f>
        <v/>
      </c>
      <c r="T26" s="24">
        <f>+IF(Tabla810[[#This Row],[Quien]]=2,Tabla810[[#This Row],[Entrada M2]]+Tabla810[[#This Row],[Tiempo M2]],"")</f>
        <v>100.7075782224877</v>
      </c>
      <c r="U26" s="24">
        <f>+SUM(Tabla810[[#This Row],[Salida M1]:[Salida M2]])</f>
        <v>100.7075782224877</v>
      </c>
    </row>
    <row r="27" spans="3:29" x14ac:dyDescent="0.25">
      <c r="C27" s="24">
        <v>23</v>
      </c>
      <c r="D27" s="83">
        <v>6.8457980899341999</v>
      </c>
      <c r="E27" s="83">
        <f t="shared" si="0"/>
        <v>104.86380014519398</v>
      </c>
      <c r="F27" s="83">
        <v>8.7160103225355279E-2</v>
      </c>
      <c r="G27" s="24">
        <f>+IF(SUM(Tabla810[[#This Row],[Ocupada M1]:[Ocupada M2]])&gt;0,"", IF(Tabla810[[#This Row],[Aleatorio 2]]&lt;$G$2,1,2))</f>
        <v>1</v>
      </c>
      <c r="H27" s="24" t="str">
        <f>IF(SUM(Tabla810[[#This Row],[Ocupada M1]:[Ocupada M2]])=0, "", IF(Tabla810[[#This Row],[TLM1]]&lt;Tabla810[[#This Row],[TLM2]],1,2))</f>
        <v/>
      </c>
      <c r="I27" s="24">
        <f>+SUM(Tabla810[[#This Row],[quien si empate]:[quien sin empate]])</f>
        <v>1</v>
      </c>
      <c r="J27" s="24">
        <f>+IF(Tabla810[[#This Row],[HLL]]&lt;Tabla810[[#This Row],[TLM1]],1,0)</f>
        <v>0</v>
      </c>
      <c r="K27" s="24">
        <f>+IF(Tabla810[[#This Row],[HLL]]&lt;Tabla810[[#This Row],[TLM2]],1,0)</f>
        <v>0</v>
      </c>
      <c r="L27" s="24">
        <f>+MAX($S$5:S26)</f>
        <v>85.819621111312372</v>
      </c>
      <c r="M27" s="24">
        <f>+MAX($T$5:T26)</f>
        <v>100.7075782224877</v>
      </c>
      <c r="N27" s="24">
        <f>+IF(Tabla810[[#This Row],[Quien]]=1,MAX(Tabla810[[#This Row],[TLM1]],Tabla810[[#This Row],[HLL]]),"")</f>
        <v>104.86380014519398</v>
      </c>
      <c r="O27" s="24" t="str">
        <f>+IF(Tabla810[[#This Row],[Quien]]=2,MAX(Tabla810[[#This Row],[TLM2]],Tabla810[[#This Row],[HLL]]),"")</f>
        <v/>
      </c>
      <c r="P27" s="24">
        <v>0.58056429391859554</v>
      </c>
      <c r="Q27" s="24">
        <f>+IF(Tabla810[[#This Row],[Quien]]=1,2+2*Tabla810[[#This Row],[Aleatorios]],"")</f>
        <v>3.1611285878371911</v>
      </c>
      <c r="R27" s="24" t="str">
        <f>+IF(Tabla810[[#This Row],[Quien]]=2,2+2*Tabla810[[#This Row],[Aleatorios]],"")</f>
        <v/>
      </c>
      <c r="S27" s="24">
        <f>+IF(Tabla810[[#This Row],[Quien]]=1,Tabla810[[#This Row],[Entrada M1]]+Tabla810[[#This Row],[Tiempo M1]],"")</f>
        <v>108.02492873303117</v>
      </c>
      <c r="T27" s="24" t="str">
        <f>+IF(Tabla810[[#This Row],[Quien]]=2,Tabla810[[#This Row],[Entrada M2]]+Tabla810[[#This Row],[Tiempo M2]],"")</f>
        <v/>
      </c>
      <c r="U27" s="24">
        <f>+SUM(Tabla810[[#This Row],[Salida M1]:[Salida M2]])</f>
        <v>108.02492873303117</v>
      </c>
    </row>
    <row r="28" spans="3:29" x14ac:dyDescent="0.25">
      <c r="C28" s="24">
        <v>24</v>
      </c>
      <c r="D28" s="83">
        <v>8.2212336855782386E-2</v>
      </c>
      <c r="E28" s="83">
        <f t="shared" si="0"/>
        <v>104.94601248204975</v>
      </c>
      <c r="F28" s="83">
        <v>0.22914885433939769</v>
      </c>
      <c r="G28" s="24" t="str">
        <f>+IF(SUM(Tabla810[[#This Row],[Ocupada M1]:[Ocupada M2]])&gt;0,"", IF(Tabla810[[#This Row],[Aleatorio 2]]&lt;$G$2,1,2))</f>
        <v/>
      </c>
      <c r="H28" s="24">
        <f>IF(SUM(Tabla810[[#This Row],[Ocupada M1]:[Ocupada M2]])=0, "", IF(Tabla810[[#This Row],[TLM1]]&lt;Tabla810[[#This Row],[TLM2]],1,2))</f>
        <v>2</v>
      </c>
      <c r="I28" s="24">
        <f>+SUM(Tabla810[[#This Row],[quien si empate]:[quien sin empate]])</f>
        <v>2</v>
      </c>
      <c r="J28" s="24">
        <f>+IF(Tabla810[[#This Row],[HLL]]&lt;Tabla810[[#This Row],[TLM1]],1,0)</f>
        <v>1</v>
      </c>
      <c r="K28" s="24">
        <f>+IF(Tabla810[[#This Row],[HLL]]&lt;Tabla810[[#This Row],[TLM2]],1,0)</f>
        <v>0</v>
      </c>
      <c r="L28" s="24">
        <f>+MAX($S$5:S27)</f>
        <v>108.02492873303117</v>
      </c>
      <c r="M28" s="24">
        <f>+MAX($T$5:T27)</f>
        <v>100.7075782224877</v>
      </c>
      <c r="N28" s="24" t="str">
        <f>+IF(Tabla810[[#This Row],[Quien]]=1,MAX(Tabla810[[#This Row],[TLM1]],Tabla810[[#This Row],[HLL]]),"")</f>
        <v/>
      </c>
      <c r="O28" s="24">
        <f>+IF(Tabla810[[#This Row],[Quien]]=2,MAX(Tabla810[[#This Row],[TLM2]],Tabla810[[#This Row],[HLL]]),"")</f>
        <v>104.94601248204975</v>
      </c>
      <c r="P28" s="24">
        <v>0.19672595880637789</v>
      </c>
      <c r="Q28" s="24" t="str">
        <f>+IF(Tabla810[[#This Row],[Quien]]=1,2+2*Tabla810[[#This Row],[Aleatorios]],"")</f>
        <v/>
      </c>
      <c r="R28" s="24">
        <f>+IF(Tabla810[[#This Row],[Quien]]=2,2+2*Tabla810[[#This Row],[Aleatorios]],"")</f>
        <v>2.3934519176127558</v>
      </c>
      <c r="S28" s="24" t="str">
        <f>+IF(Tabla810[[#This Row],[Quien]]=1,Tabla810[[#This Row],[Entrada M1]]+Tabla810[[#This Row],[Tiempo M1]],"")</f>
        <v/>
      </c>
      <c r="T28" s="24">
        <f>+IF(Tabla810[[#This Row],[Quien]]=2,Tabla810[[#This Row],[Entrada M2]]+Tabla810[[#This Row],[Tiempo M2]],"")</f>
        <v>107.3394643996625</v>
      </c>
      <c r="U28" s="24">
        <f>+SUM(Tabla810[[#This Row],[Salida M1]:[Salida M2]])</f>
        <v>107.3394643996625</v>
      </c>
    </row>
    <row r="29" spans="3:29" x14ac:dyDescent="0.25">
      <c r="C29" s="24">
        <v>25</v>
      </c>
      <c r="D29" s="83">
        <v>1.0368305227255761</v>
      </c>
      <c r="E29" s="83">
        <f t="shared" si="0"/>
        <v>105.98284300477533</v>
      </c>
      <c r="F29" s="83">
        <v>0.79195479958311588</v>
      </c>
      <c r="G29" s="24" t="str">
        <f>+IF(SUM(Tabla810[[#This Row],[Ocupada M1]:[Ocupada M2]])&gt;0,"", IF(Tabla810[[#This Row],[Aleatorio 2]]&lt;$G$2,1,2))</f>
        <v/>
      </c>
      <c r="H29" s="24">
        <f>IF(SUM(Tabla810[[#This Row],[Ocupada M1]:[Ocupada M2]])=0, "", IF(Tabla810[[#This Row],[TLM1]]&lt;Tabla810[[#This Row],[TLM2]],1,2))</f>
        <v>2</v>
      </c>
      <c r="I29" s="24">
        <f>+SUM(Tabla810[[#This Row],[quien si empate]:[quien sin empate]])</f>
        <v>2</v>
      </c>
      <c r="J29" s="24">
        <f>+IF(Tabla810[[#This Row],[HLL]]&lt;Tabla810[[#This Row],[TLM1]],1,0)</f>
        <v>1</v>
      </c>
      <c r="K29" s="24">
        <f>+IF(Tabla810[[#This Row],[HLL]]&lt;Tabla810[[#This Row],[TLM2]],1,0)</f>
        <v>1</v>
      </c>
      <c r="L29" s="24">
        <f>+MAX($S$5:S28)</f>
        <v>108.02492873303117</v>
      </c>
      <c r="M29" s="24">
        <f>+MAX($T$5:T28)</f>
        <v>107.3394643996625</v>
      </c>
      <c r="N29" s="24" t="str">
        <f>+IF(Tabla810[[#This Row],[Quien]]=1,MAX(Tabla810[[#This Row],[TLM1]],Tabla810[[#This Row],[HLL]]),"")</f>
        <v/>
      </c>
      <c r="O29" s="24">
        <f>+IF(Tabla810[[#This Row],[Quien]]=2,MAX(Tabla810[[#This Row],[TLM2]],Tabla810[[#This Row],[HLL]]),"")</f>
        <v>107.3394643996625</v>
      </c>
      <c r="P29" s="24">
        <v>7.2847442732761003E-2</v>
      </c>
      <c r="Q29" s="24" t="str">
        <f>+IF(Tabla810[[#This Row],[Quien]]=1,2+2*Tabla810[[#This Row],[Aleatorios]],"")</f>
        <v/>
      </c>
      <c r="R29" s="24">
        <f>+IF(Tabla810[[#This Row],[Quien]]=2,2+2*Tabla810[[#This Row],[Aleatorios]],"")</f>
        <v>2.145694885465522</v>
      </c>
      <c r="S29" s="24" t="str">
        <f>+IF(Tabla810[[#This Row],[Quien]]=1,Tabla810[[#This Row],[Entrada M1]]+Tabla810[[#This Row],[Tiempo M1]],"")</f>
        <v/>
      </c>
      <c r="T29" s="24">
        <f>+IF(Tabla810[[#This Row],[Quien]]=2,Tabla810[[#This Row],[Entrada M2]]+Tabla810[[#This Row],[Tiempo M2]],"")</f>
        <v>109.48515928512802</v>
      </c>
      <c r="U29" s="24">
        <f>+SUM(Tabla810[[#This Row],[Salida M1]:[Salida M2]])</f>
        <v>109.48515928512802</v>
      </c>
    </row>
    <row r="31" spans="3:29" x14ac:dyDescent="0.25">
      <c r="O31" t="s">
        <v>160</v>
      </c>
      <c r="Q31">
        <f>+SUM(Tabla810[Tiempo M1])</f>
        <v>25.596901230884857</v>
      </c>
      <c r="R31">
        <f>+SUM(Tabla810[Tiempo M2])</f>
        <v>48.587151002047904</v>
      </c>
    </row>
    <row r="32" spans="3:29" x14ac:dyDescent="0.25">
      <c r="Q32" s="91">
        <f>+Q31/MAX(Tabla810[Salida])</f>
        <v>0.23379334147218825</v>
      </c>
      <c r="R32" s="91">
        <f>+R31/MAX(Tabla810[Salida])</f>
        <v>0.44377842000954887</v>
      </c>
    </row>
  </sheetData>
  <mergeCells count="1">
    <mergeCell ref="AD6:AD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2FAC-9786-4E70-9DEB-2CF718408C1E}">
  <dimension ref="B2:T41"/>
  <sheetViews>
    <sheetView tabSelected="1" zoomScale="70" zoomScaleNormal="70" workbookViewId="0">
      <selection activeCell="R45" sqref="R45"/>
    </sheetView>
  </sheetViews>
  <sheetFormatPr baseColWidth="10" defaultRowHeight="15" x14ac:dyDescent="0.25"/>
  <cols>
    <col min="2" max="3" width="11.42578125" style="24"/>
    <col min="4" max="4" width="15.5703125" bestFit="1" customWidth="1"/>
    <col min="5" max="5" width="18" bestFit="1" customWidth="1"/>
    <col min="6" max="6" width="31" bestFit="1" customWidth="1"/>
    <col min="7" max="7" width="18" bestFit="1" customWidth="1"/>
    <col min="12" max="12" width="16.140625" bestFit="1" customWidth="1"/>
    <col min="14" max="14" width="18.7109375" bestFit="1" customWidth="1"/>
    <col min="15" max="15" width="21.42578125" bestFit="1" customWidth="1"/>
    <col min="17" max="17" width="12.42578125" bestFit="1" customWidth="1"/>
    <col min="18" max="18" width="15" bestFit="1" customWidth="1"/>
    <col min="19" max="19" width="12.42578125" bestFit="1" customWidth="1"/>
    <col min="20" max="20" width="11.5703125" bestFit="1" customWidth="1"/>
  </cols>
  <sheetData>
    <row r="2" spans="2:20" x14ac:dyDescent="0.25">
      <c r="M2">
        <v>1</v>
      </c>
      <c r="N2">
        <v>2</v>
      </c>
      <c r="O2">
        <v>3</v>
      </c>
    </row>
    <row r="3" spans="2:20" x14ac:dyDescent="0.25">
      <c r="C3" s="24" t="s">
        <v>135</v>
      </c>
      <c r="D3" t="s">
        <v>136</v>
      </c>
      <c r="E3" t="s">
        <v>137</v>
      </c>
      <c r="F3" s="86" t="s">
        <v>164</v>
      </c>
      <c r="M3" s="21" t="s">
        <v>138</v>
      </c>
      <c r="N3" s="21" t="s">
        <v>162</v>
      </c>
      <c r="O3" s="21" t="s">
        <v>163</v>
      </c>
    </row>
    <row r="4" spans="2:20" x14ac:dyDescent="0.25">
      <c r="L4">
        <v>1</v>
      </c>
      <c r="M4" s="94">
        <v>2</v>
      </c>
      <c r="N4" s="25">
        <v>1</v>
      </c>
      <c r="O4" s="25">
        <v>1</v>
      </c>
    </row>
    <row r="5" spans="2:20" x14ac:dyDescent="0.25">
      <c r="C5" s="41" t="s">
        <v>138</v>
      </c>
      <c r="D5" s="41" t="s">
        <v>162</v>
      </c>
      <c r="E5" s="41" t="s">
        <v>163</v>
      </c>
      <c r="F5" s="25" t="s">
        <v>165</v>
      </c>
      <c r="G5" s="41" t="s">
        <v>150</v>
      </c>
      <c r="H5" s="93" t="s">
        <v>169</v>
      </c>
      <c r="L5">
        <v>2</v>
      </c>
      <c r="M5" s="94">
        <v>3</v>
      </c>
      <c r="N5" s="25">
        <v>3</v>
      </c>
      <c r="O5" s="25">
        <v>2</v>
      </c>
    </row>
    <row r="6" spans="2:20" x14ac:dyDescent="0.25">
      <c r="B6" s="24">
        <v>0</v>
      </c>
      <c r="C6" s="24">
        <v>0</v>
      </c>
      <c r="D6" s="24">
        <v>0</v>
      </c>
      <c r="E6" s="24">
        <v>0</v>
      </c>
      <c r="F6" t="s">
        <v>166</v>
      </c>
      <c r="G6" t="s">
        <v>167</v>
      </c>
    </row>
    <row r="7" spans="2:20" ht="15.75" thickBot="1" x14ac:dyDescent="0.3">
      <c r="B7" s="24">
        <v>1</v>
      </c>
      <c r="C7" s="92">
        <v>0</v>
      </c>
      <c r="D7" s="92">
        <v>0</v>
      </c>
      <c r="E7" s="92">
        <v>1</v>
      </c>
      <c r="F7" t="s">
        <v>166</v>
      </c>
      <c r="G7" t="s">
        <v>167</v>
      </c>
    </row>
    <row r="8" spans="2:20" ht="15.75" thickBot="1" x14ac:dyDescent="0.3">
      <c r="B8" s="24">
        <v>1</v>
      </c>
      <c r="C8" s="92">
        <v>0</v>
      </c>
      <c r="D8" s="92">
        <v>1</v>
      </c>
      <c r="E8" s="92">
        <v>0</v>
      </c>
      <c r="F8" t="s">
        <v>166</v>
      </c>
      <c r="G8" t="s">
        <v>167</v>
      </c>
      <c r="M8" s="95">
        <f>+IF(D17&lt;=0.5,1,2)</f>
        <v>1</v>
      </c>
      <c r="N8" s="96">
        <f>+INDEX(M4:O5,M8,N17)</f>
        <v>1</v>
      </c>
      <c r="O8" t="s">
        <v>183</v>
      </c>
    </row>
    <row r="9" spans="2:20" x14ac:dyDescent="0.25">
      <c r="B9" s="24">
        <v>2</v>
      </c>
      <c r="C9" s="24">
        <v>0</v>
      </c>
      <c r="D9" s="24">
        <v>1</v>
      </c>
      <c r="E9" s="24">
        <v>1</v>
      </c>
      <c r="F9" t="s">
        <v>168</v>
      </c>
      <c r="H9" t="s">
        <v>170</v>
      </c>
    </row>
    <row r="10" spans="2:20" x14ac:dyDescent="0.25">
      <c r="B10" s="24">
        <v>1</v>
      </c>
      <c r="C10" s="92">
        <v>1</v>
      </c>
      <c r="D10" s="92">
        <v>0</v>
      </c>
      <c r="E10" s="92">
        <v>0</v>
      </c>
      <c r="F10" t="s">
        <v>166</v>
      </c>
      <c r="G10" t="s">
        <v>167</v>
      </c>
    </row>
    <row r="11" spans="2:20" x14ac:dyDescent="0.25">
      <c r="B11" s="24">
        <v>2</v>
      </c>
      <c r="C11" s="24">
        <v>1</v>
      </c>
      <c r="D11" s="24">
        <v>0</v>
      </c>
      <c r="E11" s="24">
        <v>1</v>
      </c>
      <c r="F11" t="s">
        <v>168</v>
      </c>
      <c r="H11" t="s">
        <v>170</v>
      </c>
    </row>
    <row r="12" spans="2:20" x14ac:dyDescent="0.25">
      <c r="B12" s="24">
        <v>2</v>
      </c>
      <c r="C12" s="24">
        <v>1</v>
      </c>
      <c r="D12" s="24">
        <v>1</v>
      </c>
      <c r="E12" s="24">
        <v>0</v>
      </c>
      <c r="F12" t="s">
        <v>168</v>
      </c>
      <c r="H12" t="s">
        <v>170</v>
      </c>
    </row>
    <row r="13" spans="2:20" x14ac:dyDescent="0.25">
      <c r="B13" s="24">
        <v>3</v>
      </c>
      <c r="C13" s="24">
        <v>1</v>
      </c>
      <c r="D13" s="24">
        <v>1</v>
      </c>
      <c r="E13" s="24">
        <v>1</v>
      </c>
      <c r="F13" s="41" t="s">
        <v>152</v>
      </c>
      <c r="H13" t="s">
        <v>170</v>
      </c>
    </row>
    <row r="14" spans="2:20" ht="15.75" thickBot="1" x14ac:dyDescent="0.3"/>
    <row r="15" spans="2:20" ht="15.75" thickBot="1" x14ac:dyDescent="0.3">
      <c r="L15" s="100" t="s">
        <v>179</v>
      </c>
      <c r="M15" s="99" t="s">
        <v>100</v>
      </c>
      <c r="N15" s="97" t="s">
        <v>182</v>
      </c>
      <c r="O15" s="98"/>
    </row>
    <row r="16" spans="2:20" x14ac:dyDescent="0.25">
      <c r="B16" s="24" t="s">
        <v>171</v>
      </c>
      <c r="C16" s="24" t="s">
        <v>135</v>
      </c>
      <c r="D16" s="24" t="s">
        <v>172</v>
      </c>
      <c r="E16" s="24" t="s">
        <v>173</v>
      </c>
      <c r="F16" s="24" t="s">
        <v>174</v>
      </c>
      <c r="G16" s="24" t="s">
        <v>175</v>
      </c>
      <c r="H16" s="24" t="s">
        <v>177</v>
      </c>
      <c r="I16" s="24" t="s">
        <v>136</v>
      </c>
      <c r="J16" s="24" t="s">
        <v>137</v>
      </c>
      <c r="K16" s="24" t="s">
        <v>176</v>
      </c>
      <c r="L16" s="24" t="s">
        <v>178</v>
      </c>
      <c r="M16" s="24" t="s">
        <v>100</v>
      </c>
      <c r="N16" s="24" t="s">
        <v>180</v>
      </c>
      <c r="O16" s="24" t="s">
        <v>181</v>
      </c>
      <c r="P16" s="24" t="s">
        <v>130</v>
      </c>
      <c r="Q16" s="24" t="s">
        <v>117</v>
      </c>
      <c r="R16" s="24" t="s">
        <v>185</v>
      </c>
      <c r="S16" s="24" t="s">
        <v>76</v>
      </c>
      <c r="T16" s="24" t="s">
        <v>184</v>
      </c>
    </row>
    <row r="17" spans="2:20" x14ac:dyDescent="0.25">
      <c r="B17" s="24">
        <v>1</v>
      </c>
      <c r="C17" s="84">
        <v>0</v>
      </c>
      <c r="D17" s="83">
        <v>0.11</v>
      </c>
      <c r="E17" s="24">
        <f>+IF(Tabla10[[#This Row],[HLL]]&lt;Tabla10[[#This Row],[TLM1]],1,0)</f>
        <v>0</v>
      </c>
      <c r="F17" s="24">
        <f>+IF(Tabla10[[#This Row],[HLL]]&lt;Tabla10[[#This Row],[TLM2]],1,0)</f>
        <v>0</v>
      </c>
      <c r="G17" s="24">
        <f>+IF(Tabla10[[#This Row],[HLL]]&lt;Tabla10[[#This Row],[TLM3]],1,0)</f>
        <v>0</v>
      </c>
      <c r="H17" s="24">
        <v>1</v>
      </c>
      <c r="I17" s="83">
        <v>0</v>
      </c>
      <c r="J17" s="83">
        <v>0</v>
      </c>
      <c r="K17" s="83">
        <v>0</v>
      </c>
      <c r="L17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17" s="24" t="str">
        <f>+IF(Tabla10[[#This Row],[SUMA]]=0,IF(Tabla10[[#This Row],[ALEATORIO]]&lt;=0.33,1,IF(Tabla10[[#This Row],[ALEATORIO]]&lt;= 0.66,2,3)),"")</f>
        <v/>
      </c>
      <c r="N17" s="24">
        <f>+IF(Tabla10[[#This Row],[SUMA]]=1,IF(Tabla10[[#This Row],[OCUPADO M1]]=1,1,IF(Tabla10[[#This Row],[OCUPADO M2]]=1,2,3)),"")</f>
        <v>3</v>
      </c>
      <c r="O17" s="90">
        <f>+IF(Tabla10[[#This Row],[SUMA]]&lt;&gt;1,"", INDEX($M$4:$O$5,IF(Tabla10[[#This Row],[ALEATORIO]]&lt;=0.5,1,2),Tabla10[[#This Row],[quien ocupado]]) )</f>
        <v>1</v>
      </c>
      <c r="P17" s="90">
        <f>+SUM(Tabla10[[#This Row],[quien me atiende]],Tabla10[[#This Row],[Suma = 0]],Tabla10[[#This Row],[Si suma &gt;= 2]])</f>
        <v>1</v>
      </c>
      <c r="Q17" s="83">
        <f>+MAX(Tabla10[[#This Row],[HLL]],INDEX(Tabla10[[#This Row],[TLM1]:[TLM3]],1,Tabla10[[#This Row],[Quien]]))</f>
        <v>0</v>
      </c>
      <c r="R17" s="83">
        <v>0.26039333038635371</v>
      </c>
      <c r="S17" s="83">
        <f>2*2*Tabla10[[#This Row],[Aleatorio2]]</f>
        <v>1.0415733215454148</v>
      </c>
      <c r="T17" s="83">
        <f>+Tabla10[[#This Row],[Entrada]]+Tabla10[[#This Row],[Tiempo]]</f>
        <v>1.0415733215454148</v>
      </c>
    </row>
    <row r="18" spans="2:20" x14ac:dyDescent="0.25">
      <c r="B18" s="24">
        <v>2</v>
      </c>
      <c r="C18" s="85">
        <v>3.692990112428344</v>
      </c>
      <c r="D18" s="83">
        <v>0.17826778969103085</v>
      </c>
      <c r="E18" s="24">
        <f>+IF(Tabla10[[#This Row],[HLL]]&lt;Tabla10[[#This Row],[TLM1]],1,0)</f>
        <v>0</v>
      </c>
      <c r="F18" s="24">
        <f>+IF(Tabla10[[#This Row],[HLL]]&lt;Tabla10[[#This Row],[TLM2]],1,0)</f>
        <v>0</v>
      </c>
      <c r="G18" s="24">
        <f>+IF(Tabla10[[#This Row],[HLL]]&lt;Tabla10[[#This Row],[TLM3]],1,0)</f>
        <v>0</v>
      </c>
      <c r="H18" s="24">
        <f>+SUM(Tabla10[[#This Row],[OCUPADO M1]:[OCUPADO M3]])</f>
        <v>0</v>
      </c>
      <c r="I18" s="83">
        <f>+_xlfn.MAXIFS($T$17:$T17,$P$17:$P17,1)</f>
        <v>1.0415733215454148</v>
      </c>
      <c r="J18" s="83">
        <f>+_xlfn.MAXIFS($T$17:$T17,$P$17:$P17,2)</f>
        <v>0</v>
      </c>
      <c r="K18" s="83">
        <f>+_xlfn.MAXIFS($T$17:$T17,$P$17:$P17,3)</f>
        <v>0</v>
      </c>
      <c r="L18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18" s="24">
        <f>+IF(Tabla10[[#This Row],[SUMA]]=0,IF(Tabla10[[#This Row],[ALEATORIO]]&lt;=0.33,1,IF(Tabla10[[#This Row],[ALEATORIO]]&lt;= 0.66,2,3)),"")</f>
        <v>1</v>
      </c>
      <c r="N18" s="24" t="str">
        <f>+IF(Tabla10[[#This Row],[SUMA]]=1,IF(Tabla10[[#This Row],[OCUPADO M1]]=1,1,IF(Tabla10[[#This Row],[OCUPADO M2]]=1,2,3)),"")</f>
        <v/>
      </c>
      <c r="O18" s="90" t="str">
        <f>+IF(Tabla10[[#This Row],[SUMA]]&lt;&gt;1,"", INDEX($M$4:$O$5,IF(Tabla10[[#This Row],[ALEATORIO]]&lt;=0.5,1,2),Tabla10[[#This Row],[quien ocupado]]) )</f>
        <v/>
      </c>
      <c r="P18" s="90">
        <f>+SUM(Tabla10[[#This Row],[quien me atiende]],Tabla10[[#This Row],[Suma = 0]],Tabla10[[#This Row],[Si suma &gt;= 2]])</f>
        <v>1</v>
      </c>
      <c r="Q18" s="83">
        <f>+MAX(Tabla10[[#This Row],[HLL]],INDEX(Tabla10[[#This Row],[TLM1]:[TLM3]],1,Tabla10[[#This Row],[Quien]]))</f>
        <v>3.692990112428344</v>
      </c>
      <c r="R18" s="83">
        <v>0.88241658092624509</v>
      </c>
      <c r="S18" s="83">
        <f>2*2*Tabla10[[#This Row],[Aleatorio2]]</f>
        <v>3.5296663237049803</v>
      </c>
      <c r="T18" s="83">
        <f>+Tabla10[[#This Row],[Entrada]]+Tabla10[[#This Row],[Tiempo]]</f>
        <v>7.2226564361333239</v>
      </c>
    </row>
    <row r="19" spans="2:20" x14ac:dyDescent="0.25">
      <c r="B19" s="24">
        <v>3</v>
      </c>
      <c r="C19" s="84">
        <v>11.778165492295358</v>
      </c>
      <c r="D19" s="83">
        <v>0.91337333043150004</v>
      </c>
      <c r="E19" s="24">
        <f>+IF(Tabla10[[#This Row],[HLL]]&lt;Tabla10[[#This Row],[TLM1]],1,0)</f>
        <v>0</v>
      </c>
      <c r="F19" s="24">
        <f>+IF(Tabla10[[#This Row],[HLL]]&lt;Tabla10[[#This Row],[TLM2]],1,0)</f>
        <v>0</v>
      </c>
      <c r="G19" s="24">
        <f>+IF(Tabla10[[#This Row],[HLL]]&lt;Tabla10[[#This Row],[TLM3]],1,0)</f>
        <v>0</v>
      </c>
      <c r="H19" s="24">
        <f>+SUM(Tabla10[[#This Row],[OCUPADO M1]:[OCUPADO M3]])</f>
        <v>0</v>
      </c>
      <c r="I19" s="83">
        <f>+_xlfn.MAXIFS($T$17:$T18,$P$17:$P18,1)</f>
        <v>7.2226564361333239</v>
      </c>
      <c r="J19" s="83">
        <f>+_xlfn.MAXIFS($T$17:$T18,$P$17:$P18,2)</f>
        <v>0</v>
      </c>
      <c r="K19" s="83">
        <f>+_xlfn.MAXIFS($T$17:$T18,$P$17:$P18,3)</f>
        <v>0</v>
      </c>
      <c r="L19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19" s="24">
        <f>+IF(Tabla10[[#This Row],[SUMA]]=0,IF(Tabla10[[#This Row],[ALEATORIO]]&lt;=0.33,1,IF(Tabla10[[#This Row],[ALEATORIO]]&lt;= 0.66,2,3)),"")</f>
        <v>3</v>
      </c>
      <c r="N19" s="24" t="str">
        <f>+IF(Tabla10[[#This Row],[SUMA]]=1,IF(Tabla10[[#This Row],[OCUPADO M1]]=1,1,IF(Tabla10[[#This Row],[OCUPADO M2]]=1,2,3)),"")</f>
        <v/>
      </c>
      <c r="O19" s="90" t="str">
        <f>+IF(Tabla10[[#This Row],[SUMA]]&lt;&gt;1,"", INDEX($M$4:$O$5,IF(Tabla10[[#This Row],[ALEATORIO]]&lt;=0.5,1,2),Tabla10[[#This Row],[quien ocupado]]) )</f>
        <v/>
      </c>
      <c r="P19" s="90">
        <f>+SUM(Tabla10[[#This Row],[quien me atiende]],Tabla10[[#This Row],[Suma = 0]],Tabla10[[#This Row],[Si suma &gt;= 2]])</f>
        <v>3</v>
      </c>
      <c r="Q19" s="83">
        <f>+MAX(Tabla10[[#This Row],[HLL]],INDEX(Tabla10[[#This Row],[TLM1]:[TLM3]],1,Tabla10[[#This Row],[Quien]]))</f>
        <v>11.778165492295358</v>
      </c>
      <c r="R19" s="83">
        <v>0.3990871848659614</v>
      </c>
      <c r="S19" s="83">
        <f>2*2*Tabla10[[#This Row],[Aleatorio2]]</f>
        <v>1.5963487394638456</v>
      </c>
      <c r="T19" s="83">
        <f>+Tabla10[[#This Row],[Entrada]]+Tabla10[[#This Row],[Tiempo]]</f>
        <v>13.374514231759203</v>
      </c>
    </row>
    <row r="20" spans="2:20" x14ac:dyDescent="0.25">
      <c r="B20" s="24">
        <v>4</v>
      </c>
      <c r="C20" s="85">
        <v>12.249868862387572</v>
      </c>
      <c r="D20" s="83">
        <v>0.19600281315629242</v>
      </c>
      <c r="E20" s="24">
        <f>+IF(Tabla10[[#This Row],[HLL]]&lt;Tabla10[[#This Row],[TLM1]],1,0)</f>
        <v>0</v>
      </c>
      <c r="F20" s="24">
        <f>+IF(Tabla10[[#This Row],[HLL]]&lt;Tabla10[[#This Row],[TLM2]],1,0)</f>
        <v>0</v>
      </c>
      <c r="G20" s="24">
        <f>+IF(Tabla10[[#This Row],[HLL]]&lt;Tabla10[[#This Row],[TLM3]],1,0)</f>
        <v>1</v>
      </c>
      <c r="H20" s="24">
        <f>+SUM(Tabla10[[#This Row],[OCUPADO M1]:[OCUPADO M3]])</f>
        <v>1</v>
      </c>
      <c r="I20" s="83">
        <f>+_xlfn.MAXIFS($T$17:$T19,$P$17:$P19,1)</f>
        <v>7.2226564361333239</v>
      </c>
      <c r="J20" s="83">
        <f>+_xlfn.MAXIFS($T$17:$T19,$P$17:$P19,2)</f>
        <v>0</v>
      </c>
      <c r="K20" s="83">
        <f>+_xlfn.MAXIFS($T$17:$T19,$P$17:$P19,3)</f>
        <v>13.374514231759203</v>
      </c>
      <c r="L20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0" s="24" t="str">
        <f>+IF(Tabla10[[#This Row],[SUMA]]=0,IF(Tabla10[[#This Row],[ALEATORIO]]&lt;=0.33,1,IF(Tabla10[[#This Row],[ALEATORIO]]&lt;= 0.66,2,3)),"")</f>
        <v/>
      </c>
      <c r="N20" s="24">
        <f>+IF(Tabla10[[#This Row],[SUMA]]=1,IF(Tabla10[[#This Row],[OCUPADO M1]]=1,1,IF(Tabla10[[#This Row],[OCUPADO M2]]=1,2,3)),"")</f>
        <v>3</v>
      </c>
      <c r="O20" s="90">
        <f>+IF(Tabla10[[#This Row],[SUMA]]&lt;&gt;1,"", INDEX($M$4:$O$5,IF(Tabla10[[#This Row],[ALEATORIO]]&lt;=0.5,1,2),Tabla10[[#This Row],[quien ocupado]]) )</f>
        <v>1</v>
      </c>
      <c r="P20" s="90">
        <f>+SUM(Tabla10[[#This Row],[quien me atiende]],Tabla10[[#This Row],[Suma = 0]],Tabla10[[#This Row],[Si suma &gt;= 2]])</f>
        <v>1</v>
      </c>
      <c r="Q20" s="83">
        <f>+MAX(Tabla10[[#This Row],[HLL]],INDEX(Tabla10[[#This Row],[TLM1]:[TLM3]],1,Tabla10[[#This Row],[Quien]]))</f>
        <v>12.249868862387572</v>
      </c>
      <c r="R20" s="83">
        <v>0.22272045966272325</v>
      </c>
      <c r="S20" s="83">
        <f>2*2*Tabla10[[#This Row],[Aleatorio2]]</f>
        <v>0.89088183865089299</v>
      </c>
      <c r="T20" s="83">
        <f>+Tabla10[[#This Row],[Entrada]]+Tabla10[[#This Row],[Tiempo]]</f>
        <v>13.140750701038465</v>
      </c>
    </row>
    <row r="21" spans="2:20" x14ac:dyDescent="0.25">
      <c r="B21" s="24">
        <v>5</v>
      </c>
      <c r="C21" s="84">
        <v>18.055017378237263</v>
      </c>
      <c r="D21" s="83">
        <v>0.50090778918974721</v>
      </c>
      <c r="E21" s="24">
        <f>+IF(Tabla10[[#This Row],[HLL]]&lt;Tabla10[[#This Row],[TLM1]],1,0)</f>
        <v>0</v>
      </c>
      <c r="F21" s="24">
        <f>+IF(Tabla10[[#This Row],[HLL]]&lt;Tabla10[[#This Row],[TLM2]],1,0)</f>
        <v>0</v>
      </c>
      <c r="G21" s="24">
        <f>+IF(Tabla10[[#This Row],[HLL]]&lt;Tabla10[[#This Row],[TLM3]],1,0)</f>
        <v>0</v>
      </c>
      <c r="H21" s="24">
        <f>+SUM(Tabla10[[#This Row],[OCUPADO M1]:[OCUPADO M3]])</f>
        <v>0</v>
      </c>
      <c r="I21" s="83">
        <f>+_xlfn.MAXIFS($T$17:$T20,$P$17:$P20,1)</f>
        <v>13.140750701038465</v>
      </c>
      <c r="J21" s="83">
        <f>+_xlfn.MAXIFS($T$17:$T20,$P$17:$P20,2)</f>
        <v>0</v>
      </c>
      <c r="K21" s="83">
        <f>+_xlfn.MAXIFS($T$17:$T20,$P$17:$P20,3)</f>
        <v>13.374514231759203</v>
      </c>
      <c r="L21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1" s="24">
        <f>+IF(Tabla10[[#This Row],[SUMA]]=0,IF(Tabla10[[#This Row],[ALEATORIO]]&lt;=0.33,1,IF(Tabla10[[#This Row],[ALEATORIO]]&lt;= 0.66,2,3)),"")</f>
        <v>2</v>
      </c>
      <c r="N21" s="24" t="str">
        <f>+IF(Tabla10[[#This Row],[SUMA]]=1,IF(Tabla10[[#This Row],[OCUPADO M1]]=1,1,IF(Tabla10[[#This Row],[OCUPADO M2]]=1,2,3)),"")</f>
        <v/>
      </c>
      <c r="O21" s="90" t="str">
        <f>+IF(Tabla10[[#This Row],[SUMA]]&lt;&gt;1,"", INDEX($M$4:$O$5,IF(Tabla10[[#This Row],[ALEATORIO]]&lt;=0.5,1,2),Tabla10[[#This Row],[quien ocupado]]) )</f>
        <v/>
      </c>
      <c r="P21" s="90">
        <f>+SUM(Tabla10[[#This Row],[quien me atiende]],Tabla10[[#This Row],[Suma = 0]],Tabla10[[#This Row],[Si suma &gt;= 2]])</f>
        <v>2</v>
      </c>
      <c r="Q21" s="83">
        <f>+MAX(Tabla10[[#This Row],[HLL]],INDEX(Tabla10[[#This Row],[TLM1]:[TLM3]],1,Tabla10[[#This Row],[Quien]]))</f>
        <v>18.055017378237263</v>
      </c>
      <c r="R21" s="83">
        <v>0.94859514988273241</v>
      </c>
      <c r="S21" s="83">
        <f>2*2*Tabla10[[#This Row],[Aleatorio2]]</f>
        <v>3.7943805995309297</v>
      </c>
      <c r="T21" s="83">
        <f>+Tabla10[[#This Row],[Entrada]]+Tabla10[[#This Row],[Tiempo]]</f>
        <v>21.849397977768191</v>
      </c>
    </row>
    <row r="22" spans="2:20" x14ac:dyDescent="0.25">
      <c r="B22" s="24">
        <v>6</v>
      </c>
      <c r="C22" s="85">
        <v>19.283710961875407</v>
      </c>
      <c r="D22" s="83">
        <v>0.4275208776619317</v>
      </c>
      <c r="E22" s="24">
        <f>+IF(Tabla10[[#This Row],[HLL]]&lt;Tabla10[[#This Row],[TLM1]],1,0)</f>
        <v>0</v>
      </c>
      <c r="F22" s="24">
        <f>+IF(Tabla10[[#This Row],[HLL]]&lt;Tabla10[[#This Row],[TLM2]],1,0)</f>
        <v>1</v>
      </c>
      <c r="G22" s="24">
        <f>+IF(Tabla10[[#This Row],[HLL]]&lt;Tabla10[[#This Row],[TLM3]],1,0)</f>
        <v>0</v>
      </c>
      <c r="H22" s="24">
        <f>+SUM(Tabla10[[#This Row],[OCUPADO M1]:[OCUPADO M3]])</f>
        <v>1</v>
      </c>
      <c r="I22" s="83">
        <f>+_xlfn.MAXIFS($T$17:$T21,$P$17:$P21,1)</f>
        <v>13.140750701038465</v>
      </c>
      <c r="J22" s="83">
        <f>+_xlfn.MAXIFS($T$17:$T21,$P$17:$P21,2)</f>
        <v>21.849397977768191</v>
      </c>
      <c r="K22" s="83">
        <f>+_xlfn.MAXIFS($T$17:$T21,$P$17:$P21,3)</f>
        <v>13.374514231759203</v>
      </c>
      <c r="L22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2" s="24" t="str">
        <f>+IF(Tabla10[[#This Row],[SUMA]]=0,IF(Tabla10[[#This Row],[ALEATORIO]]&lt;=0.33,1,IF(Tabla10[[#This Row],[ALEATORIO]]&lt;= 0.66,2,3)),"")</f>
        <v/>
      </c>
      <c r="N22" s="24">
        <f>+IF(Tabla10[[#This Row],[SUMA]]=1,IF(Tabla10[[#This Row],[OCUPADO M1]]=1,1,IF(Tabla10[[#This Row],[OCUPADO M2]]=1,2,3)),"")</f>
        <v>2</v>
      </c>
      <c r="O22" s="90">
        <f>+IF(Tabla10[[#This Row],[SUMA]]&lt;&gt;1,"", INDEX($M$4:$O$5,IF(Tabla10[[#This Row],[ALEATORIO]]&lt;=0.5,1,2),Tabla10[[#This Row],[quien ocupado]]) )</f>
        <v>1</v>
      </c>
      <c r="P22" s="90">
        <f>+SUM(Tabla10[[#This Row],[quien me atiende]],Tabla10[[#This Row],[Suma = 0]],Tabla10[[#This Row],[Si suma &gt;= 2]])</f>
        <v>1</v>
      </c>
      <c r="Q22" s="83">
        <f>+MAX(Tabla10[[#This Row],[HLL]],INDEX(Tabla10[[#This Row],[TLM1]:[TLM3]],1,Tabla10[[#This Row],[Quien]]))</f>
        <v>19.283710961875407</v>
      </c>
      <c r="R22" s="83">
        <v>0.75425803007475056</v>
      </c>
      <c r="S22" s="83">
        <f>2*2*Tabla10[[#This Row],[Aleatorio2]]</f>
        <v>3.0170321202990023</v>
      </c>
      <c r="T22" s="83">
        <f>+Tabla10[[#This Row],[Entrada]]+Tabla10[[#This Row],[Tiempo]]</f>
        <v>22.30074308217441</v>
      </c>
    </row>
    <row r="23" spans="2:20" x14ac:dyDescent="0.25">
      <c r="B23" s="24">
        <v>7</v>
      </c>
      <c r="C23" s="84">
        <v>20.575443830580816</v>
      </c>
      <c r="D23" s="83">
        <v>0.80407186218066207</v>
      </c>
      <c r="E23" s="24">
        <f>+IF(Tabla10[[#This Row],[HLL]]&lt;Tabla10[[#This Row],[TLM1]],1,0)</f>
        <v>1</v>
      </c>
      <c r="F23" s="24">
        <f>+IF(Tabla10[[#This Row],[HLL]]&lt;Tabla10[[#This Row],[TLM2]],1,0)</f>
        <v>1</v>
      </c>
      <c r="G23" s="24">
        <f>+IF(Tabla10[[#This Row],[HLL]]&lt;Tabla10[[#This Row],[TLM3]],1,0)</f>
        <v>0</v>
      </c>
      <c r="H23" s="24">
        <f>+SUM(Tabla10[[#This Row],[OCUPADO M1]:[OCUPADO M3]])</f>
        <v>2</v>
      </c>
      <c r="I23" s="83">
        <f>+_xlfn.MAXIFS($T$17:$T22,$P$17:$P22,1)</f>
        <v>22.30074308217441</v>
      </c>
      <c r="J23" s="83">
        <f>+_xlfn.MAXIFS($T$17:$T22,$P$17:$P22,2)</f>
        <v>21.849397977768191</v>
      </c>
      <c r="K23" s="83">
        <f>+_xlfn.MAXIFS($T$17:$T22,$P$17:$P22,3)</f>
        <v>13.374514231759203</v>
      </c>
      <c r="L23" s="24">
        <f>IF(Tabla10[[#This Row],[SUMA]]&gt;=2,IF(AND(Tabla10[[#This Row],[TLM1]]&lt;=Tabla10[[#This Row],[TLM2]],Tabla10[[#This Row],[TLM1]]&lt;=Tabla10[[#This Row],[TLM3]]),1,IF(Tabla10[[#This Row],[TLM2]]&lt;=Tabla10[[#This Row],[TLM3]],2,3)),"")</f>
        <v>3</v>
      </c>
      <c r="M23" s="24" t="str">
        <f>+IF(Tabla10[[#This Row],[SUMA]]=0,IF(Tabla10[[#This Row],[ALEATORIO]]&lt;=0.33,1,IF(Tabla10[[#This Row],[ALEATORIO]]&lt;= 0.66,2,3)),"")</f>
        <v/>
      </c>
      <c r="N23" s="24" t="str">
        <f>+IF(Tabla10[[#This Row],[SUMA]]=1,IF(Tabla10[[#This Row],[OCUPADO M1]]=1,1,IF(Tabla10[[#This Row],[OCUPADO M2]]=1,2,3)),"")</f>
        <v/>
      </c>
      <c r="O23" s="90" t="str">
        <f>+IF(Tabla10[[#This Row],[SUMA]]&lt;&gt;1,"", INDEX($M$4:$O$5,IF(Tabla10[[#This Row],[ALEATORIO]]&lt;=0.5,1,2),Tabla10[[#This Row],[quien ocupado]]) )</f>
        <v/>
      </c>
      <c r="P23" s="90">
        <f>+SUM(Tabla10[[#This Row],[quien me atiende]],Tabla10[[#This Row],[Suma = 0]],Tabla10[[#This Row],[Si suma &gt;= 2]])</f>
        <v>3</v>
      </c>
      <c r="Q23" s="83">
        <f>+MAX(Tabla10[[#This Row],[HLL]],INDEX(Tabla10[[#This Row],[TLM1]:[TLM3]],1,Tabla10[[#This Row],[Quien]]))</f>
        <v>20.575443830580816</v>
      </c>
      <c r="R23" s="83">
        <v>0.97889112535579503</v>
      </c>
      <c r="S23" s="83">
        <f>2*2*Tabla10[[#This Row],[Aleatorio2]]</f>
        <v>3.9155645014231801</v>
      </c>
      <c r="T23" s="83">
        <f>+Tabla10[[#This Row],[Entrada]]+Tabla10[[#This Row],[Tiempo]]</f>
        <v>24.491008332003997</v>
      </c>
    </row>
    <row r="24" spans="2:20" x14ac:dyDescent="0.25">
      <c r="B24" s="24">
        <v>8</v>
      </c>
      <c r="C24" s="85">
        <v>23.718893277932494</v>
      </c>
      <c r="D24" s="83">
        <v>0.99737590711897073</v>
      </c>
      <c r="E24" s="24">
        <f>+IF(Tabla10[[#This Row],[HLL]]&lt;Tabla10[[#This Row],[TLM1]],1,0)</f>
        <v>0</v>
      </c>
      <c r="F24" s="24">
        <f>+IF(Tabla10[[#This Row],[HLL]]&lt;Tabla10[[#This Row],[TLM2]],1,0)</f>
        <v>0</v>
      </c>
      <c r="G24" s="24">
        <f>+IF(Tabla10[[#This Row],[HLL]]&lt;Tabla10[[#This Row],[TLM3]],1,0)</f>
        <v>1</v>
      </c>
      <c r="H24" s="24">
        <f>+SUM(Tabla10[[#This Row],[OCUPADO M1]:[OCUPADO M3]])</f>
        <v>1</v>
      </c>
      <c r="I24" s="83">
        <f>+_xlfn.MAXIFS($T$17:$T23,$P$17:$P23,1)</f>
        <v>22.30074308217441</v>
      </c>
      <c r="J24" s="83">
        <f>+_xlfn.MAXIFS($T$17:$T23,$P$17:$P23,2)</f>
        <v>21.849397977768191</v>
      </c>
      <c r="K24" s="83">
        <f>+_xlfn.MAXIFS($T$17:$T23,$P$17:$P23,3)</f>
        <v>24.491008332003997</v>
      </c>
      <c r="L24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4" s="24" t="str">
        <f>+IF(Tabla10[[#This Row],[SUMA]]=0,IF(Tabla10[[#This Row],[ALEATORIO]]&lt;=0.33,1,IF(Tabla10[[#This Row],[ALEATORIO]]&lt;= 0.66,2,3)),"")</f>
        <v/>
      </c>
      <c r="N24" s="24">
        <f>+IF(Tabla10[[#This Row],[SUMA]]=1,IF(Tabla10[[#This Row],[OCUPADO M1]]=1,1,IF(Tabla10[[#This Row],[OCUPADO M2]]=1,2,3)),"")</f>
        <v>3</v>
      </c>
      <c r="O24" s="90">
        <f>+IF(Tabla10[[#This Row],[SUMA]]&lt;&gt;1,"", INDEX($M$4:$O$5,IF(Tabla10[[#This Row],[ALEATORIO]]&lt;=0.5,1,2),Tabla10[[#This Row],[quien ocupado]]) )</f>
        <v>2</v>
      </c>
      <c r="P24" s="90">
        <f>+SUM(Tabla10[[#This Row],[quien me atiende]],Tabla10[[#This Row],[Suma = 0]],Tabla10[[#This Row],[Si suma &gt;= 2]])</f>
        <v>2</v>
      </c>
      <c r="Q24" s="83">
        <f>+MAX(Tabla10[[#This Row],[HLL]],INDEX(Tabla10[[#This Row],[TLM1]:[TLM3]],1,Tabla10[[#This Row],[Quien]]))</f>
        <v>23.718893277932494</v>
      </c>
      <c r="R24" s="83">
        <v>0.21571982596892403</v>
      </c>
      <c r="S24" s="83">
        <f>2*2*Tabla10[[#This Row],[Aleatorio2]]</f>
        <v>0.86287930387569611</v>
      </c>
      <c r="T24" s="83">
        <f>+Tabla10[[#This Row],[Entrada]]+Tabla10[[#This Row],[Tiempo]]</f>
        <v>24.581772581808192</v>
      </c>
    </row>
    <row r="25" spans="2:20" x14ac:dyDescent="0.25">
      <c r="B25" s="24">
        <v>9</v>
      </c>
      <c r="C25" s="84">
        <v>26.589563934428924</v>
      </c>
      <c r="D25" s="83">
        <v>0.96994375418701062</v>
      </c>
      <c r="E25" s="24">
        <f>+IF(Tabla10[[#This Row],[HLL]]&lt;Tabla10[[#This Row],[TLM1]],1,0)</f>
        <v>0</v>
      </c>
      <c r="F25" s="24">
        <f>+IF(Tabla10[[#This Row],[HLL]]&lt;Tabla10[[#This Row],[TLM2]],1,0)</f>
        <v>0</v>
      </c>
      <c r="G25" s="24">
        <f>+IF(Tabla10[[#This Row],[HLL]]&lt;Tabla10[[#This Row],[TLM3]],1,0)</f>
        <v>0</v>
      </c>
      <c r="H25" s="24">
        <f>+SUM(Tabla10[[#This Row],[OCUPADO M1]:[OCUPADO M3]])</f>
        <v>0</v>
      </c>
      <c r="I25" s="83">
        <f>+_xlfn.MAXIFS($T$17:$T24,$P$17:$P24,1)</f>
        <v>22.30074308217441</v>
      </c>
      <c r="J25" s="83">
        <f>+_xlfn.MAXIFS($T$17:$T24,$P$17:$P24,2)</f>
        <v>24.581772581808192</v>
      </c>
      <c r="K25" s="83">
        <f>+_xlfn.MAXIFS($T$17:$T24,$P$17:$P24,3)</f>
        <v>24.491008332003997</v>
      </c>
      <c r="L25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5" s="24">
        <f>+IF(Tabla10[[#This Row],[SUMA]]=0,IF(Tabla10[[#This Row],[ALEATORIO]]&lt;=0.33,1,IF(Tabla10[[#This Row],[ALEATORIO]]&lt;= 0.66,2,3)),"")</f>
        <v>3</v>
      </c>
      <c r="N25" s="24" t="str">
        <f>+IF(Tabla10[[#This Row],[SUMA]]=1,IF(Tabla10[[#This Row],[OCUPADO M1]]=1,1,IF(Tabla10[[#This Row],[OCUPADO M2]]=1,2,3)),"")</f>
        <v/>
      </c>
      <c r="O25" s="90" t="str">
        <f>+IF(Tabla10[[#This Row],[SUMA]]&lt;&gt;1,"", INDEX($M$4:$O$5,IF(Tabla10[[#This Row],[ALEATORIO]]&lt;=0.5,1,2),Tabla10[[#This Row],[quien ocupado]]) )</f>
        <v/>
      </c>
      <c r="P25" s="90">
        <f>+SUM(Tabla10[[#This Row],[quien me atiende]],Tabla10[[#This Row],[Suma = 0]],Tabla10[[#This Row],[Si suma &gt;= 2]])</f>
        <v>3</v>
      </c>
      <c r="Q25" s="83">
        <f>+MAX(Tabla10[[#This Row],[HLL]],INDEX(Tabla10[[#This Row],[TLM1]:[TLM3]],1,Tabla10[[#This Row],[Quien]]))</f>
        <v>26.589563934428924</v>
      </c>
      <c r="R25" s="83">
        <v>0.77151927339547544</v>
      </c>
      <c r="S25" s="83">
        <f>2*2*Tabla10[[#This Row],[Aleatorio2]]</f>
        <v>3.0860770935819017</v>
      </c>
      <c r="T25" s="83">
        <f>+Tabla10[[#This Row],[Entrada]]+Tabla10[[#This Row],[Tiempo]]</f>
        <v>29.675641028010826</v>
      </c>
    </row>
    <row r="26" spans="2:20" x14ac:dyDescent="0.25">
      <c r="B26" s="24">
        <v>10</v>
      </c>
      <c r="C26" s="85">
        <v>30.247757930587461</v>
      </c>
      <c r="D26" s="83">
        <v>0.81926959309113589</v>
      </c>
      <c r="E26" s="24">
        <f>+IF(Tabla10[[#This Row],[HLL]]&lt;Tabla10[[#This Row],[TLM1]],1,0)</f>
        <v>0</v>
      </c>
      <c r="F26" s="24">
        <f>+IF(Tabla10[[#This Row],[HLL]]&lt;Tabla10[[#This Row],[TLM2]],1,0)</f>
        <v>0</v>
      </c>
      <c r="G26" s="24">
        <f>+IF(Tabla10[[#This Row],[HLL]]&lt;Tabla10[[#This Row],[TLM3]],1,0)</f>
        <v>0</v>
      </c>
      <c r="H26" s="24">
        <f>+SUM(Tabla10[[#This Row],[OCUPADO M1]:[OCUPADO M3]])</f>
        <v>0</v>
      </c>
      <c r="I26" s="83">
        <f>+_xlfn.MAXIFS($T$17:$T25,$P$17:$P25,1)</f>
        <v>22.30074308217441</v>
      </c>
      <c r="J26" s="83">
        <f>+_xlfn.MAXIFS($T$17:$T25,$P$17:$P25,2)</f>
        <v>24.581772581808192</v>
      </c>
      <c r="K26" s="83">
        <f>+_xlfn.MAXIFS($T$17:$T25,$P$17:$P25,3)</f>
        <v>29.675641028010826</v>
      </c>
      <c r="L26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6" s="24">
        <f>+IF(Tabla10[[#This Row],[SUMA]]=0,IF(Tabla10[[#This Row],[ALEATORIO]]&lt;=0.33,1,IF(Tabla10[[#This Row],[ALEATORIO]]&lt;= 0.66,2,3)),"")</f>
        <v>3</v>
      </c>
      <c r="N26" s="24" t="str">
        <f>+IF(Tabla10[[#This Row],[SUMA]]=1,IF(Tabla10[[#This Row],[OCUPADO M1]]=1,1,IF(Tabla10[[#This Row],[OCUPADO M2]]=1,2,3)),"")</f>
        <v/>
      </c>
      <c r="O26" s="90" t="str">
        <f>+IF(Tabla10[[#This Row],[SUMA]]&lt;&gt;1,"", INDEX($M$4:$O$5,IF(Tabla10[[#This Row],[ALEATORIO]]&lt;=0.5,1,2),Tabla10[[#This Row],[quien ocupado]]) )</f>
        <v/>
      </c>
      <c r="P26" s="90">
        <f>+SUM(Tabla10[[#This Row],[quien me atiende]],Tabla10[[#This Row],[Suma = 0]],Tabla10[[#This Row],[Si suma &gt;= 2]])</f>
        <v>3</v>
      </c>
      <c r="Q26" s="83">
        <f>+MAX(Tabla10[[#This Row],[HLL]],INDEX(Tabla10[[#This Row],[TLM1]:[TLM3]],1,Tabla10[[#This Row],[Quien]]))</f>
        <v>30.247757930587461</v>
      </c>
      <c r="R26" s="83">
        <v>0.75617036912762703</v>
      </c>
      <c r="S26" s="83">
        <f>2*2*Tabla10[[#This Row],[Aleatorio2]]</f>
        <v>3.0246814765105081</v>
      </c>
      <c r="T26" s="83">
        <f>+Tabla10[[#This Row],[Entrada]]+Tabla10[[#This Row],[Tiempo]]</f>
        <v>33.27243940709797</v>
      </c>
    </row>
    <row r="27" spans="2:20" x14ac:dyDescent="0.25">
      <c r="B27" s="24">
        <v>11</v>
      </c>
      <c r="C27" s="84">
        <v>36.805917446188083</v>
      </c>
      <c r="D27" s="83">
        <v>6.1604691467297301E-2</v>
      </c>
      <c r="E27" s="24">
        <f>+IF(Tabla10[[#This Row],[HLL]]&lt;Tabla10[[#This Row],[TLM1]],1,0)</f>
        <v>0</v>
      </c>
      <c r="F27" s="24">
        <f>+IF(Tabla10[[#This Row],[HLL]]&lt;Tabla10[[#This Row],[TLM2]],1,0)</f>
        <v>0</v>
      </c>
      <c r="G27" s="24">
        <f>+IF(Tabla10[[#This Row],[HLL]]&lt;Tabla10[[#This Row],[TLM3]],1,0)</f>
        <v>0</v>
      </c>
      <c r="H27" s="24">
        <f>+SUM(Tabla10[[#This Row],[OCUPADO M1]:[OCUPADO M3]])</f>
        <v>0</v>
      </c>
      <c r="I27" s="83">
        <f>+_xlfn.MAXIFS($T$17:$T26,$P$17:$P26,1)</f>
        <v>22.30074308217441</v>
      </c>
      <c r="J27" s="83">
        <f>+_xlfn.MAXIFS($T$17:$T26,$P$17:$P26,2)</f>
        <v>24.581772581808192</v>
      </c>
      <c r="K27" s="83">
        <f>+_xlfn.MAXIFS($T$17:$T26,$P$17:$P26,3)</f>
        <v>33.27243940709797</v>
      </c>
      <c r="L27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7" s="24">
        <f>+IF(Tabla10[[#This Row],[SUMA]]=0,IF(Tabla10[[#This Row],[ALEATORIO]]&lt;=0.33,1,IF(Tabla10[[#This Row],[ALEATORIO]]&lt;= 0.66,2,3)),"")</f>
        <v>1</v>
      </c>
      <c r="N27" s="24" t="str">
        <f>+IF(Tabla10[[#This Row],[SUMA]]=1,IF(Tabla10[[#This Row],[OCUPADO M1]]=1,1,IF(Tabla10[[#This Row],[OCUPADO M2]]=1,2,3)),"")</f>
        <v/>
      </c>
      <c r="O27" s="90" t="str">
        <f>+IF(Tabla10[[#This Row],[SUMA]]&lt;&gt;1,"", INDEX($M$4:$O$5,IF(Tabla10[[#This Row],[ALEATORIO]]&lt;=0.5,1,2),Tabla10[[#This Row],[quien ocupado]]) )</f>
        <v/>
      </c>
      <c r="P27" s="90">
        <f>+SUM(Tabla10[[#This Row],[quien me atiende]],Tabla10[[#This Row],[Suma = 0]],Tabla10[[#This Row],[Si suma &gt;= 2]])</f>
        <v>1</v>
      </c>
      <c r="Q27" s="83">
        <f>+MAX(Tabla10[[#This Row],[HLL]],INDEX(Tabla10[[#This Row],[TLM1]:[TLM3]],1,Tabla10[[#This Row],[Quien]]))</f>
        <v>36.805917446188083</v>
      </c>
      <c r="R27" s="83">
        <v>0.67316682776248271</v>
      </c>
      <c r="S27" s="83">
        <f>2*2*Tabla10[[#This Row],[Aleatorio2]]</f>
        <v>2.6926673110499308</v>
      </c>
      <c r="T27" s="83">
        <f>+Tabla10[[#This Row],[Entrada]]+Tabla10[[#This Row],[Tiempo]]</f>
        <v>39.498584757238014</v>
      </c>
    </row>
    <row r="28" spans="2:20" x14ac:dyDescent="0.25">
      <c r="B28" s="24">
        <v>12</v>
      </c>
      <c r="C28" s="85">
        <v>60.828906261668891</v>
      </c>
      <c r="D28" s="83">
        <v>0.31065582434949346</v>
      </c>
      <c r="E28" s="24">
        <f>+IF(Tabla10[[#This Row],[HLL]]&lt;Tabla10[[#This Row],[TLM1]],1,0)</f>
        <v>0</v>
      </c>
      <c r="F28" s="24">
        <f>+IF(Tabla10[[#This Row],[HLL]]&lt;Tabla10[[#This Row],[TLM2]],1,0)</f>
        <v>0</v>
      </c>
      <c r="G28" s="24">
        <f>+IF(Tabla10[[#This Row],[HLL]]&lt;Tabla10[[#This Row],[TLM3]],1,0)</f>
        <v>0</v>
      </c>
      <c r="H28" s="24">
        <f>+SUM(Tabla10[[#This Row],[OCUPADO M1]:[OCUPADO M3]])</f>
        <v>0</v>
      </c>
      <c r="I28" s="83">
        <f>+_xlfn.MAXIFS($T$17:$T27,$P$17:$P27,1)</f>
        <v>39.498584757238014</v>
      </c>
      <c r="J28" s="83">
        <f>+_xlfn.MAXIFS($T$17:$T27,$P$17:$P27,2)</f>
        <v>24.581772581808192</v>
      </c>
      <c r="K28" s="83">
        <f>+_xlfn.MAXIFS($T$17:$T27,$P$17:$P27,3)</f>
        <v>33.27243940709797</v>
      </c>
      <c r="L28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8" s="24">
        <f>+IF(Tabla10[[#This Row],[SUMA]]=0,IF(Tabla10[[#This Row],[ALEATORIO]]&lt;=0.33,1,IF(Tabla10[[#This Row],[ALEATORIO]]&lt;= 0.66,2,3)),"")</f>
        <v>1</v>
      </c>
      <c r="N28" s="24" t="str">
        <f>+IF(Tabla10[[#This Row],[SUMA]]=1,IF(Tabla10[[#This Row],[OCUPADO M1]]=1,1,IF(Tabla10[[#This Row],[OCUPADO M2]]=1,2,3)),"")</f>
        <v/>
      </c>
      <c r="O28" s="90" t="str">
        <f>+IF(Tabla10[[#This Row],[SUMA]]&lt;&gt;1,"", INDEX($M$4:$O$5,IF(Tabla10[[#This Row],[ALEATORIO]]&lt;=0.5,1,2),Tabla10[[#This Row],[quien ocupado]]) )</f>
        <v/>
      </c>
      <c r="P28" s="90">
        <f>+SUM(Tabla10[[#This Row],[quien me atiende]],Tabla10[[#This Row],[Suma = 0]],Tabla10[[#This Row],[Si suma &gt;= 2]])</f>
        <v>1</v>
      </c>
      <c r="Q28" s="83">
        <f>+MAX(Tabla10[[#This Row],[HLL]],INDEX(Tabla10[[#This Row],[TLM1]:[TLM3]],1,Tabla10[[#This Row],[Quien]]))</f>
        <v>60.828906261668891</v>
      </c>
      <c r="R28" s="83">
        <v>8.6693660027582609E-2</v>
      </c>
      <c r="S28" s="83">
        <f>2*2*Tabla10[[#This Row],[Aleatorio2]]</f>
        <v>0.34677464011033043</v>
      </c>
      <c r="T28" s="83">
        <f>+Tabla10[[#This Row],[Entrada]]+Tabla10[[#This Row],[Tiempo]]</f>
        <v>61.175680901779224</v>
      </c>
    </row>
    <row r="29" spans="2:20" x14ac:dyDescent="0.25">
      <c r="B29" s="24">
        <v>13</v>
      </c>
      <c r="C29" s="84">
        <v>61.835252623575137</v>
      </c>
      <c r="D29" s="83">
        <v>0.22501009951078932</v>
      </c>
      <c r="E29" s="24">
        <f>+IF(Tabla10[[#This Row],[HLL]]&lt;Tabla10[[#This Row],[TLM1]],1,0)</f>
        <v>0</v>
      </c>
      <c r="F29" s="24">
        <f>+IF(Tabla10[[#This Row],[HLL]]&lt;Tabla10[[#This Row],[TLM2]],1,0)</f>
        <v>0</v>
      </c>
      <c r="G29" s="24">
        <f>+IF(Tabla10[[#This Row],[HLL]]&lt;Tabla10[[#This Row],[TLM3]],1,0)</f>
        <v>0</v>
      </c>
      <c r="H29" s="24">
        <f>+SUM(Tabla10[[#This Row],[OCUPADO M1]:[OCUPADO M3]])</f>
        <v>0</v>
      </c>
      <c r="I29" s="83">
        <f>+_xlfn.MAXIFS($T$17:$T28,$P$17:$P28,1)</f>
        <v>61.175680901779224</v>
      </c>
      <c r="J29" s="83">
        <f>+_xlfn.MAXIFS($T$17:$T28,$P$17:$P28,2)</f>
        <v>24.581772581808192</v>
      </c>
      <c r="K29" s="83">
        <f>+_xlfn.MAXIFS($T$17:$T28,$P$17:$P28,3)</f>
        <v>33.27243940709797</v>
      </c>
      <c r="L29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29" s="24">
        <f>+IF(Tabla10[[#This Row],[SUMA]]=0,IF(Tabla10[[#This Row],[ALEATORIO]]&lt;=0.33,1,IF(Tabla10[[#This Row],[ALEATORIO]]&lt;= 0.66,2,3)),"")</f>
        <v>1</v>
      </c>
      <c r="N29" s="24" t="str">
        <f>+IF(Tabla10[[#This Row],[SUMA]]=1,IF(Tabla10[[#This Row],[OCUPADO M1]]=1,1,IF(Tabla10[[#This Row],[OCUPADO M2]]=1,2,3)),"")</f>
        <v/>
      </c>
      <c r="O29" s="90" t="str">
        <f>+IF(Tabla10[[#This Row],[SUMA]]&lt;&gt;1,"", INDEX($M$4:$O$5,IF(Tabla10[[#This Row],[ALEATORIO]]&lt;=0.5,1,2),Tabla10[[#This Row],[quien ocupado]]) )</f>
        <v/>
      </c>
      <c r="P29" s="90">
        <f>+SUM(Tabla10[[#This Row],[quien me atiende]],Tabla10[[#This Row],[Suma = 0]],Tabla10[[#This Row],[Si suma &gt;= 2]])</f>
        <v>1</v>
      </c>
      <c r="Q29" s="83">
        <f>+MAX(Tabla10[[#This Row],[HLL]],INDEX(Tabla10[[#This Row],[TLM1]:[TLM3]],1,Tabla10[[#This Row],[Quien]]))</f>
        <v>61.835252623575137</v>
      </c>
      <c r="R29" s="83">
        <v>0.50056622381112881</v>
      </c>
      <c r="S29" s="83">
        <f>2*2*Tabla10[[#This Row],[Aleatorio2]]</f>
        <v>2.0022648952445152</v>
      </c>
      <c r="T29" s="83">
        <f>+Tabla10[[#This Row],[Entrada]]+Tabla10[[#This Row],[Tiempo]]</f>
        <v>63.837517518819652</v>
      </c>
    </row>
    <row r="30" spans="2:20" x14ac:dyDescent="0.25">
      <c r="B30" s="24">
        <v>14</v>
      </c>
      <c r="C30" s="85">
        <v>62.830837509896661</v>
      </c>
      <c r="D30" s="83">
        <v>0.55385247597415677</v>
      </c>
      <c r="E30" s="24">
        <f>+IF(Tabla10[[#This Row],[HLL]]&lt;Tabla10[[#This Row],[TLM1]],1,0)</f>
        <v>1</v>
      </c>
      <c r="F30" s="24">
        <f>+IF(Tabla10[[#This Row],[HLL]]&lt;Tabla10[[#This Row],[TLM2]],1,0)</f>
        <v>0</v>
      </c>
      <c r="G30" s="24">
        <f>+IF(Tabla10[[#This Row],[HLL]]&lt;Tabla10[[#This Row],[TLM3]],1,0)</f>
        <v>0</v>
      </c>
      <c r="H30" s="24">
        <f>+SUM(Tabla10[[#This Row],[OCUPADO M1]:[OCUPADO M3]])</f>
        <v>1</v>
      </c>
      <c r="I30" s="83">
        <f>+_xlfn.MAXIFS($T$17:$T29,$P$17:$P29,1)</f>
        <v>63.837517518819652</v>
      </c>
      <c r="J30" s="83">
        <f>+_xlfn.MAXIFS($T$17:$T29,$P$17:$P29,2)</f>
        <v>24.581772581808192</v>
      </c>
      <c r="K30" s="83">
        <f>+_xlfn.MAXIFS($T$17:$T29,$P$17:$P29,3)</f>
        <v>33.27243940709797</v>
      </c>
      <c r="L30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0" s="24" t="str">
        <f>+IF(Tabla10[[#This Row],[SUMA]]=0,IF(Tabla10[[#This Row],[ALEATORIO]]&lt;=0.33,1,IF(Tabla10[[#This Row],[ALEATORIO]]&lt;= 0.66,2,3)),"")</f>
        <v/>
      </c>
      <c r="N30" s="24">
        <f>+IF(Tabla10[[#This Row],[SUMA]]=1,IF(Tabla10[[#This Row],[OCUPADO M1]]=1,1,IF(Tabla10[[#This Row],[OCUPADO M2]]=1,2,3)),"")</f>
        <v>1</v>
      </c>
      <c r="O30" s="90">
        <f>+IF(Tabla10[[#This Row],[SUMA]]&lt;&gt;1,"", INDEX($M$4:$O$5,IF(Tabla10[[#This Row],[ALEATORIO]]&lt;=0.5,1,2),Tabla10[[#This Row],[quien ocupado]]) )</f>
        <v>3</v>
      </c>
      <c r="P30" s="90">
        <f>+SUM(Tabla10[[#This Row],[quien me atiende]],Tabla10[[#This Row],[Suma = 0]],Tabla10[[#This Row],[Si suma &gt;= 2]])</f>
        <v>3</v>
      </c>
      <c r="Q30" s="83">
        <f>+MAX(Tabla10[[#This Row],[HLL]],INDEX(Tabla10[[#This Row],[TLM1]:[TLM3]],1,Tabla10[[#This Row],[Quien]]))</f>
        <v>62.830837509896661</v>
      </c>
      <c r="R30" s="83">
        <v>8.6644056548451087E-2</v>
      </c>
      <c r="S30" s="83">
        <f>2*2*Tabla10[[#This Row],[Aleatorio2]]</f>
        <v>0.34657622619380435</v>
      </c>
      <c r="T30" s="83">
        <f>+Tabla10[[#This Row],[Entrada]]+Tabla10[[#This Row],[Tiempo]]</f>
        <v>63.177413736090465</v>
      </c>
    </row>
    <row r="31" spans="2:20" x14ac:dyDescent="0.25">
      <c r="B31" s="24">
        <v>15</v>
      </c>
      <c r="C31" s="84">
        <v>63.915878968380248</v>
      </c>
      <c r="D31" s="83">
        <v>0.77967924415858114</v>
      </c>
      <c r="E31" s="24">
        <f>+IF(Tabla10[[#This Row],[HLL]]&lt;Tabla10[[#This Row],[TLM1]],1,0)</f>
        <v>0</v>
      </c>
      <c r="F31" s="24">
        <f>+IF(Tabla10[[#This Row],[HLL]]&lt;Tabla10[[#This Row],[TLM2]],1,0)</f>
        <v>0</v>
      </c>
      <c r="G31" s="24">
        <f>+IF(Tabla10[[#This Row],[HLL]]&lt;Tabla10[[#This Row],[TLM3]],1,0)</f>
        <v>0</v>
      </c>
      <c r="H31" s="24">
        <f>+SUM(Tabla10[[#This Row],[OCUPADO M1]:[OCUPADO M3]])</f>
        <v>0</v>
      </c>
      <c r="I31" s="83">
        <f>+_xlfn.MAXIFS($T$17:$T30,$P$17:$P30,1)</f>
        <v>63.837517518819652</v>
      </c>
      <c r="J31" s="83">
        <f>+_xlfn.MAXIFS($T$17:$T30,$P$17:$P30,2)</f>
        <v>24.581772581808192</v>
      </c>
      <c r="K31" s="83">
        <f>+_xlfn.MAXIFS($T$17:$T30,$P$17:$P30,3)</f>
        <v>63.177413736090465</v>
      </c>
      <c r="L31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1" s="24">
        <f>+IF(Tabla10[[#This Row],[SUMA]]=0,IF(Tabla10[[#This Row],[ALEATORIO]]&lt;=0.33,1,IF(Tabla10[[#This Row],[ALEATORIO]]&lt;= 0.66,2,3)),"")</f>
        <v>3</v>
      </c>
      <c r="N31" s="24" t="str">
        <f>+IF(Tabla10[[#This Row],[SUMA]]=1,IF(Tabla10[[#This Row],[OCUPADO M1]]=1,1,IF(Tabla10[[#This Row],[OCUPADO M2]]=1,2,3)),"")</f>
        <v/>
      </c>
      <c r="O31" s="90" t="str">
        <f>+IF(Tabla10[[#This Row],[SUMA]]&lt;&gt;1,"", INDEX($M$4:$O$5,IF(Tabla10[[#This Row],[ALEATORIO]]&lt;=0.5,1,2),Tabla10[[#This Row],[quien ocupado]]) )</f>
        <v/>
      </c>
      <c r="P31" s="90">
        <f>+SUM(Tabla10[[#This Row],[quien me atiende]],Tabla10[[#This Row],[Suma = 0]],Tabla10[[#This Row],[Si suma &gt;= 2]])</f>
        <v>3</v>
      </c>
      <c r="Q31" s="83">
        <f>+MAX(Tabla10[[#This Row],[HLL]],INDEX(Tabla10[[#This Row],[TLM1]:[TLM3]],1,Tabla10[[#This Row],[Quien]]))</f>
        <v>63.915878968380248</v>
      </c>
      <c r="R31" s="83">
        <v>0.23095638231729132</v>
      </c>
      <c r="S31" s="83">
        <f>2*2*Tabla10[[#This Row],[Aleatorio2]]</f>
        <v>0.92382552926916528</v>
      </c>
      <c r="T31" s="83">
        <f>+Tabla10[[#This Row],[Entrada]]+Tabla10[[#This Row],[Tiempo]]</f>
        <v>64.839704497649407</v>
      </c>
    </row>
    <row r="32" spans="2:20" x14ac:dyDescent="0.25">
      <c r="B32" s="24">
        <v>16</v>
      </c>
      <c r="C32" s="85">
        <v>64.301804548373042</v>
      </c>
      <c r="D32" s="83">
        <v>0.6142298283331098</v>
      </c>
      <c r="E32" s="24">
        <f>+IF(Tabla10[[#This Row],[HLL]]&lt;Tabla10[[#This Row],[TLM1]],1,0)</f>
        <v>0</v>
      </c>
      <c r="F32" s="24">
        <f>+IF(Tabla10[[#This Row],[HLL]]&lt;Tabla10[[#This Row],[TLM2]],1,0)</f>
        <v>0</v>
      </c>
      <c r="G32" s="24">
        <f>+IF(Tabla10[[#This Row],[HLL]]&lt;Tabla10[[#This Row],[TLM3]],1,0)</f>
        <v>1</v>
      </c>
      <c r="H32" s="24">
        <f>+SUM(Tabla10[[#This Row],[OCUPADO M1]:[OCUPADO M3]])</f>
        <v>1</v>
      </c>
      <c r="I32" s="83">
        <f>+_xlfn.MAXIFS($T$17:$T31,$P$17:$P31,1)</f>
        <v>63.837517518819652</v>
      </c>
      <c r="J32" s="83">
        <f>+_xlfn.MAXIFS($T$17:$T31,$P$17:$P31,2)</f>
        <v>24.581772581808192</v>
      </c>
      <c r="K32" s="83">
        <f>+_xlfn.MAXIFS($T$17:$T31,$P$17:$P31,3)</f>
        <v>64.839704497649407</v>
      </c>
      <c r="L32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2" s="24" t="str">
        <f>+IF(Tabla10[[#This Row],[SUMA]]=0,IF(Tabla10[[#This Row],[ALEATORIO]]&lt;=0.33,1,IF(Tabla10[[#This Row],[ALEATORIO]]&lt;= 0.66,2,3)),"")</f>
        <v/>
      </c>
      <c r="N32" s="24">
        <f>+IF(Tabla10[[#This Row],[SUMA]]=1,IF(Tabla10[[#This Row],[OCUPADO M1]]=1,1,IF(Tabla10[[#This Row],[OCUPADO M2]]=1,2,3)),"")</f>
        <v>3</v>
      </c>
      <c r="O32" s="90">
        <f>+IF(Tabla10[[#This Row],[SUMA]]&lt;&gt;1,"", INDEX($M$4:$O$5,IF(Tabla10[[#This Row],[ALEATORIO]]&lt;=0.5,1,2),Tabla10[[#This Row],[quien ocupado]]) )</f>
        <v>2</v>
      </c>
      <c r="P32" s="90">
        <f>+SUM(Tabla10[[#This Row],[quien me atiende]],Tabla10[[#This Row],[Suma = 0]],Tabla10[[#This Row],[Si suma &gt;= 2]])</f>
        <v>2</v>
      </c>
      <c r="Q32" s="83">
        <f>+MAX(Tabla10[[#This Row],[HLL]],INDEX(Tabla10[[#This Row],[TLM1]:[TLM3]],1,Tabla10[[#This Row],[Quien]]))</f>
        <v>64.301804548373042</v>
      </c>
      <c r="R32" s="83">
        <v>0.44123869747614786</v>
      </c>
      <c r="S32" s="83">
        <f>2*2*Tabla10[[#This Row],[Aleatorio2]]</f>
        <v>1.7649547899045914</v>
      </c>
      <c r="T32" s="83">
        <f>+Tabla10[[#This Row],[Entrada]]+Tabla10[[#This Row],[Tiempo]]</f>
        <v>66.066759338277635</v>
      </c>
    </row>
    <row r="33" spans="2:20" x14ac:dyDescent="0.25">
      <c r="B33" s="24">
        <v>17</v>
      </c>
      <c r="C33" s="84">
        <v>64.418268439059915</v>
      </c>
      <c r="D33" s="83">
        <v>0.64689568430311928</v>
      </c>
      <c r="E33" s="24">
        <f>+IF(Tabla10[[#This Row],[HLL]]&lt;Tabla10[[#This Row],[TLM1]],1,0)</f>
        <v>0</v>
      </c>
      <c r="F33" s="24">
        <f>+IF(Tabla10[[#This Row],[HLL]]&lt;Tabla10[[#This Row],[TLM2]],1,0)</f>
        <v>1</v>
      </c>
      <c r="G33" s="24">
        <f>+IF(Tabla10[[#This Row],[HLL]]&lt;Tabla10[[#This Row],[TLM3]],1,0)</f>
        <v>1</v>
      </c>
      <c r="H33" s="24">
        <f>+SUM(Tabla10[[#This Row],[OCUPADO M1]:[OCUPADO M3]])</f>
        <v>2</v>
      </c>
      <c r="I33" s="83">
        <f>+_xlfn.MAXIFS($T$17:$T32,$P$17:$P32,1)</f>
        <v>63.837517518819652</v>
      </c>
      <c r="J33" s="83">
        <f>+_xlfn.MAXIFS($T$17:$T32,$P$17:$P32,2)</f>
        <v>66.066759338277635</v>
      </c>
      <c r="K33" s="83">
        <f>+_xlfn.MAXIFS($T$17:$T32,$P$17:$P32,3)</f>
        <v>64.839704497649407</v>
      </c>
      <c r="L33" s="24">
        <f>IF(Tabla10[[#This Row],[SUMA]]&gt;=2,IF(AND(Tabla10[[#This Row],[TLM1]]&lt;=Tabla10[[#This Row],[TLM2]],Tabla10[[#This Row],[TLM1]]&lt;=Tabla10[[#This Row],[TLM3]]),1,IF(Tabla10[[#This Row],[TLM2]]&lt;=Tabla10[[#This Row],[TLM3]],2,3)),"")</f>
        <v>1</v>
      </c>
      <c r="M33" s="24" t="str">
        <f>+IF(Tabla10[[#This Row],[SUMA]]=0,IF(Tabla10[[#This Row],[ALEATORIO]]&lt;=0.33,1,IF(Tabla10[[#This Row],[ALEATORIO]]&lt;= 0.66,2,3)),"")</f>
        <v/>
      </c>
      <c r="N33" s="24" t="str">
        <f>+IF(Tabla10[[#This Row],[SUMA]]=1,IF(Tabla10[[#This Row],[OCUPADO M1]]=1,1,IF(Tabla10[[#This Row],[OCUPADO M2]]=1,2,3)),"")</f>
        <v/>
      </c>
      <c r="O33" s="90" t="str">
        <f>+IF(Tabla10[[#This Row],[SUMA]]&lt;&gt;1,"", INDEX($M$4:$O$5,IF(Tabla10[[#This Row],[ALEATORIO]]&lt;=0.5,1,2),Tabla10[[#This Row],[quien ocupado]]) )</f>
        <v/>
      </c>
      <c r="P33" s="90">
        <f>+SUM(Tabla10[[#This Row],[quien me atiende]],Tabla10[[#This Row],[Suma = 0]],Tabla10[[#This Row],[Si suma &gt;= 2]])</f>
        <v>1</v>
      </c>
      <c r="Q33" s="83">
        <f>+MAX(Tabla10[[#This Row],[HLL]],INDEX(Tabla10[[#This Row],[TLM1]:[TLM3]],1,Tabla10[[#This Row],[Quien]]))</f>
        <v>64.418268439059915</v>
      </c>
      <c r="R33" s="83">
        <v>0.24100758489031782</v>
      </c>
      <c r="S33" s="83">
        <f>2*2*Tabla10[[#This Row],[Aleatorio2]]</f>
        <v>0.96403033956127127</v>
      </c>
      <c r="T33" s="83">
        <f>+Tabla10[[#This Row],[Entrada]]+Tabla10[[#This Row],[Tiempo]]</f>
        <v>65.382298778621191</v>
      </c>
    </row>
    <row r="34" spans="2:20" x14ac:dyDescent="0.25">
      <c r="B34" s="24">
        <v>18</v>
      </c>
      <c r="C34" s="85">
        <v>74.807472807234163</v>
      </c>
      <c r="D34" s="83">
        <v>0.5973468870525438</v>
      </c>
      <c r="E34" s="24">
        <f>+IF(Tabla10[[#This Row],[HLL]]&lt;Tabla10[[#This Row],[TLM1]],1,0)</f>
        <v>0</v>
      </c>
      <c r="F34" s="24">
        <f>+IF(Tabla10[[#This Row],[HLL]]&lt;Tabla10[[#This Row],[TLM2]],1,0)</f>
        <v>0</v>
      </c>
      <c r="G34" s="24">
        <f>+IF(Tabla10[[#This Row],[HLL]]&lt;Tabla10[[#This Row],[TLM3]],1,0)</f>
        <v>0</v>
      </c>
      <c r="H34" s="24">
        <f>+SUM(Tabla10[[#This Row],[OCUPADO M1]:[OCUPADO M3]])</f>
        <v>0</v>
      </c>
      <c r="I34" s="83">
        <f>+_xlfn.MAXIFS($T$17:$T33,$P$17:$P33,1)</f>
        <v>65.382298778621191</v>
      </c>
      <c r="J34" s="83">
        <f>+_xlfn.MAXIFS($T$17:$T33,$P$17:$P33,2)</f>
        <v>66.066759338277635</v>
      </c>
      <c r="K34" s="83">
        <f>+_xlfn.MAXIFS($T$17:$T33,$P$17:$P33,3)</f>
        <v>64.839704497649407</v>
      </c>
      <c r="L34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4" s="24">
        <f>+IF(Tabla10[[#This Row],[SUMA]]=0,IF(Tabla10[[#This Row],[ALEATORIO]]&lt;=0.33,1,IF(Tabla10[[#This Row],[ALEATORIO]]&lt;= 0.66,2,3)),"")</f>
        <v>2</v>
      </c>
      <c r="N34" s="24" t="str">
        <f>+IF(Tabla10[[#This Row],[SUMA]]=1,IF(Tabla10[[#This Row],[OCUPADO M1]]=1,1,IF(Tabla10[[#This Row],[OCUPADO M2]]=1,2,3)),"")</f>
        <v/>
      </c>
      <c r="O34" s="90" t="str">
        <f>+IF(Tabla10[[#This Row],[SUMA]]&lt;&gt;1,"", INDEX($M$4:$O$5,IF(Tabla10[[#This Row],[ALEATORIO]]&lt;=0.5,1,2),Tabla10[[#This Row],[quien ocupado]]) )</f>
        <v/>
      </c>
      <c r="P34" s="90">
        <f>+SUM(Tabla10[[#This Row],[quien me atiende]],Tabla10[[#This Row],[Suma = 0]],Tabla10[[#This Row],[Si suma &gt;= 2]])</f>
        <v>2</v>
      </c>
      <c r="Q34" s="83">
        <f>+MAX(Tabla10[[#This Row],[HLL]],INDEX(Tabla10[[#This Row],[TLM1]:[TLM3]],1,Tabla10[[#This Row],[Quien]]))</f>
        <v>74.807472807234163</v>
      </c>
      <c r="R34" s="83">
        <v>0.64944946082042765</v>
      </c>
      <c r="S34" s="83">
        <f>2*2*Tabla10[[#This Row],[Aleatorio2]]</f>
        <v>2.5977978432817106</v>
      </c>
      <c r="T34" s="83">
        <f>+Tabla10[[#This Row],[Entrada]]+Tabla10[[#This Row],[Tiempo]]</f>
        <v>77.405270650515874</v>
      </c>
    </row>
    <row r="35" spans="2:20" x14ac:dyDescent="0.25">
      <c r="B35" s="24">
        <v>19</v>
      </c>
      <c r="C35" s="84">
        <v>80.631445860051187</v>
      </c>
      <c r="D35" s="83">
        <v>0.8787584643250933</v>
      </c>
      <c r="E35" s="24">
        <f>+IF(Tabla10[[#This Row],[HLL]]&lt;Tabla10[[#This Row],[TLM1]],1,0)</f>
        <v>0</v>
      </c>
      <c r="F35" s="24">
        <f>+IF(Tabla10[[#This Row],[HLL]]&lt;Tabla10[[#This Row],[TLM2]],1,0)</f>
        <v>0</v>
      </c>
      <c r="G35" s="24">
        <f>+IF(Tabla10[[#This Row],[HLL]]&lt;Tabla10[[#This Row],[TLM3]],1,0)</f>
        <v>0</v>
      </c>
      <c r="H35" s="24">
        <f>+SUM(Tabla10[[#This Row],[OCUPADO M1]:[OCUPADO M3]])</f>
        <v>0</v>
      </c>
      <c r="I35" s="83">
        <f>+_xlfn.MAXIFS($T$17:$T34,$P$17:$P34,1)</f>
        <v>65.382298778621191</v>
      </c>
      <c r="J35" s="83">
        <f>+_xlfn.MAXIFS($T$17:$T34,$P$17:$P34,2)</f>
        <v>77.405270650515874</v>
      </c>
      <c r="K35" s="83">
        <f>+_xlfn.MAXIFS($T$17:$T34,$P$17:$P34,3)</f>
        <v>64.839704497649407</v>
      </c>
      <c r="L35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5" s="24">
        <f>+IF(Tabla10[[#This Row],[SUMA]]=0,IF(Tabla10[[#This Row],[ALEATORIO]]&lt;=0.33,1,IF(Tabla10[[#This Row],[ALEATORIO]]&lt;= 0.66,2,3)),"")</f>
        <v>3</v>
      </c>
      <c r="N35" s="24" t="str">
        <f>+IF(Tabla10[[#This Row],[SUMA]]=1,IF(Tabla10[[#This Row],[OCUPADO M1]]=1,1,IF(Tabla10[[#This Row],[OCUPADO M2]]=1,2,3)),"")</f>
        <v/>
      </c>
      <c r="O35" s="90" t="str">
        <f>+IF(Tabla10[[#This Row],[SUMA]]&lt;&gt;1,"", INDEX($M$4:$O$5,IF(Tabla10[[#This Row],[ALEATORIO]]&lt;=0.5,1,2),Tabla10[[#This Row],[quien ocupado]]) )</f>
        <v/>
      </c>
      <c r="P35" s="90">
        <f>+SUM(Tabla10[[#This Row],[quien me atiende]],Tabla10[[#This Row],[Suma = 0]],Tabla10[[#This Row],[Si suma &gt;= 2]])</f>
        <v>3</v>
      </c>
      <c r="Q35" s="83">
        <f>+MAX(Tabla10[[#This Row],[HLL]],INDEX(Tabla10[[#This Row],[TLM1]:[TLM3]],1,Tabla10[[#This Row],[Quien]]))</f>
        <v>80.631445860051187</v>
      </c>
      <c r="R35" s="83">
        <v>0.61017935162855841</v>
      </c>
      <c r="S35" s="83">
        <f>2*2*Tabla10[[#This Row],[Aleatorio2]]</f>
        <v>2.4407174065142336</v>
      </c>
      <c r="T35" s="83">
        <f>+Tabla10[[#This Row],[Entrada]]+Tabla10[[#This Row],[Tiempo]]</f>
        <v>83.072163266565425</v>
      </c>
    </row>
    <row r="36" spans="2:20" x14ac:dyDescent="0.25">
      <c r="B36" s="24">
        <v>20</v>
      </c>
      <c r="C36" s="85">
        <v>83.060639137239946</v>
      </c>
      <c r="D36" s="83">
        <v>0.23411239562284947</v>
      </c>
      <c r="E36" s="24">
        <f>+IF(Tabla10[[#This Row],[HLL]]&lt;Tabla10[[#This Row],[TLM1]],1,0)</f>
        <v>0</v>
      </c>
      <c r="F36" s="24">
        <f>+IF(Tabla10[[#This Row],[HLL]]&lt;Tabla10[[#This Row],[TLM2]],1,0)</f>
        <v>0</v>
      </c>
      <c r="G36" s="24">
        <f>+IF(Tabla10[[#This Row],[HLL]]&lt;Tabla10[[#This Row],[TLM3]],1,0)</f>
        <v>1</v>
      </c>
      <c r="H36" s="24">
        <f>+SUM(Tabla10[[#This Row],[OCUPADO M1]:[OCUPADO M3]])</f>
        <v>1</v>
      </c>
      <c r="I36" s="83">
        <f>+_xlfn.MAXIFS($T$17:$T35,$P$17:$P35,1)</f>
        <v>65.382298778621191</v>
      </c>
      <c r="J36" s="83">
        <f>+_xlfn.MAXIFS($T$17:$T35,$P$17:$P35,2)</f>
        <v>77.405270650515874</v>
      </c>
      <c r="K36" s="83">
        <f>+_xlfn.MAXIFS($T$17:$T35,$P$17:$P35,3)</f>
        <v>83.072163266565425</v>
      </c>
      <c r="L36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6" s="24" t="str">
        <f>+IF(Tabla10[[#This Row],[SUMA]]=0,IF(Tabla10[[#This Row],[ALEATORIO]]&lt;=0.33,1,IF(Tabla10[[#This Row],[ALEATORIO]]&lt;= 0.66,2,3)),"")</f>
        <v/>
      </c>
      <c r="N36" s="24">
        <f>+IF(Tabla10[[#This Row],[SUMA]]=1,IF(Tabla10[[#This Row],[OCUPADO M1]]=1,1,IF(Tabla10[[#This Row],[OCUPADO M2]]=1,2,3)),"")</f>
        <v>3</v>
      </c>
      <c r="O36" s="90">
        <f>+IF(Tabla10[[#This Row],[SUMA]]&lt;&gt;1,"", INDEX($M$4:$O$5,IF(Tabla10[[#This Row],[ALEATORIO]]&lt;=0.5,1,2),Tabla10[[#This Row],[quien ocupado]]) )</f>
        <v>1</v>
      </c>
      <c r="P36" s="90">
        <f>+SUM(Tabla10[[#This Row],[quien me atiende]],Tabla10[[#This Row],[Suma = 0]],Tabla10[[#This Row],[Si suma &gt;= 2]])</f>
        <v>1</v>
      </c>
      <c r="Q36" s="83">
        <f>+MAX(Tabla10[[#This Row],[HLL]],INDEX(Tabla10[[#This Row],[TLM1]:[TLM3]],1,Tabla10[[#This Row],[Quien]]))</f>
        <v>83.060639137239946</v>
      </c>
      <c r="R36" s="83">
        <v>0.37949098703621575</v>
      </c>
      <c r="S36" s="83">
        <f>2*2*Tabla10[[#This Row],[Aleatorio2]]</f>
        <v>1.517963948144863</v>
      </c>
      <c r="T36" s="83">
        <f>+Tabla10[[#This Row],[Entrada]]+Tabla10[[#This Row],[Tiempo]]</f>
        <v>84.578603085384813</v>
      </c>
    </row>
    <row r="37" spans="2:20" x14ac:dyDescent="0.25">
      <c r="B37" s="24">
        <v>21</v>
      </c>
      <c r="C37" s="84">
        <v>91.133939358579568</v>
      </c>
      <c r="D37" s="83">
        <v>0.22262020526154347</v>
      </c>
      <c r="E37" s="24">
        <f>+IF(Tabla10[[#This Row],[HLL]]&lt;Tabla10[[#This Row],[TLM1]],1,0)</f>
        <v>0</v>
      </c>
      <c r="F37" s="24">
        <f>+IF(Tabla10[[#This Row],[HLL]]&lt;Tabla10[[#This Row],[TLM2]],1,0)</f>
        <v>0</v>
      </c>
      <c r="G37" s="24">
        <f>+IF(Tabla10[[#This Row],[HLL]]&lt;Tabla10[[#This Row],[TLM3]],1,0)</f>
        <v>0</v>
      </c>
      <c r="H37" s="24">
        <f>+SUM(Tabla10[[#This Row],[OCUPADO M1]:[OCUPADO M3]])</f>
        <v>0</v>
      </c>
      <c r="I37" s="83">
        <f>+_xlfn.MAXIFS($T$17:$T36,$P$17:$P36,1)</f>
        <v>84.578603085384813</v>
      </c>
      <c r="J37" s="83">
        <f>+_xlfn.MAXIFS($T$17:$T36,$P$17:$P36,2)</f>
        <v>77.405270650515874</v>
      </c>
      <c r="K37" s="83">
        <f>+_xlfn.MAXIFS($T$17:$T36,$P$17:$P36,3)</f>
        <v>83.072163266565425</v>
      </c>
      <c r="L37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7" s="24">
        <f>+IF(Tabla10[[#This Row],[SUMA]]=0,IF(Tabla10[[#This Row],[ALEATORIO]]&lt;=0.33,1,IF(Tabla10[[#This Row],[ALEATORIO]]&lt;= 0.66,2,3)),"")</f>
        <v>1</v>
      </c>
      <c r="N37" s="24" t="str">
        <f>+IF(Tabla10[[#This Row],[SUMA]]=1,IF(Tabla10[[#This Row],[OCUPADO M1]]=1,1,IF(Tabla10[[#This Row],[OCUPADO M2]]=1,2,3)),"")</f>
        <v/>
      </c>
      <c r="O37" s="90" t="str">
        <f>+IF(Tabla10[[#This Row],[SUMA]]&lt;&gt;1,"", INDEX($M$4:$O$5,IF(Tabla10[[#This Row],[ALEATORIO]]&lt;=0.5,1,2),Tabla10[[#This Row],[quien ocupado]]) )</f>
        <v/>
      </c>
      <c r="P37" s="90">
        <f>+SUM(Tabla10[[#This Row],[quien me atiende]],Tabla10[[#This Row],[Suma = 0]],Tabla10[[#This Row],[Si suma &gt;= 2]])</f>
        <v>1</v>
      </c>
      <c r="Q37" s="83">
        <f>+MAX(Tabla10[[#This Row],[HLL]],INDEX(Tabla10[[#This Row],[TLM1]:[TLM3]],1,Tabla10[[#This Row],[Quien]]))</f>
        <v>91.133939358579568</v>
      </c>
      <c r="R37" s="83">
        <v>0.80793577542948891</v>
      </c>
      <c r="S37" s="83">
        <f>2*2*Tabla10[[#This Row],[Aleatorio2]]</f>
        <v>3.2317431017179556</v>
      </c>
      <c r="T37" s="83">
        <f>+Tabla10[[#This Row],[Entrada]]+Tabla10[[#This Row],[Tiempo]]</f>
        <v>94.365682460297521</v>
      </c>
    </row>
    <row r="38" spans="2:20" x14ac:dyDescent="0.25">
      <c r="B38" s="24">
        <v>22</v>
      </c>
      <c r="C38" s="85">
        <v>98.018002055259771</v>
      </c>
      <c r="D38" s="83">
        <v>0.82252669512708487</v>
      </c>
      <c r="E38" s="24">
        <f>+IF(Tabla10[[#This Row],[HLL]]&lt;Tabla10[[#This Row],[TLM1]],1,0)</f>
        <v>0</v>
      </c>
      <c r="F38" s="24">
        <f>+IF(Tabla10[[#This Row],[HLL]]&lt;Tabla10[[#This Row],[TLM2]],1,0)</f>
        <v>0</v>
      </c>
      <c r="G38" s="24">
        <f>+IF(Tabla10[[#This Row],[HLL]]&lt;Tabla10[[#This Row],[TLM3]],1,0)</f>
        <v>0</v>
      </c>
      <c r="H38" s="24">
        <f>+SUM(Tabla10[[#This Row],[OCUPADO M1]:[OCUPADO M3]])</f>
        <v>0</v>
      </c>
      <c r="I38" s="83">
        <f>+_xlfn.MAXIFS($T$17:$T37,$P$17:$P37,1)</f>
        <v>94.365682460297521</v>
      </c>
      <c r="J38" s="83">
        <f>+_xlfn.MAXIFS($T$17:$T37,$P$17:$P37,2)</f>
        <v>77.405270650515874</v>
      </c>
      <c r="K38" s="83">
        <f>+_xlfn.MAXIFS($T$17:$T37,$P$17:$P37,3)</f>
        <v>83.072163266565425</v>
      </c>
      <c r="L38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8" s="24">
        <f>+IF(Tabla10[[#This Row],[SUMA]]=0,IF(Tabla10[[#This Row],[ALEATORIO]]&lt;=0.33,1,IF(Tabla10[[#This Row],[ALEATORIO]]&lt;= 0.66,2,3)),"")</f>
        <v>3</v>
      </c>
      <c r="N38" s="24" t="str">
        <f>+IF(Tabla10[[#This Row],[SUMA]]=1,IF(Tabla10[[#This Row],[OCUPADO M1]]=1,1,IF(Tabla10[[#This Row],[OCUPADO M2]]=1,2,3)),"")</f>
        <v/>
      </c>
      <c r="O38" s="90" t="str">
        <f>+IF(Tabla10[[#This Row],[SUMA]]&lt;&gt;1,"", INDEX($M$4:$O$5,IF(Tabla10[[#This Row],[ALEATORIO]]&lt;=0.5,1,2),Tabla10[[#This Row],[quien ocupado]]) )</f>
        <v/>
      </c>
      <c r="P38" s="90">
        <f>+SUM(Tabla10[[#This Row],[quien me atiende]],Tabla10[[#This Row],[Suma = 0]],Tabla10[[#This Row],[Si suma &gt;= 2]])</f>
        <v>3</v>
      </c>
      <c r="Q38" s="83">
        <f>+MAX(Tabla10[[#This Row],[HLL]],INDEX(Tabla10[[#This Row],[TLM1]:[TLM3]],1,Tabla10[[#This Row],[Quien]]))</f>
        <v>98.018002055259771</v>
      </c>
      <c r="R38" s="83">
        <v>0.34478808361396174</v>
      </c>
      <c r="S38" s="83">
        <f>2*2*Tabla10[[#This Row],[Aleatorio2]]</f>
        <v>1.379152334455847</v>
      </c>
      <c r="T38" s="83">
        <f>+Tabla10[[#This Row],[Entrada]]+Tabla10[[#This Row],[Tiempo]]</f>
        <v>99.397154389715624</v>
      </c>
    </row>
    <row r="39" spans="2:20" x14ac:dyDescent="0.25">
      <c r="B39" s="24">
        <v>23</v>
      </c>
      <c r="C39" s="84">
        <v>104.86380014519398</v>
      </c>
      <c r="D39" s="83">
        <v>8.7160103225355279E-2</v>
      </c>
      <c r="E39" s="24">
        <f>+IF(Tabla10[[#This Row],[HLL]]&lt;Tabla10[[#This Row],[TLM1]],1,0)</f>
        <v>0</v>
      </c>
      <c r="F39" s="24">
        <f>+IF(Tabla10[[#This Row],[HLL]]&lt;Tabla10[[#This Row],[TLM2]],1,0)</f>
        <v>0</v>
      </c>
      <c r="G39" s="24">
        <f>+IF(Tabla10[[#This Row],[HLL]]&lt;Tabla10[[#This Row],[TLM3]],1,0)</f>
        <v>0</v>
      </c>
      <c r="H39" s="24">
        <f>+SUM(Tabla10[[#This Row],[OCUPADO M1]:[OCUPADO M3]])</f>
        <v>0</v>
      </c>
      <c r="I39" s="83">
        <f>+_xlfn.MAXIFS($T$17:$T38,$P$17:$P38,1)</f>
        <v>94.365682460297521</v>
      </c>
      <c r="J39" s="83">
        <f>+_xlfn.MAXIFS($T$17:$T38,$P$17:$P38,2)</f>
        <v>77.405270650515874</v>
      </c>
      <c r="K39" s="83">
        <f>+_xlfn.MAXIFS($T$17:$T38,$P$17:$P38,3)</f>
        <v>99.397154389715624</v>
      </c>
      <c r="L39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39" s="24">
        <f>+IF(Tabla10[[#This Row],[SUMA]]=0,IF(Tabla10[[#This Row],[ALEATORIO]]&lt;=0.33,1,IF(Tabla10[[#This Row],[ALEATORIO]]&lt;= 0.66,2,3)),"")</f>
        <v>1</v>
      </c>
      <c r="N39" s="24" t="str">
        <f>+IF(Tabla10[[#This Row],[SUMA]]=1,IF(Tabla10[[#This Row],[OCUPADO M1]]=1,1,IF(Tabla10[[#This Row],[OCUPADO M2]]=1,2,3)),"")</f>
        <v/>
      </c>
      <c r="O39" s="90" t="str">
        <f>+IF(Tabla10[[#This Row],[SUMA]]&lt;&gt;1,"", INDEX($M$4:$O$5,IF(Tabla10[[#This Row],[ALEATORIO]]&lt;=0.5,1,2),Tabla10[[#This Row],[quien ocupado]]) )</f>
        <v/>
      </c>
      <c r="P39" s="90">
        <f>+SUM(Tabla10[[#This Row],[quien me atiende]],Tabla10[[#This Row],[Suma = 0]],Tabla10[[#This Row],[Si suma &gt;= 2]])</f>
        <v>1</v>
      </c>
      <c r="Q39" s="83">
        <f>+MAX(Tabla10[[#This Row],[HLL]],INDEX(Tabla10[[#This Row],[TLM1]:[TLM3]],1,Tabla10[[#This Row],[Quien]]))</f>
        <v>104.86380014519398</v>
      </c>
      <c r="R39" s="83">
        <v>0.58056429391859554</v>
      </c>
      <c r="S39" s="83">
        <f>2*2*Tabla10[[#This Row],[Aleatorio2]]</f>
        <v>2.3222571756743822</v>
      </c>
      <c r="T39" s="83">
        <f>+Tabla10[[#This Row],[Entrada]]+Tabla10[[#This Row],[Tiempo]]</f>
        <v>107.18605732086836</v>
      </c>
    </row>
    <row r="40" spans="2:20" x14ac:dyDescent="0.25">
      <c r="B40" s="24">
        <v>24</v>
      </c>
      <c r="C40" s="85">
        <v>104.94601248204975</v>
      </c>
      <c r="D40" s="83">
        <v>0.22914885433939769</v>
      </c>
      <c r="E40" s="24">
        <f>+IF(Tabla10[[#This Row],[HLL]]&lt;Tabla10[[#This Row],[TLM1]],1,0)</f>
        <v>1</v>
      </c>
      <c r="F40" s="24">
        <f>+IF(Tabla10[[#This Row],[HLL]]&lt;Tabla10[[#This Row],[TLM2]],1,0)</f>
        <v>0</v>
      </c>
      <c r="G40" s="24">
        <f>+IF(Tabla10[[#This Row],[HLL]]&lt;Tabla10[[#This Row],[TLM3]],1,0)</f>
        <v>0</v>
      </c>
      <c r="H40" s="24">
        <f>+SUM(Tabla10[[#This Row],[OCUPADO M1]:[OCUPADO M3]])</f>
        <v>1</v>
      </c>
      <c r="I40" s="83">
        <f>+_xlfn.MAXIFS($T$17:$T39,$P$17:$P39,1)</f>
        <v>107.18605732086836</v>
      </c>
      <c r="J40" s="83">
        <f>+_xlfn.MAXIFS($T$17:$T39,$P$17:$P39,2)</f>
        <v>77.405270650515874</v>
      </c>
      <c r="K40" s="83">
        <f>+_xlfn.MAXIFS($T$17:$T39,$P$17:$P39,3)</f>
        <v>99.397154389715624</v>
      </c>
      <c r="L40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40" s="24" t="str">
        <f>+IF(Tabla10[[#This Row],[SUMA]]=0,IF(Tabla10[[#This Row],[ALEATORIO]]&lt;=0.33,1,IF(Tabla10[[#This Row],[ALEATORIO]]&lt;= 0.66,2,3)),"")</f>
        <v/>
      </c>
      <c r="N40" s="24">
        <f>+IF(Tabla10[[#This Row],[SUMA]]=1,IF(Tabla10[[#This Row],[OCUPADO M1]]=1,1,IF(Tabla10[[#This Row],[OCUPADO M2]]=1,2,3)),"")</f>
        <v>1</v>
      </c>
      <c r="O40" s="90">
        <f>+IF(Tabla10[[#This Row],[SUMA]]&lt;&gt;1,"", INDEX($M$4:$O$5,IF(Tabla10[[#This Row],[ALEATORIO]]&lt;=0.5,1,2),Tabla10[[#This Row],[quien ocupado]]) )</f>
        <v>2</v>
      </c>
      <c r="P40" s="90">
        <f>+SUM(Tabla10[[#This Row],[quien me atiende]],Tabla10[[#This Row],[Suma = 0]],Tabla10[[#This Row],[Si suma &gt;= 2]])</f>
        <v>2</v>
      </c>
      <c r="Q40" s="83">
        <f>+MAX(Tabla10[[#This Row],[HLL]],INDEX(Tabla10[[#This Row],[TLM1]:[TLM3]],1,Tabla10[[#This Row],[Quien]]))</f>
        <v>104.94601248204975</v>
      </c>
      <c r="R40" s="83">
        <v>0.19672595880637789</v>
      </c>
      <c r="S40" s="83">
        <f>2*2*Tabla10[[#This Row],[Aleatorio2]]</f>
        <v>0.78690383522551155</v>
      </c>
      <c r="T40" s="83">
        <f>+Tabla10[[#This Row],[Entrada]]+Tabla10[[#This Row],[Tiempo]]</f>
        <v>105.73291631727527</v>
      </c>
    </row>
    <row r="41" spans="2:20" x14ac:dyDescent="0.25">
      <c r="B41" s="24">
        <v>25</v>
      </c>
      <c r="C41" s="84">
        <v>105.98284300477533</v>
      </c>
      <c r="D41" s="83">
        <v>0.79195479958311588</v>
      </c>
      <c r="E41" s="24">
        <f>+IF(Tabla10[[#This Row],[HLL]]&lt;Tabla10[[#This Row],[TLM1]],1,0)</f>
        <v>1</v>
      </c>
      <c r="F41" s="24">
        <f>+IF(Tabla10[[#This Row],[HLL]]&lt;Tabla10[[#This Row],[TLM2]],1,0)</f>
        <v>0</v>
      </c>
      <c r="G41" s="24">
        <f>+IF(Tabla10[[#This Row],[HLL]]&lt;Tabla10[[#This Row],[TLM3]],1,0)</f>
        <v>0</v>
      </c>
      <c r="H41" s="24">
        <f>+SUM(Tabla10[[#This Row],[OCUPADO M1]:[OCUPADO M3]])</f>
        <v>1</v>
      </c>
      <c r="I41" s="83">
        <f>+_xlfn.MAXIFS($T$17:$T40,$P$17:$P40,1)</f>
        <v>107.18605732086836</v>
      </c>
      <c r="J41" s="83">
        <f>+_xlfn.MAXIFS($T$17:$T40,$P$17:$P40,2)</f>
        <v>105.73291631727527</v>
      </c>
      <c r="K41" s="83">
        <f>+_xlfn.MAXIFS($T$17:$T40,$P$17:$P40,3)</f>
        <v>99.397154389715624</v>
      </c>
      <c r="L41" s="24" t="str">
        <f>IF(Tabla10[[#This Row],[SUMA]]&gt;=2,IF(AND(Tabla10[[#This Row],[TLM1]]&lt;=Tabla10[[#This Row],[TLM2]],Tabla10[[#This Row],[TLM1]]&lt;=Tabla10[[#This Row],[TLM3]]),1,IF(Tabla10[[#This Row],[TLM2]]&lt;=Tabla10[[#This Row],[TLM3]],2,3)),"")</f>
        <v/>
      </c>
      <c r="M41" s="24" t="str">
        <f>+IF(Tabla10[[#This Row],[SUMA]]=0,IF(Tabla10[[#This Row],[ALEATORIO]]&lt;=0.33,1,IF(Tabla10[[#This Row],[ALEATORIO]]&lt;= 0.66,2,3)),"")</f>
        <v/>
      </c>
      <c r="N41" s="24">
        <f>+IF(Tabla10[[#This Row],[SUMA]]=1,IF(Tabla10[[#This Row],[OCUPADO M1]]=1,1,IF(Tabla10[[#This Row],[OCUPADO M2]]=1,2,3)),"")</f>
        <v>1</v>
      </c>
      <c r="O41" s="90">
        <f>+IF(Tabla10[[#This Row],[SUMA]]&lt;&gt;1,"", INDEX($M$4:$O$5,IF(Tabla10[[#This Row],[ALEATORIO]]&lt;=0.5,1,2),Tabla10[[#This Row],[quien ocupado]]) )</f>
        <v>3</v>
      </c>
      <c r="P41" s="90">
        <f>+SUM(Tabla10[[#This Row],[quien me atiende]],Tabla10[[#This Row],[Suma = 0]],Tabla10[[#This Row],[Si suma &gt;= 2]])</f>
        <v>3</v>
      </c>
      <c r="Q41" s="83">
        <f>+MAX(Tabla10[[#This Row],[HLL]],INDEX(Tabla10[[#This Row],[TLM1]:[TLM3]],1,Tabla10[[#This Row],[Quien]]))</f>
        <v>105.98284300477533</v>
      </c>
      <c r="R41" s="83">
        <v>7.2847442732761003E-2</v>
      </c>
      <c r="S41" s="83">
        <f>2*2*Tabla10[[#This Row],[Aleatorio2]]</f>
        <v>0.29138977093104401</v>
      </c>
      <c r="T41" s="83">
        <f>+Tabla10[[#This Row],[Entrada]]+Tabla10[[#This Row],[Tiempo]]</f>
        <v>106.27423277570638</v>
      </c>
    </row>
  </sheetData>
  <mergeCells count="1">
    <mergeCell ref="N15:O1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Hoja3 (2)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Ruben Dario Yie Pinedo</cp:lastModifiedBy>
  <dcterms:created xsi:type="dcterms:W3CDTF">2023-08-22T14:10:05Z</dcterms:created>
  <dcterms:modified xsi:type="dcterms:W3CDTF">2023-08-25T16:37:25Z</dcterms:modified>
</cp:coreProperties>
</file>