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3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hopple\Documents\Gabon Project\Data\"/>
    </mc:Choice>
  </mc:AlternateContent>
  <xr:revisionPtr revIDLastSave="0" documentId="13_ncr:1_{99FE2727-99B5-4705-AA47-D6C0FAE161D6}" xr6:coauthVersionLast="43" xr6:coauthVersionMax="43" xr10:uidLastSave="{00000000-0000-0000-0000-000000000000}"/>
  <bookViews>
    <workbookView xWindow="-120" yWindow="-120" windowWidth="20730" windowHeight="11160" firstSheet="4" activeTab="10" xr2:uid="{00000000-000D-0000-FFFF-FFFF00000000}"/>
  </bookViews>
  <sheets>
    <sheet name="Subsample" sheetId="3" r:id="rId1"/>
    <sheet name="Low STDs" sheetId="4" r:id="rId2"/>
    <sheet name="Low Data" sheetId="2" r:id="rId3"/>
    <sheet name="Low Summary" sheetId="8" r:id="rId4"/>
    <sheet name="Low Graphs" sheetId="10" r:id="rId5"/>
    <sheet name="High STDs" sheetId="7" r:id="rId6"/>
    <sheet name="High Data" sheetId="5" r:id="rId7"/>
    <sheet name="High Summary" sheetId="11" r:id="rId8"/>
    <sheet name="High Graphs" sheetId="13" r:id="rId9"/>
    <sheet name="Sites" sheetId="1" r:id="rId10"/>
    <sheet name="Comparison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W49" i="2" l="1"/>
  <c r="AW48" i="2"/>
  <c r="AW47" i="2"/>
  <c r="AW46" i="2"/>
  <c r="AW45" i="2"/>
  <c r="AW44" i="2"/>
  <c r="AW43" i="2"/>
  <c r="AW42" i="2"/>
  <c r="AW41" i="2"/>
  <c r="AW40" i="2"/>
  <c r="AW39" i="2"/>
  <c r="AW38" i="2"/>
  <c r="AW37" i="2"/>
  <c r="AW36" i="2"/>
  <c r="AW35" i="2"/>
  <c r="AW34" i="2"/>
  <c r="AW33" i="2"/>
  <c r="AW32" i="2"/>
  <c r="AW31" i="2"/>
  <c r="AW30" i="2"/>
  <c r="AW29" i="2"/>
  <c r="AW28" i="2"/>
  <c r="AW27" i="2"/>
  <c r="AW26" i="2"/>
  <c r="AW25" i="2"/>
  <c r="AW24" i="2"/>
  <c r="AW23" i="2"/>
  <c r="AW22" i="2"/>
  <c r="AW21" i="2"/>
  <c r="AW20" i="2"/>
  <c r="AW19" i="2"/>
  <c r="AW18" i="2"/>
  <c r="AW17" i="2"/>
  <c r="AW16" i="2"/>
  <c r="AW15" i="2"/>
  <c r="AW14" i="2"/>
  <c r="AW13" i="2"/>
  <c r="AW12" i="2"/>
  <c r="AW11" i="2"/>
  <c r="AW10" i="2"/>
  <c r="AW9" i="2"/>
  <c r="AW8" i="2"/>
  <c r="AW7" i="2"/>
  <c r="AW6" i="2"/>
  <c r="AW5" i="2"/>
  <c r="AK25" i="11" l="1"/>
  <c r="AH19" i="11"/>
  <c r="AH16" i="11"/>
  <c r="AH13" i="11"/>
  <c r="AH9" i="11"/>
  <c r="AH7" i="11"/>
  <c r="AH6" i="11"/>
  <c r="AH5" i="11"/>
  <c r="X6" i="8"/>
  <c r="R5" i="8"/>
  <c r="X5" i="8"/>
  <c r="AL21" i="11" l="1"/>
  <c r="AK21" i="11"/>
  <c r="AO21" i="11" s="1"/>
  <c r="AQ21" i="11" s="1"/>
  <c r="AK20" i="11"/>
  <c r="AO20" i="11" s="1"/>
  <c r="AQ20" i="11" s="1"/>
  <c r="AK46" i="11" l="1"/>
  <c r="AO46" i="11" s="1"/>
  <c r="AQ46" i="11" s="1"/>
  <c r="AK8" i="11"/>
  <c r="AO8" i="11" s="1"/>
  <c r="AQ8" i="11" s="1"/>
  <c r="AK7" i="11"/>
  <c r="AO7" i="11" s="1"/>
  <c r="AQ7" i="11" s="1"/>
  <c r="AK6" i="11"/>
  <c r="AO6" i="11" s="1"/>
  <c r="AQ6" i="11" s="1"/>
  <c r="AK5" i="11"/>
  <c r="AO5" i="11" s="1"/>
  <c r="AQ5" i="11" s="1"/>
  <c r="AK4" i="11"/>
  <c r="AO4" i="11" s="1"/>
  <c r="AQ4" i="11" s="1"/>
  <c r="P4" i="11" l="1"/>
  <c r="O4" i="11"/>
  <c r="N5" i="8" l="1"/>
  <c r="P45" i="11" l="1"/>
  <c r="Q16" i="11" l="1"/>
  <c r="P16" i="11"/>
  <c r="G13" i="1" l="1"/>
  <c r="G21" i="1"/>
  <c r="G6" i="1"/>
  <c r="AL48" i="11"/>
  <c r="AK48" i="11"/>
  <c r="AO48" i="11" s="1"/>
  <c r="AQ48" i="11" s="1"/>
  <c r="AL47" i="11"/>
  <c r="AK47" i="11"/>
  <c r="AO47" i="11" s="1"/>
  <c r="AQ47" i="11" s="1"/>
  <c r="AL46" i="11"/>
  <c r="AK43" i="11"/>
  <c r="AO43" i="11" s="1"/>
  <c r="AQ43" i="11" s="1"/>
  <c r="AK45" i="11"/>
  <c r="AO45" i="11" s="1"/>
  <c r="AQ45" i="11" s="1"/>
  <c r="AL44" i="11"/>
  <c r="AK44" i="11"/>
  <c r="AO44" i="11" s="1"/>
  <c r="AQ44" i="11" s="1"/>
  <c r="AL43" i="11"/>
  <c r="AK39" i="11"/>
  <c r="AO39" i="11" s="1"/>
  <c r="AQ39" i="11" s="1"/>
  <c r="AK37" i="11"/>
  <c r="AO37" i="11" s="1"/>
  <c r="AQ37" i="11" s="1"/>
  <c r="AK42" i="11"/>
  <c r="AO42" i="11" s="1"/>
  <c r="AQ42" i="11" s="1"/>
  <c r="AL41" i="11"/>
  <c r="AK41" i="11"/>
  <c r="AO41" i="11" s="1"/>
  <c r="AQ41" i="11" s="1"/>
  <c r="AL40" i="11"/>
  <c r="AK40" i="11"/>
  <c r="AO40" i="11" s="1"/>
  <c r="AQ40" i="11" s="1"/>
  <c r="AK38" i="11"/>
  <c r="AO38" i="11" s="1"/>
  <c r="AQ38" i="11" s="1"/>
  <c r="AL39" i="11"/>
  <c r="AK34" i="11"/>
  <c r="AO34" i="11" s="1"/>
  <c r="AQ34" i="11" s="1"/>
  <c r="AK36" i="11"/>
  <c r="AO36" i="11" s="1"/>
  <c r="AQ36" i="11" s="1"/>
  <c r="AL38" i="11"/>
  <c r="AL37" i="11"/>
  <c r="AL36" i="11"/>
  <c r="AK35" i="11"/>
  <c r="AO35" i="11" s="1"/>
  <c r="AQ35" i="11" s="1"/>
  <c r="AL35" i="11"/>
  <c r="AL34" i="11"/>
  <c r="AL32" i="11"/>
  <c r="AK32" i="11"/>
  <c r="AO32" i="11" s="1"/>
  <c r="AQ32" i="11" s="1"/>
  <c r="AK33" i="11"/>
  <c r="AO33" i="11" s="1"/>
  <c r="AQ33" i="11" s="1"/>
  <c r="AL33" i="11"/>
  <c r="AL31" i="11"/>
  <c r="AK31" i="11"/>
  <c r="AO31" i="11" s="1"/>
  <c r="AQ31" i="11" s="1"/>
  <c r="AK30" i="11"/>
  <c r="AO30" i="11" s="1"/>
  <c r="AQ30" i="11" s="1"/>
  <c r="AK29" i="11"/>
  <c r="AO29" i="11" s="1"/>
  <c r="AQ29" i="11" s="1"/>
  <c r="AL29" i="11"/>
  <c r="AL28" i="11"/>
  <c r="AK28" i="11"/>
  <c r="AO28" i="11" s="1"/>
  <c r="AQ28" i="11" s="1"/>
  <c r="AL27" i="11"/>
  <c r="AK27" i="11"/>
  <c r="AO27" i="11" s="1"/>
  <c r="AQ27" i="11" s="1"/>
  <c r="AK26" i="11"/>
  <c r="AO26" i="11" s="1"/>
  <c r="AQ26" i="11" s="1"/>
  <c r="AL26" i="11"/>
  <c r="AL25" i="11"/>
  <c r="AO25" i="11"/>
  <c r="AQ25" i="11" s="1"/>
  <c r="AK23" i="11"/>
  <c r="AO23" i="11" s="1"/>
  <c r="AQ23" i="11" s="1"/>
  <c r="AL23" i="11"/>
  <c r="AL22" i="11"/>
  <c r="AK22" i="11"/>
  <c r="AO22" i="11" s="1"/>
  <c r="AQ22" i="11" s="1"/>
  <c r="AK19" i="11"/>
  <c r="AO19" i="11" s="1"/>
  <c r="AQ19" i="11" s="1"/>
  <c r="AK16" i="11"/>
  <c r="AO16" i="11" s="1"/>
  <c r="AQ16" i="11" s="1"/>
  <c r="AL16" i="11"/>
  <c r="AL15" i="11"/>
  <c r="AK15" i="11"/>
  <c r="AO15" i="11" s="1"/>
  <c r="AQ15" i="11" s="1"/>
  <c r="AK14" i="11"/>
  <c r="AO14" i="11" s="1"/>
  <c r="AQ14" i="11" s="1"/>
  <c r="AL14" i="11"/>
  <c r="AK13" i="11"/>
  <c r="AO13" i="11" s="1"/>
  <c r="AQ13" i="11" s="1"/>
  <c r="AL13" i="11"/>
  <c r="AK12" i="11"/>
  <c r="AO12" i="11" s="1"/>
  <c r="AQ12" i="11" s="1"/>
  <c r="AL12" i="11"/>
  <c r="AL11" i="11"/>
  <c r="AK10" i="11"/>
  <c r="AO10" i="11" s="1"/>
  <c r="AQ10" i="11" s="1"/>
  <c r="AL10" i="11"/>
  <c r="AK9" i="11"/>
  <c r="AO9" i="11" s="1"/>
  <c r="AQ9" i="11" s="1"/>
  <c r="AL9" i="11"/>
  <c r="AL8" i="11"/>
  <c r="AL7" i="11"/>
  <c r="AK11" i="11"/>
  <c r="AO11" i="11" s="1"/>
  <c r="AQ11" i="11" s="1"/>
  <c r="AK17" i="11"/>
  <c r="AO17" i="11" s="1"/>
  <c r="AQ17" i="11" s="1"/>
  <c r="AK18" i="11"/>
  <c r="AO18" i="11" s="1"/>
  <c r="AQ18" i="11" s="1"/>
  <c r="AK24" i="11"/>
  <c r="AO24" i="11" s="1"/>
  <c r="AQ24" i="11" s="1"/>
  <c r="AL17" i="11"/>
  <c r="AL18" i="11"/>
  <c r="AL19" i="11"/>
  <c r="AL20" i="11"/>
  <c r="AL24" i="11"/>
  <c r="AL30" i="11"/>
  <c r="AL42" i="11"/>
  <c r="AL45" i="11"/>
  <c r="AL6" i="11"/>
  <c r="AL5" i="11"/>
  <c r="AL4" i="11"/>
  <c r="S48" i="11"/>
  <c r="R48" i="11"/>
  <c r="Q48" i="11"/>
  <c r="P48" i="11"/>
  <c r="AA48" i="11" s="1"/>
  <c r="O48" i="11"/>
  <c r="S47" i="11"/>
  <c r="R47" i="11"/>
  <c r="Q47" i="11"/>
  <c r="P47" i="11"/>
  <c r="O47" i="11"/>
  <c r="S46" i="11"/>
  <c r="R46" i="11"/>
  <c r="Q46" i="11"/>
  <c r="P46" i="11"/>
  <c r="O46" i="11"/>
  <c r="S45" i="11"/>
  <c r="R45" i="11"/>
  <c r="Q45" i="11"/>
  <c r="AB45" i="11" s="1"/>
  <c r="S44" i="11"/>
  <c r="R44" i="11"/>
  <c r="AI44" i="11" s="1"/>
  <c r="H45" i="12" s="1"/>
  <c r="Q44" i="11"/>
  <c r="P44" i="11"/>
  <c r="O44" i="11"/>
  <c r="S43" i="11"/>
  <c r="R43" i="11"/>
  <c r="Q43" i="11"/>
  <c r="P43" i="11"/>
  <c r="O43" i="11"/>
  <c r="AB43" i="11" s="1"/>
  <c r="S42" i="11"/>
  <c r="R42" i="11"/>
  <c r="Q42" i="11"/>
  <c r="P42" i="11"/>
  <c r="O42" i="11"/>
  <c r="S41" i="11"/>
  <c r="R41" i="11"/>
  <c r="Q41" i="11"/>
  <c r="AH41" i="11" s="1"/>
  <c r="G42" i="12" s="1"/>
  <c r="P41" i="11"/>
  <c r="O41" i="11"/>
  <c r="S40" i="11"/>
  <c r="R40" i="11"/>
  <c r="Q40" i="11"/>
  <c r="P40" i="11"/>
  <c r="O40" i="11"/>
  <c r="S39" i="11"/>
  <c r="AF39" i="11" s="1"/>
  <c r="R39" i="11"/>
  <c r="Q39" i="11"/>
  <c r="P39" i="11"/>
  <c r="O39" i="11"/>
  <c r="S38" i="11"/>
  <c r="R38" i="11"/>
  <c r="Q38" i="11"/>
  <c r="P38" i="11"/>
  <c r="AD38" i="11" s="1"/>
  <c r="O38" i="11"/>
  <c r="S37" i="11"/>
  <c r="R37" i="11"/>
  <c r="Q37" i="11"/>
  <c r="P37" i="11"/>
  <c r="O37" i="11"/>
  <c r="S36" i="11"/>
  <c r="R36" i="11"/>
  <c r="AI36" i="11" s="1"/>
  <c r="H37" i="12" s="1"/>
  <c r="Q36" i="11"/>
  <c r="P36" i="11"/>
  <c r="O36" i="11"/>
  <c r="S35" i="11"/>
  <c r="R35" i="11"/>
  <c r="Q35" i="11"/>
  <c r="P35" i="11"/>
  <c r="O35" i="11"/>
  <c r="AH35" i="11" s="1"/>
  <c r="G36" i="12" s="1"/>
  <c r="S34" i="11"/>
  <c r="R34" i="11"/>
  <c r="Q34" i="11"/>
  <c r="P34" i="11"/>
  <c r="O34" i="11"/>
  <c r="S33" i="11"/>
  <c r="R33" i="11"/>
  <c r="Q33" i="11"/>
  <c r="AD33" i="11" s="1"/>
  <c r="P33" i="11"/>
  <c r="O33" i="11"/>
  <c r="S32" i="11"/>
  <c r="R32" i="11"/>
  <c r="Q32" i="11"/>
  <c r="P32" i="11"/>
  <c r="O32" i="11"/>
  <c r="S31" i="11"/>
  <c r="AF31" i="11" s="1"/>
  <c r="R31" i="11"/>
  <c r="Q31" i="11"/>
  <c r="P31" i="11"/>
  <c r="O31" i="11"/>
  <c r="S30" i="11"/>
  <c r="R30" i="11"/>
  <c r="Q30" i="11"/>
  <c r="P30" i="11"/>
  <c r="AH30" i="11" s="1"/>
  <c r="G31" i="12" s="1"/>
  <c r="O30" i="11"/>
  <c r="S29" i="11"/>
  <c r="R29" i="11"/>
  <c r="Q29" i="11"/>
  <c r="P29" i="11"/>
  <c r="O29" i="11"/>
  <c r="S28" i="11"/>
  <c r="R28" i="11"/>
  <c r="AF28" i="11" s="1"/>
  <c r="Q28" i="11"/>
  <c r="P28" i="11"/>
  <c r="O28" i="11"/>
  <c r="S27" i="11"/>
  <c r="R27" i="11"/>
  <c r="Q27" i="11"/>
  <c r="P27" i="11"/>
  <c r="O27" i="11"/>
  <c r="AH27" i="11" s="1"/>
  <c r="G28" i="12" s="1"/>
  <c r="S26" i="11"/>
  <c r="R26" i="11"/>
  <c r="Q26" i="11"/>
  <c r="P26" i="11"/>
  <c r="O26" i="11"/>
  <c r="S25" i="11"/>
  <c r="R25" i="11"/>
  <c r="Q25" i="11"/>
  <c r="AD25" i="11" s="1"/>
  <c r="P25" i="11"/>
  <c r="O25" i="11"/>
  <c r="S24" i="11"/>
  <c r="R24" i="11"/>
  <c r="Q24" i="11"/>
  <c r="P24" i="11"/>
  <c r="O24" i="11"/>
  <c r="S23" i="11"/>
  <c r="AF23" i="11" s="1"/>
  <c r="R23" i="11"/>
  <c r="Q23" i="11"/>
  <c r="P23" i="11"/>
  <c r="O23" i="11"/>
  <c r="S22" i="11"/>
  <c r="R22" i="11"/>
  <c r="Q22" i="11"/>
  <c r="P22" i="11"/>
  <c r="AD22" i="11" s="1"/>
  <c r="O22" i="11"/>
  <c r="S21" i="11"/>
  <c r="R21" i="11"/>
  <c r="Q21" i="11"/>
  <c r="P21" i="11"/>
  <c r="O21" i="11"/>
  <c r="S20" i="11"/>
  <c r="R20" i="11"/>
  <c r="AI20" i="11" s="1"/>
  <c r="H21" i="12" s="1"/>
  <c r="Q20" i="11"/>
  <c r="P20" i="11"/>
  <c r="O20" i="11"/>
  <c r="S19" i="11"/>
  <c r="R19" i="11"/>
  <c r="Q19" i="11"/>
  <c r="P19" i="11"/>
  <c r="O19" i="11"/>
  <c r="AI19" i="11" s="1"/>
  <c r="H20" i="12" s="1"/>
  <c r="S18" i="11"/>
  <c r="Q18" i="11"/>
  <c r="P18" i="11"/>
  <c r="O18" i="11"/>
  <c r="S17" i="11"/>
  <c r="R17" i="11"/>
  <c r="Q17" i="11"/>
  <c r="P17" i="11"/>
  <c r="AH17" i="11" s="1"/>
  <c r="G18" i="12" s="1"/>
  <c r="O17" i="11"/>
  <c r="S16" i="11"/>
  <c r="R16" i="11"/>
  <c r="O16" i="11"/>
  <c r="G17" i="12" s="1"/>
  <c r="S15" i="11"/>
  <c r="R15" i="11"/>
  <c r="Q15" i="11"/>
  <c r="P15" i="11"/>
  <c r="AD15" i="11" s="1"/>
  <c r="O15" i="11"/>
  <c r="S14" i="11"/>
  <c r="R14" i="11"/>
  <c r="Q14" i="11"/>
  <c r="P14" i="11"/>
  <c r="O14" i="11"/>
  <c r="S13" i="11"/>
  <c r="R13" i="11"/>
  <c r="AF13" i="11" s="1"/>
  <c r="Q13" i="11"/>
  <c r="P13" i="11"/>
  <c r="O13" i="11"/>
  <c r="S12" i="11"/>
  <c r="R12" i="11"/>
  <c r="Q12" i="11"/>
  <c r="P12" i="11"/>
  <c r="O12" i="11"/>
  <c r="AB12" i="11" s="1"/>
  <c r="S11" i="11"/>
  <c r="R11" i="11"/>
  <c r="Q11" i="11"/>
  <c r="O11" i="11"/>
  <c r="S10" i="11"/>
  <c r="R10" i="11"/>
  <c r="Q10" i="11"/>
  <c r="P10" i="11"/>
  <c r="AC10" i="11" s="1"/>
  <c r="O10" i="11"/>
  <c r="S9" i="11"/>
  <c r="R9" i="11"/>
  <c r="Q9" i="11"/>
  <c r="P9" i="11"/>
  <c r="O9" i="11"/>
  <c r="S8" i="11"/>
  <c r="R8" i="11"/>
  <c r="AD8" i="11" s="1"/>
  <c r="Q8" i="11"/>
  <c r="P8" i="11"/>
  <c r="O8" i="11"/>
  <c r="S7" i="11"/>
  <c r="R7" i="11"/>
  <c r="Q7" i="11"/>
  <c r="P7" i="11"/>
  <c r="O7" i="11"/>
  <c r="AI7" i="11" s="1"/>
  <c r="H8" i="12" s="1"/>
  <c r="S6" i="11"/>
  <c r="R6" i="11"/>
  <c r="Q6" i="11"/>
  <c r="P6" i="11"/>
  <c r="O6" i="11"/>
  <c r="S5" i="11"/>
  <c r="R5" i="11"/>
  <c r="Q5" i="11"/>
  <c r="AA5" i="11" s="1"/>
  <c r="P5" i="11"/>
  <c r="O5" i="11"/>
  <c r="S4" i="11"/>
  <c r="R4" i="11"/>
  <c r="Q4" i="11"/>
  <c r="P49" i="8"/>
  <c r="O49" i="8"/>
  <c r="N49" i="8"/>
  <c r="Y49" i="8" s="1"/>
  <c r="E49" i="12" s="1"/>
  <c r="M49" i="8"/>
  <c r="P48" i="8"/>
  <c r="O48" i="8"/>
  <c r="N48" i="8"/>
  <c r="M48" i="8"/>
  <c r="P47" i="8"/>
  <c r="O47" i="8"/>
  <c r="N47" i="8"/>
  <c r="R47" i="8" s="1"/>
  <c r="M47" i="8"/>
  <c r="P46" i="8"/>
  <c r="O46" i="8"/>
  <c r="N46" i="8"/>
  <c r="M46" i="8"/>
  <c r="P45" i="8"/>
  <c r="O45" i="8"/>
  <c r="N45" i="8"/>
  <c r="Y45" i="8" s="1"/>
  <c r="E45" i="12" s="1"/>
  <c r="M45" i="8"/>
  <c r="P44" i="8"/>
  <c r="O44" i="8"/>
  <c r="N44" i="8"/>
  <c r="M44" i="8"/>
  <c r="P43" i="8"/>
  <c r="O43" i="8"/>
  <c r="N43" i="8"/>
  <c r="S43" i="8" s="1"/>
  <c r="M43" i="8"/>
  <c r="P42" i="8"/>
  <c r="O42" i="8"/>
  <c r="N42" i="8"/>
  <c r="M42" i="8"/>
  <c r="P41" i="8"/>
  <c r="O41" i="8"/>
  <c r="N41" i="8"/>
  <c r="U41" i="8" s="1"/>
  <c r="M41" i="8"/>
  <c r="P40" i="8"/>
  <c r="O40" i="8"/>
  <c r="N40" i="8"/>
  <c r="M40" i="8"/>
  <c r="P39" i="8"/>
  <c r="O39" i="8"/>
  <c r="N39" i="8"/>
  <c r="X39" i="8" s="1"/>
  <c r="D39" i="12" s="1"/>
  <c r="M39" i="8"/>
  <c r="P38" i="8"/>
  <c r="O38" i="8"/>
  <c r="N38" i="8"/>
  <c r="M38" i="8"/>
  <c r="P37" i="8"/>
  <c r="O37" i="8"/>
  <c r="N37" i="8"/>
  <c r="Y37" i="8" s="1"/>
  <c r="E37" i="12" s="1"/>
  <c r="M37" i="8"/>
  <c r="P36" i="8"/>
  <c r="O36" i="8"/>
  <c r="N36" i="8"/>
  <c r="M36" i="8"/>
  <c r="P35" i="8"/>
  <c r="O35" i="8"/>
  <c r="N35" i="8"/>
  <c r="S35" i="8" s="1"/>
  <c r="M35" i="8"/>
  <c r="P34" i="8"/>
  <c r="O34" i="8"/>
  <c r="N34" i="8"/>
  <c r="M34" i="8"/>
  <c r="P33" i="8"/>
  <c r="O33" i="8"/>
  <c r="N33" i="8"/>
  <c r="U33" i="8" s="1"/>
  <c r="M33" i="8"/>
  <c r="P32" i="8"/>
  <c r="O32" i="8"/>
  <c r="N32" i="8"/>
  <c r="M32" i="8"/>
  <c r="P31" i="8"/>
  <c r="O31" i="8"/>
  <c r="N31" i="8"/>
  <c r="X31" i="8" s="1"/>
  <c r="D31" i="12" s="1"/>
  <c r="M31" i="8"/>
  <c r="P30" i="8"/>
  <c r="O30" i="8"/>
  <c r="N30" i="8"/>
  <c r="M30" i="8"/>
  <c r="P29" i="8"/>
  <c r="O29" i="8"/>
  <c r="N29" i="8"/>
  <c r="Y29" i="8" s="1"/>
  <c r="E29" i="12" s="1"/>
  <c r="M29" i="8"/>
  <c r="P28" i="8"/>
  <c r="O28" i="8"/>
  <c r="N28" i="8"/>
  <c r="M28" i="8"/>
  <c r="P27" i="8"/>
  <c r="O27" i="8"/>
  <c r="N27" i="8"/>
  <c r="S27" i="8" s="1"/>
  <c r="M27" i="8"/>
  <c r="P26" i="8"/>
  <c r="O26" i="8"/>
  <c r="N26" i="8"/>
  <c r="M26" i="8"/>
  <c r="P25" i="8"/>
  <c r="O25" i="8"/>
  <c r="N25" i="8"/>
  <c r="U25" i="8" s="1"/>
  <c r="M25" i="8"/>
  <c r="P24" i="8"/>
  <c r="O24" i="8"/>
  <c r="N24" i="8"/>
  <c r="M24" i="8"/>
  <c r="P23" i="8"/>
  <c r="O23" i="8"/>
  <c r="N23" i="8"/>
  <c r="X23" i="8" s="1"/>
  <c r="D23" i="12" s="1"/>
  <c r="M23" i="8"/>
  <c r="P22" i="8"/>
  <c r="O22" i="8"/>
  <c r="N22" i="8"/>
  <c r="M22" i="8"/>
  <c r="P21" i="8"/>
  <c r="O21" i="8"/>
  <c r="N21" i="8"/>
  <c r="Y21" i="8" s="1"/>
  <c r="E21" i="12" s="1"/>
  <c r="M21" i="8"/>
  <c r="P20" i="8"/>
  <c r="O20" i="8"/>
  <c r="N20" i="8"/>
  <c r="M20" i="8"/>
  <c r="P19" i="8"/>
  <c r="O19" i="8"/>
  <c r="N19" i="8"/>
  <c r="S19" i="8" s="1"/>
  <c r="M19" i="8"/>
  <c r="P18" i="8"/>
  <c r="O18" i="8"/>
  <c r="N18" i="8"/>
  <c r="M18" i="8"/>
  <c r="P17" i="8"/>
  <c r="O17" i="8"/>
  <c r="N17" i="8"/>
  <c r="U17" i="8" s="1"/>
  <c r="M17" i="8"/>
  <c r="P16" i="8"/>
  <c r="O16" i="8"/>
  <c r="N16" i="8"/>
  <c r="M16" i="8"/>
  <c r="P15" i="8"/>
  <c r="O15" i="8"/>
  <c r="N15" i="8"/>
  <c r="Y15" i="8" s="1"/>
  <c r="E15" i="12" s="1"/>
  <c r="M15" i="8"/>
  <c r="P14" i="8"/>
  <c r="O14" i="8"/>
  <c r="N14" i="8"/>
  <c r="M14" i="8"/>
  <c r="P13" i="8"/>
  <c r="O13" i="8"/>
  <c r="N13" i="8"/>
  <c r="V13" i="8" s="1"/>
  <c r="M13" i="8"/>
  <c r="P12" i="8"/>
  <c r="O12" i="8"/>
  <c r="N12" i="8"/>
  <c r="M12" i="8"/>
  <c r="P11" i="8"/>
  <c r="O11" i="8"/>
  <c r="N11" i="8"/>
  <c r="S11" i="8" s="1"/>
  <c r="M11" i="8"/>
  <c r="P10" i="8"/>
  <c r="O10" i="8"/>
  <c r="N10" i="8"/>
  <c r="M10" i="8"/>
  <c r="P9" i="8"/>
  <c r="O9" i="8"/>
  <c r="N9" i="8"/>
  <c r="U9" i="8" s="1"/>
  <c r="M9" i="8"/>
  <c r="P8" i="8"/>
  <c r="O8" i="8"/>
  <c r="N8" i="8"/>
  <c r="X8" i="8" s="1"/>
  <c r="D8" i="12" s="1"/>
  <c r="M8" i="8"/>
  <c r="P7" i="8"/>
  <c r="O7" i="8"/>
  <c r="N7" i="8"/>
  <c r="Y7" i="8" s="1"/>
  <c r="E7" i="12" s="1"/>
  <c r="M7" i="8"/>
  <c r="P6" i="8"/>
  <c r="N6" i="8"/>
  <c r="O6" i="8"/>
  <c r="M6" i="8"/>
  <c r="P5" i="8"/>
  <c r="O5" i="8"/>
  <c r="M5" i="8"/>
  <c r="AI40" i="11"/>
  <c r="H41" i="12" s="1"/>
  <c r="AH40" i="11"/>
  <c r="G41" i="12" s="1"/>
  <c r="AI39" i="11"/>
  <c r="H40" i="12" s="1"/>
  <c r="AH39" i="11"/>
  <c r="G40" i="12" s="1"/>
  <c r="AI37" i="11"/>
  <c r="H38" i="12" s="1"/>
  <c r="AH37" i="11"/>
  <c r="G38" i="12" s="1"/>
  <c r="AI34" i="11"/>
  <c r="H35" i="12" s="1"/>
  <c r="AH34" i="11"/>
  <c r="G35" i="12" s="1"/>
  <c r="AH31" i="11"/>
  <c r="G32" i="12" s="1"/>
  <c r="AH33" i="11"/>
  <c r="G34" i="12" s="1"/>
  <c r="AI32" i="11"/>
  <c r="H33" i="12" s="1"/>
  <c r="AH32" i="11"/>
  <c r="G33" i="12" s="1"/>
  <c r="AI31" i="11"/>
  <c r="H32" i="12" s="1"/>
  <c r="AH28" i="11"/>
  <c r="G29" i="12" s="1"/>
  <c r="AI29" i="11"/>
  <c r="H30" i="12" s="1"/>
  <c r="AH29" i="11"/>
  <c r="G30" i="12" s="1"/>
  <c r="AI28" i="11"/>
  <c r="H29" i="12" s="1"/>
  <c r="AI26" i="11"/>
  <c r="H27" i="12" s="1"/>
  <c r="AH26" i="11"/>
  <c r="G27" i="12" s="1"/>
  <c r="AI23" i="11"/>
  <c r="H24" i="12" s="1"/>
  <c r="AH23" i="11"/>
  <c r="G24" i="12" s="1"/>
  <c r="AI21" i="11"/>
  <c r="H22" i="12" s="1"/>
  <c r="AH21" i="11"/>
  <c r="G22" i="12" s="1"/>
  <c r="AI16" i="11"/>
  <c r="H17" i="12" s="1"/>
  <c r="AI14" i="11"/>
  <c r="H15" i="12" s="1"/>
  <c r="AH14" i="11"/>
  <c r="G15" i="12" s="1"/>
  <c r="AI11" i="11"/>
  <c r="H12" i="12" s="1"/>
  <c r="AH11" i="11"/>
  <c r="G12" i="12" s="1"/>
  <c r="AI9" i="11"/>
  <c r="H10" i="12" s="1"/>
  <c r="G10" i="12"/>
  <c r="AH8" i="11"/>
  <c r="G9" i="12" s="1"/>
  <c r="AI42" i="11"/>
  <c r="H43" i="12" s="1"/>
  <c r="AI24" i="11"/>
  <c r="H25" i="12" s="1"/>
  <c r="AI22" i="11"/>
  <c r="H23" i="12" s="1"/>
  <c r="AI18" i="11"/>
  <c r="H19" i="12" s="1"/>
  <c r="AH42" i="11"/>
  <c r="G43" i="12" s="1"/>
  <c r="AH24" i="11"/>
  <c r="G25" i="12" s="1"/>
  <c r="AH18" i="11"/>
  <c r="G19" i="12" s="1"/>
  <c r="G7" i="12"/>
  <c r="AI6" i="11"/>
  <c r="H7" i="12" s="1"/>
  <c r="AI4" i="11"/>
  <c r="H5" i="12" s="1"/>
  <c r="L27" i="13"/>
  <c r="J3" i="13"/>
  <c r="K45" i="13"/>
  <c r="L45" i="13" s="1"/>
  <c r="J45" i="13"/>
  <c r="K42" i="13"/>
  <c r="L42" i="13" s="1"/>
  <c r="J42" i="13"/>
  <c r="K39" i="13"/>
  <c r="L39" i="13" s="1"/>
  <c r="J39" i="13"/>
  <c r="K36" i="13"/>
  <c r="L36" i="13" s="1"/>
  <c r="J36" i="13"/>
  <c r="K33" i="13"/>
  <c r="L33" i="13" s="1"/>
  <c r="J33" i="13"/>
  <c r="K30" i="13"/>
  <c r="L30" i="13" s="1"/>
  <c r="J30" i="13"/>
  <c r="K27" i="13"/>
  <c r="J27" i="13"/>
  <c r="K24" i="13"/>
  <c r="L24" i="13" s="1"/>
  <c r="J24" i="13"/>
  <c r="K21" i="13"/>
  <c r="L21" i="13"/>
  <c r="J21" i="13"/>
  <c r="K18" i="13"/>
  <c r="L18" i="13" s="1"/>
  <c r="J18" i="13"/>
  <c r="K15" i="13"/>
  <c r="L15" i="13" s="1"/>
  <c r="J15" i="13"/>
  <c r="K12" i="13"/>
  <c r="L12" i="13" s="1"/>
  <c r="J12" i="13"/>
  <c r="K9" i="13"/>
  <c r="L9" i="13" s="1"/>
  <c r="J9" i="13"/>
  <c r="K6" i="13"/>
  <c r="L6" i="13" s="1"/>
  <c r="J6" i="13"/>
  <c r="K3" i="13"/>
  <c r="L3" i="13" s="1"/>
  <c r="E3" i="13"/>
  <c r="F45" i="13"/>
  <c r="G45" i="13" s="1"/>
  <c r="E45" i="13"/>
  <c r="F42" i="13"/>
  <c r="G42" i="13"/>
  <c r="E42" i="13"/>
  <c r="F39" i="13"/>
  <c r="G39" i="13" s="1"/>
  <c r="E39" i="13"/>
  <c r="G36" i="13"/>
  <c r="F36" i="13"/>
  <c r="E36" i="13"/>
  <c r="F33" i="13"/>
  <c r="G33" i="13" s="1"/>
  <c r="E33" i="13"/>
  <c r="F30" i="13"/>
  <c r="G30" i="13"/>
  <c r="E30" i="13"/>
  <c r="F27" i="13"/>
  <c r="G27" i="13" s="1"/>
  <c r="E27" i="13"/>
  <c r="F24" i="13"/>
  <c r="G24" i="13" s="1"/>
  <c r="E24" i="13"/>
  <c r="F21" i="13"/>
  <c r="G21" i="13" s="1"/>
  <c r="E21" i="13"/>
  <c r="F18" i="13"/>
  <c r="G18" i="13" s="1"/>
  <c r="E18" i="13"/>
  <c r="F15" i="13"/>
  <c r="G15" i="13" s="1"/>
  <c r="E15" i="13"/>
  <c r="F12" i="13"/>
  <c r="G12" i="13" s="1"/>
  <c r="E12" i="13"/>
  <c r="F9" i="13"/>
  <c r="G9" i="13" s="1"/>
  <c r="E9" i="13"/>
  <c r="F6" i="13"/>
  <c r="G6" i="13" s="1"/>
  <c r="E6" i="13"/>
  <c r="F3" i="13"/>
  <c r="G3" i="13" s="1"/>
  <c r="AD42" i="11"/>
  <c r="AD40" i="11"/>
  <c r="AD39" i="11"/>
  <c r="AD37" i="11"/>
  <c r="AD34" i="11"/>
  <c r="AD32" i="11"/>
  <c r="AD31" i="11"/>
  <c r="AD29" i="11"/>
  <c r="AD26" i="11"/>
  <c r="AD24" i="11"/>
  <c r="AD23" i="11"/>
  <c r="AD21" i="11"/>
  <c r="AD18" i="11"/>
  <c r="AD16" i="11"/>
  <c r="AD14" i="11"/>
  <c r="AD11" i="11"/>
  <c r="AD10" i="11"/>
  <c r="AD9" i="11"/>
  <c r="AD6" i="11"/>
  <c r="AD4" i="11"/>
  <c r="AC45" i="11"/>
  <c r="AC43" i="11"/>
  <c r="AC42" i="11"/>
  <c r="AC40" i="11"/>
  <c r="AC39" i="11"/>
  <c r="AC37" i="11"/>
  <c r="AC35" i="11"/>
  <c r="AC34" i="11"/>
  <c r="AC32" i="11"/>
  <c r="AC31" i="11"/>
  <c r="AC29" i="11"/>
  <c r="AC27" i="11"/>
  <c r="AC26" i="11"/>
  <c r="AC24" i="11"/>
  <c r="AC23" i="11"/>
  <c r="AC21" i="11"/>
  <c r="AC19" i="11"/>
  <c r="AC18" i="11"/>
  <c r="AC16" i="11"/>
  <c r="AC14" i="11"/>
  <c r="AC11" i="11"/>
  <c r="AC9" i="11"/>
  <c r="AC6" i="11"/>
  <c r="AC4" i="11"/>
  <c r="AB48" i="11"/>
  <c r="AB44" i="11"/>
  <c r="AB42" i="11"/>
  <c r="AB40" i="11"/>
  <c r="AB39" i="11"/>
  <c r="AB37" i="11"/>
  <c r="AB36" i="11"/>
  <c r="AB34" i="11"/>
  <c r="AB32" i="11"/>
  <c r="AB31" i="11"/>
  <c r="AB29" i="11"/>
  <c r="AB28" i="11"/>
  <c r="AB26" i="11"/>
  <c r="AB24" i="11"/>
  <c r="AB23" i="11"/>
  <c r="AB21" i="11"/>
  <c r="AB20" i="11"/>
  <c r="AB18" i="11"/>
  <c r="AB16" i="11"/>
  <c r="AB14" i="11"/>
  <c r="AB13" i="11"/>
  <c r="AB11" i="11"/>
  <c r="AB9" i="11"/>
  <c r="AB8" i="11"/>
  <c r="AB6" i="11"/>
  <c r="AB5" i="11"/>
  <c r="AB4" i="11"/>
  <c r="AA42" i="11"/>
  <c r="AA40" i="11"/>
  <c r="AA39" i="11"/>
  <c r="AA38" i="11"/>
  <c r="AA37" i="11"/>
  <c r="AA36" i="11"/>
  <c r="AA34" i="11"/>
  <c r="AA32" i="11"/>
  <c r="AA31" i="11"/>
  <c r="AA30" i="11"/>
  <c r="AA29" i="11"/>
  <c r="AA28" i="11"/>
  <c r="AA26" i="11"/>
  <c r="AA24" i="11"/>
  <c r="AA23" i="11"/>
  <c r="AA22" i="11"/>
  <c r="AA21" i="11"/>
  <c r="AA20" i="11"/>
  <c r="AA18" i="11"/>
  <c r="AA16" i="11"/>
  <c r="AA14" i="11"/>
  <c r="AA13" i="11"/>
  <c r="AA11" i="11"/>
  <c r="AA9" i="11"/>
  <c r="AA8" i="11"/>
  <c r="AA6" i="11"/>
  <c r="AA4" i="11"/>
  <c r="AE4" i="11"/>
  <c r="U23" i="10"/>
  <c r="T47" i="10"/>
  <c r="U47" i="10" s="1"/>
  <c r="T44" i="10"/>
  <c r="U44" i="10" s="1"/>
  <c r="T41" i="10"/>
  <c r="U41" i="10" s="1"/>
  <c r="T38" i="10"/>
  <c r="U38" i="10" s="1"/>
  <c r="T35" i="10"/>
  <c r="U35" i="10" s="1"/>
  <c r="T32" i="10"/>
  <c r="U32" i="10" s="1"/>
  <c r="T29" i="10"/>
  <c r="U29" i="10" s="1"/>
  <c r="T26" i="10"/>
  <c r="U26" i="10" s="1"/>
  <c r="T23" i="10"/>
  <c r="T20" i="10"/>
  <c r="U20" i="10" s="1"/>
  <c r="T17" i="10"/>
  <c r="U17" i="10" s="1"/>
  <c r="T14" i="10"/>
  <c r="U14" i="10" s="1"/>
  <c r="T11" i="10"/>
  <c r="U11" i="10" s="1"/>
  <c r="T8" i="10"/>
  <c r="U8" i="10" s="1"/>
  <c r="T5" i="10"/>
  <c r="U5" i="10" s="1"/>
  <c r="S47" i="10"/>
  <c r="S44" i="10"/>
  <c r="S41" i="10"/>
  <c r="S38" i="10"/>
  <c r="S35" i="10"/>
  <c r="S32" i="10"/>
  <c r="S29" i="10"/>
  <c r="S26" i="10"/>
  <c r="S23" i="10"/>
  <c r="S20" i="10"/>
  <c r="S17" i="10"/>
  <c r="S14" i="10"/>
  <c r="S11" i="10"/>
  <c r="S8" i="10"/>
  <c r="S5" i="10"/>
  <c r="Y48" i="8"/>
  <c r="E48" i="12" s="1"/>
  <c r="X48" i="8"/>
  <c r="D48" i="12" s="1"/>
  <c r="Y46" i="8"/>
  <c r="E46" i="12" s="1"/>
  <c r="Y44" i="8"/>
  <c r="E44" i="12" s="1"/>
  <c r="Y42" i="8"/>
  <c r="E42" i="12" s="1"/>
  <c r="Y40" i="8"/>
  <c r="E40" i="12" s="1"/>
  <c r="Y38" i="8"/>
  <c r="E38" i="12" s="1"/>
  <c r="Y36" i="8"/>
  <c r="E36" i="12" s="1"/>
  <c r="Y34" i="8"/>
  <c r="E34" i="12" s="1"/>
  <c r="Y32" i="8"/>
  <c r="E32" i="12" s="1"/>
  <c r="Y30" i="8"/>
  <c r="E30" i="12" s="1"/>
  <c r="Y28" i="8"/>
  <c r="E28" i="12" s="1"/>
  <c r="Y26" i="8"/>
  <c r="E26" i="12" s="1"/>
  <c r="Y24" i="8"/>
  <c r="E24" i="12" s="1"/>
  <c r="Y22" i="8"/>
  <c r="E22" i="12" s="1"/>
  <c r="Y20" i="8"/>
  <c r="E20" i="12" s="1"/>
  <c r="X46" i="8"/>
  <c r="D46" i="12" s="1"/>
  <c r="X44" i="8"/>
  <c r="D44" i="12" s="1"/>
  <c r="X42" i="8"/>
  <c r="D42" i="12" s="1"/>
  <c r="X41" i="8"/>
  <c r="D41" i="12" s="1"/>
  <c r="X40" i="8"/>
  <c r="D40" i="12" s="1"/>
  <c r="X38" i="8"/>
  <c r="D38" i="12" s="1"/>
  <c r="X36" i="8"/>
  <c r="D36" i="12" s="1"/>
  <c r="X34" i="8"/>
  <c r="D34" i="12" s="1"/>
  <c r="X33" i="8"/>
  <c r="D33" i="12" s="1"/>
  <c r="X32" i="8"/>
  <c r="D32" i="12" s="1"/>
  <c r="X30" i="8"/>
  <c r="D30" i="12" s="1"/>
  <c r="X28" i="8"/>
  <c r="D28" i="12" s="1"/>
  <c r="X26" i="8"/>
  <c r="D26" i="12" s="1"/>
  <c r="X25" i="8"/>
  <c r="D25" i="12" s="1"/>
  <c r="X24" i="8"/>
  <c r="D24" i="12" s="1"/>
  <c r="X22" i="8"/>
  <c r="D22" i="12" s="1"/>
  <c r="Y18" i="8"/>
  <c r="E18" i="12" s="1"/>
  <c r="Y16" i="8"/>
  <c r="E16" i="12" s="1"/>
  <c r="Y14" i="8"/>
  <c r="E14" i="12" s="1"/>
  <c r="Y12" i="8"/>
  <c r="E12" i="12" s="1"/>
  <c r="X18" i="8"/>
  <c r="D18" i="12" s="1"/>
  <c r="X17" i="8"/>
  <c r="D17" i="12" s="1"/>
  <c r="X16" i="8"/>
  <c r="D16" i="12" s="1"/>
  <c r="X14" i="8"/>
  <c r="D14" i="12" s="1"/>
  <c r="X12" i="8"/>
  <c r="D12" i="12" s="1"/>
  <c r="Y10" i="8"/>
  <c r="E10" i="12" s="1"/>
  <c r="Y9" i="8"/>
  <c r="E9" i="12" s="1"/>
  <c r="Y8" i="8"/>
  <c r="E8" i="12" s="1"/>
  <c r="Y6" i="8"/>
  <c r="E6" i="12" s="1"/>
  <c r="Y5" i="8"/>
  <c r="E5" i="12" s="1"/>
  <c r="X10" i="8"/>
  <c r="D10" i="12" s="1"/>
  <c r="U5" i="8"/>
  <c r="P3" i="13"/>
  <c r="Q3" i="13" s="1"/>
  <c r="O3" i="13"/>
  <c r="P45" i="13"/>
  <c r="Q45" i="13" s="1"/>
  <c r="O45" i="13"/>
  <c r="P42" i="13"/>
  <c r="Q42" i="13"/>
  <c r="O42" i="13"/>
  <c r="P39" i="13"/>
  <c r="Q39" i="13" s="1"/>
  <c r="O39" i="13"/>
  <c r="Q36" i="13"/>
  <c r="P36" i="13"/>
  <c r="O36" i="13"/>
  <c r="P33" i="13"/>
  <c r="Q33" i="13" s="1"/>
  <c r="O33" i="13"/>
  <c r="P30" i="13"/>
  <c r="Q30" i="13" s="1"/>
  <c r="O30" i="13"/>
  <c r="P27" i="13"/>
  <c r="Q27" i="13" s="1"/>
  <c r="O27" i="13"/>
  <c r="Q24" i="13"/>
  <c r="P24" i="13"/>
  <c r="O24" i="13"/>
  <c r="P21" i="13"/>
  <c r="Q21" i="13" s="1"/>
  <c r="O21" i="13"/>
  <c r="P18" i="13"/>
  <c r="Q18" i="13"/>
  <c r="O18" i="13"/>
  <c r="P15" i="13"/>
  <c r="Q15" i="13" s="1"/>
  <c r="O15" i="13"/>
  <c r="Q12" i="13"/>
  <c r="P12" i="13"/>
  <c r="O12" i="13"/>
  <c r="P9" i="13"/>
  <c r="Q9" i="13" s="1"/>
  <c r="O9" i="13"/>
  <c r="P6" i="13"/>
  <c r="Q6" i="13"/>
  <c r="O6" i="13"/>
  <c r="K41" i="10"/>
  <c r="K38" i="10"/>
  <c r="K17" i="10"/>
  <c r="K14" i="10"/>
  <c r="J47" i="10"/>
  <c r="K47" i="10" s="1"/>
  <c r="J44" i="10"/>
  <c r="K44" i="10" s="1"/>
  <c r="J41" i="10"/>
  <c r="J38" i="10"/>
  <c r="J35" i="10"/>
  <c r="K35" i="10" s="1"/>
  <c r="J32" i="10"/>
  <c r="K32" i="10" s="1"/>
  <c r="J29" i="10"/>
  <c r="K29" i="10" s="1"/>
  <c r="J26" i="10"/>
  <c r="K26" i="10" s="1"/>
  <c r="J23" i="10"/>
  <c r="K23" i="10" s="1"/>
  <c r="J20" i="10"/>
  <c r="K20" i="10" s="1"/>
  <c r="J17" i="10"/>
  <c r="J14" i="10"/>
  <c r="J11" i="10"/>
  <c r="K11" i="10" s="1"/>
  <c r="J8" i="10"/>
  <c r="K8" i="10" s="1"/>
  <c r="J5" i="10"/>
  <c r="K5" i="10" s="1"/>
  <c r="I47" i="10"/>
  <c r="I44" i="10"/>
  <c r="I41" i="10"/>
  <c r="I38" i="10"/>
  <c r="I35" i="10"/>
  <c r="I32" i="10"/>
  <c r="I29" i="10"/>
  <c r="I26" i="10"/>
  <c r="I23" i="10"/>
  <c r="I20" i="10"/>
  <c r="I17" i="10"/>
  <c r="I14" i="10"/>
  <c r="I11" i="10"/>
  <c r="I8" i="10"/>
  <c r="I5" i="10"/>
  <c r="V42" i="13"/>
  <c r="V27" i="13"/>
  <c r="V18" i="13"/>
  <c r="U45" i="13"/>
  <c r="V45" i="13" s="1"/>
  <c r="U42" i="13"/>
  <c r="U39" i="13"/>
  <c r="V39" i="13" s="1"/>
  <c r="U36" i="13"/>
  <c r="V36" i="13" s="1"/>
  <c r="U33" i="13"/>
  <c r="V33" i="13" s="1"/>
  <c r="U30" i="13"/>
  <c r="V30" i="13" s="1"/>
  <c r="U27" i="13"/>
  <c r="U24" i="13"/>
  <c r="V24" i="13" s="1"/>
  <c r="U21" i="13"/>
  <c r="V21" i="13" s="1"/>
  <c r="U18" i="13"/>
  <c r="U15" i="13"/>
  <c r="V15" i="13" s="1"/>
  <c r="U12" i="13"/>
  <c r="V12" i="13" s="1"/>
  <c r="U9" i="13"/>
  <c r="V9" i="13" s="1"/>
  <c r="U6" i="13"/>
  <c r="V6" i="13" s="1"/>
  <c r="U3" i="13"/>
  <c r="V3" i="13" s="1"/>
  <c r="T45" i="13"/>
  <c r="T42" i="13"/>
  <c r="T39" i="13"/>
  <c r="T36" i="13"/>
  <c r="T33" i="13"/>
  <c r="T30" i="13"/>
  <c r="T27" i="13"/>
  <c r="T24" i="13"/>
  <c r="T21" i="13"/>
  <c r="T6" i="13"/>
  <c r="T18" i="13"/>
  <c r="T15" i="13"/>
  <c r="T12" i="13"/>
  <c r="T9" i="13"/>
  <c r="T3" i="13"/>
  <c r="O47" i="10"/>
  <c r="P47" i="10" s="1"/>
  <c r="O44" i="10"/>
  <c r="P44" i="10" s="1"/>
  <c r="O41" i="10"/>
  <c r="P41" i="10" s="1"/>
  <c r="O38" i="10"/>
  <c r="P38" i="10" s="1"/>
  <c r="O35" i="10"/>
  <c r="P35" i="10" s="1"/>
  <c r="O32" i="10"/>
  <c r="P32" i="10" s="1"/>
  <c r="O29" i="10"/>
  <c r="P29" i="10" s="1"/>
  <c r="O26" i="10"/>
  <c r="P26" i="10" s="1"/>
  <c r="O23" i="10"/>
  <c r="P23" i="10" s="1"/>
  <c r="O20" i="10"/>
  <c r="P20" i="10" s="1"/>
  <c r="O17" i="10"/>
  <c r="P17" i="10" s="1"/>
  <c r="O14" i="10"/>
  <c r="P14" i="10" s="1"/>
  <c r="O11" i="10"/>
  <c r="P11" i="10" s="1"/>
  <c r="O8" i="10"/>
  <c r="P8" i="10" s="1"/>
  <c r="O5" i="10"/>
  <c r="P5" i="10" s="1"/>
  <c r="N47" i="10"/>
  <c r="N44" i="10"/>
  <c r="N41" i="10"/>
  <c r="N38" i="10"/>
  <c r="N35" i="10"/>
  <c r="N32" i="10"/>
  <c r="N29" i="10"/>
  <c r="N26" i="10"/>
  <c r="N23" i="10"/>
  <c r="N20" i="10"/>
  <c r="N17" i="10"/>
  <c r="N14" i="10"/>
  <c r="N11" i="10"/>
  <c r="N8" i="10"/>
  <c r="N5" i="10"/>
  <c r="AF42" i="11"/>
  <c r="AF40" i="11"/>
  <c r="AF38" i="11"/>
  <c r="AF37" i="11"/>
  <c r="AF34" i="11"/>
  <c r="AF32" i="11"/>
  <c r="AF30" i="11"/>
  <c r="AF29" i="11"/>
  <c r="AF26" i="11"/>
  <c r="AF24" i="11"/>
  <c r="AF22" i="11"/>
  <c r="AF21" i="11"/>
  <c r="AF18" i="11"/>
  <c r="AF16" i="11"/>
  <c r="AF14" i="11"/>
  <c r="AF11" i="11"/>
  <c r="AF9" i="11"/>
  <c r="AF6" i="11"/>
  <c r="AF4" i="11"/>
  <c r="AE42" i="11"/>
  <c r="AE40" i="11"/>
  <c r="AE38" i="11"/>
  <c r="AE37" i="11"/>
  <c r="AE34" i="11"/>
  <c r="AE32" i="11"/>
  <c r="AE30" i="11"/>
  <c r="AE29" i="11"/>
  <c r="AE26" i="11"/>
  <c r="AE24" i="11"/>
  <c r="AE22" i="11"/>
  <c r="AE21" i="11"/>
  <c r="AE18" i="11"/>
  <c r="AE16" i="11"/>
  <c r="AE14" i="11"/>
  <c r="AE11" i="11"/>
  <c r="AE9" i="11"/>
  <c r="AE6" i="11"/>
  <c r="V6" i="8"/>
  <c r="V8" i="8"/>
  <c r="V10" i="8"/>
  <c r="V12" i="8"/>
  <c r="V14" i="8"/>
  <c r="V16" i="8"/>
  <c r="V18" i="8"/>
  <c r="V20" i="8"/>
  <c r="V22" i="8"/>
  <c r="V24" i="8"/>
  <c r="V26" i="8"/>
  <c r="V28" i="8"/>
  <c r="V30" i="8"/>
  <c r="V32" i="8"/>
  <c r="V34" i="8"/>
  <c r="V36" i="8"/>
  <c r="V38" i="8"/>
  <c r="V40" i="8"/>
  <c r="V42" i="8"/>
  <c r="V44" i="8"/>
  <c r="V46" i="8"/>
  <c r="V48" i="8"/>
  <c r="V5" i="8"/>
  <c r="U6" i="8"/>
  <c r="U7" i="8"/>
  <c r="U8" i="8"/>
  <c r="U10" i="8"/>
  <c r="U12" i="8"/>
  <c r="U14" i="8"/>
  <c r="U15" i="8"/>
  <c r="U16" i="8"/>
  <c r="U18" i="8"/>
  <c r="U20" i="8"/>
  <c r="U22" i="8"/>
  <c r="U23" i="8"/>
  <c r="U24" i="8"/>
  <c r="U26" i="8"/>
  <c r="U28" i="8"/>
  <c r="U30" i="8"/>
  <c r="U31" i="8"/>
  <c r="U32" i="8"/>
  <c r="U34" i="8"/>
  <c r="U36" i="8"/>
  <c r="U38" i="8"/>
  <c r="U39" i="8"/>
  <c r="U40" i="8"/>
  <c r="U42" i="8"/>
  <c r="U44" i="8"/>
  <c r="U46" i="8"/>
  <c r="U47" i="8"/>
  <c r="U48" i="8"/>
  <c r="S48" i="8"/>
  <c r="S46" i="8"/>
  <c r="S44" i="8"/>
  <c r="S42" i="8"/>
  <c r="S40" i="8"/>
  <c r="S38" i="8"/>
  <c r="S36" i="8"/>
  <c r="S34" i="8"/>
  <c r="S32" i="8"/>
  <c r="S30" i="8"/>
  <c r="S28" i="8"/>
  <c r="S26" i="8"/>
  <c r="S24" i="8"/>
  <c r="S22" i="8"/>
  <c r="S20" i="8"/>
  <c r="S18" i="8"/>
  <c r="S16" i="8"/>
  <c r="S14" i="8"/>
  <c r="S12" i="8"/>
  <c r="S10" i="8"/>
  <c r="S8" i="8"/>
  <c r="S6" i="8"/>
  <c r="R49" i="8"/>
  <c r="R48" i="8"/>
  <c r="R46" i="8"/>
  <c r="R44" i="8"/>
  <c r="R42" i="8"/>
  <c r="R41" i="8"/>
  <c r="R40" i="8"/>
  <c r="R38" i="8"/>
  <c r="R36" i="8"/>
  <c r="R34" i="8"/>
  <c r="R33" i="8"/>
  <c r="R32" i="8"/>
  <c r="R30" i="8"/>
  <c r="R28" i="8"/>
  <c r="R26" i="8"/>
  <c r="R25" i="8"/>
  <c r="R24" i="8"/>
  <c r="R22" i="8"/>
  <c r="R20" i="8"/>
  <c r="R18" i="8"/>
  <c r="R17" i="8"/>
  <c r="R16" i="8"/>
  <c r="R14" i="8"/>
  <c r="R12" i="8"/>
  <c r="R10" i="8"/>
  <c r="R9" i="8"/>
  <c r="R8" i="8"/>
  <c r="R6" i="8"/>
  <c r="BZ49" i="5"/>
  <c r="BZ48" i="5"/>
  <c r="BZ47" i="5"/>
  <c r="BZ46" i="5"/>
  <c r="BZ45" i="5"/>
  <c r="BZ44" i="5"/>
  <c r="BZ43" i="5"/>
  <c r="BZ42" i="5"/>
  <c r="BZ41" i="5"/>
  <c r="BZ40" i="5"/>
  <c r="BZ39" i="5"/>
  <c r="BZ38" i="5"/>
  <c r="BZ37" i="5"/>
  <c r="BZ36" i="5"/>
  <c r="BZ35" i="5"/>
  <c r="BZ34" i="5"/>
  <c r="BZ33" i="5"/>
  <c r="BZ32" i="5"/>
  <c r="BZ31" i="5"/>
  <c r="BZ30" i="5"/>
  <c r="BZ29" i="5"/>
  <c r="BZ28" i="5"/>
  <c r="BZ27" i="5"/>
  <c r="BZ26" i="5"/>
  <c r="BZ25" i="5"/>
  <c r="BZ24" i="5"/>
  <c r="BZ23" i="5"/>
  <c r="BZ22" i="5"/>
  <c r="BZ21" i="5"/>
  <c r="BZ20" i="5"/>
  <c r="BZ19" i="5"/>
  <c r="BZ18" i="5"/>
  <c r="BZ17" i="5"/>
  <c r="BZ16" i="5"/>
  <c r="BZ15" i="5"/>
  <c r="BZ14" i="5"/>
  <c r="BZ13" i="5"/>
  <c r="BZ12" i="5"/>
  <c r="BZ11" i="5"/>
  <c r="BZ10" i="5"/>
  <c r="BZ9" i="5"/>
  <c r="BZ8" i="5"/>
  <c r="BZ7" i="5"/>
  <c r="BZ6" i="5"/>
  <c r="BZ5" i="5"/>
  <c r="BV49" i="5"/>
  <c r="BR49" i="5"/>
  <c r="BN49" i="5"/>
  <c r="BJ49" i="5"/>
  <c r="BG49" i="5"/>
  <c r="BA49" i="5"/>
  <c r="BB49" i="5" s="1"/>
  <c r="AU49" i="5" s="1"/>
  <c r="AV49" i="5" s="1"/>
  <c r="BE49" i="5" s="1"/>
  <c r="BV48" i="5"/>
  <c r="BR48" i="5"/>
  <c r="BN48" i="5"/>
  <c r="BJ48" i="5"/>
  <c r="BG48" i="5"/>
  <c r="BA48" i="5"/>
  <c r="BB48" i="5" s="1"/>
  <c r="AU48" i="5" s="1"/>
  <c r="AV48" i="5" s="1"/>
  <c r="BE48" i="5" s="1"/>
  <c r="BV47" i="5"/>
  <c r="BR47" i="5"/>
  <c r="BN47" i="5"/>
  <c r="BJ47" i="5"/>
  <c r="BG47" i="5"/>
  <c r="BA47" i="5"/>
  <c r="BB47" i="5" s="1"/>
  <c r="AU47" i="5" s="1"/>
  <c r="AV47" i="5" s="1"/>
  <c r="BE47" i="5" s="1"/>
  <c r="BV46" i="5"/>
  <c r="BR46" i="5"/>
  <c r="BN46" i="5"/>
  <c r="BJ46" i="5"/>
  <c r="BG46" i="5"/>
  <c r="BA46" i="5"/>
  <c r="BB46" i="5" s="1"/>
  <c r="AU46" i="5" s="1"/>
  <c r="AV46" i="5" s="1"/>
  <c r="BE46" i="5" s="1"/>
  <c r="BV45" i="5"/>
  <c r="BR45" i="5"/>
  <c r="BN45" i="5"/>
  <c r="BJ45" i="5"/>
  <c r="BG45" i="5"/>
  <c r="BA45" i="5"/>
  <c r="BB45" i="5" s="1"/>
  <c r="AU45" i="5" s="1"/>
  <c r="AV45" i="5" s="1"/>
  <c r="BE45" i="5" s="1"/>
  <c r="BV44" i="5"/>
  <c r="BR44" i="5"/>
  <c r="BN44" i="5"/>
  <c r="BJ44" i="5"/>
  <c r="BG44" i="5"/>
  <c r="BA44" i="5"/>
  <c r="BB44" i="5" s="1"/>
  <c r="AU44" i="5" s="1"/>
  <c r="AV44" i="5" s="1"/>
  <c r="BE44" i="5" s="1"/>
  <c r="BV43" i="5"/>
  <c r="BR43" i="5"/>
  <c r="BN43" i="5"/>
  <c r="BJ43" i="5"/>
  <c r="BG43" i="5"/>
  <c r="BA43" i="5"/>
  <c r="BB43" i="5" s="1"/>
  <c r="AU43" i="5" s="1"/>
  <c r="AV43" i="5" s="1"/>
  <c r="BV42" i="5"/>
  <c r="BR42" i="5"/>
  <c r="BN42" i="5"/>
  <c r="BJ42" i="5"/>
  <c r="BG42" i="5"/>
  <c r="BA42" i="5"/>
  <c r="BB42" i="5" s="1"/>
  <c r="AU42" i="5" s="1"/>
  <c r="AV42" i="5" s="1"/>
  <c r="BE42" i="5" s="1"/>
  <c r="BV41" i="5"/>
  <c r="BR41" i="5"/>
  <c r="BN41" i="5"/>
  <c r="BJ41" i="5"/>
  <c r="BG41" i="5"/>
  <c r="BA41" i="5"/>
  <c r="BB41" i="5"/>
  <c r="AU41" i="5"/>
  <c r="AV41" i="5" s="1"/>
  <c r="BE41" i="5" s="1"/>
  <c r="BV40" i="5"/>
  <c r="BR40" i="5"/>
  <c r="BN40" i="5"/>
  <c r="BJ40" i="5"/>
  <c r="BG40" i="5"/>
  <c r="BA40" i="5"/>
  <c r="BB40" i="5" s="1"/>
  <c r="AU40" i="5" s="1"/>
  <c r="AV40" i="5" s="1"/>
  <c r="BE40" i="5" s="1"/>
  <c r="BV39" i="5"/>
  <c r="BR39" i="5"/>
  <c r="BN39" i="5"/>
  <c r="BJ39" i="5"/>
  <c r="BG39" i="5"/>
  <c r="BA39" i="5"/>
  <c r="BB39" i="5" s="1"/>
  <c r="AU39" i="5" s="1"/>
  <c r="AV39" i="5" s="1"/>
  <c r="BV38" i="5"/>
  <c r="BR38" i="5"/>
  <c r="BN38" i="5"/>
  <c r="BJ38" i="5"/>
  <c r="BG38" i="5"/>
  <c r="BA38" i="5"/>
  <c r="BB38" i="5" s="1"/>
  <c r="AU38" i="5" s="1"/>
  <c r="AV38" i="5" s="1"/>
  <c r="BE38" i="5" s="1"/>
  <c r="BV37" i="5"/>
  <c r="BR37" i="5"/>
  <c r="BN37" i="5"/>
  <c r="BJ37" i="5"/>
  <c r="BG37" i="5"/>
  <c r="BA37" i="5"/>
  <c r="BB37" i="5" s="1"/>
  <c r="AU37" i="5" s="1"/>
  <c r="AV37" i="5" s="1"/>
  <c r="BE37" i="5" s="1"/>
  <c r="BV36" i="5"/>
  <c r="BR36" i="5"/>
  <c r="BN36" i="5"/>
  <c r="BJ36" i="5"/>
  <c r="BG36" i="5"/>
  <c r="BA36" i="5"/>
  <c r="BB36" i="5" s="1"/>
  <c r="AU36" i="5" s="1"/>
  <c r="AV36" i="5" s="1"/>
  <c r="BE36" i="5" s="1"/>
  <c r="BV35" i="5"/>
  <c r="BR35" i="5"/>
  <c r="BN35" i="5"/>
  <c r="BJ35" i="5"/>
  <c r="BG35" i="5"/>
  <c r="BA35" i="5"/>
  <c r="BB35" i="5" s="1"/>
  <c r="AU35" i="5" s="1"/>
  <c r="AV35" i="5" s="1"/>
  <c r="BE35" i="5" s="1"/>
  <c r="BV34" i="5"/>
  <c r="BR34" i="5"/>
  <c r="BN34" i="5"/>
  <c r="BJ34" i="5"/>
  <c r="BG34" i="5"/>
  <c r="BA34" i="5"/>
  <c r="BB34" i="5" s="1"/>
  <c r="AU34" i="5" s="1"/>
  <c r="AV34" i="5" s="1"/>
  <c r="BE34" i="5" s="1"/>
  <c r="BV33" i="5"/>
  <c r="BR33" i="5"/>
  <c r="BN33" i="5"/>
  <c r="BJ33" i="5"/>
  <c r="BG33" i="5"/>
  <c r="BA33" i="5"/>
  <c r="BB33" i="5" s="1"/>
  <c r="AU33" i="5" s="1"/>
  <c r="AV33" i="5" s="1"/>
  <c r="BE33" i="5" s="1"/>
  <c r="BV32" i="5"/>
  <c r="BR32" i="5"/>
  <c r="BN32" i="5"/>
  <c r="BJ32" i="5"/>
  <c r="BG32" i="5"/>
  <c r="BA32" i="5"/>
  <c r="BB32" i="5" s="1"/>
  <c r="AU32" i="5" s="1"/>
  <c r="AV32" i="5" s="1"/>
  <c r="BE32" i="5" s="1"/>
  <c r="BV31" i="5"/>
  <c r="BR31" i="5"/>
  <c r="BN31" i="5"/>
  <c r="BJ31" i="5"/>
  <c r="BG31" i="5"/>
  <c r="BA31" i="5"/>
  <c r="BB31" i="5" s="1"/>
  <c r="AU31" i="5" s="1"/>
  <c r="AV31" i="5" s="1"/>
  <c r="BE31" i="5" s="1"/>
  <c r="BV30" i="5"/>
  <c r="BR30" i="5"/>
  <c r="BN30" i="5"/>
  <c r="BJ30" i="5"/>
  <c r="BG30" i="5"/>
  <c r="BA30" i="5"/>
  <c r="BB30" i="5" s="1"/>
  <c r="AU30" i="5" s="1"/>
  <c r="AV30" i="5" s="1"/>
  <c r="BE30" i="5" s="1"/>
  <c r="BV29" i="5"/>
  <c r="BR29" i="5"/>
  <c r="BN29" i="5"/>
  <c r="BJ29" i="5"/>
  <c r="BG29" i="5"/>
  <c r="BA29" i="5"/>
  <c r="BB29" i="5"/>
  <c r="AU29" i="5" s="1"/>
  <c r="AV29" i="5" s="1"/>
  <c r="BE29" i="5" s="1"/>
  <c r="BV28" i="5"/>
  <c r="BR28" i="5"/>
  <c r="BN28" i="5"/>
  <c r="BJ28" i="5"/>
  <c r="BG28" i="5"/>
  <c r="BA28" i="5"/>
  <c r="BB28" i="5"/>
  <c r="AU28" i="5" s="1"/>
  <c r="AV28" i="5" s="1"/>
  <c r="BE28" i="5" s="1"/>
  <c r="BV27" i="5"/>
  <c r="BR27" i="5"/>
  <c r="BN27" i="5"/>
  <c r="BJ27" i="5"/>
  <c r="BG27" i="5"/>
  <c r="BB27" i="5"/>
  <c r="AU27" i="5" s="1"/>
  <c r="AV27" i="5" s="1"/>
  <c r="BE27" i="5" s="1"/>
  <c r="BA27" i="5"/>
  <c r="BV26" i="5"/>
  <c r="BR26" i="5"/>
  <c r="BN26" i="5"/>
  <c r="BJ26" i="5"/>
  <c r="BG26" i="5"/>
  <c r="BA26" i="5"/>
  <c r="BB26" i="5" s="1"/>
  <c r="AU26" i="5" s="1"/>
  <c r="AV26" i="5" s="1"/>
  <c r="BE26" i="5" s="1"/>
  <c r="BV25" i="5"/>
  <c r="BR25" i="5"/>
  <c r="BN25" i="5"/>
  <c r="BJ25" i="5"/>
  <c r="BG25" i="5"/>
  <c r="BA25" i="5"/>
  <c r="BB25" i="5"/>
  <c r="AU25" i="5" s="1"/>
  <c r="AV25" i="5" s="1"/>
  <c r="BE25" i="5" s="1"/>
  <c r="BV24" i="5"/>
  <c r="BR24" i="5"/>
  <c r="BN24" i="5"/>
  <c r="BJ24" i="5"/>
  <c r="BG24" i="5"/>
  <c r="BA24" i="5"/>
  <c r="BB24" i="5" s="1"/>
  <c r="AU24" i="5" s="1"/>
  <c r="AV24" i="5" s="1"/>
  <c r="BV23" i="5"/>
  <c r="BR23" i="5"/>
  <c r="BN23" i="5"/>
  <c r="BJ23" i="5"/>
  <c r="BG23" i="5"/>
  <c r="BA23" i="5"/>
  <c r="BB23" i="5" s="1"/>
  <c r="AU23" i="5" s="1"/>
  <c r="AV23" i="5" s="1"/>
  <c r="BV22" i="5"/>
  <c r="BR22" i="5"/>
  <c r="BN22" i="5"/>
  <c r="BJ22" i="5"/>
  <c r="BG22" i="5"/>
  <c r="BA22" i="5"/>
  <c r="BB22" i="5" s="1"/>
  <c r="AU22" i="5" s="1"/>
  <c r="AV22" i="5" s="1"/>
  <c r="BE22" i="5" s="1"/>
  <c r="BV21" i="5"/>
  <c r="BR21" i="5"/>
  <c r="BN21" i="5"/>
  <c r="BJ21" i="5"/>
  <c r="BG21" i="5"/>
  <c r="BA21" i="5"/>
  <c r="BB21" i="5" s="1"/>
  <c r="AU21" i="5" s="1"/>
  <c r="AV21" i="5" s="1"/>
  <c r="BV20" i="5"/>
  <c r="BR20" i="5"/>
  <c r="BN20" i="5"/>
  <c r="BJ20" i="5"/>
  <c r="BG20" i="5"/>
  <c r="BA20" i="5"/>
  <c r="BB20" i="5" s="1"/>
  <c r="AU20" i="5" s="1"/>
  <c r="AV20" i="5" s="1"/>
  <c r="BV19" i="5"/>
  <c r="BR19" i="5"/>
  <c r="BN19" i="5"/>
  <c r="BJ19" i="5"/>
  <c r="BG19" i="5"/>
  <c r="BA19" i="5"/>
  <c r="BB19" i="5" s="1"/>
  <c r="AU19" i="5" s="1"/>
  <c r="AV19" i="5" s="1"/>
  <c r="BV18" i="5"/>
  <c r="BR18" i="5"/>
  <c r="BN18" i="5"/>
  <c r="BJ18" i="5"/>
  <c r="BG18" i="5"/>
  <c r="BA18" i="5"/>
  <c r="BB18" i="5" s="1"/>
  <c r="AU18" i="5" s="1"/>
  <c r="AV18" i="5" s="1"/>
  <c r="BE18" i="5" s="1"/>
  <c r="BV17" i="5"/>
  <c r="BR17" i="5"/>
  <c r="BN17" i="5"/>
  <c r="BJ17" i="5"/>
  <c r="BG17" i="5"/>
  <c r="BA17" i="5"/>
  <c r="BB17" i="5" s="1"/>
  <c r="AU17" i="5" s="1"/>
  <c r="AV17" i="5" s="1"/>
  <c r="BV16" i="5"/>
  <c r="BR16" i="5"/>
  <c r="BN16" i="5"/>
  <c r="BJ16" i="5"/>
  <c r="BG16" i="5"/>
  <c r="BB16" i="5"/>
  <c r="AU16" i="5" s="1"/>
  <c r="AV16" i="5" s="1"/>
  <c r="BA16" i="5"/>
  <c r="BV15" i="5"/>
  <c r="BR15" i="5"/>
  <c r="BN15" i="5"/>
  <c r="BJ15" i="5"/>
  <c r="BG15" i="5"/>
  <c r="BA15" i="5"/>
  <c r="BB15" i="5" s="1"/>
  <c r="AU15" i="5" s="1"/>
  <c r="AV15" i="5" s="1"/>
  <c r="BV14" i="5"/>
  <c r="BR14" i="5"/>
  <c r="BN14" i="5"/>
  <c r="BJ14" i="5"/>
  <c r="BG14" i="5"/>
  <c r="BA14" i="5"/>
  <c r="BB14" i="5" s="1"/>
  <c r="AU14" i="5" s="1"/>
  <c r="AV14" i="5" s="1"/>
  <c r="BE14" i="5" s="1"/>
  <c r="BV13" i="5"/>
  <c r="BR13" i="5"/>
  <c r="BN13" i="5"/>
  <c r="BJ13" i="5"/>
  <c r="BG13" i="5"/>
  <c r="BA13" i="5"/>
  <c r="BB13" i="5" s="1"/>
  <c r="AU13" i="5" s="1"/>
  <c r="AV13" i="5" s="1"/>
  <c r="BV12" i="5"/>
  <c r="BR12" i="5"/>
  <c r="BN12" i="5"/>
  <c r="BJ12" i="5"/>
  <c r="BG12" i="5"/>
  <c r="BA12" i="5"/>
  <c r="BB12" i="5" s="1"/>
  <c r="AU12" i="5" s="1"/>
  <c r="AV12" i="5" s="1"/>
  <c r="BV11" i="5"/>
  <c r="BR11" i="5"/>
  <c r="BN11" i="5"/>
  <c r="BJ11" i="5"/>
  <c r="BG11" i="5"/>
  <c r="BA11" i="5"/>
  <c r="BB11" i="5" s="1"/>
  <c r="AU11" i="5" s="1"/>
  <c r="AV11" i="5" s="1"/>
  <c r="BE11" i="5" s="1"/>
  <c r="BV10" i="5"/>
  <c r="BR10" i="5"/>
  <c r="BN10" i="5"/>
  <c r="BJ10" i="5"/>
  <c r="BG10" i="5"/>
  <c r="BA10" i="5"/>
  <c r="BB10" i="5"/>
  <c r="AU10" i="5" s="1"/>
  <c r="AV10" i="5" s="1"/>
  <c r="BE10" i="5" s="1"/>
  <c r="BV9" i="5"/>
  <c r="BR9" i="5"/>
  <c r="BN9" i="5"/>
  <c r="BJ9" i="5"/>
  <c r="BG9" i="5"/>
  <c r="BB9" i="5"/>
  <c r="AU9" i="5" s="1"/>
  <c r="AV9" i="5" s="1"/>
  <c r="BE9" i="5" s="1"/>
  <c r="BA9" i="5"/>
  <c r="BV8" i="5"/>
  <c r="BR8" i="5"/>
  <c r="BN8" i="5"/>
  <c r="BJ8" i="5"/>
  <c r="BG8" i="5"/>
  <c r="BA8" i="5"/>
  <c r="BB8" i="5" s="1"/>
  <c r="AU8" i="5" s="1"/>
  <c r="AV8" i="5" s="1"/>
  <c r="BV7" i="5"/>
  <c r="BR7" i="5"/>
  <c r="BN7" i="5"/>
  <c r="BJ7" i="5"/>
  <c r="BG7" i="5"/>
  <c r="BA7" i="5"/>
  <c r="BB7" i="5" s="1"/>
  <c r="AU7" i="5" s="1"/>
  <c r="AV7" i="5" s="1"/>
  <c r="BV6" i="5"/>
  <c r="BR6" i="5"/>
  <c r="BN6" i="5"/>
  <c r="BJ6" i="5"/>
  <c r="BG6" i="5"/>
  <c r="BA6" i="5"/>
  <c r="BB6" i="5"/>
  <c r="AU6" i="5" s="1"/>
  <c r="AV6" i="5" s="1"/>
  <c r="BE6" i="5" s="1"/>
  <c r="BV5" i="5"/>
  <c r="BR5" i="5"/>
  <c r="BN5" i="5"/>
  <c r="BJ5" i="5"/>
  <c r="BG5" i="5"/>
  <c r="BA5" i="5"/>
  <c r="BB5" i="5" s="1"/>
  <c r="AU5" i="5" s="1"/>
  <c r="AV5" i="5" s="1"/>
  <c r="AM49" i="5"/>
  <c r="AM48" i="5"/>
  <c r="AM47" i="5"/>
  <c r="AM46" i="5"/>
  <c r="AM45" i="5"/>
  <c r="AM44" i="5"/>
  <c r="AM43" i="5"/>
  <c r="AM42" i="5"/>
  <c r="AM41" i="5"/>
  <c r="AM40" i="5"/>
  <c r="AM39" i="5"/>
  <c r="AM38" i="5"/>
  <c r="AM37" i="5"/>
  <c r="AM36" i="5"/>
  <c r="AM35" i="5"/>
  <c r="AM34" i="5"/>
  <c r="AM33" i="5"/>
  <c r="AM32" i="5"/>
  <c r="AM31" i="5"/>
  <c r="AM30" i="5"/>
  <c r="AM29" i="5"/>
  <c r="AM28" i="5"/>
  <c r="AM27" i="5"/>
  <c r="AM26" i="5"/>
  <c r="AM25" i="5"/>
  <c r="AM24" i="5"/>
  <c r="AM23" i="5"/>
  <c r="AM22" i="5"/>
  <c r="AM21" i="5"/>
  <c r="AM20" i="5"/>
  <c r="AM19" i="5"/>
  <c r="AM18" i="5"/>
  <c r="AM17" i="5"/>
  <c r="AM16" i="5"/>
  <c r="AM15" i="5"/>
  <c r="AM14" i="5"/>
  <c r="AM13" i="5"/>
  <c r="AM12" i="5"/>
  <c r="AM11" i="5"/>
  <c r="AM10" i="5"/>
  <c r="AM9" i="5"/>
  <c r="AM8" i="5"/>
  <c r="AM7" i="5"/>
  <c r="AM6" i="5"/>
  <c r="AM5" i="5"/>
  <c r="AE49" i="5"/>
  <c r="AE48" i="5"/>
  <c r="AE47" i="5"/>
  <c r="AE46" i="5"/>
  <c r="AE45" i="5"/>
  <c r="AE44" i="5"/>
  <c r="AE43" i="5"/>
  <c r="AE42" i="5"/>
  <c r="AE41" i="5"/>
  <c r="AE40" i="5"/>
  <c r="AE39" i="5"/>
  <c r="AE38" i="5"/>
  <c r="AE37" i="5"/>
  <c r="AE36" i="5"/>
  <c r="AE35" i="5"/>
  <c r="AE34" i="5"/>
  <c r="AE33" i="5"/>
  <c r="AE32" i="5"/>
  <c r="AE31" i="5"/>
  <c r="AE30" i="5"/>
  <c r="AE29" i="5"/>
  <c r="AE28" i="5"/>
  <c r="AE27" i="5"/>
  <c r="AE26" i="5"/>
  <c r="AE25" i="5"/>
  <c r="AE24" i="5"/>
  <c r="AE23" i="5"/>
  <c r="AE22" i="5"/>
  <c r="AE21" i="5"/>
  <c r="AE20" i="5"/>
  <c r="AE19" i="5"/>
  <c r="AE18" i="5"/>
  <c r="AE17" i="5"/>
  <c r="AE16" i="5"/>
  <c r="AE15" i="5"/>
  <c r="AE14" i="5"/>
  <c r="AE13" i="5"/>
  <c r="AE12" i="5"/>
  <c r="AE11" i="5"/>
  <c r="AE10" i="5"/>
  <c r="AE9" i="5"/>
  <c r="AE8" i="5"/>
  <c r="AE7" i="5"/>
  <c r="AE6" i="5"/>
  <c r="AE5" i="5"/>
  <c r="W49" i="5"/>
  <c r="W48" i="5"/>
  <c r="W47" i="5"/>
  <c r="W46" i="5"/>
  <c r="W45" i="5"/>
  <c r="W44" i="5"/>
  <c r="W43" i="5"/>
  <c r="W42" i="5"/>
  <c r="W41" i="5"/>
  <c r="W40" i="5"/>
  <c r="W39" i="5"/>
  <c r="W38" i="5"/>
  <c r="W37" i="5"/>
  <c r="W36" i="5"/>
  <c r="W35" i="5"/>
  <c r="W34" i="5"/>
  <c r="W33" i="5"/>
  <c r="W32" i="5"/>
  <c r="W31" i="5"/>
  <c r="W30" i="5"/>
  <c r="W29" i="5"/>
  <c r="W28" i="5"/>
  <c r="W27" i="5"/>
  <c r="W26" i="5"/>
  <c r="W25" i="5"/>
  <c r="W24" i="5"/>
  <c r="W23" i="5"/>
  <c r="W22" i="5"/>
  <c r="W21" i="5"/>
  <c r="W20" i="5"/>
  <c r="W19" i="5"/>
  <c r="W18" i="5"/>
  <c r="W17" i="5"/>
  <c r="W16" i="5"/>
  <c r="W15" i="5"/>
  <c r="W14" i="5"/>
  <c r="W13" i="5"/>
  <c r="W12" i="5"/>
  <c r="W11" i="5"/>
  <c r="W10" i="5"/>
  <c r="W9" i="5"/>
  <c r="W8" i="5"/>
  <c r="W7" i="5"/>
  <c r="W6" i="5"/>
  <c r="W5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AK49" i="5"/>
  <c r="AK48" i="5"/>
  <c r="AK47" i="5"/>
  <c r="AK46" i="5"/>
  <c r="AK45" i="5"/>
  <c r="AK44" i="5"/>
  <c r="AK43" i="5"/>
  <c r="AK42" i="5"/>
  <c r="AK41" i="5"/>
  <c r="AK40" i="5"/>
  <c r="AK39" i="5"/>
  <c r="AK38" i="5"/>
  <c r="AK37" i="5"/>
  <c r="AK36" i="5"/>
  <c r="AK35" i="5"/>
  <c r="AK34" i="5"/>
  <c r="AK33" i="5"/>
  <c r="AK32" i="5"/>
  <c r="AK31" i="5"/>
  <c r="AK30" i="5"/>
  <c r="AK29" i="5"/>
  <c r="AK28" i="5"/>
  <c r="AK27" i="5"/>
  <c r="AK26" i="5"/>
  <c r="AK25" i="5"/>
  <c r="AK24" i="5"/>
  <c r="AK23" i="5"/>
  <c r="AK22" i="5"/>
  <c r="AK21" i="5"/>
  <c r="AK20" i="5"/>
  <c r="AK19" i="5"/>
  <c r="AK18" i="5"/>
  <c r="AK17" i="5"/>
  <c r="AK16" i="5"/>
  <c r="AK15" i="5"/>
  <c r="AK14" i="5"/>
  <c r="AK13" i="5"/>
  <c r="AK12" i="5"/>
  <c r="AK11" i="5"/>
  <c r="AK10" i="5"/>
  <c r="AK9" i="5"/>
  <c r="AK8" i="5"/>
  <c r="AK7" i="5"/>
  <c r="AK6" i="5"/>
  <c r="AK5" i="5"/>
  <c r="AC49" i="5"/>
  <c r="AC48" i="5"/>
  <c r="AC47" i="5"/>
  <c r="AC46" i="5"/>
  <c r="AC45" i="5"/>
  <c r="AC44" i="5"/>
  <c r="AC43" i="5"/>
  <c r="AC42" i="5"/>
  <c r="AC41" i="5"/>
  <c r="AC40" i="5"/>
  <c r="AC39" i="5"/>
  <c r="AC38" i="5"/>
  <c r="AC37" i="5"/>
  <c r="AC36" i="5"/>
  <c r="AC35" i="5"/>
  <c r="AC34" i="5"/>
  <c r="AC33" i="5"/>
  <c r="AC32" i="5"/>
  <c r="AC31" i="5"/>
  <c r="AC30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C17" i="5"/>
  <c r="AC16" i="5"/>
  <c r="AC15" i="5"/>
  <c r="AC14" i="5"/>
  <c r="AC13" i="5"/>
  <c r="AC12" i="5"/>
  <c r="AC11" i="5"/>
  <c r="AC10" i="5"/>
  <c r="AC9" i="5"/>
  <c r="AC8" i="5"/>
  <c r="AC7" i="5"/>
  <c r="AC6" i="5"/>
  <c r="AC5" i="5"/>
  <c r="U49" i="5"/>
  <c r="U48" i="5"/>
  <c r="U47" i="5"/>
  <c r="U46" i="5"/>
  <c r="U45" i="5"/>
  <c r="U44" i="5"/>
  <c r="U43" i="5"/>
  <c r="U42" i="5"/>
  <c r="U41" i="5"/>
  <c r="U40" i="5"/>
  <c r="U39" i="5"/>
  <c r="U38" i="5"/>
  <c r="U37" i="5"/>
  <c r="U36" i="5"/>
  <c r="U35" i="5"/>
  <c r="U34" i="5"/>
  <c r="U33" i="5"/>
  <c r="U32" i="5"/>
  <c r="U31" i="5"/>
  <c r="U30" i="5"/>
  <c r="U29" i="5"/>
  <c r="U28" i="5"/>
  <c r="U27" i="5"/>
  <c r="U26" i="5"/>
  <c r="U25" i="5"/>
  <c r="U24" i="5"/>
  <c r="U23" i="5"/>
  <c r="U22" i="5"/>
  <c r="U21" i="5"/>
  <c r="U20" i="5"/>
  <c r="U19" i="5"/>
  <c r="U18" i="5"/>
  <c r="U17" i="5"/>
  <c r="U16" i="5"/>
  <c r="U15" i="5"/>
  <c r="U14" i="5"/>
  <c r="U13" i="5"/>
  <c r="U12" i="5"/>
  <c r="U11" i="5"/>
  <c r="U10" i="5"/>
  <c r="U9" i="5"/>
  <c r="U8" i="5"/>
  <c r="U7" i="5"/>
  <c r="U6" i="5"/>
  <c r="U5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E5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M5" i="2"/>
  <c r="BN49" i="2"/>
  <c r="BN48" i="2"/>
  <c r="BN47" i="2"/>
  <c r="BN46" i="2"/>
  <c r="BN45" i="2"/>
  <c r="BN44" i="2"/>
  <c r="BN43" i="2"/>
  <c r="BN42" i="2"/>
  <c r="BN41" i="2"/>
  <c r="BN40" i="2"/>
  <c r="BN39" i="2"/>
  <c r="BN38" i="2"/>
  <c r="BN37" i="2"/>
  <c r="BN36" i="2"/>
  <c r="BN35" i="2"/>
  <c r="BN34" i="2"/>
  <c r="BN33" i="2"/>
  <c r="BN32" i="2"/>
  <c r="BN31" i="2"/>
  <c r="BN30" i="2"/>
  <c r="BN29" i="2"/>
  <c r="BN28" i="2"/>
  <c r="BN27" i="2"/>
  <c r="BN26" i="2"/>
  <c r="BN25" i="2"/>
  <c r="BN24" i="2"/>
  <c r="BN23" i="2"/>
  <c r="BN22" i="2"/>
  <c r="BN21" i="2"/>
  <c r="BN20" i="2"/>
  <c r="BN19" i="2"/>
  <c r="BN18" i="2"/>
  <c r="BN17" i="2"/>
  <c r="BN16" i="2"/>
  <c r="BN15" i="2"/>
  <c r="BN14" i="2"/>
  <c r="BN13" i="2"/>
  <c r="BN12" i="2"/>
  <c r="BN11" i="2"/>
  <c r="BN10" i="2"/>
  <c r="BN9" i="2"/>
  <c r="BN8" i="2"/>
  <c r="BN7" i="2"/>
  <c r="BN6" i="2"/>
  <c r="BN5" i="2"/>
  <c r="BJ49" i="2"/>
  <c r="BJ48" i="2"/>
  <c r="BJ47" i="2"/>
  <c r="BJ46" i="2"/>
  <c r="BJ45" i="2"/>
  <c r="BJ44" i="2"/>
  <c r="BJ43" i="2"/>
  <c r="BJ42" i="2"/>
  <c r="BJ41" i="2"/>
  <c r="BJ40" i="2"/>
  <c r="BJ39" i="2"/>
  <c r="BJ38" i="2"/>
  <c r="BJ37" i="2"/>
  <c r="BJ36" i="2"/>
  <c r="BJ35" i="2"/>
  <c r="BJ34" i="2"/>
  <c r="BJ33" i="2"/>
  <c r="BJ32" i="2"/>
  <c r="BJ31" i="2"/>
  <c r="BJ30" i="2"/>
  <c r="BJ29" i="2"/>
  <c r="BJ28" i="2"/>
  <c r="BJ27" i="2"/>
  <c r="BJ26" i="2"/>
  <c r="BJ25" i="2"/>
  <c r="BJ24" i="2"/>
  <c r="BJ23" i="2"/>
  <c r="BJ22" i="2"/>
  <c r="BJ21" i="2"/>
  <c r="BJ20" i="2"/>
  <c r="BJ19" i="2"/>
  <c r="BJ18" i="2"/>
  <c r="BJ17" i="2"/>
  <c r="BJ16" i="2"/>
  <c r="BJ15" i="2"/>
  <c r="BJ14" i="2"/>
  <c r="BJ13" i="2"/>
  <c r="BJ12" i="2"/>
  <c r="BJ11" i="2"/>
  <c r="BJ10" i="2"/>
  <c r="BJ9" i="2"/>
  <c r="BJ8" i="2"/>
  <c r="BJ7" i="2"/>
  <c r="BJ6" i="2"/>
  <c r="BJ5" i="2"/>
  <c r="BF49" i="2"/>
  <c r="BF48" i="2"/>
  <c r="BF47" i="2"/>
  <c r="BF46" i="2"/>
  <c r="BF45" i="2"/>
  <c r="BF44" i="2"/>
  <c r="BF43" i="2"/>
  <c r="BF42" i="2"/>
  <c r="BF41" i="2"/>
  <c r="BF40" i="2"/>
  <c r="BF39" i="2"/>
  <c r="BF38" i="2"/>
  <c r="BF37" i="2"/>
  <c r="BF36" i="2"/>
  <c r="BF35" i="2"/>
  <c r="BF34" i="2"/>
  <c r="BF33" i="2"/>
  <c r="BF32" i="2"/>
  <c r="BF31" i="2"/>
  <c r="BF30" i="2"/>
  <c r="BF29" i="2"/>
  <c r="BF28" i="2"/>
  <c r="BF27" i="2"/>
  <c r="BF26" i="2"/>
  <c r="BF25" i="2"/>
  <c r="BF24" i="2"/>
  <c r="BF23" i="2"/>
  <c r="BF22" i="2"/>
  <c r="BF21" i="2"/>
  <c r="BF20" i="2"/>
  <c r="BF19" i="2"/>
  <c r="BF18" i="2"/>
  <c r="BF17" i="2"/>
  <c r="BF16" i="2"/>
  <c r="BF15" i="2"/>
  <c r="BF14" i="2"/>
  <c r="BF13" i="2"/>
  <c r="BF12" i="2"/>
  <c r="BF11" i="2"/>
  <c r="BF10" i="2"/>
  <c r="BF9" i="2"/>
  <c r="BF8" i="2"/>
  <c r="BF7" i="2"/>
  <c r="BF6" i="2"/>
  <c r="BF5" i="2"/>
  <c r="BB49" i="2"/>
  <c r="BB48" i="2"/>
  <c r="BB47" i="2"/>
  <c r="BB46" i="2"/>
  <c r="BB45" i="2"/>
  <c r="BB44" i="2"/>
  <c r="BB43" i="2"/>
  <c r="BB42" i="2"/>
  <c r="BB41" i="2"/>
  <c r="BB40" i="2"/>
  <c r="BB39" i="2"/>
  <c r="BB38" i="2"/>
  <c r="BB37" i="2"/>
  <c r="BB36" i="2"/>
  <c r="BB35" i="2"/>
  <c r="BB34" i="2"/>
  <c r="BB33" i="2"/>
  <c r="BB32" i="2"/>
  <c r="BB31" i="2"/>
  <c r="BB30" i="2"/>
  <c r="BB29" i="2"/>
  <c r="BB28" i="2"/>
  <c r="BB27" i="2"/>
  <c r="BB26" i="2"/>
  <c r="BB25" i="2"/>
  <c r="BB24" i="2"/>
  <c r="BB23" i="2"/>
  <c r="BB22" i="2"/>
  <c r="BB21" i="2"/>
  <c r="BB20" i="2"/>
  <c r="BB19" i="2"/>
  <c r="BB18" i="2"/>
  <c r="BB17" i="2"/>
  <c r="BB16" i="2"/>
  <c r="BB15" i="2"/>
  <c r="BB14" i="2"/>
  <c r="BB13" i="2"/>
  <c r="BB12" i="2"/>
  <c r="BB11" i="2"/>
  <c r="BB10" i="2"/>
  <c r="BB9" i="2"/>
  <c r="BB8" i="2"/>
  <c r="BB7" i="2"/>
  <c r="BB6" i="2"/>
  <c r="BB5" i="2"/>
  <c r="AY49" i="2"/>
  <c r="AY48" i="2"/>
  <c r="AY47" i="2"/>
  <c r="AY46" i="2"/>
  <c r="AY45" i="2"/>
  <c r="AY44" i="2"/>
  <c r="AY43" i="2"/>
  <c r="AY42" i="2"/>
  <c r="AY41" i="2"/>
  <c r="AY40" i="2"/>
  <c r="AY39" i="2"/>
  <c r="AY38" i="2"/>
  <c r="AY37" i="2"/>
  <c r="AY36" i="2"/>
  <c r="AY35" i="2"/>
  <c r="AY34" i="2"/>
  <c r="AY33" i="2"/>
  <c r="AY32" i="2"/>
  <c r="AY31" i="2"/>
  <c r="AY30" i="2"/>
  <c r="AY29" i="2"/>
  <c r="AY28" i="2"/>
  <c r="AY27" i="2"/>
  <c r="AY26" i="2"/>
  <c r="AY25" i="2"/>
  <c r="AY24" i="2"/>
  <c r="AY23" i="2"/>
  <c r="AY22" i="2"/>
  <c r="AY21" i="2"/>
  <c r="AY20" i="2"/>
  <c r="AY19" i="2"/>
  <c r="AY18" i="2"/>
  <c r="AY17" i="2"/>
  <c r="AY16" i="2"/>
  <c r="AY15" i="2"/>
  <c r="AY14" i="2"/>
  <c r="AY13" i="2"/>
  <c r="AY12" i="2"/>
  <c r="AY11" i="2"/>
  <c r="AY10" i="2"/>
  <c r="AY9" i="2"/>
  <c r="AY8" i="2"/>
  <c r="AY7" i="2"/>
  <c r="AY6" i="2"/>
  <c r="AY5" i="2"/>
  <c r="AS49" i="2"/>
  <c r="AT49" i="2" s="1"/>
  <c r="AM49" i="2" s="1"/>
  <c r="AN49" i="2" s="1"/>
  <c r="AS48" i="2"/>
  <c r="AT48" i="2" s="1"/>
  <c r="AM48" i="2" s="1"/>
  <c r="AN48" i="2" s="1"/>
  <c r="AS47" i="2"/>
  <c r="AT47" i="2"/>
  <c r="AM47" i="2" s="1"/>
  <c r="AN47" i="2" s="1"/>
  <c r="AS46" i="2"/>
  <c r="AT46" i="2" s="1"/>
  <c r="AM46" i="2" s="1"/>
  <c r="AN46" i="2" s="1"/>
  <c r="AS45" i="2"/>
  <c r="AT45" i="2" s="1"/>
  <c r="AM45" i="2" s="1"/>
  <c r="AN45" i="2" s="1"/>
  <c r="AS44" i="2"/>
  <c r="AT44" i="2" s="1"/>
  <c r="AM44" i="2" s="1"/>
  <c r="AN44" i="2" s="1"/>
  <c r="AS43" i="2"/>
  <c r="AT43" i="2"/>
  <c r="AM43" i="2" s="1"/>
  <c r="AN43" i="2" s="1"/>
  <c r="AS42" i="2"/>
  <c r="AT42" i="2" s="1"/>
  <c r="AM42" i="2" s="1"/>
  <c r="AN42" i="2" s="1"/>
  <c r="AS41" i="2"/>
  <c r="AT41" i="2" s="1"/>
  <c r="AM41" i="2" s="1"/>
  <c r="AN41" i="2" s="1"/>
  <c r="AS40" i="2"/>
  <c r="AT40" i="2" s="1"/>
  <c r="AM40" i="2" s="1"/>
  <c r="AN40" i="2" s="1"/>
  <c r="AS39" i="2"/>
  <c r="AT39" i="2" s="1"/>
  <c r="AM39" i="2" s="1"/>
  <c r="AN39" i="2" s="1"/>
  <c r="AS38" i="2"/>
  <c r="AT38" i="2" s="1"/>
  <c r="AM38" i="2" s="1"/>
  <c r="AN38" i="2" s="1"/>
  <c r="AS37" i="2"/>
  <c r="AT37" i="2" s="1"/>
  <c r="AM37" i="2" s="1"/>
  <c r="AN37" i="2" s="1"/>
  <c r="AS36" i="2"/>
  <c r="AT36" i="2" s="1"/>
  <c r="AM36" i="2" s="1"/>
  <c r="AN36" i="2" s="1"/>
  <c r="AS35" i="2"/>
  <c r="AT35" i="2"/>
  <c r="AM35" i="2" s="1"/>
  <c r="AN35" i="2" s="1"/>
  <c r="AS34" i="2"/>
  <c r="AT34" i="2" s="1"/>
  <c r="AM34" i="2" s="1"/>
  <c r="AN34" i="2" s="1"/>
  <c r="AS33" i="2"/>
  <c r="AT33" i="2" s="1"/>
  <c r="AM33" i="2" s="1"/>
  <c r="AN33" i="2" s="1"/>
  <c r="AS32" i="2"/>
  <c r="AT32" i="2" s="1"/>
  <c r="AM32" i="2" s="1"/>
  <c r="AN32" i="2" s="1"/>
  <c r="AS31" i="2"/>
  <c r="AT31" i="2" s="1"/>
  <c r="AM31" i="2" s="1"/>
  <c r="AN31" i="2" s="1"/>
  <c r="AS30" i="2"/>
  <c r="AT30" i="2" s="1"/>
  <c r="AM30" i="2" s="1"/>
  <c r="AN30" i="2" s="1"/>
  <c r="AS29" i="2"/>
  <c r="AT29" i="2" s="1"/>
  <c r="AM29" i="2" s="1"/>
  <c r="AN29" i="2" s="1"/>
  <c r="AS28" i="2"/>
  <c r="AT28" i="2" s="1"/>
  <c r="AM28" i="2" s="1"/>
  <c r="AN28" i="2" s="1"/>
  <c r="AS27" i="2"/>
  <c r="AT27" i="2" s="1"/>
  <c r="AM27" i="2" s="1"/>
  <c r="AN27" i="2" s="1"/>
  <c r="AS26" i="2"/>
  <c r="AT26" i="2" s="1"/>
  <c r="AM26" i="2" s="1"/>
  <c r="AN26" i="2" s="1"/>
  <c r="AS25" i="2"/>
  <c r="AT25" i="2" s="1"/>
  <c r="AM25" i="2" s="1"/>
  <c r="AN25" i="2" s="1"/>
  <c r="AS24" i="2"/>
  <c r="AT24" i="2" s="1"/>
  <c r="AM24" i="2" s="1"/>
  <c r="AN24" i="2" s="1"/>
  <c r="AS23" i="2"/>
  <c r="AT23" i="2"/>
  <c r="AM23" i="2" s="1"/>
  <c r="AN23" i="2" s="1"/>
  <c r="AS22" i="2"/>
  <c r="AT22" i="2" s="1"/>
  <c r="AM22" i="2" s="1"/>
  <c r="AN22" i="2" s="1"/>
  <c r="AS21" i="2"/>
  <c r="AT21" i="2" s="1"/>
  <c r="AM21" i="2" s="1"/>
  <c r="AN21" i="2" s="1"/>
  <c r="AS20" i="2"/>
  <c r="AT20" i="2" s="1"/>
  <c r="AM20" i="2" s="1"/>
  <c r="AN20" i="2" s="1"/>
  <c r="AS19" i="2"/>
  <c r="AT19" i="2"/>
  <c r="AM19" i="2" s="1"/>
  <c r="AN19" i="2" s="1"/>
  <c r="AS18" i="2"/>
  <c r="AT18" i="2" s="1"/>
  <c r="AM18" i="2" s="1"/>
  <c r="AN18" i="2" s="1"/>
  <c r="AS17" i="2"/>
  <c r="AT17" i="2" s="1"/>
  <c r="AM17" i="2" s="1"/>
  <c r="AN17" i="2" s="1"/>
  <c r="AS16" i="2"/>
  <c r="AT16" i="2" s="1"/>
  <c r="AM16" i="2" s="1"/>
  <c r="AN16" i="2" s="1"/>
  <c r="AS15" i="2"/>
  <c r="AT15" i="2"/>
  <c r="AM15" i="2" s="1"/>
  <c r="AN15" i="2" s="1"/>
  <c r="AS14" i="2"/>
  <c r="AT14" i="2" s="1"/>
  <c r="AM14" i="2" s="1"/>
  <c r="AN14" i="2" s="1"/>
  <c r="AS13" i="2"/>
  <c r="AT13" i="2"/>
  <c r="AM13" i="2" s="1"/>
  <c r="AN13" i="2" s="1"/>
  <c r="AS12" i="2"/>
  <c r="AT12" i="2" s="1"/>
  <c r="AM12" i="2" s="1"/>
  <c r="AN12" i="2" s="1"/>
  <c r="AS11" i="2"/>
  <c r="AT11" i="2" s="1"/>
  <c r="AM11" i="2" s="1"/>
  <c r="AN11" i="2" s="1"/>
  <c r="AS10" i="2"/>
  <c r="AT10" i="2" s="1"/>
  <c r="AM10" i="2" s="1"/>
  <c r="AN10" i="2" s="1"/>
  <c r="AS9" i="2"/>
  <c r="AT9" i="2" s="1"/>
  <c r="AM9" i="2" s="1"/>
  <c r="AN9" i="2" s="1"/>
  <c r="AS8" i="2"/>
  <c r="AT8" i="2" s="1"/>
  <c r="AM8" i="2" s="1"/>
  <c r="AN8" i="2" s="1"/>
  <c r="AS7" i="2"/>
  <c r="AT7" i="2"/>
  <c r="AM7" i="2" s="1"/>
  <c r="AN7" i="2" s="1"/>
  <c r="AS6" i="2"/>
  <c r="AT6" i="2" s="1"/>
  <c r="AM6" i="2" s="1"/>
  <c r="AN6" i="2" s="1"/>
  <c r="AS5" i="2"/>
  <c r="AT5" i="2" s="1"/>
  <c r="AM5" i="2" s="1"/>
  <c r="AN5" i="2" s="1"/>
  <c r="AE49" i="2"/>
  <c r="AE48" i="2"/>
  <c r="AE47" i="2"/>
  <c r="AE46" i="2"/>
  <c r="AE45" i="2"/>
  <c r="AE44" i="2"/>
  <c r="AE43" i="2"/>
  <c r="AE42" i="2"/>
  <c r="AE41" i="2"/>
  <c r="AE40" i="2"/>
  <c r="AE39" i="2"/>
  <c r="AE38" i="2"/>
  <c r="AE37" i="2"/>
  <c r="AE36" i="2"/>
  <c r="AE35" i="2"/>
  <c r="AE34" i="2"/>
  <c r="AE33" i="2"/>
  <c r="AE32" i="2"/>
  <c r="AE31" i="2"/>
  <c r="AE30" i="2"/>
  <c r="AE29" i="2"/>
  <c r="AE28" i="2"/>
  <c r="AE27" i="2"/>
  <c r="AE26" i="2"/>
  <c r="AE25" i="2"/>
  <c r="AE24" i="2"/>
  <c r="AE23" i="2"/>
  <c r="AE22" i="2"/>
  <c r="AE21" i="2"/>
  <c r="AE20" i="2"/>
  <c r="AE19" i="2"/>
  <c r="AE18" i="2"/>
  <c r="AE17" i="2"/>
  <c r="AE16" i="2"/>
  <c r="AE15" i="2"/>
  <c r="AE14" i="2"/>
  <c r="AE13" i="2"/>
  <c r="AE12" i="2"/>
  <c r="AE11" i="2"/>
  <c r="AE10" i="2"/>
  <c r="AE9" i="2"/>
  <c r="AE8" i="2"/>
  <c r="AE7" i="2"/>
  <c r="AE6" i="2"/>
  <c r="AE5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" i="2"/>
  <c r="B52" i="7"/>
  <c r="V68" i="7"/>
  <c r="U68" i="7"/>
  <c r="E68" i="7"/>
  <c r="D68" i="7"/>
  <c r="V66" i="7"/>
  <c r="U66" i="7"/>
  <c r="E66" i="7"/>
  <c r="D66" i="7"/>
  <c r="V64" i="7"/>
  <c r="U64" i="7"/>
  <c r="E52" i="7"/>
  <c r="D52" i="7"/>
  <c r="B53" i="7"/>
  <c r="H66" i="7" s="1"/>
  <c r="V62" i="7"/>
  <c r="U62" i="7"/>
  <c r="E62" i="7"/>
  <c r="D62" i="7"/>
  <c r="B62" i="7"/>
  <c r="B59" i="7"/>
  <c r="V60" i="7"/>
  <c r="U60" i="7"/>
  <c r="E64" i="7"/>
  <c r="D64" i="7"/>
  <c r="B61" i="7"/>
  <c r="V58" i="7"/>
  <c r="U58" i="7"/>
  <c r="E63" i="7"/>
  <c r="D63" i="7"/>
  <c r="B63" i="7"/>
  <c r="P56" i="7" s="1"/>
  <c r="B60" i="7"/>
  <c r="V56" i="7"/>
  <c r="U56" i="7"/>
  <c r="E58" i="7"/>
  <c r="D58" i="7"/>
  <c r="B58" i="7"/>
  <c r="B54" i="7"/>
  <c r="V54" i="7"/>
  <c r="U54" i="7"/>
  <c r="S54" i="7"/>
  <c r="AG55" i="7"/>
  <c r="E55" i="7"/>
  <c r="D55" i="7"/>
  <c r="B55" i="7"/>
  <c r="S53" i="7"/>
  <c r="B56" i="7"/>
  <c r="AG57" i="7"/>
  <c r="AG56" i="7"/>
  <c r="B39" i="7"/>
  <c r="B29" i="7"/>
  <c r="B35" i="7"/>
  <c r="V45" i="7"/>
  <c r="U45" i="7"/>
  <c r="E45" i="7"/>
  <c r="D45" i="7"/>
  <c r="V43" i="7"/>
  <c r="U43" i="7"/>
  <c r="E43" i="7"/>
  <c r="D43" i="7"/>
  <c r="V41" i="7"/>
  <c r="U41" i="7"/>
  <c r="E41" i="7"/>
  <c r="D41" i="7"/>
  <c r="V39" i="7"/>
  <c r="U39" i="7"/>
  <c r="E38" i="7"/>
  <c r="D38" i="7"/>
  <c r="B38" i="7"/>
  <c r="V37" i="7"/>
  <c r="U37" i="7"/>
  <c r="E40" i="7"/>
  <c r="D40" i="7"/>
  <c r="B37" i="7"/>
  <c r="V35" i="7"/>
  <c r="U35" i="7"/>
  <c r="E39" i="7"/>
  <c r="D39" i="7"/>
  <c r="B36" i="7"/>
  <c r="V33" i="7"/>
  <c r="U33" i="7"/>
  <c r="E34" i="7"/>
  <c r="D34" i="7"/>
  <c r="B34" i="7"/>
  <c r="B30" i="7"/>
  <c r="N44" i="7" s="1"/>
  <c r="V31" i="7"/>
  <c r="U31" i="7"/>
  <c r="S31" i="7"/>
  <c r="AG32" i="7" s="1"/>
  <c r="AG33" i="7"/>
  <c r="E31" i="7"/>
  <c r="D31" i="7"/>
  <c r="B31" i="7"/>
  <c r="S30" i="7"/>
  <c r="B32" i="7"/>
  <c r="AG34" i="7"/>
  <c r="B14" i="7"/>
  <c r="B13" i="7"/>
  <c r="B16" i="7"/>
  <c r="B11" i="7"/>
  <c r="B15" i="7"/>
  <c r="B12" i="7"/>
  <c r="B10" i="7"/>
  <c r="P11" i="7" s="1"/>
  <c r="B6" i="7"/>
  <c r="B7" i="7"/>
  <c r="B8" i="7"/>
  <c r="V22" i="7"/>
  <c r="U22" i="7"/>
  <c r="E22" i="7"/>
  <c r="D22" i="7"/>
  <c r="V20" i="7"/>
  <c r="U20" i="7"/>
  <c r="E20" i="7"/>
  <c r="D20" i="7"/>
  <c r="V18" i="7"/>
  <c r="U18" i="7"/>
  <c r="E18" i="7"/>
  <c r="D18" i="7"/>
  <c r="V16" i="7"/>
  <c r="U16" i="7"/>
  <c r="E14" i="7"/>
  <c r="D14" i="7"/>
  <c r="V14" i="7"/>
  <c r="U14" i="7"/>
  <c r="E16" i="7"/>
  <c r="D16" i="7"/>
  <c r="V12" i="7"/>
  <c r="U12" i="7"/>
  <c r="E15" i="7"/>
  <c r="D15" i="7"/>
  <c r="V10" i="7"/>
  <c r="U10" i="7"/>
  <c r="E10" i="7"/>
  <c r="D10" i="7"/>
  <c r="V8" i="7"/>
  <c r="U8" i="7"/>
  <c r="S8" i="7"/>
  <c r="AG11" i="7" s="1"/>
  <c r="E7" i="7"/>
  <c r="D7" i="7"/>
  <c r="S7" i="7"/>
  <c r="S6" i="7"/>
  <c r="L13" i="1"/>
  <c r="L14" i="1" s="1"/>
  <c r="S10" i="4"/>
  <c r="AG10" i="4" s="1"/>
  <c r="S9" i="4"/>
  <c r="S7" i="4"/>
  <c r="B22" i="4"/>
  <c r="B21" i="4"/>
  <c r="B20" i="4"/>
  <c r="B19" i="4"/>
  <c r="B18" i="4"/>
  <c r="B16" i="4"/>
  <c r="B15" i="4"/>
  <c r="B14" i="4"/>
  <c r="B13" i="4"/>
  <c r="B12" i="4"/>
  <c r="B11" i="4"/>
  <c r="B10" i="4"/>
  <c r="B9" i="4"/>
  <c r="P11" i="4" s="1"/>
  <c r="B8" i="4"/>
  <c r="P9" i="4" s="1"/>
  <c r="V22" i="4"/>
  <c r="U22" i="4"/>
  <c r="V20" i="4"/>
  <c r="U20" i="4"/>
  <c r="V18" i="4"/>
  <c r="U18" i="4"/>
  <c r="V16" i="4"/>
  <c r="U16" i="4"/>
  <c r="V14" i="4"/>
  <c r="U14" i="4"/>
  <c r="V15" i="4"/>
  <c r="U15" i="4"/>
  <c r="V13" i="4"/>
  <c r="U13" i="4"/>
  <c r="V10" i="4"/>
  <c r="U10" i="4"/>
  <c r="B7" i="4"/>
  <c r="B6" i="4"/>
  <c r="E22" i="4"/>
  <c r="D22" i="4"/>
  <c r="E20" i="4"/>
  <c r="D20" i="4"/>
  <c r="E18" i="4"/>
  <c r="D18" i="4"/>
  <c r="E16" i="4"/>
  <c r="D16" i="4"/>
  <c r="E14" i="4"/>
  <c r="D14" i="4"/>
  <c r="E12" i="4"/>
  <c r="D12" i="4"/>
  <c r="E10" i="4"/>
  <c r="D10" i="4"/>
  <c r="E8" i="4"/>
  <c r="D8" i="4"/>
  <c r="G14" i="1"/>
  <c r="G22" i="1"/>
  <c r="D21" i="1"/>
  <c r="P55" i="7" l="1"/>
  <c r="S5" i="8"/>
  <c r="S13" i="8"/>
  <c r="S21" i="8"/>
  <c r="S29" i="8"/>
  <c r="S37" i="8"/>
  <c r="S45" i="8"/>
  <c r="V43" i="8"/>
  <c r="V35" i="8"/>
  <c r="V27" i="8"/>
  <c r="V19" i="8"/>
  <c r="V11" i="8"/>
  <c r="AE7" i="11"/>
  <c r="AE15" i="11"/>
  <c r="AE23" i="11"/>
  <c r="AE31" i="11"/>
  <c r="AE39" i="11"/>
  <c r="AF7" i="11"/>
  <c r="AF15" i="11"/>
  <c r="X7" i="8"/>
  <c r="D7" i="12" s="1"/>
  <c r="Y17" i="8"/>
  <c r="E17" i="12" s="1"/>
  <c r="Y23" i="8"/>
  <c r="E23" i="12" s="1"/>
  <c r="Y31" i="8"/>
  <c r="E31" i="12" s="1"/>
  <c r="Y39" i="8"/>
  <c r="E39" i="12" s="1"/>
  <c r="X47" i="8"/>
  <c r="D47" i="12" s="1"/>
  <c r="AA7" i="11"/>
  <c r="AA15" i="11"/>
  <c r="AB22" i="11"/>
  <c r="AB30" i="11"/>
  <c r="AB38" i="11"/>
  <c r="AC12" i="11"/>
  <c r="AC20" i="11"/>
  <c r="AC28" i="11"/>
  <c r="AC36" i="11"/>
  <c r="AD19" i="11"/>
  <c r="AD27" i="11"/>
  <c r="AD35" i="11"/>
  <c r="AD43" i="11"/>
  <c r="G20" i="12"/>
  <c r="AH43" i="11"/>
  <c r="G44" i="12" s="1"/>
  <c r="AI33" i="11"/>
  <c r="H34" i="12" s="1"/>
  <c r="AH38" i="11"/>
  <c r="G39" i="12" s="1"/>
  <c r="D5" i="12"/>
  <c r="P10" i="4"/>
  <c r="AG10" i="7"/>
  <c r="P32" i="7"/>
  <c r="R11" i="8"/>
  <c r="R19" i="8"/>
  <c r="R27" i="8"/>
  <c r="R35" i="8"/>
  <c r="R43" i="8"/>
  <c r="U45" i="8"/>
  <c r="U37" i="8"/>
  <c r="U29" i="8"/>
  <c r="U21" i="8"/>
  <c r="U13" i="8"/>
  <c r="AE8" i="11"/>
  <c r="AF8" i="11"/>
  <c r="X9" i="8"/>
  <c r="D9" i="12" s="1"/>
  <c r="X19" i="8"/>
  <c r="D19" i="12" s="1"/>
  <c r="X27" i="8"/>
  <c r="D27" i="12" s="1"/>
  <c r="X35" i="8"/>
  <c r="D35" i="12" s="1"/>
  <c r="X43" i="8"/>
  <c r="D43" i="12" s="1"/>
  <c r="AB7" i="11"/>
  <c r="AB15" i="11"/>
  <c r="AC5" i="11"/>
  <c r="AC13" i="11"/>
  <c r="AD12" i="11"/>
  <c r="AD20" i="11"/>
  <c r="AD28" i="11"/>
  <c r="AD36" i="11"/>
  <c r="G6" i="12"/>
  <c r="AH20" i="11"/>
  <c r="G21" i="12" s="1"/>
  <c r="AI8" i="11"/>
  <c r="H9" i="12" s="1"/>
  <c r="AI35" i="11"/>
  <c r="H36" i="12" s="1"/>
  <c r="AH25" i="11"/>
  <c r="G26" i="12" s="1"/>
  <c r="AI38" i="11"/>
  <c r="H39" i="12" s="1"/>
  <c r="AG11" i="4"/>
  <c r="S7" i="8"/>
  <c r="S15" i="8"/>
  <c r="S23" i="8"/>
  <c r="S31" i="8"/>
  <c r="S39" i="8"/>
  <c r="S47" i="8"/>
  <c r="V49" i="8"/>
  <c r="V41" i="8"/>
  <c r="V33" i="8"/>
  <c r="V25" i="8"/>
  <c r="V17" i="8"/>
  <c r="V9" i="8"/>
  <c r="AE17" i="11"/>
  <c r="AE25" i="11"/>
  <c r="AE33" i="11"/>
  <c r="AE41" i="11"/>
  <c r="AF17" i="11"/>
  <c r="AF25" i="11"/>
  <c r="AF33" i="11"/>
  <c r="AF41" i="11"/>
  <c r="Y11" i="8"/>
  <c r="E11" i="12" s="1"/>
  <c r="Y19" i="8"/>
  <c r="E19" i="12" s="1"/>
  <c r="Y25" i="8"/>
  <c r="E25" i="12" s="1"/>
  <c r="Y33" i="8"/>
  <c r="E33" i="12" s="1"/>
  <c r="Y41" i="8"/>
  <c r="E41" i="12" s="1"/>
  <c r="X49" i="8"/>
  <c r="D49" i="12" s="1"/>
  <c r="AA17" i="11"/>
  <c r="AA25" i="11"/>
  <c r="AA33" i="11"/>
  <c r="AA41" i="11"/>
  <c r="AC22" i="11"/>
  <c r="AC30" i="11"/>
  <c r="AC38" i="11"/>
  <c r="AD5" i="11"/>
  <c r="AD13" i="11"/>
  <c r="AI5" i="11"/>
  <c r="H6" i="12" s="1"/>
  <c r="AH22" i="11"/>
  <c r="G23" i="12" s="1"/>
  <c r="AI13" i="11"/>
  <c r="H14" i="12" s="1"/>
  <c r="AI41" i="11"/>
  <c r="H42" i="12" s="1"/>
  <c r="AH10" i="11"/>
  <c r="G11" i="12" s="1"/>
  <c r="AH15" i="11"/>
  <c r="G16" i="12" s="1"/>
  <c r="AI25" i="11"/>
  <c r="H26" i="12" s="1"/>
  <c r="AI30" i="11"/>
  <c r="H31" i="12" s="1"/>
  <c r="AH4" i="11"/>
  <c r="R13" i="8"/>
  <c r="R21" i="8"/>
  <c r="R29" i="8"/>
  <c r="R37" i="8"/>
  <c r="R45" i="8"/>
  <c r="U43" i="8"/>
  <c r="U35" i="8"/>
  <c r="U27" i="8"/>
  <c r="U19" i="8"/>
  <c r="U11" i="8"/>
  <c r="AE10" i="11"/>
  <c r="AF10" i="11"/>
  <c r="X13" i="8"/>
  <c r="D13" i="12" s="1"/>
  <c r="K4" i="12" s="1"/>
  <c r="X21" i="8"/>
  <c r="D21" i="12" s="1"/>
  <c r="X29" i="8"/>
  <c r="D29" i="12" s="1"/>
  <c r="X37" i="8"/>
  <c r="D37" i="12" s="1"/>
  <c r="X45" i="8"/>
  <c r="D45" i="12" s="1"/>
  <c r="Y47" i="8"/>
  <c r="E47" i="12" s="1"/>
  <c r="AA10" i="11"/>
  <c r="AB17" i="11"/>
  <c r="AB25" i="11"/>
  <c r="AB33" i="11"/>
  <c r="AB41" i="11"/>
  <c r="AC7" i="11"/>
  <c r="AC15" i="11"/>
  <c r="AD30" i="11"/>
  <c r="AI17" i="11"/>
  <c r="H18" i="12" s="1"/>
  <c r="AI10" i="11"/>
  <c r="H11" i="12" s="1"/>
  <c r="AI15" i="11"/>
  <c r="H16" i="12" s="1"/>
  <c r="H22" i="4"/>
  <c r="N67" i="7"/>
  <c r="S9" i="8"/>
  <c r="S17" i="8"/>
  <c r="S25" i="8"/>
  <c r="S33" i="8"/>
  <c r="S41" i="8"/>
  <c r="S49" i="8"/>
  <c r="V47" i="8"/>
  <c r="V39" i="8"/>
  <c r="V31" i="8"/>
  <c r="V23" i="8"/>
  <c r="V15" i="8"/>
  <c r="V7" i="8"/>
  <c r="AE19" i="11"/>
  <c r="AE27" i="11"/>
  <c r="AE35" i="11"/>
  <c r="AE43" i="11"/>
  <c r="AF19" i="11"/>
  <c r="AF27" i="11"/>
  <c r="AF35" i="11"/>
  <c r="AF43" i="11"/>
  <c r="Y13" i="8"/>
  <c r="E13" i="12" s="1"/>
  <c r="Y27" i="8"/>
  <c r="E27" i="12" s="1"/>
  <c r="Y35" i="8"/>
  <c r="E35" i="12" s="1"/>
  <c r="Y43" i="8"/>
  <c r="E43" i="12" s="1"/>
  <c r="AA19" i="11"/>
  <c r="AA27" i="11"/>
  <c r="AA35" i="11"/>
  <c r="AA43" i="11"/>
  <c r="AB10" i="11"/>
  <c r="AC8" i="11"/>
  <c r="AD7" i="11"/>
  <c r="AI43" i="11"/>
  <c r="H44" i="12" s="1"/>
  <c r="AH12" i="11"/>
  <c r="G13" i="12" s="1"/>
  <c r="AH36" i="11"/>
  <c r="G37" i="12" s="1"/>
  <c r="D6" i="12"/>
  <c r="AG9" i="4"/>
  <c r="Y20" i="4"/>
  <c r="H43" i="7"/>
  <c r="R7" i="8"/>
  <c r="R15" i="8"/>
  <c r="R23" i="8"/>
  <c r="R31" i="8"/>
  <c r="R39" i="8"/>
  <c r="U49" i="8"/>
  <c r="AE12" i="11"/>
  <c r="AE20" i="11"/>
  <c r="AE28" i="11"/>
  <c r="AE36" i="11"/>
  <c r="AF12" i="11"/>
  <c r="AF20" i="11"/>
  <c r="AF36" i="11"/>
  <c r="AF48" i="11"/>
  <c r="X15" i="8"/>
  <c r="D15" i="12" s="1"/>
  <c r="AA12" i="11"/>
  <c r="AB19" i="11"/>
  <c r="AB27" i="11"/>
  <c r="AB35" i="11"/>
  <c r="AC17" i="11"/>
  <c r="AC25" i="11"/>
  <c r="AC33" i="11"/>
  <c r="AC41" i="11"/>
  <c r="G14" i="12"/>
  <c r="G8" i="12"/>
  <c r="N4" i="12" s="1"/>
  <c r="AI12" i="11"/>
  <c r="H13" i="12" s="1"/>
  <c r="AI27" i="11"/>
  <c r="H28" i="12" s="1"/>
  <c r="AC44" i="11"/>
  <c r="P9" i="7"/>
  <c r="V45" i="8"/>
  <c r="V37" i="8"/>
  <c r="V29" i="8"/>
  <c r="V21" i="8"/>
  <c r="AE5" i="11"/>
  <c r="AE13" i="11"/>
  <c r="AF5" i="11"/>
  <c r="AD17" i="11"/>
  <c r="AD41" i="11"/>
  <c r="X11" i="8"/>
  <c r="D11" i="12" s="1"/>
  <c r="AB22" i="4"/>
  <c r="K20" i="4"/>
  <c r="N20" i="4"/>
  <c r="N20" i="7"/>
  <c r="N22" i="7"/>
  <c r="N21" i="7"/>
  <c r="N45" i="7"/>
  <c r="N43" i="7"/>
  <c r="H44" i="7"/>
  <c r="N66" i="7"/>
  <c r="N68" i="7"/>
  <c r="K68" i="7"/>
  <c r="K67" i="7"/>
  <c r="K66" i="7"/>
  <c r="H20" i="4"/>
  <c r="AB20" i="4"/>
  <c r="Y22" i="4"/>
  <c r="K21" i="4"/>
  <c r="N21" i="4"/>
  <c r="P10" i="7"/>
  <c r="AG9" i="7"/>
  <c r="P33" i="7"/>
  <c r="H67" i="7"/>
  <c r="AE20" i="4"/>
  <c r="AB21" i="4"/>
  <c r="Y21" i="4"/>
  <c r="AI47" i="2" s="1"/>
  <c r="H21" i="4"/>
  <c r="K22" i="4"/>
  <c r="N22" i="4"/>
  <c r="H21" i="7"/>
  <c r="H20" i="7"/>
  <c r="H22" i="7"/>
  <c r="K44" i="7"/>
  <c r="K43" i="7"/>
  <c r="K45" i="7"/>
  <c r="P57" i="7"/>
  <c r="AE21" i="4"/>
  <c r="K22" i="7"/>
  <c r="K20" i="7"/>
  <c r="K21" i="7"/>
  <c r="H45" i="7"/>
  <c r="P34" i="7"/>
  <c r="H68" i="7"/>
  <c r="AE22" i="4"/>
  <c r="BE17" i="5"/>
  <c r="BE19" i="5"/>
  <c r="BE21" i="5"/>
  <c r="BE23" i="5"/>
  <c r="BE5" i="5"/>
  <c r="BE13" i="5"/>
  <c r="BE16" i="5"/>
  <c r="BE7" i="5"/>
  <c r="BE8" i="5"/>
  <c r="BE12" i="5"/>
  <c r="BE15" i="5"/>
  <c r="BE20" i="5"/>
  <c r="BE24" i="5"/>
  <c r="BE39" i="5"/>
  <c r="BE43" i="5"/>
  <c r="K6" i="12"/>
  <c r="L6" i="12"/>
  <c r="M6" i="12" s="1"/>
  <c r="AA46" i="11"/>
  <c r="AI47" i="11"/>
  <c r="H48" i="12" s="1"/>
  <c r="AC48" i="11"/>
  <c r="O7" i="12"/>
  <c r="P7" i="12" s="1"/>
  <c r="N7" i="12"/>
  <c r="O4" i="12"/>
  <c r="P4" i="12" s="1"/>
  <c r="L5" i="12"/>
  <c r="M5" i="12" s="1"/>
  <c r="K5" i="12"/>
  <c r="X20" i="8"/>
  <c r="D20" i="12" s="1"/>
  <c r="G5" i="12"/>
  <c r="AH44" i="11"/>
  <c r="G45" i="12" s="1"/>
  <c r="AE44" i="11"/>
  <c r="AA44" i="11"/>
  <c r="AB46" i="11"/>
  <c r="AD44" i="11"/>
  <c r="AH46" i="11"/>
  <c r="G47" i="12" s="1"/>
  <c r="AE45" i="11"/>
  <c r="AA47" i="11"/>
  <c r="AD48" i="11"/>
  <c r="AH48" i="11"/>
  <c r="G49" i="12" s="1"/>
  <c r="AF44" i="11"/>
  <c r="AE46" i="11"/>
  <c r="AF45" i="11"/>
  <c r="AB47" i="11"/>
  <c r="AC46" i="11"/>
  <c r="AD45" i="11"/>
  <c r="AI45" i="11"/>
  <c r="H46" i="12" s="1"/>
  <c r="AI46" i="11"/>
  <c r="H47" i="12" s="1"/>
  <c r="AI48" i="11"/>
  <c r="H49" i="12" s="1"/>
  <c r="AE47" i="11"/>
  <c r="AF46" i="11"/>
  <c r="AA45" i="11"/>
  <c r="AC47" i="11"/>
  <c r="AD46" i="11"/>
  <c r="AH47" i="11"/>
  <c r="G48" i="12" s="1"/>
  <c r="O5" i="12" s="1"/>
  <c r="P5" i="12" s="1"/>
  <c r="AH45" i="11"/>
  <c r="G46" i="12" s="1"/>
  <c r="AE48" i="11"/>
  <c r="AF47" i="11"/>
  <c r="AD47" i="11"/>
  <c r="L4" i="12" l="1"/>
  <c r="M4" i="12" s="1"/>
  <c r="AO45" i="5"/>
  <c r="AO42" i="5"/>
  <c r="AO37" i="5"/>
  <c r="AO34" i="5"/>
  <c r="AO29" i="5"/>
  <c r="AO26" i="5"/>
  <c r="AO21" i="5"/>
  <c r="CA21" i="5" s="1"/>
  <c r="AO18" i="5"/>
  <c r="AO13" i="5"/>
  <c r="CA13" i="5" s="1"/>
  <c r="AO10" i="5"/>
  <c r="AO5" i="5"/>
  <c r="CA5" i="5" s="1"/>
  <c r="AO47" i="5"/>
  <c r="AO44" i="5"/>
  <c r="AO39" i="5"/>
  <c r="CA39" i="5" s="1"/>
  <c r="AO36" i="5"/>
  <c r="AO31" i="5"/>
  <c r="AO28" i="5"/>
  <c r="AO23" i="5"/>
  <c r="CA23" i="5" s="1"/>
  <c r="AO20" i="5"/>
  <c r="CA20" i="5" s="1"/>
  <c r="AO15" i="5"/>
  <c r="CA15" i="5" s="1"/>
  <c r="AO12" i="5"/>
  <c r="CA12" i="5" s="1"/>
  <c r="AO7" i="5"/>
  <c r="CA7" i="5" s="1"/>
  <c r="AO49" i="5"/>
  <c r="AO46" i="5"/>
  <c r="AO41" i="5"/>
  <c r="AO38" i="5"/>
  <c r="AO33" i="5"/>
  <c r="AO30" i="5"/>
  <c r="AO25" i="5"/>
  <c r="AO22" i="5"/>
  <c r="AO17" i="5"/>
  <c r="CA17" i="5" s="1"/>
  <c r="AO14" i="5"/>
  <c r="AO9" i="5"/>
  <c r="AO6" i="5"/>
  <c r="AO48" i="5"/>
  <c r="AO43" i="5"/>
  <c r="CA43" i="5" s="1"/>
  <c r="AO40" i="5"/>
  <c r="AO35" i="5"/>
  <c r="AO32" i="5"/>
  <c r="AO27" i="5"/>
  <c r="AO24" i="5"/>
  <c r="CA24" i="5" s="1"/>
  <c r="AO19" i="5"/>
  <c r="CA19" i="5" s="1"/>
  <c r="AO16" i="5"/>
  <c r="CA16" i="5" s="1"/>
  <c r="AO11" i="5"/>
  <c r="AO8" i="5"/>
  <c r="CA8" i="5" s="1"/>
  <c r="Q6" i="2"/>
  <c r="Q10" i="2"/>
  <c r="Q14" i="2"/>
  <c r="Q18" i="2"/>
  <c r="Q22" i="2"/>
  <c r="Q26" i="2"/>
  <c r="Q30" i="2"/>
  <c r="Q34" i="2"/>
  <c r="Q38" i="2"/>
  <c r="Q42" i="2"/>
  <c r="Q46" i="2"/>
  <c r="Q5" i="2"/>
  <c r="Q7" i="2"/>
  <c r="Q11" i="2"/>
  <c r="Q15" i="2"/>
  <c r="Q19" i="2"/>
  <c r="Q23" i="2"/>
  <c r="Q27" i="2"/>
  <c r="Q31" i="2"/>
  <c r="Q35" i="2"/>
  <c r="Q39" i="2"/>
  <c r="Q43" i="2"/>
  <c r="Q47" i="2"/>
  <c r="Q8" i="2"/>
  <c r="Q12" i="2"/>
  <c r="Q16" i="2"/>
  <c r="Q20" i="2"/>
  <c r="Q24" i="2"/>
  <c r="Q28" i="2"/>
  <c r="Q32" i="2"/>
  <c r="Q36" i="2"/>
  <c r="Q40" i="2"/>
  <c r="Q44" i="2"/>
  <c r="Q48" i="2"/>
  <c r="Q9" i="2"/>
  <c r="Q13" i="2"/>
  <c r="Q17" i="2"/>
  <c r="Q21" i="2"/>
  <c r="Q25" i="2"/>
  <c r="Q29" i="2"/>
  <c r="Q33" i="2"/>
  <c r="Q37" i="2"/>
  <c r="Q41" i="2"/>
  <c r="Q45" i="2"/>
  <c r="Q49" i="2"/>
  <c r="AA26" i="2"/>
  <c r="AI26" i="2"/>
  <c r="AA27" i="2"/>
  <c r="AI30" i="2"/>
  <c r="AA22" i="2"/>
  <c r="AI18" i="2"/>
  <c r="AA23" i="2"/>
  <c r="AI22" i="2"/>
  <c r="AA13" i="2"/>
  <c r="AA29" i="2"/>
  <c r="AA45" i="2"/>
  <c r="AI16" i="2"/>
  <c r="AI32" i="2"/>
  <c r="AI48" i="2"/>
  <c r="AI13" i="2"/>
  <c r="AI29" i="2"/>
  <c r="AI45" i="2"/>
  <c r="AA16" i="2"/>
  <c r="AA32" i="2"/>
  <c r="AA48" i="2"/>
  <c r="AI19" i="2"/>
  <c r="AI35" i="2"/>
  <c r="L7" i="12"/>
  <c r="M7" i="12" s="1"/>
  <c r="K7" i="12"/>
  <c r="BY43" i="5"/>
  <c r="CB43" i="5" s="1"/>
  <c r="BY39" i="5"/>
  <c r="BY21" i="5"/>
  <c r="AA34" i="2"/>
  <c r="AI42" i="2"/>
  <c r="AA35" i="2"/>
  <c r="AI46" i="2"/>
  <c r="AA30" i="2"/>
  <c r="AI34" i="2"/>
  <c r="AA31" i="2"/>
  <c r="AI38" i="2"/>
  <c r="AA17" i="2"/>
  <c r="AA33" i="2"/>
  <c r="AA49" i="2"/>
  <c r="AI20" i="2"/>
  <c r="AI36" i="2"/>
  <c r="AA46" i="2"/>
  <c r="AI17" i="2"/>
  <c r="AI33" i="2"/>
  <c r="AI49" i="2"/>
  <c r="AA20" i="2"/>
  <c r="AA36" i="2"/>
  <c r="AI7" i="2"/>
  <c r="AI23" i="2"/>
  <c r="AI39" i="2"/>
  <c r="BY12" i="5"/>
  <c r="CB12" i="5" s="1"/>
  <c r="BY16" i="5"/>
  <c r="CB16" i="5" s="1"/>
  <c r="BY5" i="5"/>
  <c r="CB5" i="5" s="1"/>
  <c r="BY17" i="5"/>
  <c r="CB17" i="5" s="1"/>
  <c r="Y42" i="5"/>
  <c r="Y34" i="5"/>
  <c r="Y26" i="5"/>
  <c r="Y18" i="5"/>
  <c r="Y10" i="5"/>
  <c r="Q43" i="5"/>
  <c r="BO43" i="5" s="1"/>
  <c r="Q39" i="5"/>
  <c r="BO39" i="5" s="1"/>
  <c r="Q31" i="5"/>
  <c r="Q23" i="5"/>
  <c r="BO23" i="5" s="1"/>
  <c r="Q16" i="5"/>
  <c r="BO16" i="5" s="1"/>
  <c r="Q8" i="5"/>
  <c r="BO8" i="5" s="1"/>
  <c r="Y49" i="5"/>
  <c r="Y47" i="5"/>
  <c r="Y44" i="5"/>
  <c r="Y41" i="5"/>
  <c r="Y39" i="5"/>
  <c r="BS39" i="5" s="1"/>
  <c r="Y36" i="5"/>
  <c r="Y33" i="5"/>
  <c r="Y31" i="5"/>
  <c r="Y28" i="5"/>
  <c r="Y25" i="5"/>
  <c r="Y23" i="5"/>
  <c r="BS23" i="5" s="1"/>
  <c r="Y20" i="5"/>
  <c r="BS20" i="5" s="1"/>
  <c r="Y17" i="5"/>
  <c r="BS17" i="5" s="1"/>
  <c r="Y15" i="5"/>
  <c r="BS15" i="5" s="1"/>
  <c r="Y12" i="5"/>
  <c r="BS12" i="5" s="1"/>
  <c r="Y9" i="5"/>
  <c r="Y7" i="5"/>
  <c r="BS7" i="5" s="1"/>
  <c r="Y46" i="5"/>
  <c r="Y38" i="5"/>
  <c r="Y30" i="5"/>
  <c r="Y22" i="5"/>
  <c r="Y14" i="5"/>
  <c r="Y48" i="5"/>
  <c r="Y45" i="5"/>
  <c r="Y43" i="5"/>
  <c r="BS43" i="5" s="1"/>
  <c r="Y40" i="5"/>
  <c r="Y37" i="5"/>
  <c r="Y35" i="5"/>
  <c r="Y32" i="5"/>
  <c r="Y29" i="5"/>
  <c r="Y27" i="5"/>
  <c r="Y24" i="5"/>
  <c r="BS24" i="5" s="1"/>
  <c r="Y21" i="5"/>
  <c r="BS21" i="5" s="1"/>
  <c r="Y19" i="5"/>
  <c r="BS19" i="5" s="1"/>
  <c r="Y16" i="5"/>
  <c r="BS16" i="5" s="1"/>
  <c r="Y13" i="5"/>
  <c r="BS13" i="5" s="1"/>
  <c r="Y11" i="5"/>
  <c r="Y8" i="5"/>
  <c r="BS8" i="5" s="1"/>
  <c r="Y5" i="5"/>
  <c r="BS5" i="5" s="1"/>
  <c r="Q44" i="5"/>
  <c r="Y6" i="5"/>
  <c r="Q32" i="5"/>
  <c r="Q27" i="5"/>
  <c r="Q7" i="5"/>
  <c r="BO7" i="5" s="1"/>
  <c r="Q15" i="5"/>
  <c r="BO15" i="5" s="1"/>
  <c r="Q12" i="5"/>
  <c r="BO12" i="5" s="1"/>
  <c r="Q46" i="5"/>
  <c r="Q17" i="5"/>
  <c r="BO17" i="5" s="1"/>
  <c r="Q33" i="5"/>
  <c r="Q49" i="5"/>
  <c r="Q18" i="5"/>
  <c r="Q48" i="5"/>
  <c r="Q19" i="5"/>
  <c r="BO19" i="5" s="1"/>
  <c r="Q40" i="5"/>
  <c r="Q11" i="5"/>
  <c r="Q47" i="5"/>
  <c r="Q5" i="5"/>
  <c r="BO5" i="5" s="1"/>
  <c r="Q25" i="5"/>
  <c r="Q45" i="5"/>
  <c r="Q22" i="5"/>
  <c r="Q38" i="5"/>
  <c r="Q20" i="5"/>
  <c r="BO20" i="5" s="1"/>
  <c r="Q9" i="5"/>
  <c r="Q29" i="5"/>
  <c r="Q6" i="5"/>
  <c r="Q26" i="5"/>
  <c r="Q42" i="5"/>
  <c r="Q24" i="5"/>
  <c r="BO24" i="5" s="1"/>
  <c r="Q28" i="5"/>
  <c r="Q13" i="5"/>
  <c r="BO13" i="5" s="1"/>
  <c r="Q37" i="5"/>
  <c r="Q10" i="5"/>
  <c r="Q30" i="5"/>
  <c r="Q35" i="5"/>
  <c r="Q36" i="5"/>
  <c r="Q21" i="5"/>
  <c r="BO21" i="5" s="1"/>
  <c r="Q41" i="5"/>
  <c r="Q14" i="5"/>
  <c r="Q34" i="5"/>
  <c r="I49" i="5"/>
  <c r="I47" i="5"/>
  <c r="I45" i="5"/>
  <c r="I43" i="5"/>
  <c r="BK43" i="5" s="1"/>
  <c r="I41" i="5"/>
  <c r="I46" i="5"/>
  <c r="I42" i="5"/>
  <c r="I39" i="5"/>
  <c r="BK39" i="5" s="1"/>
  <c r="I37" i="5"/>
  <c r="I35" i="5"/>
  <c r="I33" i="5"/>
  <c r="I31" i="5"/>
  <c r="I29" i="5"/>
  <c r="I27" i="5"/>
  <c r="I25" i="5"/>
  <c r="I23" i="5"/>
  <c r="BK23" i="5" s="1"/>
  <c r="I21" i="5"/>
  <c r="BK21" i="5" s="1"/>
  <c r="I19" i="5"/>
  <c r="BK19" i="5" s="1"/>
  <c r="I17" i="5"/>
  <c r="BK17" i="5" s="1"/>
  <c r="I15" i="5"/>
  <c r="BK15" i="5" s="1"/>
  <c r="I13" i="5"/>
  <c r="BK13" i="5" s="1"/>
  <c r="I11" i="5"/>
  <c r="I9" i="5"/>
  <c r="I7" i="5"/>
  <c r="BK7" i="5" s="1"/>
  <c r="I5" i="5"/>
  <c r="BK5" i="5" s="1"/>
  <c r="I48" i="5"/>
  <c r="I44" i="5"/>
  <c r="I40" i="5"/>
  <c r="I38" i="5"/>
  <c r="I36" i="5"/>
  <c r="I34" i="5"/>
  <c r="I32" i="5"/>
  <c r="I30" i="5"/>
  <c r="I28" i="5"/>
  <c r="I26" i="5"/>
  <c r="I24" i="5"/>
  <c r="BK24" i="5" s="1"/>
  <c r="I22" i="5"/>
  <c r="I20" i="5"/>
  <c r="BK20" i="5" s="1"/>
  <c r="I18" i="5"/>
  <c r="I16" i="5"/>
  <c r="BK16" i="5" s="1"/>
  <c r="I14" i="5"/>
  <c r="I12" i="5"/>
  <c r="BK12" i="5" s="1"/>
  <c r="I10" i="5"/>
  <c r="I8" i="5"/>
  <c r="BK8" i="5" s="1"/>
  <c r="I6" i="5"/>
  <c r="K48" i="2"/>
  <c r="K44" i="2"/>
  <c r="K40" i="2"/>
  <c r="K36" i="2"/>
  <c r="K32" i="2"/>
  <c r="K28" i="2"/>
  <c r="K24" i="2"/>
  <c r="K20" i="2"/>
  <c r="K16" i="2"/>
  <c r="K12" i="2"/>
  <c r="K8" i="2"/>
  <c r="K47" i="2"/>
  <c r="K43" i="2"/>
  <c r="K39" i="2"/>
  <c r="K35" i="2"/>
  <c r="K31" i="2"/>
  <c r="K27" i="2"/>
  <c r="K23" i="2"/>
  <c r="K19" i="2"/>
  <c r="K15" i="2"/>
  <c r="K11" i="2"/>
  <c r="K7" i="2"/>
  <c r="K46" i="2"/>
  <c r="K42" i="2"/>
  <c r="K38" i="2"/>
  <c r="K34" i="2"/>
  <c r="K30" i="2"/>
  <c r="K26" i="2"/>
  <c r="K22" i="2"/>
  <c r="K18" i="2"/>
  <c r="K14" i="2"/>
  <c r="K10" i="2"/>
  <c r="K6" i="2"/>
  <c r="K49" i="2"/>
  <c r="K45" i="2"/>
  <c r="K41" i="2"/>
  <c r="K37" i="2"/>
  <c r="K33" i="2"/>
  <c r="K29" i="2"/>
  <c r="K25" i="2"/>
  <c r="K21" i="2"/>
  <c r="K17" i="2"/>
  <c r="K13" i="2"/>
  <c r="K9" i="2"/>
  <c r="K5" i="2"/>
  <c r="S48" i="2"/>
  <c r="S44" i="2"/>
  <c r="S40" i="2"/>
  <c r="S36" i="2"/>
  <c r="S32" i="2"/>
  <c r="S28" i="2"/>
  <c r="S24" i="2"/>
  <c r="S20" i="2"/>
  <c r="S16" i="2"/>
  <c r="S12" i="2"/>
  <c r="S8" i="2"/>
  <c r="S49" i="2"/>
  <c r="S45" i="2"/>
  <c r="S41" i="2"/>
  <c r="S37" i="2"/>
  <c r="S33" i="2"/>
  <c r="S29" i="2"/>
  <c r="S25" i="2"/>
  <c r="S21" i="2"/>
  <c r="S17" i="2"/>
  <c r="S13" i="2"/>
  <c r="S9" i="2"/>
  <c r="S5" i="2"/>
  <c r="S47" i="2"/>
  <c r="S39" i="2"/>
  <c r="S31" i="2"/>
  <c r="S23" i="2"/>
  <c r="S15" i="2"/>
  <c r="S7" i="2"/>
  <c r="S46" i="2"/>
  <c r="S38" i="2"/>
  <c r="S30" i="2"/>
  <c r="S22" i="2"/>
  <c r="S14" i="2"/>
  <c r="S6" i="2"/>
  <c r="S43" i="2"/>
  <c r="S35" i="2"/>
  <c r="S27" i="2"/>
  <c r="S19" i="2"/>
  <c r="S11" i="2"/>
  <c r="S42" i="2"/>
  <c r="S34" i="2"/>
  <c r="S26" i="2"/>
  <c r="S18" i="2"/>
  <c r="S10" i="2"/>
  <c r="AA10" i="2"/>
  <c r="AA42" i="2"/>
  <c r="AA11" i="2"/>
  <c r="AA43" i="2"/>
  <c r="AA6" i="2"/>
  <c r="AA38" i="2"/>
  <c r="AA7" i="2"/>
  <c r="AA39" i="2"/>
  <c r="AA5" i="2"/>
  <c r="AA21" i="2"/>
  <c r="AA37" i="2"/>
  <c r="AI8" i="2"/>
  <c r="AI24" i="2"/>
  <c r="AI40" i="2"/>
  <c r="AI5" i="2"/>
  <c r="AI21" i="2"/>
  <c r="AI37" i="2"/>
  <c r="AA8" i="2"/>
  <c r="AA24" i="2"/>
  <c r="AA40" i="2"/>
  <c r="AI11" i="2"/>
  <c r="AI27" i="2"/>
  <c r="AI43" i="2"/>
  <c r="BM23" i="5"/>
  <c r="BP23" i="5" s="1"/>
  <c r="BI23" i="5"/>
  <c r="BL23" i="5" s="1"/>
  <c r="BY23" i="5"/>
  <c r="CB23" i="5" s="1"/>
  <c r="AG49" i="5"/>
  <c r="AG46" i="5"/>
  <c r="AG43" i="5"/>
  <c r="BW43" i="5" s="1"/>
  <c r="AG41" i="5"/>
  <c r="AG38" i="5"/>
  <c r="AG35" i="5"/>
  <c r="AG33" i="5"/>
  <c r="AG30" i="5"/>
  <c r="AG27" i="5"/>
  <c r="AG25" i="5"/>
  <c r="AG22" i="5"/>
  <c r="AG19" i="5"/>
  <c r="BW19" i="5" s="1"/>
  <c r="AG17" i="5"/>
  <c r="BW17" i="5" s="1"/>
  <c r="AG14" i="5"/>
  <c r="AG11" i="5"/>
  <c r="AG9" i="5"/>
  <c r="AG6" i="5"/>
  <c r="AG48" i="5"/>
  <c r="AG40" i="5"/>
  <c r="AG32" i="5"/>
  <c r="AG24" i="5"/>
  <c r="BW24" i="5" s="1"/>
  <c r="AG16" i="5"/>
  <c r="BW16" i="5" s="1"/>
  <c r="AG8" i="5"/>
  <c r="BW8" i="5" s="1"/>
  <c r="AG47" i="5"/>
  <c r="AG45" i="5"/>
  <c r="AG42" i="5"/>
  <c r="AG39" i="5"/>
  <c r="BW39" i="5" s="1"/>
  <c r="AG37" i="5"/>
  <c r="AG34" i="5"/>
  <c r="AG31" i="5"/>
  <c r="AG29" i="5"/>
  <c r="AG26" i="5"/>
  <c r="AG23" i="5"/>
  <c r="BW23" i="5" s="1"/>
  <c r="AG21" i="5"/>
  <c r="BW21" i="5" s="1"/>
  <c r="AG18" i="5"/>
  <c r="AG15" i="5"/>
  <c r="BW15" i="5" s="1"/>
  <c r="AG13" i="5"/>
  <c r="BW13" i="5" s="1"/>
  <c r="AG10" i="5"/>
  <c r="AG7" i="5"/>
  <c r="BW7" i="5" s="1"/>
  <c r="AG5" i="5"/>
  <c r="BW5" i="5" s="1"/>
  <c r="AG44" i="5"/>
  <c r="AG36" i="5"/>
  <c r="AG28" i="5"/>
  <c r="AG20" i="5"/>
  <c r="BW20" i="5" s="1"/>
  <c r="AG12" i="5"/>
  <c r="BW12" i="5" s="1"/>
  <c r="I6" i="2"/>
  <c r="I10" i="2"/>
  <c r="I14" i="2"/>
  <c r="I18" i="2"/>
  <c r="I22" i="2"/>
  <c r="I26" i="2"/>
  <c r="I30" i="2"/>
  <c r="I34" i="2"/>
  <c r="I38" i="2"/>
  <c r="I42" i="2"/>
  <c r="I46" i="2"/>
  <c r="I5" i="2"/>
  <c r="I7" i="2"/>
  <c r="I11" i="2"/>
  <c r="I15" i="2"/>
  <c r="I19" i="2"/>
  <c r="I23" i="2"/>
  <c r="I27" i="2"/>
  <c r="I31" i="2"/>
  <c r="I35" i="2"/>
  <c r="I39" i="2"/>
  <c r="I43" i="2"/>
  <c r="I47" i="2"/>
  <c r="I8" i="2"/>
  <c r="I12" i="2"/>
  <c r="I16" i="2"/>
  <c r="I20" i="2"/>
  <c r="I24" i="2"/>
  <c r="I28" i="2"/>
  <c r="I32" i="2"/>
  <c r="I36" i="2"/>
  <c r="I40" i="2"/>
  <c r="I44" i="2"/>
  <c r="I48" i="2"/>
  <c r="I9" i="2"/>
  <c r="I13" i="2"/>
  <c r="I17" i="2"/>
  <c r="I21" i="2"/>
  <c r="I25" i="2"/>
  <c r="I29" i="2"/>
  <c r="I33" i="2"/>
  <c r="I37" i="2"/>
  <c r="I41" i="2"/>
  <c r="I45" i="2"/>
  <c r="I49" i="2"/>
  <c r="AG7" i="2"/>
  <c r="AG11" i="2"/>
  <c r="AG15" i="2"/>
  <c r="AG19" i="2"/>
  <c r="AG23" i="2"/>
  <c r="AG27" i="2"/>
  <c r="AG31" i="2"/>
  <c r="AG35" i="2"/>
  <c r="AG39" i="2"/>
  <c r="AG43" i="2"/>
  <c r="AG47" i="2"/>
  <c r="Y6" i="2"/>
  <c r="Y10" i="2"/>
  <c r="Y14" i="2"/>
  <c r="Y18" i="2"/>
  <c r="Y22" i="2"/>
  <c r="Y26" i="2"/>
  <c r="Y30" i="2"/>
  <c r="Y34" i="2"/>
  <c r="Y38" i="2"/>
  <c r="Y42" i="2"/>
  <c r="Y46" i="2"/>
  <c r="Y5" i="2"/>
  <c r="AG8" i="2"/>
  <c r="AG12" i="2"/>
  <c r="AG16" i="2"/>
  <c r="AG20" i="2"/>
  <c r="AG24" i="2"/>
  <c r="AG28" i="2"/>
  <c r="AG32" i="2"/>
  <c r="AG36" i="2"/>
  <c r="AG40" i="2"/>
  <c r="AG44" i="2"/>
  <c r="AG48" i="2"/>
  <c r="Y7" i="2"/>
  <c r="Y11" i="2"/>
  <c r="Y15" i="2"/>
  <c r="Y19" i="2"/>
  <c r="Y23" i="2"/>
  <c r="Y27" i="2"/>
  <c r="Y31" i="2"/>
  <c r="Y35" i="2"/>
  <c r="Y39" i="2"/>
  <c r="Y43" i="2"/>
  <c r="Y47" i="2"/>
  <c r="AG9" i="2"/>
  <c r="AG13" i="2"/>
  <c r="AG17" i="2"/>
  <c r="AG21" i="2"/>
  <c r="AG25" i="2"/>
  <c r="AG29" i="2"/>
  <c r="AG33" i="2"/>
  <c r="AG37" i="2"/>
  <c r="AG41" i="2"/>
  <c r="AG45" i="2"/>
  <c r="AG49" i="2"/>
  <c r="Y8" i="2"/>
  <c r="Y12" i="2"/>
  <c r="Y16" i="2"/>
  <c r="Y20" i="2"/>
  <c r="Y24" i="2"/>
  <c r="Y28" i="2"/>
  <c r="Y32" i="2"/>
  <c r="Y36" i="2"/>
  <c r="Y40" i="2"/>
  <c r="Y44" i="2"/>
  <c r="Y48" i="2"/>
  <c r="AG6" i="2"/>
  <c r="AG10" i="2"/>
  <c r="AG14" i="2"/>
  <c r="AG18" i="2"/>
  <c r="AG22" i="2"/>
  <c r="AG26" i="2"/>
  <c r="AG30" i="2"/>
  <c r="AG34" i="2"/>
  <c r="AG38" i="2"/>
  <c r="AG42" i="2"/>
  <c r="AG46" i="2"/>
  <c r="AG5" i="2"/>
  <c r="Y9" i="2"/>
  <c r="Y13" i="2"/>
  <c r="Y17" i="2"/>
  <c r="Y21" i="2"/>
  <c r="Y25" i="2"/>
  <c r="Y29" i="2"/>
  <c r="Y33" i="2"/>
  <c r="Y37" i="2"/>
  <c r="Y41" i="2"/>
  <c r="Y45" i="2"/>
  <c r="Y49" i="2"/>
  <c r="AA18" i="2"/>
  <c r="AI10" i="2"/>
  <c r="AA19" i="2"/>
  <c r="AI14" i="2"/>
  <c r="AA14" i="2"/>
  <c r="AA47" i="2"/>
  <c r="AA15" i="2"/>
  <c r="AI6" i="2"/>
  <c r="AA9" i="2"/>
  <c r="AA25" i="2"/>
  <c r="AA41" i="2"/>
  <c r="AI12" i="2"/>
  <c r="AI28" i="2"/>
  <c r="AI44" i="2"/>
  <c r="AI9" i="2"/>
  <c r="AI25" i="2"/>
  <c r="AI41" i="2"/>
  <c r="AA12" i="2"/>
  <c r="AA28" i="2"/>
  <c r="AA44" i="2"/>
  <c r="AI15" i="2"/>
  <c r="AI31" i="2"/>
  <c r="N6" i="12"/>
  <c r="O6" i="12"/>
  <c r="P6" i="12" s="1"/>
  <c r="N5" i="12"/>
  <c r="BU16" i="5" l="1"/>
  <c r="BX16" i="5" s="1"/>
  <c r="BY7" i="5"/>
  <c r="CB7" i="5" s="1"/>
  <c r="BI43" i="5"/>
  <c r="BL43" i="5" s="1"/>
  <c r="BU39" i="5"/>
  <c r="BX39" i="5" s="1"/>
  <c r="CB39" i="5"/>
  <c r="BQ23" i="5"/>
  <c r="BT23" i="5" s="1"/>
  <c r="BM7" i="5"/>
  <c r="BP7" i="5" s="1"/>
  <c r="BM21" i="5"/>
  <c r="BP21" i="5" s="1"/>
  <c r="BI12" i="5"/>
  <c r="BL12" i="5" s="1"/>
  <c r="CB21" i="5"/>
  <c r="BY15" i="5"/>
  <c r="CB15" i="5" s="1"/>
  <c r="BQ21" i="5"/>
  <c r="BT21" i="5" s="1"/>
  <c r="BI33" i="2"/>
  <c r="BK33" i="2"/>
  <c r="BM30" i="2"/>
  <c r="BO30" i="2"/>
  <c r="BK28" i="2"/>
  <c r="BI28" i="2"/>
  <c r="BO27" i="2"/>
  <c r="BM27" i="2"/>
  <c r="BA9" i="2"/>
  <c r="BC9" i="2"/>
  <c r="BA15" i="2"/>
  <c r="BC15" i="2"/>
  <c r="BK44" i="5"/>
  <c r="BI44" i="5"/>
  <c r="BI37" i="2"/>
  <c r="BK37" i="2"/>
  <c r="BK21" i="2"/>
  <c r="BI21" i="2"/>
  <c r="BM5" i="2"/>
  <c r="BO5" i="2"/>
  <c r="BM34" i="2"/>
  <c r="BO34" i="2"/>
  <c r="BM18" i="2"/>
  <c r="BO18" i="2"/>
  <c r="BI48" i="2"/>
  <c r="BK48" i="2"/>
  <c r="BI32" i="2"/>
  <c r="BK32" i="2"/>
  <c r="BI16" i="2"/>
  <c r="BK16" i="2"/>
  <c r="BM45" i="2"/>
  <c r="BO45" i="2"/>
  <c r="BM29" i="2"/>
  <c r="BO29" i="2"/>
  <c r="BM13" i="2"/>
  <c r="BO13" i="2"/>
  <c r="BI39" i="2"/>
  <c r="BK39" i="2"/>
  <c r="BI23" i="2"/>
  <c r="BK23" i="2"/>
  <c r="BI7" i="2"/>
  <c r="BK7" i="2"/>
  <c r="BM36" i="2"/>
  <c r="BO36" i="2"/>
  <c r="BM20" i="2"/>
  <c r="BP20" i="2" s="1"/>
  <c r="BO20" i="2"/>
  <c r="BI5" i="2"/>
  <c r="BK5" i="2"/>
  <c r="BI34" i="2"/>
  <c r="BK34" i="2"/>
  <c r="BI18" i="2"/>
  <c r="BK18" i="2"/>
  <c r="BO47" i="2"/>
  <c r="BM47" i="2"/>
  <c r="BO31" i="2"/>
  <c r="BM31" i="2"/>
  <c r="BO15" i="2"/>
  <c r="BM15" i="2"/>
  <c r="BC45" i="2"/>
  <c r="BA45" i="2"/>
  <c r="BA29" i="2"/>
  <c r="BD29" i="2" s="1"/>
  <c r="BC29" i="2"/>
  <c r="BC13" i="2"/>
  <c r="BA13" i="2"/>
  <c r="BA40" i="2"/>
  <c r="BC40" i="2"/>
  <c r="BA24" i="2"/>
  <c r="BC24" i="2"/>
  <c r="BA8" i="2"/>
  <c r="BD8" i="2" s="1"/>
  <c r="BC8" i="2"/>
  <c r="BA35" i="2"/>
  <c r="BC35" i="2"/>
  <c r="BA19" i="2"/>
  <c r="BC19" i="2"/>
  <c r="BC5" i="2"/>
  <c r="BA5" i="2"/>
  <c r="BC34" i="2"/>
  <c r="BA34" i="2"/>
  <c r="BC18" i="2"/>
  <c r="BA18" i="2"/>
  <c r="BW44" i="5"/>
  <c r="BU44" i="5"/>
  <c r="BU34" i="5"/>
  <c r="BW34" i="5"/>
  <c r="BU45" i="5"/>
  <c r="BX45" i="5" s="1"/>
  <c r="BW45" i="5"/>
  <c r="BW6" i="5"/>
  <c r="BU6" i="5"/>
  <c r="BW27" i="5"/>
  <c r="BU27" i="5"/>
  <c r="BU38" i="5"/>
  <c r="BW38" i="5"/>
  <c r="BU49" i="5"/>
  <c r="BX49" i="5" s="1"/>
  <c r="BW49" i="5"/>
  <c r="BI32" i="5"/>
  <c r="BK32" i="5"/>
  <c r="BK40" i="5"/>
  <c r="BI40" i="5"/>
  <c r="BI31" i="5"/>
  <c r="BK31" i="5"/>
  <c r="BM34" i="5"/>
  <c r="BP34" i="5" s="1"/>
  <c r="BO34" i="5"/>
  <c r="BM36" i="5"/>
  <c r="BO36" i="5"/>
  <c r="BO37" i="5"/>
  <c r="BM37" i="5"/>
  <c r="BM42" i="5"/>
  <c r="BO42" i="5"/>
  <c r="BO9" i="5"/>
  <c r="BM9" i="5"/>
  <c r="BM45" i="5"/>
  <c r="BO45" i="5"/>
  <c r="BO11" i="5"/>
  <c r="BM11" i="5"/>
  <c r="BO18" i="5"/>
  <c r="BM18" i="5"/>
  <c r="BM46" i="5"/>
  <c r="BP46" i="5" s="1"/>
  <c r="BO46" i="5"/>
  <c r="BO27" i="5"/>
  <c r="BM27" i="5"/>
  <c r="BQ27" i="5"/>
  <c r="BS27" i="5"/>
  <c r="BS37" i="5"/>
  <c r="BQ37" i="5"/>
  <c r="BQ48" i="5"/>
  <c r="BT48" i="5" s="1"/>
  <c r="BS48" i="5"/>
  <c r="BQ38" i="5"/>
  <c r="BS38" i="5"/>
  <c r="BS33" i="5"/>
  <c r="BQ33" i="5"/>
  <c r="BQ44" i="5"/>
  <c r="BS44" i="5"/>
  <c r="BS34" i="5"/>
  <c r="BQ34" i="5"/>
  <c r="BU5" i="5"/>
  <c r="BX5" i="5" s="1"/>
  <c r="BQ16" i="5"/>
  <c r="BT16" i="5" s="1"/>
  <c r="BQ7" i="5"/>
  <c r="BT7" i="5" s="1"/>
  <c r="BI39" i="5"/>
  <c r="BL39" i="5" s="1"/>
  <c r="BQ43" i="5"/>
  <c r="BT43" i="5" s="1"/>
  <c r="BG49" i="2"/>
  <c r="BE49" i="2"/>
  <c r="BG33" i="2"/>
  <c r="BE33" i="2"/>
  <c r="BH33" i="2" s="1"/>
  <c r="BE17" i="2"/>
  <c r="BG17" i="2"/>
  <c r="BE44" i="2"/>
  <c r="BG44" i="2"/>
  <c r="BG28" i="2"/>
  <c r="BE28" i="2"/>
  <c r="BG12" i="2"/>
  <c r="BE12" i="2"/>
  <c r="BH12" i="2" s="1"/>
  <c r="BE39" i="2"/>
  <c r="BG39" i="2"/>
  <c r="BG23" i="2"/>
  <c r="BE23" i="2"/>
  <c r="BH23" i="2" s="1"/>
  <c r="BG7" i="2"/>
  <c r="BE7" i="2"/>
  <c r="BG38" i="2"/>
  <c r="BE38" i="2"/>
  <c r="BH38" i="2" s="1"/>
  <c r="BG22" i="2"/>
  <c r="BE22" i="2"/>
  <c r="BH22" i="2" s="1"/>
  <c r="BG6" i="2"/>
  <c r="BE6" i="2"/>
  <c r="BH6" i="2" s="1"/>
  <c r="BY35" i="5"/>
  <c r="CA35" i="5"/>
  <c r="CA6" i="5"/>
  <c r="BY6" i="5"/>
  <c r="CB6" i="5" s="1"/>
  <c r="CA22" i="5"/>
  <c r="BY22" i="5"/>
  <c r="CB22" i="5" s="1"/>
  <c r="BY38" i="5"/>
  <c r="CA38" i="5"/>
  <c r="CA10" i="5"/>
  <c r="BY10" i="5"/>
  <c r="CA26" i="5"/>
  <c r="BY26" i="5"/>
  <c r="CB26" i="5" s="1"/>
  <c r="BY42" i="5"/>
  <c r="CA42" i="5"/>
  <c r="BU19" i="5"/>
  <c r="BX19" i="5" s="1"/>
  <c r="BU13" i="5"/>
  <c r="BX13" i="5" s="1"/>
  <c r="BM8" i="5"/>
  <c r="BP8" i="5" s="1"/>
  <c r="BQ8" i="5"/>
  <c r="BT8" i="5" s="1"/>
  <c r="BI15" i="5"/>
  <c r="BL15" i="5" s="1"/>
  <c r="BU20" i="5"/>
  <c r="BX20" i="5" s="1"/>
  <c r="BU24" i="5"/>
  <c r="BX24" i="5" s="1"/>
  <c r="BK19" i="2"/>
  <c r="BI19" i="2"/>
  <c r="BK46" i="2"/>
  <c r="BI46" i="2"/>
  <c r="BO43" i="2"/>
  <c r="BM43" i="2"/>
  <c r="BC25" i="2"/>
  <c r="BA25" i="2"/>
  <c r="BA47" i="2"/>
  <c r="BC47" i="2"/>
  <c r="BC30" i="2"/>
  <c r="BA30" i="2"/>
  <c r="BW9" i="5"/>
  <c r="BU9" i="5"/>
  <c r="BK10" i="5"/>
  <c r="BI10" i="5"/>
  <c r="BK26" i="5"/>
  <c r="BI26" i="5"/>
  <c r="BK9" i="5"/>
  <c r="BI9" i="5"/>
  <c r="BI25" i="5"/>
  <c r="BL25" i="5" s="1"/>
  <c r="BK25" i="5"/>
  <c r="BK42" i="5"/>
  <c r="BI42" i="5"/>
  <c r="BO14" i="5"/>
  <c r="BM14" i="5"/>
  <c r="BO35" i="5"/>
  <c r="BM35" i="5"/>
  <c r="BM26" i="5"/>
  <c r="BP26" i="5" s="1"/>
  <c r="BO26" i="5"/>
  <c r="BO25" i="5"/>
  <c r="BM25" i="5"/>
  <c r="BO40" i="5"/>
  <c r="BM40" i="5"/>
  <c r="BM49" i="5"/>
  <c r="BO49" i="5"/>
  <c r="BO32" i="5"/>
  <c r="BM32" i="5"/>
  <c r="BS29" i="5"/>
  <c r="BQ29" i="5"/>
  <c r="BQ40" i="5"/>
  <c r="BS40" i="5"/>
  <c r="BQ14" i="5"/>
  <c r="BS14" i="5"/>
  <c r="BQ46" i="5"/>
  <c r="BT46" i="5" s="1"/>
  <c r="BS46" i="5"/>
  <c r="BS25" i="5"/>
  <c r="BQ25" i="5"/>
  <c r="BQ36" i="5"/>
  <c r="BS36" i="5"/>
  <c r="BQ47" i="5"/>
  <c r="BS47" i="5"/>
  <c r="BS10" i="5"/>
  <c r="BQ10" i="5"/>
  <c r="BQ42" i="5"/>
  <c r="BS42" i="5"/>
  <c r="BI17" i="5"/>
  <c r="BL17" i="5" s="1"/>
  <c r="BG45" i="2"/>
  <c r="BE45" i="2"/>
  <c r="BH45" i="2" s="1"/>
  <c r="BG29" i="2"/>
  <c r="BE29" i="2"/>
  <c r="BG13" i="2"/>
  <c r="BE13" i="2"/>
  <c r="BH13" i="2" s="1"/>
  <c r="BG40" i="2"/>
  <c r="BE40" i="2"/>
  <c r="BH40" i="2" s="1"/>
  <c r="BG24" i="2"/>
  <c r="BE24" i="2"/>
  <c r="BH24" i="2" s="1"/>
  <c r="BG8" i="2"/>
  <c r="BE8" i="2"/>
  <c r="BE35" i="2"/>
  <c r="BG35" i="2"/>
  <c r="BG19" i="2"/>
  <c r="BE19" i="2"/>
  <c r="BH19" i="2" s="1"/>
  <c r="BG5" i="2"/>
  <c r="BE5" i="2"/>
  <c r="BH5" i="2" s="1"/>
  <c r="BG34" i="2"/>
  <c r="BE34" i="2"/>
  <c r="BG18" i="2"/>
  <c r="BE18" i="2"/>
  <c r="BH18" i="2" s="1"/>
  <c r="CA40" i="5"/>
  <c r="BY40" i="5"/>
  <c r="CB40" i="5" s="1"/>
  <c r="CA9" i="5"/>
  <c r="BY9" i="5"/>
  <c r="CB9" i="5" s="1"/>
  <c r="BY25" i="5"/>
  <c r="CA25" i="5"/>
  <c r="CA41" i="5"/>
  <c r="BY41" i="5"/>
  <c r="CB41" i="5" s="1"/>
  <c r="CA28" i="5"/>
  <c r="BY28" i="5"/>
  <c r="CB28" i="5" s="1"/>
  <c r="CA44" i="5"/>
  <c r="BY44" i="5"/>
  <c r="CB44" i="5" s="1"/>
  <c r="CA29" i="5"/>
  <c r="BY29" i="5"/>
  <c r="BY45" i="5"/>
  <c r="CA45" i="5"/>
  <c r="BM19" i="5"/>
  <c r="BP19" i="5" s="1"/>
  <c r="BQ13" i="5"/>
  <c r="BT13" i="5" s="1"/>
  <c r="BU8" i="5"/>
  <c r="BX8" i="5" s="1"/>
  <c r="BM15" i="5"/>
  <c r="BP15" i="5" s="1"/>
  <c r="BI20" i="5"/>
  <c r="BL20" i="5" s="1"/>
  <c r="BY24" i="5"/>
  <c r="CB24" i="5" s="1"/>
  <c r="BI49" i="2"/>
  <c r="BK49" i="2"/>
  <c r="BO46" i="2"/>
  <c r="BM46" i="2"/>
  <c r="BP46" i="2" s="1"/>
  <c r="BK44" i="2"/>
  <c r="BI44" i="2"/>
  <c r="BL44" i="2" s="1"/>
  <c r="BM41" i="2"/>
  <c r="BO41" i="2"/>
  <c r="BM9" i="2"/>
  <c r="BO9" i="2"/>
  <c r="BO48" i="2"/>
  <c r="BM48" i="2"/>
  <c r="BP48" i="2" s="1"/>
  <c r="BO32" i="2"/>
  <c r="BM32" i="2"/>
  <c r="BP32" i="2" s="1"/>
  <c r="BK30" i="2"/>
  <c r="BI30" i="2"/>
  <c r="BO11" i="2"/>
  <c r="BM11" i="2"/>
  <c r="BP11" i="2" s="1"/>
  <c r="BC36" i="2"/>
  <c r="BA36" i="2"/>
  <c r="BD36" i="2" s="1"/>
  <c r="BA31" i="2"/>
  <c r="BC31" i="2"/>
  <c r="BW26" i="5"/>
  <c r="BU26" i="5"/>
  <c r="BW47" i="5"/>
  <c r="BU47" i="5"/>
  <c r="BX47" i="5" s="1"/>
  <c r="BU30" i="5"/>
  <c r="BW30" i="5"/>
  <c r="BK18" i="5"/>
  <c r="BI18" i="5"/>
  <c r="BL18" i="5" s="1"/>
  <c r="BK33" i="5"/>
  <c r="BI33" i="5"/>
  <c r="BI45" i="5"/>
  <c r="BK45" i="5"/>
  <c r="BK45" i="2"/>
  <c r="BI45" i="2"/>
  <c r="BL45" i="2" s="1"/>
  <c r="BI29" i="2"/>
  <c r="BK29" i="2"/>
  <c r="BI13" i="2"/>
  <c r="BK13" i="2"/>
  <c r="BM42" i="2"/>
  <c r="BO42" i="2"/>
  <c r="BO26" i="2"/>
  <c r="BM26" i="2"/>
  <c r="BP26" i="2" s="1"/>
  <c r="BM10" i="2"/>
  <c r="BO10" i="2"/>
  <c r="BI40" i="2"/>
  <c r="BK40" i="2"/>
  <c r="BI24" i="2"/>
  <c r="BK24" i="2"/>
  <c r="BI8" i="2"/>
  <c r="BK8" i="2"/>
  <c r="BM37" i="2"/>
  <c r="BO37" i="2"/>
  <c r="BM21" i="2"/>
  <c r="BO21" i="2"/>
  <c r="BI47" i="2"/>
  <c r="BK47" i="2"/>
  <c r="BI31" i="2"/>
  <c r="BK31" i="2"/>
  <c r="BI15" i="2"/>
  <c r="BK15" i="2"/>
  <c r="BM44" i="2"/>
  <c r="BO44" i="2"/>
  <c r="BM28" i="2"/>
  <c r="BO28" i="2"/>
  <c r="BM12" i="2"/>
  <c r="BO12" i="2"/>
  <c r="BI42" i="2"/>
  <c r="BK42" i="2"/>
  <c r="BI26" i="2"/>
  <c r="BK26" i="2"/>
  <c r="BI10" i="2"/>
  <c r="BK10" i="2"/>
  <c r="BM39" i="2"/>
  <c r="BO39" i="2"/>
  <c r="BM23" i="2"/>
  <c r="BO23" i="2"/>
  <c r="BM7" i="2"/>
  <c r="BO7" i="2"/>
  <c r="BA37" i="2"/>
  <c r="BC37" i="2"/>
  <c r="BA21" i="2"/>
  <c r="BC21" i="2"/>
  <c r="BA48" i="2"/>
  <c r="BC48" i="2"/>
  <c r="BA32" i="2"/>
  <c r="BC32" i="2"/>
  <c r="BA16" i="2"/>
  <c r="BC16" i="2"/>
  <c r="BA43" i="2"/>
  <c r="BC43" i="2"/>
  <c r="BA27" i="2"/>
  <c r="BC27" i="2"/>
  <c r="BA11" i="2"/>
  <c r="BC11" i="2"/>
  <c r="BC42" i="2"/>
  <c r="BA42" i="2"/>
  <c r="BD42" i="2" s="1"/>
  <c r="BA26" i="2"/>
  <c r="BC26" i="2"/>
  <c r="BA10" i="2"/>
  <c r="BC10" i="2"/>
  <c r="BW28" i="5"/>
  <c r="BU28" i="5"/>
  <c r="BW18" i="5"/>
  <c r="BU18" i="5"/>
  <c r="BX18" i="5" s="1"/>
  <c r="BW29" i="5"/>
  <c r="BU29" i="5"/>
  <c r="BX29" i="5" s="1"/>
  <c r="BU40" i="5"/>
  <c r="BW40" i="5"/>
  <c r="BW11" i="5"/>
  <c r="BU11" i="5"/>
  <c r="BW22" i="5"/>
  <c r="BU22" i="5"/>
  <c r="BX22" i="5" s="1"/>
  <c r="BU33" i="5"/>
  <c r="BW33" i="5"/>
  <c r="BU23" i="5"/>
  <c r="BX23" i="5" s="1"/>
  <c r="BK28" i="5"/>
  <c r="BI28" i="5"/>
  <c r="BI36" i="5"/>
  <c r="BL36" i="5" s="1"/>
  <c r="BK36" i="5"/>
  <c r="BI48" i="5"/>
  <c r="BK48" i="5"/>
  <c r="BI11" i="5"/>
  <c r="BK11" i="5"/>
  <c r="BI27" i="5"/>
  <c r="BK27" i="5"/>
  <c r="BI35" i="5"/>
  <c r="BL35" i="5" s="1"/>
  <c r="BK35" i="5"/>
  <c r="BK46" i="5"/>
  <c r="BI46" i="5"/>
  <c r="BI47" i="5"/>
  <c r="BK47" i="5"/>
  <c r="BO41" i="5"/>
  <c r="BM41" i="5"/>
  <c r="BO30" i="5"/>
  <c r="BM30" i="5"/>
  <c r="BO28" i="5"/>
  <c r="BM28" i="5"/>
  <c r="BO6" i="5"/>
  <c r="BM6" i="5"/>
  <c r="BO38" i="5"/>
  <c r="BM38" i="5"/>
  <c r="BO33" i="5"/>
  <c r="BM33" i="5"/>
  <c r="BS6" i="5"/>
  <c r="BQ6" i="5"/>
  <c r="BS11" i="5"/>
  <c r="BQ11" i="5"/>
  <c r="BQ32" i="5"/>
  <c r="BS32" i="5"/>
  <c r="BS22" i="5"/>
  <c r="BQ22" i="5"/>
  <c r="BQ28" i="5"/>
  <c r="BS28" i="5"/>
  <c r="BS49" i="5"/>
  <c r="BQ49" i="5"/>
  <c r="BO31" i="5"/>
  <c r="BM31" i="5"/>
  <c r="BS18" i="5"/>
  <c r="BQ18" i="5"/>
  <c r="BM17" i="5"/>
  <c r="BP17" i="5" s="1"/>
  <c r="BQ17" i="5"/>
  <c r="BT17" i="5" s="1"/>
  <c r="BI5" i="5"/>
  <c r="BL5" i="5" s="1"/>
  <c r="BI16" i="5"/>
  <c r="BL16" i="5" s="1"/>
  <c r="BI7" i="5"/>
  <c r="BL7" i="5" s="1"/>
  <c r="BU12" i="5"/>
  <c r="BX12" i="5" s="1"/>
  <c r="BQ12" i="5"/>
  <c r="BT12" i="5" s="1"/>
  <c r="BU21" i="5"/>
  <c r="BX21" i="5" s="1"/>
  <c r="BM39" i="5"/>
  <c r="BP39" i="5" s="1"/>
  <c r="BU43" i="5"/>
  <c r="BX43" i="5" s="1"/>
  <c r="BE41" i="2"/>
  <c r="BG41" i="2"/>
  <c r="BG25" i="2"/>
  <c r="BE25" i="2"/>
  <c r="BG9" i="2"/>
  <c r="BE9" i="2"/>
  <c r="BE36" i="2"/>
  <c r="BG36" i="2"/>
  <c r="BG20" i="2"/>
  <c r="BE20" i="2"/>
  <c r="BG47" i="2"/>
  <c r="BE47" i="2"/>
  <c r="BG31" i="2"/>
  <c r="BE31" i="2"/>
  <c r="BG15" i="2"/>
  <c r="BE15" i="2"/>
  <c r="BG46" i="2"/>
  <c r="BE46" i="2"/>
  <c r="BG30" i="2"/>
  <c r="BE30" i="2"/>
  <c r="BG14" i="2"/>
  <c r="BE14" i="2"/>
  <c r="BY11" i="5"/>
  <c r="CA11" i="5"/>
  <c r="BY27" i="5"/>
  <c r="CA27" i="5"/>
  <c r="CA14" i="5"/>
  <c r="BY14" i="5"/>
  <c r="BY30" i="5"/>
  <c r="CB30" i="5" s="1"/>
  <c r="CA30" i="5"/>
  <c r="BY46" i="5"/>
  <c r="CA46" i="5"/>
  <c r="BY31" i="5"/>
  <c r="CA31" i="5"/>
  <c r="CA47" i="5"/>
  <c r="BY47" i="5"/>
  <c r="BY18" i="5"/>
  <c r="CB18" i="5" s="1"/>
  <c r="CA18" i="5"/>
  <c r="BY34" i="5"/>
  <c r="CA34" i="5"/>
  <c r="BY19" i="5"/>
  <c r="CB19" i="5" s="1"/>
  <c r="BI19" i="5"/>
  <c r="BL19" i="5" s="1"/>
  <c r="BI13" i="5"/>
  <c r="BL13" i="5" s="1"/>
  <c r="BY8" i="5"/>
  <c r="CB8" i="5" s="1"/>
  <c r="BQ15" i="5"/>
  <c r="BT15" i="5" s="1"/>
  <c r="BM20" i="5"/>
  <c r="BP20" i="5" s="1"/>
  <c r="BQ20" i="5"/>
  <c r="BT20" i="5" s="1"/>
  <c r="BI24" i="5"/>
  <c r="BL24" i="5" s="1"/>
  <c r="BK17" i="2"/>
  <c r="BI17" i="2"/>
  <c r="BO14" i="2"/>
  <c r="BM14" i="2"/>
  <c r="BK12" i="2"/>
  <c r="BI12" i="2"/>
  <c r="BM25" i="2"/>
  <c r="BO25" i="2"/>
  <c r="BK35" i="2"/>
  <c r="BI35" i="2"/>
  <c r="BO16" i="2"/>
  <c r="BM16" i="2"/>
  <c r="BK14" i="2"/>
  <c r="BI14" i="2"/>
  <c r="BC41" i="2"/>
  <c r="BA41" i="2"/>
  <c r="BC20" i="2"/>
  <c r="BA20" i="2"/>
  <c r="BA46" i="2"/>
  <c r="BC46" i="2"/>
  <c r="BC14" i="2"/>
  <c r="BA14" i="2"/>
  <c r="BU37" i="5"/>
  <c r="BW37" i="5"/>
  <c r="BU32" i="5"/>
  <c r="BW32" i="5"/>
  <c r="BW41" i="5"/>
  <c r="BU41" i="5"/>
  <c r="BK34" i="5"/>
  <c r="BI34" i="5"/>
  <c r="BK41" i="2"/>
  <c r="BI41" i="2"/>
  <c r="BI25" i="2"/>
  <c r="BK25" i="2"/>
  <c r="BI9" i="2"/>
  <c r="BK9" i="2"/>
  <c r="BO38" i="2"/>
  <c r="BM38" i="2"/>
  <c r="BM22" i="2"/>
  <c r="BO22" i="2"/>
  <c r="BO6" i="2"/>
  <c r="BM6" i="2"/>
  <c r="BK36" i="2"/>
  <c r="BI36" i="2"/>
  <c r="BK20" i="2"/>
  <c r="BI20" i="2"/>
  <c r="BM49" i="2"/>
  <c r="BO49" i="2"/>
  <c r="BM33" i="2"/>
  <c r="BO33" i="2"/>
  <c r="BM17" i="2"/>
  <c r="BO17" i="2"/>
  <c r="BK43" i="2"/>
  <c r="BI43" i="2"/>
  <c r="BK27" i="2"/>
  <c r="BI27" i="2"/>
  <c r="BK11" i="2"/>
  <c r="BI11" i="2"/>
  <c r="BO40" i="2"/>
  <c r="BM40" i="2"/>
  <c r="BO24" i="2"/>
  <c r="BM24" i="2"/>
  <c r="BO8" i="2"/>
  <c r="BM8" i="2"/>
  <c r="BK38" i="2"/>
  <c r="BI38" i="2"/>
  <c r="BK22" i="2"/>
  <c r="BI22" i="2"/>
  <c r="BK6" i="2"/>
  <c r="BI6" i="2"/>
  <c r="BO35" i="2"/>
  <c r="BM35" i="2"/>
  <c r="BO19" i="2"/>
  <c r="BM19" i="2"/>
  <c r="BA49" i="2"/>
  <c r="BC49" i="2"/>
  <c r="BC33" i="2"/>
  <c r="BA33" i="2"/>
  <c r="BC17" i="2"/>
  <c r="BA17" i="2"/>
  <c r="BC44" i="2"/>
  <c r="BA44" i="2"/>
  <c r="BC28" i="2"/>
  <c r="BA28" i="2"/>
  <c r="BC12" i="2"/>
  <c r="BA12" i="2"/>
  <c r="BA39" i="2"/>
  <c r="BC39" i="2"/>
  <c r="BA23" i="2"/>
  <c r="BC23" i="2"/>
  <c r="BA7" i="2"/>
  <c r="BC7" i="2"/>
  <c r="BC38" i="2"/>
  <c r="BA38" i="2"/>
  <c r="BC22" i="2"/>
  <c r="BA22" i="2"/>
  <c r="BC6" i="2"/>
  <c r="BA6" i="2"/>
  <c r="BU36" i="5"/>
  <c r="BW36" i="5"/>
  <c r="BW10" i="5"/>
  <c r="BU10" i="5"/>
  <c r="BW31" i="5"/>
  <c r="BU31" i="5"/>
  <c r="BU42" i="5"/>
  <c r="BW42" i="5"/>
  <c r="BU48" i="5"/>
  <c r="BW48" i="5"/>
  <c r="BW14" i="5"/>
  <c r="BU14" i="5"/>
  <c r="BU25" i="5"/>
  <c r="BW25" i="5"/>
  <c r="BW35" i="5"/>
  <c r="BU35" i="5"/>
  <c r="BU46" i="5"/>
  <c r="BW46" i="5"/>
  <c r="BK6" i="5"/>
  <c r="BI6" i="5"/>
  <c r="BK14" i="5"/>
  <c r="BI14" i="5"/>
  <c r="BK22" i="5"/>
  <c r="BI22" i="5"/>
  <c r="BK30" i="5"/>
  <c r="BI30" i="5"/>
  <c r="BK38" i="5"/>
  <c r="BI38" i="5"/>
  <c r="BI29" i="5"/>
  <c r="BK29" i="5"/>
  <c r="BI37" i="5"/>
  <c r="BK37" i="5"/>
  <c r="BK41" i="5"/>
  <c r="BI41" i="5"/>
  <c r="BK49" i="5"/>
  <c r="BI49" i="5"/>
  <c r="BO10" i="5"/>
  <c r="BM10" i="5"/>
  <c r="BO29" i="5"/>
  <c r="BM29" i="5"/>
  <c r="BM22" i="5"/>
  <c r="BO22" i="5"/>
  <c r="BO47" i="5"/>
  <c r="BM47" i="5"/>
  <c r="BO48" i="5"/>
  <c r="BM48" i="5"/>
  <c r="BO44" i="5"/>
  <c r="BM44" i="5"/>
  <c r="BS35" i="5"/>
  <c r="BQ35" i="5"/>
  <c r="BS45" i="5"/>
  <c r="BQ45" i="5"/>
  <c r="BQ30" i="5"/>
  <c r="BS30" i="5"/>
  <c r="BQ9" i="5"/>
  <c r="BS9" i="5"/>
  <c r="BQ31" i="5"/>
  <c r="BS31" i="5"/>
  <c r="BS41" i="5"/>
  <c r="BQ41" i="5"/>
  <c r="BS26" i="5"/>
  <c r="BQ26" i="5"/>
  <c r="BU17" i="5"/>
  <c r="BX17" i="5" s="1"/>
  <c r="BM5" i="5"/>
  <c r="BP5" i="5" s="1"/>
  <c r="BQ5" i="5"/>
  <c r="BT5" i="5" s="1"/>
  <c r="BM16" i="5"/>
  <c r="BP16" i="5" s="1"/>
  <c r="BU7" i="5"/>
  <c r="BX7" i="5" s="1"/>
  <c r="BM12" i="5"/>
  <c r="BP12" i="5" s="1"/>
  <c r="BI21" i="5"/>
  <c r="BL21" i="5" s="1"/>
  <c r="BQ39" i="5"/>
  <c r="BT39" i="5" s="1"/>
  <c r="BM43" i="5"/>
  <c r="BP43" i="5" s="1"/>
  <c r="BE37" i="2"/>
  <c r="BG37" i="2"/>
  <c r="BG21" i="2"/>
  <c r="BE21" i="2"/>
  <c r="BG48" i="2"/>
  <c r="BE48" i="2"/>
  <c r="BH48" i="2" s="1"/>
  <c r="BG32" i="2"/>
  <c r="BE32" i="2"/>
  <c r="BH32" i="2" s="1"/>
  <c r="BG16" i="2"/>
  <c r="BE16" i="2"/>
  <c r="BH16" i="2" s="1"/>
  <c r="BG43" i="2"/>
  <c r="BE43" i="2"/>
  <c r="BG27" i="2"/>
  <c r="BE27" i="2"/>
  <c r="BH27" i="2" s="1"/>
  <c r="BG11" i="2"/>
  <c r="BE11" i="2"/>
  <c r="BH11" i="2" s="1"/>
  <c r="BE42" i="2"/>
  <c r="BG42" i="2"/>
  <c r="BE26" i="2"/>
  <c r="BG26" i="2"/>
  <c r="BE10" i="2"/>
  <c r="BG10" i="2"/>
  <c r="CA32" i="5"/>
  <c r="BY32" i="5"/>
  <c r="CB32" i="5" s="1"/>
  <c r="CA48" i="5"/>
  <c r="BY48" i="5"/>
  <c r="CB48" i="5" s="1"/>
  <c r="CA33" i="5"/>
  <c r="BY33" i="5"/>
  <c r="BY49" i="5"/>
  <c r="CA49" i="5"/>
  <c r="CA36" i="5"/>
  <c r="BY36" i="5"/>
  <c r="CB36" i="5" s="1"/>
  <c r="CA37" i="5"/>
  <c r="BY37" i="5"/>
  <c r="CB37" i="5" s="1"/>
  <c r="BQ19" i="5"/>
  <c r="BT19" i="5" s="1"/>
  <c r="BM13" i="5"/>
  <c r="BP13" i="5" s="1"/>
  <c r="BY13" i="5"/>
  <c r="CB13" i="5" s="1"/>
  <c r="BI8" i="5"/>
  <c r="BL8" i="5" s="1"/>
  <c r="BU15" i="5"/>
  <c r="BX15" i="5" s="1"/>
  <c r="BY20" i="5"/>
  <c r="CB20" i="5" s="1"/>
  <c r="BM24" i="5"/>
  <c r="BP24" i="5" s="1"/>
  <c r="BQ24" i="5"/>
  <c r="BT24" i="5" s="1"/>
  <c r="BX36" i="5" l="1"/>
  <c r="BL9" i="2"/>
  <c r="BT32" i="5"/>
  <c r="BL27" i="5"/>
  <c r="BT47" i="5"/>
  <c r="BT14" i="5"/>
  <c r="BP49" i="5"/>
  <c r="BT44" i="5"/>
  <c r="BP42" i="5"/>
  <c r="BL31" i="5"/>
  <c r="BX38" i="5"/>
  <c r="BX34" i="5"/>
  <c r="BD24" i="2"/>
  <c r="BL18" i="2"/>
  <c r="BP36" i="2"/>
  <c r="BP13" i="2"/>
  <c r="BL32" i="2"/>
  <c r="BP5" i="2"/>
  <c r="BD15" i="2"/>
  <c r="BP30" i="2"/>
  <c r="BX46" i="5"/>
  <c r="BT31" i="5"/>
  <c r="BD49" i="2"/>
  <c r="BT9" i="5"/>
  <c r="BL37" i="5"/>
  <c r="BX42" i="5"/>
  <c r="BD23" i="2"/>
  <c r="BP33" i="2"/>
  <c r="BL25" i="2"/>
  <c r="BX32" i="5"/>
  <c r="CB31" i="5"/>
  <c r="CB27" i="5"/>
  <c r="BH41" i="2"/>
  <c r="BL47" i="5"/>
  <c r="BL11" i="5"/>
  <c r="BT36" i="5"/>
  <c r="BT40" i="5"/>
  <c r="BD47" i="2"/>
  <c r="BT27" i="5"/>
  <c r="BD19" i="2"/>
  <c r="BD40" i="2"/>
  <c r="BL34" i="2"/>
  <c r="BL7" i="2"/>
  <c r="BP29" i="2"/>
  <c r="BL48" i="2"/>
  <c r="BD9" i="2"/>
  <c r="BL33" i="2"/>
  <c r="BP22" i="5"/>
  <c r="BD7" i="2"/>
  <c r="BP17" i="2"/>
  <c r="BT30" i="5"/>
  <c r="BL29" i="5"/>
  <c r="BX25" i="5"/>
  <c r="BD39" i="2"/>
  <c r="BP49" i="2"/>
  <c r="BP22" i="2"/>
  <c r="BX37" i="5"/>
  <c r="BP25" i="2"/>
  <c r="CB34" i="5"/>
  <c r="CB46" i="5"/>
  <c r="CB11" i="5"/>
  <c r="BH36" i="2"/>
  <c r="BT28" i="5"/>
  <c r="BL48" i="5"/>
  <c r="BT42" i="5"/>
  <c r="BT38" i="5"/>
  <c r="BP45" i="5"/>
  <c r="BP36" i="5"/>
  <c r="BL32" i="5"/>
  <c r="BD35" i="2"/>
  <c r="BL5" i="2"/>
  <c r="BL23" i="2"/>
  <c r="BP45" i="2"/>
  <c r="BP18" i="2"/>
  <c r="BL37" i="2"/>
  <c r="BX48" i="5"/>
  <c r="BD46" i="2"/>
  <c r="CB33" i="5"/>
  <c r="BH43" i="2"/>
  <c r="BH21" i="2"/>
  <c r="BX11" i="5"/>
  <c r="BX28" i="5"/>
  <c r="BL33" i="5"/>
  <c r="BX26" i="5"/>
  <c r="BL30" i="2"/>
  <c r="CB29" i="5"/>
  <c r="BH34" i="2"/>
  <c r="BH8" i="2"/>
  <c r="BH29" i="2"/>
  <c r="CB10" i="5"/>
  <c r="BH7" i="2"/>
  <c r="BH28" i="2"/>
  <c r="BH49" i="2"/>
  <c r="BL39" i="2"/>
  <c r="BL16" i="2"/>
  <c r="BP34" i="2"/>
  <c r="BH26" i="2"/>
  <c r="BT26" i="5"/>
  <c r="BT35" i="5"/>
  <c r="BP48" i="5"/>
  <c r="BP10" i="5"/>
  <c r="BL41" i="5"/>
  <c r="BL30" i="5"/>
  <c r="BL14" i="5"/>
  <c r="BX31" i="5"/>
  <c r="BD22" i="2"/>
  <c r="BD28" i="2"/>
  <c r="BD17" i="2"/>
  <c r="BP35" i="2"/>
  <c r="BL22" i="2"/>
  <c r="BP8" i="2"/>
  <c r="BP40" i="2"/>
  <c r="BL27" i="2"/>
  <c r="BL36" i="2"/>
  <c r="BL41" i="2"/>
  <c r="BX41" i="5"/>
  <c r="BD41" i="2"/>
  <c r="BP16" i="2"/>
  <c r="BP14" i="2"/>
  <c r="CB47" i="5"/>
  <c r="CB14" i="5"/>
  <c r="BH30" i="2"/>
  <c r="BH15" i="2"/>
  <c r="BH47" i="2"/>
  <c r="BH25" i="2"/>
  <c r="BP31" i="5"/>
  <c r="BT6" i="5"/>
  <c r="BP38" i="5"/>
  <c r="BP28" i="5"/>
  <c r="BP41" i="5"/>
  <c r="BL46" i="5"/>
  <c r="BL28" i="5"/>
  <c r="BX33" i="5"/>
  <c r="BD26" i="2"/>
  <c r="BD11" i="2"/>
  <c r="BD43" i="2"/>
  <c r="BD32" i="2"/>
  <c r="BD21" i="2"/>
  <c r="BP7" i="2"/>
  <c r="BP39" i="2"/>
  <c r="BL26" i="2"/>
  <c r="BP12" i="2"/>
  <c r="BP44" i="2"/>
  <c r="BL31" i="2"/>
  <c r="BP21" i="2"/>
  <c r="BL8" i="2"/>
  <c r="BL40" i="2"/>
  <c r="BL13" i="2"/>
  <c r="BX30" i="5"/>
  <c r="BP41" i="2"/>
  <c r="CB25" i="5"/>
  <c r="BT25" i="5"/>
  <c r="BT29" i="5"/>
  <c r="BP25" i="5"/>
  <c r="BP35" i="5"/>
  <c r="BL42" i="5"/>
  <c r="BL9" i="5"/>
  <c r="BL10" i="5"/>
  <c r="BD30" i="2"/>
  <c r="BD25" i="2"/>
  <c r="BL46" i="2"/>
  <c r="CB42" i="5"/>
  <c r="CB35" i="5"/>
  <c r="BH39" i="2"/>
  <c r="BH17" i="2"/>
  <c r="BT37" i="5"/>
  <c r="BP27" i="5"/>
  <c r="BP18" i="5"/>
  <c r="BX6" i="5"/>
  <c r="BD18" i="2"/>
  <c r="BD5" i="2"/>
  <c r="BD13" i="2"/>
  <c r="BD45" i="2"/>
  <c r="BP31" i="2"/>
  <c r="BP27" i="2"/>
  <c r="CB49" i="5"/>
  <c r="BH10" i="2"/>
  <c r="BH42" i="2"/>
  <c r="BH37" i="2"/>
  <c r="BT41" i="5"/>
  <c r="BT45" i="5"/>
  <c r="BP44" i="5"/>
  <c r="BP47" i="5"/>
  <c r="BP29" i="5"/>
  <c r="BL49" i="5"/>
  <c r="BL38" i="5"/>
  <c r="BL22" i="5"/>
  <c r="BL6" i="5"/>
  <c r="BX35" i="5"/>
  <c r="BX14" i="5"/>
  <c r="BX10" i="5"/>
  <c r="BD6" i="2"/>
  <c r="BD38" i="2"/>
  <c r="BD12" i="2"/>
  <c r="BD44" i="2"/>
  <c r="BD33" i="2"/>
  <c r="BP19" i="2"/>
  <c r="BL6" i="2"/>
  <c r="BL38" i="2"/>
  <c r="BP24" i="2"/>
  <c r="BL11" i="2"/>
  <c r="BL43" i="2"/>
  <c r="BL20" i="2"/>
  <c r="BP6" i="2"/>
  <c r="BP38" i="2"/>
  <c r="BL34" i="5"/>
  <c r="BD14" i="2"/>
  <c r="BD20" i="2"/>
  <c r="BL14" i="2"/>
  <c r="BL35" i="2"/>
  <c r="BL12" i="2"/>
  <c r="BL17" i="2"/>
  <c r="BH14" i="2"/>
  <c r="BH46" i="2"/>
  <c r="BH31" i="2"/>
  <c r="BH20" i="2"/>
  <c r="BH9" i="2"/>
  <c r="BT18" i="5"/>
  <c r="BT49" i="5"/>
  <c r="BT22" i="5"/>
  <c r="BT11" i="5"/>
  <c r="BP33" i="5"/>
  <c r="BP6" i="5"/>
  <c r="BP30" i="5"/>
  <c r="BX40" i="5"/>
  <c r="BD10" i="2"/>
  <c r="BD27" i="2"/>
  <c r="BD16" i="2"/>
  <c r="BD48" i="2"/>
  <c r="BD37" i="2"/>
  <c r="BP23" i="2"/>
  <c r="BL10" i="2"/>
  <c r="BL42" i="2"/>
  <c r="BP28" i="2"/>
  <c r="BL15" i="2"/>
  <c r="BL47" i="2"/>
  <c r="BP37" i="2"/>
  <c r="BL24" i="2"/>
  <c r="BP10" i="2"/>
  <c r="BP42" i="2"/>
  <c r="BL29" i="2"/>
  <c r="BL45" i="5"/>
  <c r="BD31" i="2"/>
  <c r="BP9" i="2"/>
  <c r="BL49" i="2"/>
  <c r="CB45" i="5"/>
  <c r="BH35" i="2"/>
  <c r="BT10" i="5"/>
  <c r="BP32" i="5"/>
  <c r="BP40" i="5"/>
  <c r="BP14" i="5"/>
  <c r="BL26" i="5"/>
  <c r="BX9" i="5"/>
  <c r="BP43" i="2"/>
  <c r="BL19" i="2"/>
  <c r="CB38" i="5"/>
  <c r="BH44" i="2"/>
  <c r="BT34" i="5"/>
  <c r="BT33" i="5"/>
  <c r="BP11" i="5"/>
  <c r="BP9" i="5"/>
  <c r="BP37" i="5"/>
  <c r="BL40" i="5"/>
  <c r="BX27" i="5"/>
  <c r="BX44" i="5"/>
  <c r="BD34" i="2"/>
  <c r="BP15" i="2"/>
  <c r="BP47" i="2"/>
  <c r="BL21" i="2"/>
  <c r="BL44" i="5"/>
  <c r="BL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Anya Hopple</author>
  </authors>
  <commentList>
    <comment ref="R4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Anya Hopple:</t>
        </r>
        <r>
          <rPr>
            <sz val="9"/>
            <color indexed="81"/>
            <rFont val="Tahoma"/>
            <family val="2"/>
          </rPr>
          <t xml:space="preserve">
With all four points</t>
        </r>
      </text>
    </comment>
    <comment ref="U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Anya Hopple:</t>
        </r>
        <r>
          <rPr>
            <sz val="9"/>
            <color indexed="81"/>
            <rFont val="Tahoma"/>
            <family val="2"/>
          </rPr>
          <t xml:space="preserve">
without the first time point</t>
        </r>
      </text>
    </comment>
    <comment ref="X4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Anya Hopple:</t>
        </r>
        <r>
          <rPr>
            <sz val="9"/>
            <color indexed="81"/>
            <rFont val="Tahoma"/>
            <family val="2"/>
          </rPr>
          <t xml:space="preserve">
basd on initial target concentration (5 ppm)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Anya Hopple</author>
  </authors>
  <commentList>
    <comment ref="AE3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Anya Hopple:</t>
        </r>
        <r>
          <rPr>
            <sz val="9"/>
            <color indexed="81"/>
            <rFont val="Tahoma"/>
            <family val="2"/>
          </rPr>
          <t xml:space="preserve">
With all four points</t>
        </r>
      </text>
    </comment>
    <comment ref="AH3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Anya Hopple:</t>
        </r>
        <r>
          <rPr>
            <sz val="9"/>
            <color indexed="81"/>
            <rFont val="Tahoma"/>
            <family val="2"/>
          </rPr>
          <t xml:space="preserve">
Based on slope inflection point</t>
        </r>
      </text>
    </comment>
  </commentList>
</comments>
</file>

<file path=xl/sharedStrings.xml><?xml version="1.0" encoding="utf-8"?>
<sst xmlns="http://schemas.openxmlformats.org/spreadsheetml/2006/main" count="999" uniqueCount="174">
  <si>
    <t>Site</t>
  </si>
  <si>
    <t>Above</t>
  </si>
  <si>
    <t>Mangrove</t>
  </si>
  <si>
    <t>Grassland</t>
  </si>
  <si>
    <t>Peatland</t>
  </si>
  <si>
    <t>Peat Forest</t>
  </si>
  <si>
    <t>Termite Grassland</t>
  </si>
  <si>
    <t>Termite Grassland - Distance</t>
  </si>
  <si>
    <t>Plantation</t>
  </si>
  <si>
    <t>Forest near Plantation</t>
  </si>
  <si>
    <t>Abandoned Plantation</t>
  </si>
  <si>
    <t>Thorny Wetland</t>
  </si>
  <si>
    <t>Laterite Mine</t>
  </si>
  <si>
    <t>Wetland Outside Plot</t>
  </si>
  <si>
    <t>Seasonally Wet Forest</t>
  </si>
  <si>
    <t>Wetland Inside Plot</t>
  </si>
  <si>
    <t>Forest Inside Plot</t>
  </si>
  <si>
    <t>Seasonally Wet Organic Site</t>
  </si>
  <si>
    <t>Oil Pipe Wetland</t>
  </si>
  <si>
    <t>Label</t>
  </si>
  <si>
    <t>1G</t>
  </si>
  <si>
    <t>2G</t>
  </si>
  <si>
    <t>3G</t>
  </si>
  <si>
    <t>4G</t>
  </si>
  <si>
    <t>5G</t>
  </si>
  <si>
    <t>6G</t>
  </si>
  <si>
    <t>7G</t>
  </si>
  <si>
    <t>8G</t>
  </si>
  <si>
    <t>9G</t>
  </si>
  <si>
    <t>10G</t>
  </si>
  <si>
    <t>1R</t>
  </si>
  <si>
    <t>2R</t>
  </si>
  <si>
    <t>3R</t>
  </si>
  <si>
    <t>4R</t>
  </si>
  <si>
    <t>5R</t>
  </si>
  <si>
    <t>6R</t>
  </si>
  <si>
    <t>7R</t>
  </si>
  <si>
    <t>Prep</t>
  </si>
  <si>
    <t>Core volume</t>
  </si>
  <si>
    <t>V1</t>
  </si>
  <si>
    <t>C1</t>
  </si>
  <si>
    <t>V2</t>
  </si>
  <si>
    <t>C2</t>
  </si>
  <si>
    <t>mL</t>
  </si>
  <si>
    <t>uL</t>
  </si>
  <si>
    <t>Mason jar volume</t>
  </si>
  <si>
    <t>cm3</t>
  </si>
  <si>
    <t>Headspace</t>
  </si>
  <si>
    <t>Stock CH4</t>
  </si>
  <si>
    <t>Low CH4 Addition</t>
  </si>
  <si>
    <t>Rep</t>
  </si>
  <si>
    <t>Time</t>
  </si>
  <si>
    <t>PSIG</t>
  </si>
  <si>
    <t>CH4 Peak Area</t>
  </si>
  <si>
    <t>CO2 Peak Area</t>
  </si>
  <si>
    <t>Time 1 (15-20 min)</t>
  </si>
  <si>
    <t>Time 4 (8 HR)</t>
  </si>
  <si>
    <t>[Low] CH4 Addition</t>
  </si>
  <si>
    <t>Time 2 (3 HR)</t>
  </si>
  <si>
    <t>Time 3 (6 HR)</t>
  </si>
  <si>
    <t>28389..871</t>
  </si>
  <si>
    <t>tank</t>
  </si>
  <si>
    <t>ppm</t>
  </si>
  <si>
    <t>peak area</t>
  </si>
  <si>
    <t>average peak area</t>
  </si>
  <si>
    <t>st dev</t>
  </si>
  <si>
    <t>slope</t>
  </si>
  <si>
    <t>intercept</t>
  </si>
  <si>
    <t>r2</t>
  </si>
  <si>
    <t>[High] CH4 Addition</t>
  </si>
  <si>
    <t>CH4 (ppm)</t>
  </si>
  <si>
    <t>Low Curve</t>
  </si>
  <si>
    <t>High Curve</t>
  </si>
  <si>
    <t>Middle Curve</t>
  </si>
  <si>
    <t xml:space="preserve">slope </t>
  </si>
  <si>
    <t>5000-60</t>
  </si>
  <si>
    <t>2000-50000</t>
  </si>
  <si>
    <t>4000-3</t>
  </si>
  <si>
    <t>7000-90000</t>
  </si>
  <si>
    <t>Core Wt. (g)</t>
  </si>
  <si>
    <t>Top to Core (in)</t>
  </si>
  <si>
    <t>Bottom to Core (in)</t>
  </si>
  <si>
    <t>4000-0.6</t>
  </si>
  <si>
    <t>8000-125000</t>
  </si>
  <si>
    <t>Time 1</t>
  </si>
  <si>
    <t>Time 0</t>
  </si>
  <si>
    <t>Time 2</t>
  </si>
  <si>
    <t xml:space="preserve">Time 3  </t>
  </si>
  <si>
    <t xml:space="preserve">Time 4  </t>
  </si>
  <si>
    <t>ATM</t>
  </si>
  <si>
    <t>CO2 (ppm)</t>
  </si>
  <si>
    <t>Subsample</t>
  </si>
  <si>
    <t>Soil (g)</t>
  </si>
  <si>
    <t>Dry wt. Soil (g)</t>
  </si>
  <si>
    <t>pH</t>
  </si>
  <si>
    <t>Tin Wt. (g)</t>
  </si>
  <si>
    <t>Dry Wt + Tin (g)</t>
  </si>
  <si>
    <t>Dry Soil (g)</t>
  </si>
  <si>
    <t>Moisture Content (%(</t>
  </si>
  <si>
    <t>[H+]</t>
  </si>
  <si>
    <t>Headspace (mL)</t>
  </si>
  <si>
    <t>Inc Temp ©</t>
  </si>
  <si>
    <t>Inc Temp (K)</t>
  </si>
  <si>
    <t>Soil Water (mL)</t>
  </si>
  <si>
    <t>Core Volume (cm3)</t>
  </si>
  <si>
    <t>R</t>
  </si>
  <si>
    <t>CH4a</t>
  </si>
  <si>
    <t>b</t>
  </si>
  <si>
    <t>c</t>
  </si>
  <si>
    <t>KHCO2a</t>
  </si>
  <si>
    <t>K1CO2a</t>
  </si>
  <si>
    <t>K2CO2a</t>
  </si>
  <si>
    <t>Time 3</t>
  </si>
  <si>
    <t>Headspace CH4 (umol)</t>
  </si>
  <si>
    <r>
      <t>K</t>
    </r>
    <r>
      <rPr>
        <vertAlign val="subscript"/>
        <sz val="10"/>
        <rFont val="Arial"/>
        <family val="2"/>
      </rPr>
      <t>H,CH4</t>
    </r>
  </si>
  <si>
    <t>Solution CH4 (umol)</t>
  </si>
  <si>
    <t>Total CH4 (umol)</t>
  </si>
  <si>
    <t>Time 4</t>
  </si>
  <si>
    <t>T0</t>
  </si>
  <si>
    <t>T1</t>
  </si>
  <si>
    <t>T2</t>
  </si>
  <si>
    <t>T3</t>
  </si>
  <si>
    <t>T1 (day)</t>
  </si>
  <si>
    <t>T2 (day)</t>
  </si>
  <si>
    <t>T3 (day)</t>
  </si>
  <si>
    <t>Bulk Density (g/cm3)</t>
  </si>
  <si>
    <t>*all rates negative</t>
  </si>
  <si>
    <t>dominant in low methane concentrations - uplands</t>
  </si>
  <si>
    <t>Description</t>
  </si>
  <si>
    <t>Forest Peatland</t>
  </si>
  <si>
    <t>Forest near plantation</t>
  </si>
  <si>
    <t>Abandoned plantation</t>
  </si>
  <si>
    <t>Laterite mine</t>
  </si>
  <si>
    <t>Time 2 (4 hr)</t>
  </si>
  <si>
    <t>Time 3 (7 hr)</t>
  </si>
  <si>
    <t>Time 4 (24 hr)</t>
  </si>
  <si>
    <t>Type 2</t>
  </si>
  <si>
    <t>Time 5 (48 hr)</t>
  </si>
  <si>
    <t>T4 (day)</t>
  </si>
  <si>
    <t>T5 (day)</t>
  </si>
  <si>
    <t>Time 5</t>
  </si>
  <si>
    <t>T4</t>
  </si>
  <si>
    <t>k</t>
  </si>
  <si>
    <t>Thorny mineral wetland</t>
  </si>
  <si>
    <t>LOW</t>
  </si>
  <si>
    <t>average k</t>
  </si>
  <si>
    <t>k SD</t>
  </si>
  <si>
    <t>k SE</t>
  </si>
  <si>
    <t>Final k</t>
  </si>
  <si>
    <t>48 HR k</t>
  </si>
  <si>
    <t>8 HR k</t>
  </si>
  <si>
    <t>24 HR k</t>
  </si>
  <si>
    <t xml:space="preserve"> Final k</t>
  </si>
  <si>
    <t>Rep 3</t>
  </si>
  <si>
    <t>Rep 1</t>
  </si>
  <si>
    <t>Rep 2</t>
  </si>
  <si>
    <t>Throw Out</t>
  </si>
  <si>
    <t xml:space="preserve">LN(CH4t/CH4t0) </t>
  </si>
  <si>
    <t>Vmax</t>
  </si>
  <si>
    <t>High CH4 Addition</t>
  </si>
  <si>
    <t>Fianl k</t>
  </si>
  <si>
    <t>HIGH</t>
  </si>
  <si>
    <t>Site Type</t>
  </si>
  <si>
    <t>Ave. Low</t>
  </si>
  <si>
    <t>Low SE</t>
  </si>
  <si>
    <t>Ave. High</t>
  </si>
  <si>
    <t>High SE</t>
  </si>
  <si>
    <t>MSW</t>
  </si>
  <si>
    <t>MSW Seasonal</t>
  </si>
  <si>
    <t>Upland Forest</t>
  </si>
  <si>
    <t>Low SD</t>
  </si>
  <si>
    <t>High SD</t>
  </si>
  <si>
    <t>Vmax (umol/g soil/d)</t>
  </si>
  <si>
    <t>Vmax (umol/cm3/d)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</si>
</sst>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vertAlign val="subscript"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4" borderId="0" applyNumberFormat="0" applyBorder="0" applyAlignment="0" applyProtection="0"/>
    <xf numFmtId="0" fontId="3" fillId="0" borderId="0"/>
  </cellStyleXfs>
  <cellXfs count="27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9" xfId="0" applyBorder="1"/>
    <xf numFmtId="0" fontId="0" fillId="0" borderId="10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2" xfId="0" applyBorder="1"/>
    <xf numFmtId="0" fontId="0" fillId="0" borderId="9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8" xfId="0" applyBorder="1"/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0" fillId="0" borderId="16" xfId="0" applyBorder="1"/>
    <xf numFmtId="0" fontId="0" fillId="0" borderId="17" xfId="0" applyBorder="1"/>
    <xf numFmtId="0" fontId="1" fillId="0" borderId="20" xfId="0" applyFont="1" applyBorder="1" applyAlignment="1">
      <alignment horizontal="center" vertical="center" wrapText="1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0" fontId="1" fillId="0" borderId="12" xfId="0" applyFont="1" applyBorder="1" applyAlignment="1">
      <alignment horizontal="center" vertical="center"/>
    </xf>
    <xf numFmtId="14" fontId="0" fillId="0" borderId="9" xfId="0" applyNumberFormat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2" borderId="30" xfId="0" applyFill="1" applyBorder="1"/>
    <xf numFmtId="0" fontId="0" fillId="2" borderId="28" xfId="0" applyFill="1" applyBorder="1"/>
    <xf numFmtId="0" fontId="0" fillId="2" borderId="31" xfId="0" applyFill="1" applyBorder="1"/>
    <xf numFmtId="0" fontId="0" fillId="0" borderId="31" xfId="0" applyBorder="1"/>
    <xf numFmtId="0" fontId="0" fillId="0" borderId="3" xfId="0" applyBorder="1"/>
    <xf numFmtId="0" fontId="0" fillId="0" borderId="4" xfId="0" applyBorder="1"/>
    <xf numFmtId="0" fontId="0" fillId="0" borderId="30" xfId="0" applyBorder="1"/>
    <xf numFmtId="0" fontId="0" fillId="0" borderId="7" xfId="0" applyBorder="1"/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0" fillId="3" borderId="3" xfId="0" applyFill="1" applyBorder="1"/>
    <xf numFmtId="0" fontId="0" fillId="3" borderId="4" xfId="0" applyFill="1" applyBorder="1"/>
    <xf numFmtId="0" fontId="0" fillId="3" borderId="3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28" xfId="0" applyFill="1" applyBorder="1"/>
    <xf numFmtId="0" fontId="0" fillId="3" borderId="8" xfId="0" applyFill="1" applyBorder="1"/>
    <xf numFmtId="0" fontId="0" fillId="3" borderId="31" xfId="0" applyFill="1" applyBorder="1"/>
    <xf numFmtId="0" fontId="0" fillId="0" borderId="1" xfId="0" applyFill="1" applyBorder="1"/>
    <xf numFmtId="14" fontId="1" fillId="0" borderId="11" xfId="0" applyNumberFormat="1" applyFont="1" applyBorder="1"/>
    <xf numFmtId="0" fontId="1" fillId="0" borderId="37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/>
    </xf>
    <xf numFmtId="0" fontId="0" fillId="0" borderId="15" xfId="0" applyBorder="1"/>
    <xf numFmtId="0" fontId="0" fillId="0" borderId="2" xfId="0" applyFill="1" applyBorder="1"/>
    <xf numFmtId="0" fontId="0" fillId="0" borderId="0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29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29" xfId="0" applyFill="1" applyBorder="1"/>
    <xf numFmtId="0" fontId="1" fillId="0" borderId="0" xfId="0" applyFont="1" applyFill="1" applyBorder="1" applyAlignment="1">
      <alignment horizontal="center" vertical="center"/>
    </xf>
    <xf numFmtId="20" fontId="0" fillId="0" borderId="0" xfId="0" applyNumberFormat="1" applyFill="1" applyBorder="1"/>
    <xf numFmtId="17" fontId="0" fillId="0" borderId="0" xfId="0" applyNumberFormat="1"/>
    <xf numFmtId="0" fontId="1" fillId="0" borderId="40" xfId="0" applyFont="1" applyBorder="1" applyAlignment="1">
      <alignment horizontal="center" vertical="center"/>
    </xf>
    <xf numFmtId="22" fontId="0" fillId="0" borderId="41" xfId="0" applyNumberFormat="1" applyBorder="1"/>
    <xf numFmtId="22" fontId="0" fillId="0" borderId="42" xfId="0" applyNumberFormat="1" applyBorder="1"/>
    <xf numFmtId="22" fontId="0" fillId="0" borderId="43" xfId="0" applyNumberFormat="1" applyBorder="1"/>
    <xf numFmtId="22" fontId="0" fillId="0" borderId="45" xfId="0" applyNumberFormat="1" applyBorder="1"/>
    <xf numFmtId="0" fontId="1" fillId="0" borderId="46" xfId="0" applyFont="1" applyBorder="1" applyAlignment="1">
      <alignment horizontal="center" vertical="center"/>
    </xf>
    <xf numFmtId="22" fontId="0" fillId="0" borderId="47" xfId="0" applyNumberFormat="1" applyBorder="1"/>
    <xf numFmtId="22" fontId="0" fillId="0" borderId="48" xfId="0" applyNumberFormat="1" applyBorder="1"/>
    <xf numFmtId="22" fontId="0" fillId="0" borderId="49" xfId="0" applyNumberFormat="1" applyBorder="1"/>
    <xf numFmtId="22" fontId="0" fillId="0" borderId="50" xfId="0" applyNumberFormat="1" applyBorder="1"/>
    <xf numFmtId="0" fontId="1" fillId="0" borderId="51" xfId="0" applyFont="1" applyBorder="1" applyAlignment="1">
      <alignment horizontal="center" vertical="center"/>
    </xf>
    <xf numFmtId="22" fontId="0" fillId="0" borderId="5" xfId="0" applyNumberFormat="1" applyBorder="1"/>
    <xf numFmtId="22" fontId="0" fillId="0" borderId="7" xfId="0" applyNumberFormat="1" applyBorder="1"/>
    <xf numFmtId="0" fontId="0" fillId="3" borderId="9" xfId="0" applyFill="1" applyBorder="1"/>
    <xf numFmtId="0" fontId="0" fillId="0" borderId="6" xfId="0" applyFill="1" applyBorder="1"/>
    <xf numFmtId="0" fontId="0" fillId="3" borderId="10" xfId="0" applyFill="1" applyBorder="1"/>
    <xf numFmtId="0" fontId="0" fillId="0" borderId="0" xfId="0" applyBorder="1"/>
    <xf numFmtId="0" fontId="0" fillId="3" borderId="27" xfId="0" applyFill="1" applyBorder="1"/>
    <xf numFmtId="0" fontId="1" fillId="0" borderId="46" xfId="0" applyFont="1" applyBorder="1" applyAlignment="1">
      <alignment horizontal="center" wrapText="1"/>
    </xf>
    <xf numFmtId="0" fontId="1" fillId="0" borderId="0" xfId="0" applyFont="1" applyFill="1" applyBorder="1" applyAlignment="1"/>
    <xf numFmtId="0" fontId="1" fillId="0" borderId="14" xfId="0" applyFont="1" applyFill="1" applyBorder="1" applyAlignment="1">
      <alignment horizontal="center" vertical="center" wrapText="1"/>
    </xf>
    <xf numFmtId="0" fontId="0" fillId="3" borderId="7" xfId="0" applyFill="1" applyBorder="1"/>
    <xf numFmtId="22" fontId="0" fillId="3" borderId="44" xfId="0" applyNumberFormat="1" applyFill="1" applyBorder="1"/>
    <xf numFmtId="22" fontId="0" fillId="3" borderId="42" xfId="0" applyNumberFormat="1" applyFill="1" applyBorder="1"/>
    <xf numFmtId="22" fontId="0" fillId="3" borderId="45" xfId="0" applyNumberFormat="1" applyFill="1" applyBorder="1"/>
    <xf numFmtId="0" fontId="1" fillId="0" borderId="14" xfId="0" applyFont="1" applyBorder="1" applyAlignment="1">
      <alignment horizontal="center" vertical="center"/>
    </xf>
    <xf numFmtId="22" fontId="0" fillId="0" borderId="27" xfId="0" applyNumberFormat="1" applyBorder="1"/>
    <xf numFmtId="22" fontId="0" fillId="0" borderId="28" xfId="0" applyNumberFormat="1" applyBorder="1"/>
    <xf numFmtId="22" fontId="0" fillId="0" borderId="29" xfId="0" applyNumberFormat="1" applyBorder="1"/>
    <xf numFmtId="22" fontId="0" fillId="3" borderId="30" xfId="0" applyNumberFormat="1" applyFill="1" applyBorder="1"/>
    <xf numFmtId="22" fontId="0" fillId="3" borderId="28" xfId="0" applyNumberFormat="1" applyFill="1" applyBorder="1"/>
    <xf numFmtId="22" fontId="0" fillId="3" borderId="31" xfId="0" applyNumberFormat="1" applyFill="1" applyBorder="1"/>
    <xf numFmtId="22" fontId="0" fillId="0" borderId="31" xfId="0" applyNumberFormat="1" applyBorder="1"/>
    <xf numFmtId="22" fontId="0" fillId="0" borderId="9" xfId="0" applyNumberFormat="1" applyBorder="1"/>
    <xf numFmtId="22" fontId="0" fillId="0" borderId="1" xfId="0" applyNumberFormat="1" applyBorder="1"/>
    <xf numFmtId="22" fontId="0" fillId="3" borderId="3" xfId="0" applyNumberFormat="1" applyFill="1" applyBorder="1"/>
    <xf numFmtId="22" fontId="0" fillId="3" borderId="5" xfId="0" applyNumberFormat="1" applyFill="1" applyBorder="1"/>
    <xf numFmtId="22" fontId="0" fillId="3" borderId="7" xfId="0" applyNumberFormat="1" applyFill="1" applyBorder="1"/>
    <xf numFmtId="14" fontId="0" fillId="3" borderId="3" xfId="0" applyNumberFormat="1" applyFill="1" applyBorder="1"/>
    <xf numFmtId="0" fontId="0" fillId="3" borderId="24" xfId="0" applyFill="1" applyBorder="1"/>
    <xf numFmtId="0" fontId="0" fillId="3" borderId="22" xfId="0" applyFill="1" applyBorder="1"/>
    <xf numFmtId="0" fontId="0" fillId="3" borderId="25" xfId="0" applyFill="1" applyBorder="1"/>
    <xf numFmtId="2" fontId="0" fillId="0" borderId="27" xfId="0" applyNumberFormat="1" applyFill="1" applyBorder="1"/>
    <xf numFmtId="2" fontId="0" fillId="0" borderId="28" xfId="0" applyNumberFormat="1" applyFill="1" applyBorder="1"/>
    <xf numFmtId="2" fontId="0" fillId="0" borderId="29" xfId="0" applyNumberFormat="1" applyFill="1" applyBorder="1"/>
    <xf numFmtId="2" fontId="0" fillId="3" borderId="30" xfId="0" applyNumberFormat="1" applyFill="1" applyBorder="1"/>
    <xf numFmtId="2" fontId="0" fillId="3" borderId="28" xfId="0" applyNumberFormat="1" applyFill="1" applyBorder="1"/>
    <xf numFmtId="2" fontId="0" fillId="3" borderId="31" xfId="0" applyNumberFormat="1" applyFill="1" applyBorder="1"/>
    <xf numFmtId="2" fontId="0" fillId="0" borderId="31" xfId="0" applyNumberFormat="1" applyFill="1" applyBorder="1"/>
    <xf numFmtId="0" fontId="1" fillId="0" borderId="36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38" xfId="0" applyFont="1" applyFill="1" applyBorder="1" applyAlignment="1">
      <alignment horizontal="center" vertical="center" wrapText="1"/>
    </xf>
    <xf numFmtId="0" fontId="0" fillId="0" borderId="8" xfId="0" applyFill="1" applyBorder="1"/>
    <xf numFmtId="0" fontId="0" fillId="0" borderId="42" xfId="0" applyBorder="1"/>
    <xf numFmtId="0" fontId="0" fillId="0" borderId="45" xfId="0" applyBorder="1"/>
    <xf numFmtId="0" fontId="0" fillId="3" borderId="42" xfId="0" applyFill="1" applyBorder="1"/>
    <xf numFmtId="0" fontId="0" fillId="0" borderId="43" xfId="0" applyBorder="1"/>
    <xf numFmtId="0" fontId="0" fillId="0" borderId="10" xfId="0" applyFill="1" applyBorder="1"/>
    <xf numFmtId="0" fontId="0" fillId="0" borderId="41" xfId="0" applyBorder="1"/>
    <xf numFmtId="0" fontId="0" fillId="3" borderId="44" xfId="0" applyFill="1" applyBorder="1"/>
    <xf numFmtId="0" fontId="0" fillId="3" borderId="45" xfId="0" applyFill="1" applyBorder="1"/>
    <xf numFmtId="164" fontId="0" fillId="3" borderId="4" xfId="0" applyNumberFormat="1" applyFill="1" applyBorder="1"/>
    <xf numFmtId="0" fontId="1" fillId="0" borderId="13" xfId="0" applyFont="1" applyFill="1" applyBorder="1" applyAlignment="1">
      <alignment horizontal="center" vertical="center" wrapText="1"/>
    </xf>
    <xf numFmtId="0" fontId="1" fillId="0" borderId="40" xfId="0" applyFont="1" applyFill="1" applyBorder="1" applyAlignment="1">
      <alignment horizontal="center" vertical="center" wrapText="1"/>
    </xf>
    <xf numFmtId="0" fontId="3" fillId="0" borderId="0" xfId="2" applyFont="1"/>
    <xf numFmtId="0" fontId="3" fillId="0" borderId="0" xfId="2"/>
    <xf numFmtId="0" fontId="0" fillId="5" borderId="2" xfId="0" applyFill="1" applyBorder="1" applyProtection="1">
      <protection locked="0"/>
    </xf>
    <xf numFmtId="0" fontId="0" fillId="5" borderId="0" xfId="0" applyFill="1" applyBorder="1" applyProtection="1">
      <protection locked="0"/>
    </xf>
    <xf numFmtId="0" fontId="3" fillId="0" borderId="0" xfId="2" applyFont="1" applyAlignment="1">
      <alignment horizontal="center"/>
    </xf>
    <xf numFmtId="0" fontId="2" fillId="4" borderId="2" xfId="1" applyBorder="1" applyProtection="1">
      <protection locked="0"/>
    </xf>
    <xf numFmtId="0" fontId="0" fillId="0" borderId="0" xfId="0" applyFill="1" applyBorder="1" applyProtection="1">
      <protection locked="0"/>
    </xf>
    <xf numFmtId="0" fontId="3" fillId="0" borderId="0" xfId="2" applyFont="1" applyFill="1" applyAlignment="1">
      <alignment horizontal="center"/>
    </xf>
    <xf numFmtId="0" fontId="0" fillId="0" borderId="39" xfId="0" applyFill="1" applyBorder="1" applyProtection="1">
      <protection locked="0"/>
    </xf>
    <xf numFmtId="0" fontId="2" fillId="0" borderId="0" xfId="1" applyFill="1" applyBorder="1" applyProtection="1">
      <protection locked="0"/>
    </xf>
    <xf numFmtId="0" fontId="0" fillId="0" borderId="0" xfId="0" applyFill="1"/>
    <xf numFmtId="0" fontId="1" fillId="0" borderId="1" xfId="0" applyFont="1" applyFill="1" applyBorder="1" applyAlignment="1">
      <alignment horizontal="center" vertical="center" wrapText="1"/>
    </xf>
    <xf numFmtId="0" fontId="3" fillId="0" borderId="2" xfId="2" applyFont="1" applyBorder="1" applyAlignment="1">
      <alignment horizont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29" xfId="0" applyFont="1" applyFill="1" applyBorder="1" applyAlignment="1">
      <alignment horizontal="center" vertical="center" wrapText="1"/>
    </xf>
    <xf numFmtId="0" fontId="1" fillId="0" borderId="43" xfId="0" applyFont="1" applyFill="1" applyBorder="1" applyAlignment="1">
      <alignment horizontal="center" vertical="center" wrapText="1"/>
    </xf>
    <xf numFmtId="0" fontId="0" fillId="0" borderId="30" xfId="0" applyFill="1" applyBorder="1"/>
    <xf numFmtId="0" fontId="0" fillId="0" borderId="28" xfId="0" applyFill="1" applyBorder="1"/>
    <xf numFmtId="0" fontId="0" fillId="0" borderId="31" xfId="0" applyFill="1" applyBorder="1"/>
    <xf numFmtId="0" fontId="0" fillId="0" borderId="27" xfId="0" applyFill="1" applyBorder="1"/>
    <xf numFmtId="0" fontId="0" fillId="0" borderId="44" xfId="0" applyFill="1" applyBorder="1"/>
    <xf numFmtId="0" fontId="0" fillId="0" borderId="42" xfId="0" applyFill="1" applyBorder="1"/>
    <xf numFmtId="0" fontId="0" fillId="0" borderId="43" xfId="0" applyFill="1" applyBorder="1"/>
    <xf numFmtId="0" fontId="0" fillId="0" borderId="41" xfId="0" applyFill="1" applyBorder="1"/>
    <xf numFmtId="0" fontId="0" fillId="0" borderId="45" xfId="0" applyFill="1" applyBorder="1"/>
    <xf numFmtId="0" fontId="1" fillId="0" borderId="23" xfId="0" applyFont="1" applyFill="1" applyBorder="1" applyAlignment="1">
      <alignment horizontal="center" vertical="center" wrapText="1"/>
    </xf>
    <xf numFmtId="0" fontId="0" fillId="0" borderId="24" xfId="0" applyFill="1" applyBorder="1"/>
    <xf numFmtId="0" fontId="0" fillId="0" borderId="22" xfId="0" applyFill="1" applyBorder="1"/>
    <xf numFmtId="0" fontId="0" fillId="0" borderId="23" xfId="0" applyFill="1" applyBorder="1"/>
    <xf numFmtId="0" fontId="0" fillId="0" borderId="21" xfId="0" applyFill="1" applyBorder="1"/>
    <xf numFmtId="0" fontId="0" fillId="0" borderId="25" xfId="0" applyFill="1" applyBorder="1"/>
    <xf numFmtId="0" fontId="1" fillId="0" borderId="0" xfId="0" applyFont="1" applyAlignment="1">
      <alignment horizontal="center" vertical="center"/>
    </xf>
    <xf numFmtId="0" fontId="1" fillId="0" borderId="38" xfId="0" applyFont="1" applyBorder="1" applyAlignment="1">
      <alignment horizontal="center" vertical="center" wrapText="1"/>
    </xf>
    <xf numFmtId="0" fontId="0" fillId="0" borderId="24" xfId="0" applyBorder="1"/>
    <xf numFmtId="0" fontId="0" fillId="0" borderId="53" xfId="0" applyBorder="1"/>
    <xf numFmtId="0" fontId="0" fillId="0" borderId="55" xfId="0" applyBorder="1"/>
    <xf numFmtId="0" fontId="0" fillId="3" borderId="52" xfId="0" applyFill="1" applyBorder="1"/>
    <xf numFmtId="0" fontId="0" fillId="3" borderId="53" xfId="0" applyFill="1" applyBorder="1"/>
    <xf numFmtId="0" fontId="0" fillId="3" borderId="54" xfId="0" applyFill="1" applyBorder="1"/>
    <xf numFmtId="0" fontId="0" fillId="0" borderId="34" xfId="0" applyBorder="1"/>
    <xf numFmtId="0" fontId="0" fillId="0" borderId="54" xfId="0" applyBorder="1"/>
    <xf numFmtId="0" fontId="0" fillId="3" borderId="57" xfId="0" applyFill="1" applyBorder="1"/>
    <xf numFmtId="0" fontId="0" fillId="3" borderId="58" xfId="0" applyFill="1" applyBorder="1"/>
    <xf numFmtId="0" fontId="0" fillId="3" borderId="59" xfId="0" applyFill="1" applyBorder="1"/>
    <xf numFmtId="0" fontId="1" fillId="0" borderId="18" xfId="0" applyFont="1" applyBorder="1" applyAlignment="1">
      <alignment horizontal="center" vertical="center" wrapText="1"/>
    </xf>
    <xf numFmtId="22" fontId="0" fillId="0" borderId="60" xfId="0" applyNumberFormat="1" applyBorder="1"/>
    <xf numFmtId="2" fontId="0" fillId="0" borderId="10" xfId="0" applyNumberFormat="1" applyBorder="1"/>
    <xf numFmtId="2" fontId="0" fillId="0" borderId="6" xfId="0" applyNumberFormat="1" applyBorder="1"/>
    <xf numFmtId="2" fontId="0" fillId="0" borderId="2" xfId="0" applyNumberFormat="1" applyBorder="1"/>
    <xf numFmtId="2" fontId="0" fillId="0" borderId="8" xfId="0" applyNumberFormat="1" applyBorder="1"/>
    <xf numFmtId="0" fontId="1" fillId="0" borderId="16" xfId="0" applyFont="1" applyBorder="1" applyAlignment="1">
      <alignment horizontal="center" vertical="center" wrapText="1"/>
    </xf>
    <xf numFmtId="2" fontId="0" fillId="0" borderId="4" xfId="0" applyNumberFormat="1" applyBorder="1"/>
    <xf numFmtId="2" fontId="0" fillId="3" borderId="6" xfId="0" applyNumberFormat="1" applyFill="1" applyBorder="1"/>
    <xf numFmtId="2" fontId="0" fillId="3" borderId="4" xfId="0" applyNumberFormat="1" applyFill="1" applyBorder="1"/>
    <xf numFmtId="2" fontId="0" fillId="3" borderId="8" xfId="0" applyNumberFormat="1" applyFill="1" applyBorder="1"/>
    <xf numFmtId="22" fontId="0" fillId="0" borderId="44" xfId="0" applyNumberFormat="1" applyBorder="1"/>
    <xf numFmtId="22" fontId="0" fillId="3" borderId="60" xfId="0" applyNumberFormat="1" applyFill="1" applyBorder="1"/>
    <xf numFmtId="22" fontId="0" fillId="3" borderId="48" xfId="0" applyNumberFormat="1" applyFill="1" applyBorder="1"/>
    <xf numFmtId="22" fontId="0" fillId="3" borderId="50" xfId="0" applyNumberFormat="1" applyFill="1" applyBorder="1"/>
    <xf numFmtId="22" fontId="0" fillId="0" borderId="3" xfId="0" applyNumberFormat="1" applyBorder="1"/>
    <xf numFmtId="0" fontId="0" fillId="3" borderId="0" xfId="0" applyFill="1" applyBorder="1"/>
    <xf numFmtId="2" fontId="0" fillId="0" borderId="9" xfId="0" applyNumberFormat="1" applyBorder="1"/>
    <xf numFmtId="2" fontId="0" fillId="0" borderId="27" xfId="0" applyNumberFormat="1" applyBorder="1"/>
    <xf numFmtId="2" fontId="0" fillId="0" borderId="5" xfId="0" applyNumberFormat="1" applyBorder="1"/>
    <xf numFmtId="2" fontId="0" fillId="0" borderId="28" xfId="0" applyNumberFormat="1" applyBorder="1"/>
    <xf numFmtId="2" fontId="0" fillId="0" borderId="1" xfId="0" applyNumberFormat="1" applyBorder="1"/>
    <xf numFmtId="2" fontId="0" fillId="0" borderId="29" xfId="0" applyNumberFormat="1" applyBorder="1"/>
    <xf numFmtId="2" fontId="0" fillId="3" borderId="3" xfId="0" applyNumberFormat="1" applyFill="1" applyBorder="1"/>
    <xf numFmtId="2" fontId="0" fillId="3" borderId="5" xfId="0" applyNumberFormat="1" applyFill="1" applyBorder="1"/>
    <xf numFmtId="2" fontId="0" fillId="3" borderId="7" xfId="0" applyNumberFormat="1" applyFill="1" applyBorder="1"/>
    <xf numFmtId="2" fontId="0" fillId="0" borderId="7" xfId="0" applyNumberFormat="1" applyBorder="1"/>
    <xf numFmtId="2" fontId="0" fillId="0" borderId="31" xfId="0" applyNumberFormat="1" applyBorder="1"/>
    <xf numFmtId="0" fontId="1" fillId="0" borderId="0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2" fontId="0" fillId="0" borderId="0" xfId="0" applyNumberFormat="1" applyFill="1" applyBorder="1"/>
    <xf numFmtId="165" fontId="0" fillId="0" borderId="6" xfId="0" applyNumberFormat="1" applyBorder="1"/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 wrapText="1"/>
    </xf>
    <xf numFmtId="2" fontId="0" fillId="0" borderId="5" xfId="0" applyNumberFormat="1" applyFill="1" applyBorder="1"/>
    <xf numFmtId="2" fontId="0" fillId="0" borderId="7" xfId="0" applyNumberFormat="1" applyFill="1" applyBorder="1"/>
    <xf numFmtId="2" fontId="0" fillId="2" borderId="5" xfId="0" applyNumberFormat="1" applyFill="1" applyBorder="1"/>
    <xf numFmtId="2" fontId="0" fillId="0" borderId="1" xfId="0" applyNumberFormat="1" applyFill="1" applyBorder="1"/>
    <xf numFmtId="2" fontId="0" fillId="0" borderId="9" xfId="0" applyNumberFormat="1" applyFill="1" applyBorder="1"/>
    <xf numFmtId="2" fontId="0" fillId="2" borderId="3" xfId="0" applyNumberFormat="1" applyFill="1" applyBorder="1"/>
    <xf numFmtId="2" fontId="0" fillId="2" borderId="7" xfId="0" applyNumberFormat="1" applyFill="1" applyBorder="1"/>
    <xf numFmtId="164" fontId="0" fillId="2" borderId="4" xfId="0" applyNumberFormat="1" applyFill="1" applyBorder="1"/>
    <xf numFmtId="0" fontId="0" fillId="0" borderId="13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3" borderId="60" xfId="0" applyFill="1" applyBorder="1"/>
    <xf numFmtId="0" fontId="0" fillId="3" borderId="48" xfId="0" applyFill="1" applyBorder="1"/>
    <xf numFmtId="0" fontId="0" fillId="3" borderId="50" xfId="0" applyFill="1" applyBorder="1"/>
    <xf numFmtId="0" fontId="0" fillId="0" borderId="50" xfId="0" applyBorder="1"/>
    <xf numFmtId="0" fontId="1" fillId="0" borderId="20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0" fillId="0" borderId="35" xfId="0" applyBorder="1"/>
    <xf numFmtId="0" fontId="0" fillId="0" borderId="58" xfId="0" applyBorder="1"/>
    <xf numFmtId="0" fontId="0" fillId="0" borderId="61" xfId="0" applyBorder="1"/>
    <xf numFmtId="0" fontId="0" fillId="0" borderId="59" xfId="0" applyBorder="1"/>
    <xf numFmtId="0" fontId="0" fillId="2" borderId="0" xfId="0" applyFill="1" applyBorder="1"/>
    <xf numFmtId="0" fontId="0" fillId="6" borderId="0" xfId="0" applyFill="1" applyBorder="1"/>
    <xf numFmtId="0" fontId="0" fillId="7" borderId="0" xfId="0" applyFill="1" applyBorder="1"/>
    <xf numFmtId="0" fontId="1" fillId="0" borderId="44" xfId="0" applyFont="1" applyFill="1" applyBorder="1" applyAlignment="1">
      <alignment horizontal="center" vertical="center" wrapText="1"/>
    </xf>
    <xf numFmtId="0" fontId="0" fillId="0" borderId="20" xfId="0" applyBorder="1"/>
    <xf numFmtId="0" fontId="1" fillId="0" borderId="18" xfId="0" applyFont="1" applyFill="1" applyBorder="1" applyAlignment="1">
      <alignment horizontal="center" vertical="center" wrapText="1"/>
    </xf>
    <xf numFmtId="0" fontId="0" fillId="0" borderId="33" xfId="0" applyBorder="1"/>
    <xf numFmtId="0" fontId="0" fillId="0" borderId="62" xfId="0" applyBorder="1"/>
    <xf numFmtId="0" fontId="0" fillId="0" borderId="63" xfId="0" applyBorder="1"/>
    <xf numFmtId="0" fontId="0" fillId="3" borderId="64" xfId="0" applyFill="1" applyBorder="1"/>
    <xf numFmtId="0" fontId="0" fillId="3" borderId="62" xfId="0" applyFill="1" applyBorder="1"/>
    <xf numFmtId="0" fontId="0" fillId="3" borderId="65" xfId="0" applyFill="1" applyBorder="1"/>
    <xf numFmtId="0" fontId="0" fillId="0" borderId="65" xfId="0" applyBorder="1"/>
    <xf numFmtId="0" fontId="0" fillId="0" borderId="52" xfId="0" applyBorder="1"/>
    <xf numFmtId="0" fontId="1" fillId="0" borderId="19" xfId="0" applyFont="1" applyFill="1" applyBorder="1" applyAlignment="1">
      <alignment horizontal="center" vertical="center" wrapText="1"/>
    </xf>
    <xf numFmtId="0" fontId="0" fillId="0" borderId="57" xfId="0" applyBorder="1"/>
    <xf numFmtId="0" fontId="0" fillId="0" borderId="15" xfId="0" applyBorder="1" applyAlignment="1"/>
    <xf numFmtId="0" fontId="0" fillId="0" borderId="0" xfId="0" applyFont="1" applyFill="1" applyBorder="1" applyAlignment="1">
      <alignment horizontal="left" vertical="center" wrapText="1"/>
    </xf>
    <xf numFmtId="0" fontId="1" fillId="0" borderId="0" xfId="0" applyFont="1"/>
    <xf numFmtId="0" fontId="1" fillId="0" borderId="26" xfId="0" applyFont="1" applyFill="1" applyBorder="1" applyAlignment="1">
      <alignment horizontal="center" vertical="center" wrapText="1"/>
    </xf>
    <xf numFmtId="0" fontId="0" fillId="3" borderId="23" xfId="0" applyFill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6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</cellXfs>
  <cellStyles count="3">
    <cellStyle name="Good" xfId="1" builtinId="26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CH4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090441819772528"/>
                  <c:y val="2.50858254639160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'Low STDs'!$C$6:$C$23</c:f>
              <c:numCache>
                <c:formatCode>General</c:formatCode>
                <c:ptCount val="18"/>
                <c:pt idx="0">
                  <c:v>1.7</c:v>
                </c:pt>
                <c:pt idx="1">
                  <c:v>0.52100000000000002</c:v>
                </c:pt>
                <c:pt idx="2">
                  <c:v>3.3660000000000001</c:v>
                </c:pt>
                <c:pt idx="3">
                  <c:v>6.9219999999999997</c:v>
                </c:pt>
                <c:pt idx="4">
                  <c:v>10.95</c:v>
                </c:pt>
                <c:pt idx="5">
                  <c:v>14.29</c:v>
                </c:pt>
                <c:pt idx="6">
                  <c:v>18.777999999999999</c:v>
                </c:pt>
                <c:pt idx="7">
                  <c:v>22.998999999999999</c:v>
                </c:pt>
                <c:pt idx="8">
                  <c:v>27.768000000000001</c:v>
                </c:pt>
                <c:pt idx="9">
                  <c:v>32.673999999999999</c:v>
                </c:pt>
                <c:pt idx="10">
                  <c:v>38.177999999999997</c:v>
                </c:pt>
                <c:pt idx="11">
                  <c:v>42.554000000000002</c:v>
                </c:pt>
                <c:pt idx="12">
                  <c:v>81.254000000000005</c:v>
                </c:pt>
                <c:pt idx="13">
                  <c:v>60.246000000000002</c:v>
                </c:pt>
                <c:pt idx="14">
                  <c:v>169.85499999999999</c:v>
                </c:pt>
                <c:pt idx="15">
                  <c:v>122.364</c:v>
                </c:pt>
                <c:pt idx="16">
                  <c:v>145.26400000000001</c:v>
                </c:pt>
              </c:numCache>
            </c:numRef>
          </c:xVal>
          <c:yVal>
            <c:numRef>
              <c:f>'Low STDs'!$B$6:$B$23</c:f>
              <c:numCache>
                <c:formatCode>General</c:formatCode>
                <c:ptCount val="18"/>
                <c:pt idx="0">
                  <c:v>0.51500000000000001</c:v>
                </c:pt>
                <c:pt idx="1">
                  <c:v>0.25750000000000001</c:v>
                </c:pt>
                <c:pt idx="2">
                  <c:v>1.03</c:v>
                </c:pt>
                <c:pt idx="3">
                  <c:v>2.06</c:v>
                </c:pt>
                <c:pt idx="4">
                  <c:v>3.0900000000000003</c:v>
                </c:pt>
                <c:pt idx="5">
                  <c:v>4.12</c:v>
                </c:pt>
                <c:pt idx="6">
                  <c:v>5.15</c:v>
                </c:pt>
                <c:pt idx="7">
                  <c:v>6.1800000000000006</c:v>
                </c:pt>
                <c:pt idx="8">
                  <c:v>7.21</c:v>
                </c:pt>
                <c:pt idx="9">
                  <c:v>8.24</c:v>
                </c:pt>
                <c:pt idx="10">
                  <c:v>9.2700000000000014</c:v>
                </c:pt>
                <c:pt idx="11">
                  <c:v>10.3</c:v>
                </c:pt>
                <c:pt idx="12">
                  <c:v>19.940000000000001</c:v>
                </c:pt>
                <c:pt idx="13">
                  <c:v>14.955</c:v>
                </c:pt>
                <c:pt idx="14">
                  <c:v>39.880000000000003</c:v>
                </c:pt>
                <c:pt idx="15">
                  <c:v>29.91</c:v>
                </c:pt>
                <c:pt idx="16">
                  <c:v>34.894999999999996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BA-4A04-A470-C97353869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846472"/>
        <c:axId val="38216652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High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'Low STDs'!$C$13:$C$19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22.998999999999999</c:v>
                      </c:pt>
                      <c:pt idx="1">
                        <c:v>27.768000000000001</c:v>
                      </c:pt>
                      <c:pt idx="2">
                        <c:v>32.673999999999999</c:v>
                      </c:pt>
                      <c:pt idx="3">
                        <c:v>38.177999999999997</c:v>
                      </c:pt>
                      <c:pt idx="4">
                        <c:v>42.554000000000002</c:v>
                      </c:pt>
                      <c:pt idx="5">
                        <c:v>81.254000000000005</c:v>
                      </c:pt>
                      <c:pt idx="6">
                        <c:v>60.246000000000002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'Low STDs'!$B$13:$B$19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6.1800000000000006</c:v>
                      </c:pt>
                      <c:pt idx="1">
                        <c:v>7.21</c:v>
                      </c:pt>
                      <c:pt idx="2">
                        <c:v>8.24</c:v>
                      </c:pt>
                      <c:pt idx="3">
                        <c:v>9.2700000000000014</c:v>
                      </c:pt>
                      <c:pt idx="4">
                        <c:v>10.3</c:v>
                      </c:pt>
                      <c:pt idx="5">
                        <c:v>19.940000000000001</c:v>
                      </c:pt>
                      <c:pt idx="6">
                        <c:v>14.955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94BA-4A04-A470-C97353869A22}"/>
                  </c:ext>
                </c:extLst>
              </c15:ser>
            </c15:filteredScatterSeries>
          </c:ext>
        </c:extLst>
      </c:scatterChart>
      <c:valAx>
        <c:axId val="340846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66520"/>
        <c:crosses val="autoZero"/>
        <c:crossBetween val="midCat"/>
      </c:valAx>
      <c:valAx>
        <c:axId val="38216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846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10G - Thorny</a:t>
            </a:r>
            <a:r>
              <a:rPr lang="en-US" baseline="0"/>
              <a:t> Mineral Wetland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856409366771965E-2"/>
          <c:y val="0.14942956926658907"/>
          <c:w val="0.86394323992920485"/>
          <c:h val="0.71926301412556259"/>
        </c:manualLayout>
      </c:layout>
      <c:scatterChart>
        <c:scatterStyle val="smooth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'Low Summary'!$C$26:$F$26</c:f>
              <c:numCache>
                <c:formatCode>0.00</c:formatCode>
                <c:ptCount val="4"/>
                <c:pt idx="0">
                  <c:v>5.7638888887595385E-2</c:v>
                </c:pt>
                <c:pt idx="1">
                  <c:v>0.16875000000436557</c:v>
                </c:pt>
                <c:pt idx="2">
                  <c:v>0.28055555555329192</c:v>
                </c:pt>
                <c:pt idx="3">
                  <c:v>0.40347222222044365</c:v>
                </c:pt>
              </c:numCache>
            </c:numRef>
          </c:xVal>
          <c:yVal>
            <c:numRef>
              <c:f>'Low Summary'!$H$26:$K$26</c:f>
              <c:numCache>
                <c:formatCode>General</c:formatCode>
                <c:ptCount val="4"/>
                <c:pt idx="0">
                  <c:v>0.11179478079027028</c:v>
                </c:pt>
                <c:pt idx="1">
                  <c:v>9.165044817649548E-2</c:v>
                </c:pt>
                <c:pt idx="2">
                  <c:v>8.4584606079648572E-2</c:v>
                </c:pt>
                <c:pt idx="3">
                  <c:v>7.5394540134455207E-2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3F-4909-9842-5A50BBE07CF4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'Low Summary'!$C$27:$F$27</c:f>
              <c:numCache>
                <c:formatCode>0.00</c:formatCode>
                <c:ptCount val="4"/>
                <c:pt idx="0">
                  <c:v>5.9722222220443655E-2</c:v>
                </c:pt>
                <c:pt idx="1">
                  <c:v>0.17083333333721384</c:v>
                </c:pt>
                <c:pt idx="2">
                  <c:v>0.28263888889341615</c:v>
                </c:pt>
                <c:pt idx="3">
                  <c:v>0.40555555555329192</c:v>
                </c:pt>
              </c:numCache>
            </c:numRef>
          </c:xVal>
          <c:yVal>
            <c:numRef>
              <c:f>'Low Summary'!$H$27:$K$27</c:f>
              <c:numCache>
                <c:formatCode>General</c:formatCode>
                <c:ptCount val="4"/>
                <c:pt idx="0">
                  <c:v>6.8501421062786325E-2</c:v>
                </c:pt>
                <c:pt idx="1">
                  <c:v>4.1305706766208664E-2</c:v>
                </c:pt>
                <c:pt idx="2">
                  <c:v>3.3120303225926892E-2</c:v>
                </c:pt>
                <c:pt idx="3">
                  <c:v>3.3489297066763971E-2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3F-4909-9842-5A50BBE07CF4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'Low Summary'!$C$28:$F$28</c:f>
              <c:numCache>
                <c:formatCode>0.00</c:formatCode>
                <c:ptCount val="4"/>
                <c:pt idx="0">
                  <c:v>6.1805555553291924E-2</c:v>
                </c:pt>
                <c:pt idx="1">
                  <c:v>0.17361111110949423</c:v>
                </c:pt>
                <c:pt idx="2">
                  <c:v>0.28541666666569654</c:v>
                </c:pt>
                <c:pt idx="3">
                  <c:v>0.40763888889341615</c:v>
                </c:pt>
              </c:numCache>
            </c:numRef>
          </c:xVal>
          <c:yVal>
            <c:numRef>
              <c:f>'Low Summary'!$H$28:$K$28</c:f>
              <c:numCache>
                <c:formatCode>General</c:formatCode>
                <c:ptCount val="4"/>
                <c:pt idx="0">
                  <c:v>6.2268879616104493E-2</c:v>
                </c:pt>
                <c:pt idx="1">
                  <c:v>3.8657499910087365E-2</c:v>
                </c:pt>
                <c:pt idx="2">
                  <c:v>2.6714295765721149E-2</c:v>
                </c:pt>
                <c:pt idx="3">
                  <c:v>2.5964427441137052E-2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3F-4909-9842-5A50BBE07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170048"/>
        <c:axId val="382171224"/>
      </c:scatterChart>
      <c:valAx>
        <c:axId val="38217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71224"/>
        <c:crosses val="autoZero"/>
        <c:crossBetween val="midCat"/>
      </c:valAx>
      <c:valAx>
        <c:axId val="38217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7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1R - Laterite mine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'Low Summary'!$C$29:$F$29</c:f>
              <c:numCache>
                <c:formatCode>0.00</c:formatCode>
                <c:ptCount val="4"/>
                <c:pt idx="0">
                  <c:v>6.5277777779556345E-2</c:v>
                </c:pt>
                <c:pt idx="1">
                  <c:v>0.17638888888905058</c:v>
                </c:pt>
                <c:pt idx="2">
                  <c:v>0.29097222222480923</c:v>
                </c:pt>
                <c:pt idx="3">
                  <c:v>0.40972222222626442</c:v>
                </c:pt>
              </c:numCache>
            </c:numRef>
          </c:xVal>
          <c:yVal>
            <c:numRef>
              <c:f>'Low Summary'!$H$29:$K$29</c:f>
              <c:numCache>
                <c:formatCode>General</c:formatCode>
                <c:ptCount val="4"/>
                <c:pt idx="0">
                  <c:v>3.532345677798783E-2</c:v>
                </c:pt>
                <c:pt idx="1">
                  <c:v>1.3476635122558218E-2</c:v>
                </c:pt>
                <c:pt idx="2">
                  <c:v>1.0906110130752482E-2</c:v>
                </c:pt>
                <c:pt idx="3">
                  <c:v>2.0600877647837749E-3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5-4481-953A-A1306EBEC499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'Low Summary'!$C$30:$F$30</c:f>
              <c:numCache>
                <c:formatCode>0.00</c:formatCode>
                <c:ptCount val="4"/>
                <c:pt idx="0">
                  <c:v>6.7361111112404615E-2</c:v>
                </c:pt>
                <c:pt idx="1">
                  <c:v>0.17708333333575865</c:v>
                </c:pt>
                <c:pt idx="2">
                  <c:v>0.29236111111094942</c:v>
                </c:pt>
                <c:pt idx="3">
                  <c:v>0.41111111111240461</c:v>
                </c:pt>
              </c:numCache>
            </c:numRef>
          </c:xVal>
          <c:yVal>
            <c:numRef>
              <c:f>'Low Summary'!$H$30:$K$30</c:f>
              <c:numCache>
                <c:formatCode>General</c:formatCode>
                <c:ptCount val="4"/>
                <c:pt idx="0">
                  <c:v>3.556839010884523E-2</c:v>
                </c:pt>
                <c:pt idx="1">
                  <c:v>1.597429356997606E-2</c:v>
                </c:pt>
                <c:pt idx="2">
                  <c:v>6.8752677522377617E-3</c:v>
                </c:pt>
                <c:pt idx="3">
                  <c:v>4.5669329541467123E-3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25-4481-953A-A1306EBEC499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'Low Summary'!$C$31:$F$31</c:f>
              <c:numCache>
                <c:formatCode>0.00</c:formatCode>
                <c:ptCount val="4"/>
                <c:pt idx="0">
                  <c:v>7.0138888884685002E-2</c:v>
                </c:pt>
                <c:pt idx="1">
                  <c:v>0.17986111110803904</c:v>
                </c:pt>
                <c:pt idx="2">
                  <c:v>0.29513888889050577</c:v>
                </c:pt>
                <c:pt idx="3">
                  <c:v>0.41319444444525288</c:v>
                </c:pt>
              </c:numCache>
            </c:numRef>
          </c:xVal>
          <c:yVal>
            <c:numRef>
              <c:f>'Low Summary'!$H$31:$K$31</c:f>
              <c:numCache>
                <c:formatCode>General</c:formatCode>
                <c:ptCount val="4"/>
                <c:pt idx="0">
                  <c:v>4.6148814876182824E-2</c:v>
                </c:pt>
                <c:pt idx="1">
                  <c:v>2.4246507526036156E-2</c:v>
                </c:pt>
                <c:pt idx="2">
                  <c:v>1.8286997482932141E-2</c:v>
                </c:pt>
                <c:pt idx="3">
                  <c:v>1.2976624424215023E-2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5-4481-953A-A1306EBEC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172400"/>
        <c:axId val="382172792"/>
      </c:scatterChart>
      <c:valAx>
        <c:axId val="38217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72792"/>
        <c:crosses val="autoZero"/>
        <c:crossBetween val="midCat"/>
      </c:valAx>
      <c:valAx>
        <c:axId val="38217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7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2R - Wetland outside</a:t>
            </a:r>
            <a:r>
              <a:rPr lang="en-US" baseline="0"/>
              <a:t>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'Low Summary'!$C$32:$F$32</c:f>
              <c:numCache>
                <c:formatCode>0.00</c:formatCode>
                <c:ptCount val="4"/>
                <c:pt idx="0">
                  <c:v>7.1527777778101154E-2</c:v>
                </c:pt>
                <c:pt idx="1">
                  <c:v>0.18194444444088731</c:v>
                </c:pt>
                <c:pt idx="2">
                  <c:v>0.29791666666278616</c:v>
                </c:pt>
                <c:pt idx="3">
                  <c:v>0.41527777777810115</c:v>
                </c:pt>
              </c:numCache>
            </c:numRef>
          </c:xVal>
          <c:yVal>
            <c:numRef>
              <c:f>'Low Summary'!$H$32:$K$32</c:f>
              <c:numCache>
                <c:formatCode>General</c:formatCode>
                <c:ptCount val="4"/>
                <c:pt idx="0">
                  <c:v>8.235439119622244E-2</c:v>
                </c:pt>
                <c:pt idx="1">
                  <c:v>5.36509286912768E-2</c:v>
                </c:pt>
                <c:pt idx="2">
                  <c:v>3.4237754536671924E-2</c:v>
                </c:pt>
                <c:pt idx="3">
                  <c:v>2.293169027629844E-2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18-4810-9562-69D103D957B2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'Low Summary'!$C$33:$F$33</c:f>
              <c:numCache>
                <c:formatCode>0.00</c:formatCode>
                <c:ptCount val="4"/>
                <c:pt idx="0">
                  <c:v>7.2916666664241347E-2</c:v>
                </c:pt>
                <c:pt idx="1">
                  <c:v>0.1833333333270275</c:v>
                </c:pt>
                <c:pt idx="2">
                  <c:v>0.29930555554892635</c:v>
                </c:pt>
                <c:pt idx="3">
                  <c:v>0.41666666666424135</c:v>
                </c:pt>
              </c:numCache>
            </c:numRef>
          </c:xVal>
          <c:yVal>
            <c:numRef>
              <c:f>'Low Summary'!$H$33:$K$33</c:f>
              <c:numCache>
                <c:formatCode>General</c:formatCode>
                <c:ptCount val="4"/>
                <c:pt idx="0">
                  <c:v>9.2707878869445953E-2</c:v>
                </c:pt>
                <c:pt idx="1">
                  <c:v>7.6749857175745825E-2</c:v>
                </c:pt>
                <c:pt idx="2">
                  <c:v>6.1267676709927006E-2</c:v>
                </c:pt>
                <c:pt idx="3">
                  <c:v>4.7292416164134501E-2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18-4810-9562-69D103D957B2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'Low Summary'!$C$34:$F$34</c:f>
              <c:numCache>
                <c:formatCode>0.00</c:formatCode>
                <c:ptCount val="4"/>
                <c:pt idx="0">
                  <c:v>7.5694444443797693E-2</c:v>
                </c:pt>
                <c:pt idx="1">
                  <c:v>0.18541666665987577</c:v>
                </c:pt>
                <c:pt idx="2">
                  <c:v>0.30138888888905058</c:v>
                </c:pt>
                <c:pt idx="3">
                  <c:v>0.41874999999708962</c:v>
                </c:pt>
              </c:numCache>
            </c:numRef>
          </c:xVal>
          <c:yVal>
            <c:numRef>
              <c:f>'Low Summary'!$H$34:$K$34</c:f>
              <c:numCache>
                <c:formatCode>General</c:formatCode>
                <c:ptCount val="4"/>
                <c:pt idx="0">
                  <c:v>7.488181965823118E-2</c:v>
                </c:pt>
                <c:pt idx="1">
                  <c:v>5.3326738189308484E-2</c:v>
                </c:pt>
                <c:pt idx="2">
                  <c:v>3.6979336363650514E-2</c:v>
                </c:pt>
                <c:pt idx="3">
                  <c:v>2.7342219579076961E-2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18-4810-9562-69D103D95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180632"/>
        <c:axId val="382179456"/>
      </c:scatterChart>
      <c:valAx>
        <c:axId val="382180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79456"/>
        <c:crosses val="autoZero"/>
        <c:crossBetween val="midCat"/>
      </c:valAx>
      <c:valAx>
        <c:axId val="38217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80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3R - Seasonally wet forest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'Low Summary'!$C$35:$F$35</c:f>
              <c:numCache>
                <c:formatCode>0.00</c:formatCode>
                <c:ptCount val="4"/>
                <c:pt idx="0">
                  <c:v>7.7777777776645962E-2</c:v>
                </c:pt>
                <c:pt idx="1">
                  <c:v>0.19097222221898846</c:v>
                </c:pt>
                <c:pt idx="2">
                  <c:v>0.30416666666133096</c:v>
                </c:pt>
                <c:pt idx="3">
                  <c:v>0.42083333332993789</c:v>
                </c:pt>
              </c:numCache>
            </c:numRef>
          </c:xVal>
          <c:yVal>
            <c:numRef>
              <c:f>'Low Summary'!$H$35:$K$35</c:f>
              <c:numCache>
                <c:formatCode>General</c:formatCode>
                <c:ptCount val="4"/>
                <c:pt idx="0">
                  <c:v>9.6101339281146239E-2</c:v>
                </c:pt>
                <c:pt idx="1">
                  <c:v>9.1003286836290054E-2</c:v>
                </c:pt>
                <c:pt idx="2">
                  <c:v>8.3429781074383619E-2</c:v>
                </c:pt>
                <c:pt idx="3">
                  <c:v>7.5076819208821713E-2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B4-40A8-8FD9-7935B50994DB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'Low Summary'!$C$36:$F$36</c:f>
              <c:numCache>
                <c:formatCode>0.00</c:formatCode>
                <c:ptCount val="4"/>
                <c:pt idx="0">
                  <c:v>7.9861111109494232E-2</c:v>
                </c:pt>
                <c:pt idx="1">
                  <c:v>0.19236111111240461</c:v>
                </c:pt>
                <c:pt idx="2">
                  <c:v>0.30555555555474712</c:v>
                </c:pt>
                <c:pt idx="3">
                  <c:v>0.42291666667006211</c:v>
                </c:pt>
              </c:numCache>
            </c:numRef>
          </c:xVal>
          <c:yVal>
            <c:numRef>
              <c:f>'Low Summary'!$H$36:$K$36</c:f>
              <c:numCache>
                <c:formatCode>General</c:formatCode>
                <c:ptCount val="4"/>
                <c:pt idx="0">
                  <c:v>9.0985744094107382E-2</c:v>
                </c:pt>
                <c:pt idx="1">
                  <c:v>8.4613054031510912E-2</c:v>
                </c:pt>
                <c:pt idx="2">
                  <c:v>7.681334789857551E-2</c:v>
                </c:pt>
                <c:pt idx="3">
                  <c:v>7.0162330450854266E-2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B4-40A8-8FD9-7935B50994DB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'Low Summary'!$C$37:$F$37</c:f>
              <c:numCache>
                <c:formatCode>0.00</c:formatCode>
                <c:ptCount val="4"/>
                <c:pt idx="0">
                  <c:v>8.1944444449618459E-2</c:v>
                </c:pt>
                <c:pt idx="1">
                  <c:v>0.19583333333139308</c:v>
                </c:pt>
                <c:pt idx="2">
                  <c:v>0.30763888888759539</c:v>
                </c:pt>
                <c:pt idx="3">
                  <c:v>0.42500000000291038</c:v>
                </c:pt>
              </c:numCache>
            </c:numRef>
          </c:xVal>
          <c:yVal>
            <c:numRef>
              <c:f>'Low Summary'!$H$37:$K$37</c:f>
              <c:numCache>
                <c:formatCode>General</c:formatCode>
                <c:ptCount val="4"/>
                <c:pt idx="0">
                  <c:v>4.4260323491390349E-2</c:v>
                </c:pt>
                <c:pt idx="1">
                  <c:v>2.7254961222717797E-2</c:v>
                </c:pt>
                <c:pt idx="2">
                  <c:v>2.1540440037309726E-2</c:v>
                </c:pt>
                <c:pt idx="3">
                  <c:v>2.0875132300760164E-2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B4-40A8-8FD9-7935B5099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177496"/>
        <c:axId val="382179848"/>
      </c:scatterChart>
      <c:valAx>
        <c:axId val="382177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79848"/>
        <c:crosses val="autoZero"/>
        <c:crossBetween val="midCat"/>
      </c:valAx>
      <c:valAx>
        <c:axId val="38217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77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4R - Wetland inside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'Low Summary'!$C$38:$F$38</c:f>
              <c:numCache>
                <c:formatCode>0.00</c:formatCode>
                <c:ptCount val="4"/>
                <c:pt idx="0">
                  <c:v>8.4027777782466728E-2</c:v>
                </c:pt>
                <c:pt idx="1">
                  <c:v>0.19861111111094942</c:v>
                </c:pt>
                <c:pt idx="2">
                  <c:v>0.30972222222044365</c:v>
                </c:pt>
                <c:pt idx="3">
                  <c:v>0.42708333333575865</c:v>
                </c:pt>
              </c:numCache>
            </c:numRef>
          </c:xVal>
          <c:yVal>
            <c:numRef>
              <c:f>'Low Summary'!$H$38:$K$38</c:f>
              <c:numCache>
                <c:formatCode>General</c:formatCode>
                <c:ptCount val="4"/>
                <c:pt idx="0">
                  <c:v>8.3572810334212544E-2</c:v>
                </c:pt>
                <c:pt idx="1">
                  <c:v>7.8117671692783025E-2</c:v>
                </c:pt>
                <c:pt idx="2">
                  <c:v>7.1277353777880817E-2</c:v>
                </c:pt>
                <c:pt idx="3">
                  <c:v>6.3589180382356655E-2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B8-465E-8E49-E56760F42072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'Low Summary'!$C$39:$F$39</c:f>
              <c:numCache>
                <c:formatCode>0.00</c:formatCode>
                <c:ptCount val="4"/>
                <c:pt idx="0">
                  <c:v>8.611111110803904E-2</c:v>
                </c:pt>
                <c:pt idx="1">
                  <c:v>0.19999999999708962</c:v>
                </c:pt>
                <c:pt idx="2">
                  <c:v>0.31111111111385981</c:v>
                </c:pt>
                <c:pt idx="3">
                  <c:v>0.42847222222189885</c:v>
                </c:pt>
              </c:numCache>
            </c:numRef>
          </c:xVal>
          <c:yVal>
            <c:numRef>
              <c:f>'Low Summary'!$H$39:$K$39</c:f>
              <c:numCache>
                <c:formatCode>General</c:formatCode>
                <c:ptCount val="4"/>
                <c:pt idx="0">
                  <c:v>6.5021195691015513E-2</c:v>
                </c:pt>
                <c:pt idx="1">
                  <c:v>4.2726810671441261E-2</c:v>
                </c:pt>
                <c:pt idx="2">
                  <c:v>2.61992131707111E-2</c:v>
                </c:pt>
                <c:pt idx="3">
                  <c:v>1.9910560463042924E-2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B8-465E-8E49-E56760F42072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'Low Summary'!$C$40:$F$40</c:f>
              <c:numCache>
                <c:formatCode>0.00</c:formatCode>
                <c:ptCount val="4"/>
                <c:pt idx="0">
                  <c:v>8.819444444088731E-2</c:v>
                </c:pt>
                <c:pt idx="1">
                  <c:v>0.20208333332993789</c:v>
                </c:pt>
                <c:pt idx="2">
                  <c:v>0.31319444444670808</c:v>
                </c:pt>
                <c:pt idx="3">
                  <c:v>0.43055555555474712</c:v>
                </c:pt>
              </c:numCache>
            </c:numRef>
          </c:xVal>
          <c:yVal>
            <c:numRef>
              <c:f>'Low Summary'!$H$40:$K$40</c:f>
              <c:numCache>
                <c:formatCode>General</c:formatCode>
                <c:ptCount val="4"/>
                <c:pt idx="0">
                  <c:v>0.15099157111717645</c:v>
                </c:pt>
                <c:pt idx="1">
                  <c:v>0.21115110163584028</c:v>
                </c:pt>
                <c:pt idx="2">
                  <c:v>0.27181523986381739</c:v>
                </c:pt>
                <c:pt idx="3">
                  <c:v>0.30600625669489334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B8-465E-8E49-E56760F42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177888"/>
        <c:axId val="382178672"/>
      </c:scatterChart>
      <c:valAx>
        <c:axId val="38217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78672"/>
        <c:crosses val="autoZero"/>
        <c:crossBetween val="midCat"/>
      </c:valAx>
      <c:valAx>
        <c:axId val="38217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7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5R</a:t>
            </a:r>
            <a:r>
              <a:rPr lang="en-US" baseline="0"/>
              <a:t> - Forest inside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'Low Summary'!$C$41:$F$41</c:f>
              <c:numCache>
                <c:formatCode>0.00</c:formatCode>
                <c:ptCount val="4"/>
                <c:pt idx="0">
                  <c:v>9.0277777773735579E-2</c:v>
                </c:pt>
                <c:pt idx="1">
                  <c:v>0.20486111110949423</c:v>
                </c:pt>
                <c:pt idx="2">
                  <c:v>0.31597222221898846</c:v>
                </c:pt>
                <c:pt idx="3">
                  <c:v>0.43333333333430346</c:v>
                </c:pt>
              </c:numCache>
            </c:numRef>
          </c:xVal>
          <c:yVal>
            <c:numRef>
              <c:f>'Low Summary'!$H$41:$K$41</c:f>
              <c:numCache>
                <c:formatCode>General</c:formatCode>
                <c:ptCount val="4"/>
                <c:pt idx="0">
                  <c:v>5.9540987853057219E-2</c:v>
                </c:pt>
                <c:pt idx="1">
                  <c:v>5.4887513225190095E-2</c:v>
                </c:pt>
                <c:pt idx="2">
                  <c:v>4.9242550634182085E-2</c:v>
                </c:pt>
                <c:pt idx="3">
                  <c:v>4.2266545055821544E-2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23-4516-9FCD-3A4EC9E7628D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'Low Summary'!$C$42:$F$42</c:f>
              <c:numCache>
                <c:formatCode>0.00</c:formatCode>
                <c:ptCount val="4"/>
                <c:pt idx="0">
                  <c:v>9.2361111106583849E-2</c:v>
                </c:pt>
                <c:pt idx="1">
                  <c:v>0.2069444444423425</c:v>
                </c:pt>
                <c:pt idx="2">
                  <c:v>0.32083333333139308</c:v>
                </c:pt>
                <c:pt idx="3">
                  <c:v>0.43472222222044365</c:v>
                </c:pt>
              </c:numCache>
            </c:numRef>
          </c:xVal>
          <c:yVal>
            <c:numRef>
              <c:f>'Low Summary'!$H$42:$K$42</c:f>
              <c:numCache>
                <c:formatCode>General</c:formatCode>
                <c:ptCount val="4"/>
                <c:pt idx="0">
                  <c:v>6.102710487005529E-2</c:v>
                </c:pt>
                <c:pt idx="1">
                  <c:v>4.7498035381895745E-2</c:v>
                </c:pt>
                <c:pt idx="2">
                  <c:v>2.7936731422280776E-2</c:v>
                </c:pt>
                <c:pt idx="3">
                  <c:v>2.3880839010641232E-2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23-4516-9FCD-3A4EC9E7628D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'Low Summary'!$C$43:$F$43</c:f>
              <c:numCache>
                <c:formatCode>0.00</c:formatCode>
                <c:ptCount val="4"/>
                <c:pt idx="0">
                  <c:v>9.5138888886140194E-2</c:v>
                </c:pt>
                <c:pt idx="1">
                  <c:v>0.21041666666133096</c:v>
                </c:pt>
                <c:pt idx="2">
                  <c:v>0.32291666666424135</c:v>
                </c:pt>
                <c:pt idx="3">
                  <c:v>0.43680555555329192</c:v>
                </c:pt>
              </c:numCache>
            </c:numRef>
          </c:xVal>
          <c:yVal>
            <c:numRef>
              <c:f>'Low Summary'!$H$43:$K$43</c:f>
              <c:numCache>
                <c:formatCode>General</c:formatCode>
                <c:ptCount val="4"/>
                <c:pt idx="0">
                  <c:v>8.9291360393831815E-2</c:v>
                </c:pt>
                <c:pt idx="1">
                  <c:v>7.2135009426216978E-2</c:v>
                </c:pt>
                <c:pt idx="2">
                  <c:v>5.7812700547918573E-2</c:v>
                </c:pt>
                <c:pt idx="3">
                  <c:v>5.0964962275189783E-2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23-4516-9FCD-3A4EC9E76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453072"/>
        <c:axId val="485449936"/>
      </c:scatterChart>
      <c:valAx>
        <c:axId val="48545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49936"/>
        <c:crosses val="autoZero"/>
        <c:crossBetween val="midCat"/>
      </c:valAx>
      <c:valAx>
        <c:axId val="48544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5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6R - Seasonally wet organic site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'Low Summary'!$C$44:$F$44</c:f>
              <c:numCache>
                <c:formatCode>0.00</c:formatCode>
                <c:ptCount val="4"/>
                <c:pt idx="0">
                  <c:v>9.7222222218988463E-2</c:v>
                </c:pt>
                <c:pt idx="1">
                  <c:v>0.21388888888759539</c:v>
                </c:pt>
                <c:pt idx="2">
                  <c:v>0.32499999999708962</c:v>
                </c:pt>
                <c:pt idx="3">
                  <c:v>0.43888888888614019</c:v>
                </c:pt>
              </c:numCache>
            </c:numRef>
          </c:xVal>
          <c:yVal>
            <c:numRef>
              <c:f>'Low Summary'!$H$44:$K$44</c:f>
              <c:numCache>
                <c:formatCode>General</c:formatCode>
                <c:ptCount val="4"/>
                <c:pt idx="0">
                  <c:v>7.7667489443498189E-2</c:v>
                </c:pt>
                <c:pt idx="1">
                  <c:v>5.0460241359448349E-2</c:v>
                </c:pt>
                <c:pt idx="2">
                  <c:v>3.1666102246638753E-2</c:v>
                </c:pt>
                <c:pt idx="3">
                  <c:v>2.2824247121687485E-2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D7-421F-AE69-C19D7DC7F856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'Low Summary'!$C$45:$F$45</c:f>
              <c:numCache>
                <c:formatCode>0.00</c:formatCode>
                <c:ptCount val="4"/>
                <c:pt idx="0">
                  <c:v>9.8611111112404615E-2</c:v>
                </c:pt>
                <c:pt idx="1">
                  <c:v>0.21597222222771961</c:v>
                </c:pt>
                <c:pt idx="2">
                  <c:v>0.32708333333721384</c:v>
                </c:pt>
                <c:pt idx="3">
                  <c:v>0.44027777777955635</c:v>
                </c:pt>
              </c:numCache>
            </c:numRef>
          </c:xVal>
          <c:yVal>
            <c:numRef>
              <c:f>'Low Summary'!$H$45:$K$45</c:f>
              <c:numCache>
                <c:formatCode>General</c:formatCode>
                <c:ptCount val="4"/>
                <c:pt idx="0">
                  <c:v>2.9127214691939293E-2</c:v>
                </c:pt>
                <c:pt idx="1">
                  <c:v>2.3078190407751411E-2</c:v>
                </c:pt>
                <c:pt idx="2">
                  <c:v>1.7799506902344789E-2</c:v>
                </c:pt>
                <c:pt idx="3">
                  <c:v>1.6404207287353111E-2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D7-421F-AE69-C19D7DC7F856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'Low Summary'!$C$46:$F$46</c:f>
              <c:numCache>
                <c:formatCode>0.00</c:formatCode>
                <c:ptCount val="4"/>
                <c:pt idx="0">
                  <c:v>0.10138888889196096</c:v>
                </c:pt>
                <c:pt idx="1">
                  <c:v>0.21805555556056788</c:v>
                </c:pt>
                <c:pt idx="2">
                  <c:v>0.32916666667006211</c:v>
                </c:pt>
                <c:pt idx="3">
                  <c:v>0.44305555555911269</c:v>
                </c:pt>
              </c:numCache>
            </c:numRef>
          </c:xVal>
          <c:yVal>
            <c:numRef>
              <c:f>'Low Summary'!$H$46:$K$46</c:f>
              <c:numCache>
                <c:formatCode>General</c:formatCode>
                <c:ptCount val="4"/>
                <c:pt idx="0">
                  <c:v>9.0531573499801885E-2</c:v>
                </c:pt>
                <c:pt idx="1">
                  <c:v>6.9025280240583367E-2</c:v>
                </c:pt>
                <c:pt idx="2">
                  <c:v>5.8739892744078759E-2</c:v>
                </c:pt>
                <c:pt idx="3">
                  <c:v>4.6872806630326412E-2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D7-421F-AE69-C19D7DC7F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449152"/>
        <c:axId val="485445624"/>
      </c:scatterChart>
      <c:valAx>
        <c:axId val="48544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45624"/>
        <c:crosses val="autoZero"/>
        <c:crossBetween val="midCat"/>
      </c:valAx>
      <c:valAx>
        <c:axId val="48544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4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7R - Oil pipe wetland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'Low Summary'!$C$47:$F$47</c:f>
              <c:numCache>
                <c:formatCode>0.00</c:formatCode>
                <c:ptCount val="4"/>
                <c:pt idx="0">
                  <c:v>0.10416666667151731</c:v>
                </c:pt>
                <c:pt idx="1">
                  <c:v>0.22013888889341615</c:v>
                </c:pt>
                <c:pt idx="2">
                  <c:v>0.33194444444961846</c:v>
                </c:pt>
                <c:pt idx="3">
                  <c:v>0.44513888889196096</c:v>
                </c:pt>
              </c:numCache>
            </c:numRef>
          </c:xVal>
          <c:yVal>
            <c:numRef>
              <c:f>'Low Summary'!$H$47:$K$47</c:f>
              <c:numCache>
                <c:formatCode>General</c:formatCode>
                <c:ptCount val="4"/>
                <c:pt idx="0">
                  <c:v>9.7156265034793798E-2</c:v>
                </c:pt>
                <c:pt idx="1">
                  <c:v>8.1558848574031464E-2</c:v>
                </c:pt>
                <c:pt idx="2">
                  <c:v>6.9450361499158453E-2</c:v>
                </c:pt>
                <c:pt idx="3">
                  <c:v>5.7958894350487865E-2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65-430A-B440-C66FE5454B9A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'Low Summary'!$C$48:$F$48</c:f>
              <c:numCache>
                <c:formatCode>0.00</c:formatCode>
                <c:ptCount val="4"/>
                <c:pt idx="0">
                  <c:v>0.10624999999708962</c:v>
                </c:pt>
                <c:pt idx="1">
                  <c:v>0.22152777777955635</c:v>
                </c:pt>
                <c:pt idx="2">
                  <c:v>0.33333333333575865</c:v>
                </c:pt>
                <c:pt idx="3">
                  <c:v>0.44652777777810115</c:v>
                </c:pt>
              </c:numCache>
            </c:numRef>
          </c:xVal>
          <c:yVal>
            <c:numRef>
              <c:f>'Low Summary'!$H$48:$K$48</c:f>
              <c:numCache>
                <c:formatCode>General</c:formatCode>
                <c:ptCount val="4"/>
                <c:pt idx="0">
                  <c:v>1.5236417662694732</c:v>
                </c:pt>
                <c:pt idx="1">
                  <c:v>1.7088741348421663</c:v>
                </c:pt>
                <c:pt idx="2">
                  <c:v>1.5765671330762634</c:v>
                </c:pt>
                <c:pt idx="3">
                  <c:v>1.2159317020477454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65-430A-B440-C66FE5454B9A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'Low Summary'!$C$49:$F$49</c:f>
              <c:numCache>
                <c:formatCode>0.00</c:formatCode>
                <c:ptCount val="4"/>
                <c:pt idx="0">
                  <c:v>0.10833333332993789</c:v>
                </c:pt>
                <c:pt idx="1">
                  <c:v>0.22430555555183673</c:v>
                </c:pt>
                <c:pt idx="2">
                  <c:v>0.33611111110803904</c:v>
                </c:pt>
                <c:pt idx="3">
                  <c:v>0.44861111111094942</c:v>
                </c:pt>
              </c:numCache>
            </c:numRef>
          </c:xVal>
          <c:yVal>
            <c:numRef>
              <c:f>'Low Summary'!$H$49:$K$49</c:f>
              <c:numCache>
                <c:formatCode>General</c:formatCode>
                <c:ptCount val="4"/>
                <c:pt idx="0">
                  <c:v>6.8536533265691424E-2</c:v>
                </c:pt>
                <c:pt idx="1">
                  <c:v>5.1714787432508021E-2</c:v>
                </c:pt>
                <c:pt idx="2">
                  <c:v>4.8505254719538898E-2</c:v>
                </c:pt>
                <c:pt idx="3">
                  <c:v>2.4353125424575055E-2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65-430A-B440-C66FE5454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447976"/>
        <c:axId val="485441704"/>
      </c:scatterChart>
      <c:valAx>
        <c:axId val="485447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41704"/>
        <c:crosses val="autoZero"/>
        <c:crossBetween val="midCat"/>
      </c:valAx>
      <c:valAx>
        <c:axId val="48544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47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CH4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090441819772528"/>
                  <c:y val="2.50858254639160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'High STDs'!$C$6:$C$23</c:f>
              <c:numCache>
                <c:formatCode>General</c:formatCode>
                <c:ptCount val="18"/>
                <c:pt idx="0">
                  <c:v>40.792000000000002</c:v>
                </c:pt>
                <c:pt idx="1">
                  <c:v>92.91</c:v>
                </c:pt>
                <c:pt idx="2">
                  <c:v>147.61199999999999</c:v>
                </c:pt>
                <c:pt idx="3">
                  <c:v>295.452</c:v>
                </c:pt>
                <c:pt idx="4">
                  <c:v>623.17999999999995</c:v>
                </c:pt>
                <c:pt idx="5">
                  <c:v>933.60799999999995</c:v>
                </c:pt>
                <c:pt idx="6">
                  <c:v>1588.16</c:v>
                </c:pt>
                <c:pt idx="7">
                  <c:v>2001.26</c:v>
                </c:pt>
                <c:pt idx="8">
                  <c:v>2689.2539999999999</c:v>
                </c:pt>
                <c:pt idx="9">
                  <c:v>3436.346</c:v>
                </c:pt>
                <c:pt idx="10">
                  <c:v>4842.0559999999996</c:v>
                </c:pt>
              </c:numCache>
            </c:numRef>
          </c:xVal>
          <c:yVal>
            <c:numRef>
              <c:f>'High STDs'!$B$6:$B$23</c:f>
              <c:numCache>
                <c:formatCode>General</c:formatCode>
                <c:ptCount val="18"/>
                <c:pt idx="0">
                  <c:v>9.9700000000000006</c:v>
                </c:pt>
                <c:pt idx="1">
                  <c:v>29.91</c:v>
                </c:pt>
                <c:pt idx="2">
                  <c:v>49.85</c:v>
                </c:pt>
                <c:pt idx="3">
                  <c:v>99.7</c:v>
                </c:pt>
                <c:pt idx="4">
                  <c:v>199.4</c:v>
                </c:pt>
                <c:pt idx="5">
                  <c:v>299.10000000000002</c:v>
                </c:pt>
                <c:pt idx="6">
                  <c:v>498.5</c:v>
                </c:pt>
                <c:pt idx="7">
                  <c:v>598.20000000000005</c:v>
                </c:pt>
                <c:pt idx="8">
                  <c:v>797.6</c:v>
                </c:pt>
                <c:pt idx="9">
                  <c:v>1010</c:v>
                </c:pt>
                <c:pt idx="10">
                  <c:v>1515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29-4A0D-90B5-FAA6C5A72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449544"/>
        <c:axId val="48545346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High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'Low STDs'!$C$13:$C$19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22.998999999999999</c:v>
                      </c:pt>
                      <c:pt idx="1">
                        <c:v>27.768000000000001</c:v>
                      </c:pt>
                      <c:pt idx="2">
                        <c:v>32.673999999999999</c:v>
                      </c:pt>
                      <c:pt idx="3">
                        <c:v>38.177999999999997</c:v>
                      </c:pt>
                      <c:pt idx="4">
                        <c:v>42.554000000000002</c:v>
                      </c:pt>
                      <c:pt idx="5">
                        <c:v>81.254000000000005</c:v>
                      </c:pt>
                      <c:pt idx="6">
                        <c:v>60.246000000000002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'Low STDs'!$B$13:$B$19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6.1800000000000006</c:v>
                      </c:pt>
                      <c:pt idx="1">
                        <c:v>7.21</c:v>
                      </c:pt>
                      <c:pt idx="2">
                        <c:v>8.24</c:v>
                      </c:pt>
                      <c:pt idx="3">
                        <c:v>9.2700000000000014</c:v>
                      </c:pt>
                      <c:pt idx="4">
                        <c:v>10.3</c:v>
                      </c:pt>
                      <c:pt idx="5">
                        <c:v>19.940000000000001</c:v>
                      </c:pt>
                      <c:pt idx="6">
                        <c:v>14.955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9429-4A0D-90B5-FAA6C5A72DF4}"/>
                  </c:ext>
                </c:extLst>
              </c15:ser>
            </c15:filteredScatterSeries>
          </c:ext>
        </c:extLst>
      </c:scatterChart>
      <c:valAx>
        <c:axId val="485449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53464"/>
        <c:crosses val="autoZero"/>
        <c:crossBetween val="midCat"/>
      </c:valAx>
      <c:valAx>
        <c:axId val="48545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49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090441819772528"/>
                  <c:y val="2.50858254639160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'High STDs'!$T$6:$T$23</c:f>
              <c:numCache>
                <c:formatCode>General</c:formatCode>
                <c:ptCount val="18"/>
                <c:pt idx="0">
                  <c:v>2981.076</c:v>
                </c:pt>
                <c:pt idx="1">
                  <c:v>9801.2219999999998</c:v>
                </c:pt>
                <c:pt idx="2">
                  <c:v>16373.286</c:v>
                </c:pt>
                <c:pt idx="3">
                  <c:v>22790.045999999998</c:v>
                </c:pt>
                <c:pt idx="4">
                  <c:v>31624.064999999999</c:v>
                </c:pt>
                <c:pt idx="5">
                  <c:v>1436.808</c:v>
                </c:pt>
                <c:pt idx="6">
                  <c:v>61091.296000000002</c:v>
                </c:pt>
                <c:pt idx="7">
                  <c:v>18799.580000000002</c:v>
                </c:pt>
                <c:pt idx="8">
                  <c:v>47036.074999999997</c:v>
                </c:pt>
                <c:pt idx="9">
                  <c:v>6365.28</c:v>
                </c:pt>
              </c:numCache>
            </c:numRef>
          </c:xVal>
          <c:yVal>
            <c:numRef>
              <c:f>'High STDs'!$S$6:$S$23</c:f>
              <c:numCache>
                <c:formatCode>General</c:formatCode>
                <c:ptCount val="18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  <c:pt idx="5">
                  <c:v>500</c:v>
                </c:pt>
                <c:pt idx="6">
                  <c:v>20000</c:v>
                </c:pt>
                <c:pt idx="7">
                  <c:v>6000</c:v>
                </c:pt>
                <c:pt idx="8">
                  <c:v>15000</c:v>
                </c:pt>
                <c:pt idx="9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B5-48F0-9626-F2F82B9E3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448760"/>
        <c:axId val="485451112"/>
      </c:scatterChart>
      <c:valAx>
        <c:axId val="485448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51112"/>
        <c:crosses val="autoZero"/>
        <c:crossBetween val="midCat"/>
      </c:valAx>
      <c:valAx>
        <c:axId val="48545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48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090441819772528"/>
                  <c:y val="2.50858254639160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'Low STDs'!$T$6:$T$23</c:f>
              <c:numCache>
                <c:formatCode>General</c:formatCode>
                <c:ptCount val="18"/>
                <c:pt idx="0">
                  <c:v>1453.2639999999999</c:v>
                </c:pt>
                <c:pt idx="1">
                  <c:v>3081.8380000000002</c:v>
                </c:pt>
                <c:pt idx="2">
                  <c:v>6349.5140000000001</c:v>
                </c:pt>
                <c:pt idx="3">
                  <c:v>9558.2139999999999</c:v>
                </c:pt>
                <c:pt idx="4">
                  <c:v>16051.196</c:v>
                </c:pt>
                <c:pt idx="5">
                  <c:v>18432.096000000001</c:v>
                </c:pt>
                <c:pt idx="6">
                  <c:v>21976.485000000001</c:v>
                </c:pt>
                <c:pt idx="7">
                  <c:v>31885.978999999999</c:v>
                </c:pt>
                <c:pt idx="8">
                  <c:v>48989.483999999997</c:v>
                </c:pt>
                <c:pt idx="9">
                  <c:v>64852.186000000002</c:v>
                </c:pt>
              </c:numCache>
            </c:numRef>
          </c:xVal>
          <c:yVal>
            <c:numRef>
              <c:f>'Low STDs'!$S$6:$S$23</c:f>
              <c:numCache>
                <c:formatCode>General</c:formatCode>
                <c:ptCount val="18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CE-4EA2-A8DA-F992D9A96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170440"/>
        <c:axId val="382176712"/>
      </c:scatterChart>
      <c:valAx>
        <c:axId val="382170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76712"/>
        <c:crosses val="autoZero"/>
        <c:crossBetween val="midCat"/>
      </c:valAx>
      <c:valAx>
        <c:axId val="38217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70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CH4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712516061015383"/>
                  <c:y val="-1.559358964865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'High STDs'!$C$29:$C$46</c:f>
              <c:numCache>
                <c:formatCode>General</c:formatCode>
                <c:ptCount val="18"/>
                <c:pt idx="0">
                  <c:v>0.752</c:v>
                </c:pt>
                <c:pt idx="1">
                  <c:v>27.63</c:v>
                </c:pt>
                <c:pt idx="2">
                  <c:v>93.191999999999993</c:v>
                </c:pt>
                <c:pt idx="3">
                  <c:v>144.018</c:v>
                </c:pt>
                <c:pt idx="4">
                  <c:v>310.142</c:v>
                </c:pt>
                <c:pt idx="5">
                  <c:v>637.56799999999998</c:v>
                </c:pt>
                <c:pt idx="6">
                  <c:v>959.69600000000003</c:v>
                </c:pt>
                <c:pt idx="7">
                  <c:v>1626.174</c:v>
                </c:pt>
                <c:pt idx="8">
                  <c:v>1934.9860000000001</c:v>
                </c:pt>
                <c:pt idx="9">
                  <c:v>2516.2449999999999</c:v>
                </c:pt>
                <c:pt idx="10">
                  <c:v>3247.982</c:v>
                </c:pt>
              </c:numCache>
            </c:numRef>
          </c:xVal>
          <c:yVal>
            <c:numRef>
              <c:f>'High STDs'!$B$29:$B$46</c:f>
              <c:numCache>
                <c:formatCode>General</c:formatCode>
                <c:ptCount val="18"/>
                <c:pt idx="0">
                  <c:v>5.15</c:v>
                </c:pt>
                <c:pt idx="1">
                  <c:v>9.9700000000000006</c:v>
                </c:pt>
                <c:pt idx="2">
                  <c:v>29.91</c:v>
                </c:pt>
                <c:pt idx="3">
                  <c:v>49.85</c:v>
                </c:pt>
                <c:pt idx="4">
                  <c:v>99.7</c:v>
                </c:pt>
                <c:pt idx="5">
                  <c:v>199.4</c:v>
                </c:pt>
                <c:pt idx="6">
                  <c:v>299.10000000000002</c:v>
                </c:pt>
                <c:pt idx="7">
                  <c:v>498.5</c:v>
                </c:pt>
                <c:pt idx="8">
                  <c:v>598.20000000000005</c:v>
                </c:pt>
                <c:pt idx="9">
                  <c:v>797.6</c:v>
                </c:pt>
                <c:pt idx="10">
                  <c:v>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65-4E8D-8638-223E17E1F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442488"/>
        <c:axId val="48545228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High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'Low STDs'!$C$13:$C$19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22.998999999999999</c:v>
                      </c:pt>
                      <c:pt idx="1">
                        <c:v>27.768000000000001</c:v>
                      </c:pt>
                      <c:pt idx="2">
                        <c:v>32.673999999999999</c:v>
                      </c:pt>
                      <c:pt idx="3">
                        <c:v>38.177999999999997</c:v>
                      </c:pt>
                      <c:pt idx="4">
                        <c:v>42.554000000000002</c:v>
                      </c:pt>
                      <c:pt idx="5">
                        <c:v>81.254000000000005</c:v>
                      </c:pt>
                      <c:pt idx="6">
                        <c:v>60.246000000000002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'Low STDs'!$B$13:$B$19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6.1800000000000006</c:v>
                      </c:pt>
                      <c:pt idx="1">
                        <c:v>7.21</c:v>
                      </c:pt>
                      <c:pt idx="2">
                        <c:v>8.24</c:v>
                      </c:pt>
                      <c:pt idx="3">
                        <c:v>9.2700000000000014</c:v>
                      </c:pt>
                      <c:pt idx="4">
                        <c:v>10.3</c:v>
                      </c:pt>
                      <c:pt idx="5">
                        <c:v>19.940000000000001</c:v>
                      </c:pt>
                      <c:pt idx="6">
                        <c:v>14.955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BC65-4E8D-8638-223E17E1FD8D}"/>
                  </c:ext>
                </c:extLst>
              </c15:ser>
            </c15:filteredScatterSeries>
          </c:ext>
        </c:extLst>
      </c:scatterChart>
      <c:valAx>
        <c:axId val="485442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52288"/>
        <c:crosses val="autoZero"/>
        <c:crossBetween val="midCat"/>
      </c:valAx>
      <c:valAx>
        <c:axId val="48545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42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090441819772528"/>
                  <c:y val="2.50858254639160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'High STDs'!$T$29:$T$46</c:f>
              <c:numCache>
                <c:formatCode>General</c:formatCode>
                <c:ptCount val="18"/>
                <c:pt idx="1">
                  <c:v>9982.232</c:v>
                </c:pt>
                <c:pt idx="2">
                  <c:v>16304.433999999999</c:v>
                </c:pt>
                <c:pt idx="3">
                  <c:v>22761.715</c:v>
                </c:pt>
                <c:pt idx="4">
                  <c:v>32524.853999999999</c:v>
                </c:pt>
                <c:pt idx="6">
                  <c:v>64736.76</c:v>
                </c:pt>
                <c:pt idx="7">
                  <c:v>19799.580000000002</c:v>
                </c:pt>
                <c:pt idx="8">
                  <c:v>47088.233999999997</c:v>
                </c:pt>
                <c:pt idx="9">
                  <c:v>6207.2539999999999</c:v>
                </c:pt>
                <c:pt idx="10">
                  <c:v>96523.23</c:v>
                </c:pt>
              </c:numCache>
            </c:numRef>
          </c:xVal>
          <c:yVal>
            <c:numRef>
              <c:f>'High STDs'!$S$29:$S$46</c:f>
              <c:numCache>
                <c:formatCode>General</c:formatCode>
                <c:ptCount val="18"/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  <c:pt idx="6">
                  <c:v>20000</c:v>
                </c:pt>
                <c:pt idx="7">
                  <c:v>6000</c:v>
                </c:pt>
                <c:pt idx="8">
                  <c:v>15000</c:v>
                </c:pt>
                <c:pt idx="9">
                  <c:v>2000</c:v>
                </c:pt>
                <c:pt idx="10">
                  <c:v>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EE-44CE-ACF7-94B9F1FB6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451896"/>
        <c:axId val="485446016"/>
      </c:scatterChart>
      <c:valAx>
        <c:axId val="485451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46016"/>
        <c:crosses val="autoZero"/>
        <c:crossBetween val="midCat"/>
      </c:valAx>
      <c:valAx>
        <c:axId val="4854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51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CH4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712516061015383"/>
                  <c:y val="-1.559358964865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'High STDs'!$C$52:$C$69</c:f>
              <c:numCache>
                <c:formatCode>General</c:formatCode>
                <c:ptCount val="18"/>
                <c:pt idx="0">
                  <c:v>0.72599999999999998</c:v>
                </c:pt>
                <c:pt idx="1">
                  <c:v>5.2359999999999998</c:v>
                </c:pt>
                <c:pt idx="2">
                  <c:v>32.697000000000003</c:v>
                </c:pt>
                <c:pt idx="3">
                  <c:v>93.292000000000002</c:v>
                </c:pt>
                <c:pt idx="4">
                  <c:v>147.84100000000001</c:v>
                </c:pt>
                <c:pt idx="5">
                  <c:v>318.238</c:v>
                </c:pt>
                <c:pt idx="6">
                  <c:v>644.35199999999998</c:v>
                </c:pt>
                <c:pt idx="7">
                  <c:v>975.93</c:v>
                </c:pt>
                <c:pt idx="8">
                  <c:v>1652.3389999999999</c:v>
                </c:pt>
                <c:pt idx="9">
                  <c:v>1986.646</c:v>
                </c:pt>
                <c:pt idx="10">
                  <c:v>2646.91</c:v>
                </c:pt>
                <c:pt idx="11">
                  <c:v>3246.8180000000002</c:v>
                </c:pt>
              </c:numCache>
            </c:numRef>
          </c:xVal>
          <c:yVal>
            <c:numRef>
              <c:f>'High STDs'!$B$52:$B$69</c:f>
              <c:numCache>
                <c:formatCode>General</c:formatCode>
                <c:ptCount val="18"/>
                <c:pt idx="0">
                  <c:v>1.03</c:v>
                </c:pt>
                <c:pt idx="1">
                  <c:v>5.15</c:v>
                </c:pt>
                <c:pt idx="2">
                  <c:v>9.9700000000000006</c:v>
                </c:pt>
                <c:pt idx="3">
                  <c:v>29.91</c:v>
                </c:pt>
                <c:pt idx="4">
                  <c:v>49.85</c:v>
                </c:pt>
                <c:pt idx="5">
                  <c:v>99.7</c:v>
                </c:pt>
                <c:pt idx="6">
                  <c:v>199.4</c:v>
                </c:pt>
                <c:pt idx="7">
                  <c:v>299.10000000000002</c:v>
                </c:pt>
                <c:pt idx="8">
                  <c:v>498.5</c:v>
                </c:pt>
                <c:pt idx="9">
                  <c:v>598.20000000000005</c:v>
                </c:pt>
                <c:pt idx="10">
                  <c:v>797.6</c:v>
                </c:pt>
                <c:pt idx="11">
                  <c:v>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A7-4F8E-9D22-32A8CB3C9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446408"/>
        <c:axId val="48545268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High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'Low STDs'!$C$13:$C$19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22.998999999999999</c:v>
                      </c:pt>
                      <c:pt idx="1">
                        <c:v>27.768000000000001</c:v>
                      </c:pt>
                      <c:pt idx="2">
                        <c:v>32.673999999999999</c:v>
                      </c:pt>
                      <c:pt idx="3">
                        <c:v>38.177999999999997</c:v>
                      </c:pt>
                      <c:pt idx="4">
                        <c:v>42.554000000000002</c:v>
                      </c:pt>
                      <c:pt idx="5">
                        <c:v>81.254000000000005</c:v>
                      </c:pt>
                      <c:pt idx="6">
                        <c:v>60.246000000000002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'Low STDs'!$B$13:$B$19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6.1800000000000006</c:v>
                      </c:pt>
                      <c:pt idx="1">
                        <c:v>7.21</c:v>
                      </c:pt>
                      <c:pt idx="2">
                        <c:v>8.24</c:v>
                      </c:pt>
                      <c:pt idx="3">
                        <c:v>9.2700000000000014</c:v>
                      </c:pt>
                      <c:pt idx="4">
                        <c:v>10.3</c:v>
                      </c:pt>
                      <c:pt idx="5">
                        <c:v>19.940000000000001</c:v>
                      </c:pt>
                      <c:pt idx="6">
                        <c:v>14.955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1CA7-4F8E-9D22-32A8CB3C9D2B}"/>
                  </c:ext>
                </c:extLst>
              </c15:ser>
            </c15:filteredScatterSeries>
          </c:ext>
        </c:extLst>
      </c:scatterChart>
      <c:valAx>
        <c:axId val="485446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52680"/>
        <c:crosses val="autoZero"/>
        <c:crossBetween val="midCat"/>
      </c:valAx>
      <c:valAx>
        <c:axId val="48545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46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090441819772528"/>
                  <c:y val="2.50858254639160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'High STDs'!$T$52:$T$69</c:f>
              <c:numCache>
                <c:formatCode>General</c:formatCode>
                <c:ptCount val="18"/>
                <c:pt idx="1">
                  <c:v>10086.848</c:v>
                </c:pt>
                <c:pt idx="2">
                  <c:v>16420.343000000001</c:v>
                </c:pt>
                <c:pt idx="3">
                  <c:v>22499.522000000001</c:v>
                </c:pt>
                <c:pt idx="4">
                  <c:v>33249.813999999998</c:v>
                </c:pt>
                <c:pt idx="6">
                  <c:v>64171.082000000002</c:v>
                </c:pt>
                <c:pt idx="7">
                  <c:v>19651.302</c:v>
                </c:pt>
                <c:pt idx="8">
                  <c:v>49962.5</c:v>
                </c:pt>
                <c:pt idx="9">
                  <c:v>6731.1360000000004</c:v>
                </c:pt>
                <c:pt idx="10">
                  <c:v>96523.23</c:v>
                </c:pt>
                <c:pt idx="11">
                  <c:v>155326</c:v>
                </c:pt>
                <c:pt idx="12">
                  <c:v>125000</c:v>
                </c:pt>
              </c:numCache>
            </c:numRef>
          </c:xVal>
          <c:yVal>
            <c:numRef>
              <c:f>'High STDs'!$S$52:$S$69</c:f>
              <c:numCache>
                <c:formatCode>General</c:formatCode>
                <c:ptCount val="18"/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  <c:pt idx="6">
                  <c:v>20000</c:v>
                </c:pt>
                <c:pt idx="7">
                  <c:v>6000</c:v>
                </c:pt>
                <c:pt idx="8">
                  <c:v>15000</c:v>
                </c:pt>
                <c:pt idx="9">
                  <c:v>2000</c:v>
                </c:pt>
                <c:pt idx="10">
                  <c:v>30000</c:v>
                </c:pt>
                <c:pt idx="11">
                  <c:v>50000</c:v>
                </c:pt>
                <c:pt idx="12">
                  <c:v>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09-451E-9567-92EB962CE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445232"/>
        <c:axId val="485443272"/>
      </c:scatterChart>
      <c:valAx>
        <c:axId val="48544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43272"/>
        <c:crosses val="autoZero"/>
        <c:crossBetween val="midCat"/>
      </c:valAx>
      <c:valAx>
        <c:axId val="48544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4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2G - Grassland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'High Summary'!$C$4:$G$4</c:f>
              <c:numCache>
                <c:formatCode>0.00</c:formatCode>
                <c:ptCount val="5"/>
                <c:pt idx="0">
                  <c:v>1.7361111109494232E-2</c:v>
                </c:pt>
                <c:pt idx="1">
                  <c:v>0.18819444444670808</c:v>
                </c:pt>
                <c:pt idx="2">
                  <c:v>0.28819444444525288</c:v>
                </c:pt>
                <c:pt idx="3">
                  <c:v>1.1222222222204437</c:v>
                </c:pt>
                <c:pt idx="4">
                  <c:v>2.1590277777795563</c:v>
                </c:pt>
              </c:numCache>
            </c:numRef>
          </c:xVal>
          <c:yVal>
            <c:numRef>
              <c:f>'High Summary'!$I$4:$M$4</c:f>
              <c:numCache>
                <c:formatCode>General</c:formatCode>
                <c:ptCount val="5"/>
                <c:pt idx="0">
                  <c:v>14.080992424778229</c:v>
                </c:pt>
                <c:pt idx="1">
                  <c:v>10.945885452095142</c:v>
                </c:pt>
                <c:pt idx="2">
                  <c:v>10.239266030238868</c:v>
                </c:pt>
                <c:pt idx="3">
                  <c:v>7.385191081444102</c:v>
                </c:pt>
                <c:pt idx="4">
                  <c:v>3.4363896444824955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A6-4BA5-8479-528A398E9678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'High Summary'!$C$5:$G$5</c:f>
              <c:numCache>
                <c:formatCode>0.00</c:formatCode>
                <c:ptCount val="5"/>
                <c:pt idx="0">
                  <c:v>1.805555554892635E-2</c:v>
                </c:pt>
                <c:pt idx="1">
                  <c:v>0.18958333333284827</c:v>
                </c:pt>
                <c:pt idx="2">
                  <c:v>0.288888888884685</c:v>
                </c:pt>
                <c:pt idx="3">
                  <c:v>1.1243055555532919</c:v>
                </c:pt>
                <c:pt idx="4">
                  <c:v>2.1604166666656965</c:v>
                </c:pt>
              </c:numCache>
            </c:numRef>
          </c:xVal>
          <c:yVal>
            <c:numRef>
              <c:f>'High Summary'!$I$5:$M$5</c:f>
              <c:numCache>
                <c:formatCode>General</c:formatCode>
                <c:ptCount val="5"/>
                <c:pt idx="0">
                  <c:v>8.7688426163813524</c:v>
                </c:pt>
                <c:pt idx="1">
                  <c:v>3.8185717440761726</c:v>
                </c:pt>
                <c:pt idx="2">
                  <c:v>2.4079293752329956</c:v>
                </c:pt>
                <c:pt idx="3">
                  <c:v>0.10210468388260341</c:v>
                </c:pt>
                <c:pt idx="4">
                  <c:v>3.6621884161903512E-2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A6-4BA5-8479-528A398E9678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'High Summary'!$C$6:$G$6</c:f>
              <c:numCache>
                <c:formatCode>0.00</c:formatCode>
                <c:ptCount val="5"/>
                <c:pt idx="0">
                  <c:v>2.0138888889050577E-2</c:v>
                </c:pt>
                <c:pt idx="1">
                  <c:v>0.19166666666569654</c:v>
                </c:pt>
                <c:pt idx="2">
                  <c:v>0.29097222221753327</c:v>
                </c:pt>
                <c:pt idx="3">
                  <c:v>1.1263888888861402</c:v>
                </c:pt>
                <c:pt idx="4">
                  <c:v>2.1624999999985448</c:v>
                </c:pt>
              </c:numCache>
            </c:numRef>
          </c:xVal>
          <c:yVal>
            <c:numRef>
              <c:f>'High Summary'!$I$6:$M$6</c:f>
              <c:numCache>
                <c:formatCode>General</c:formatCode>
                <c:ptCount val="5"/>
                <c:pt idx="0">
                  <c:v>13.344454030281323</c:v>
                </c:pt>
                <c:pt idx="1">
                  <c:v>12.241669313625934</c:v>
                </c:pt>
                <c:pt idx="2">
                  <c:v>11.807580850266396</c:v>
                </c:pt>
                <c:pt idx="3">
                  <c:v>10.225403573224606</c:v>
                </c:pt>
                <c:pt idx="4">
                  <c:v>5.27241244938135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A6-4BA5-8479-528A398E9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446800"/>
        <c:axId val="485448368"/>
      </c:scatterChart>
      <c:valAx>
        <c:axId val="48544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48368"/>
        <c:crosses val="autoZero"/>
        <c:crossBetween val="midCat"/>
      </c:valAx>
      <c:valAx>
        <c:axId val="48544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4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3G - Peatland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'High Summary'!$C$7:$G$7</c:f>
              <c:numCache>
                <c:formatCode>0.00</c:formatCode>
                <c:ptCount val="5"/>
                <c:pt idx="0">
                  <c:v>2.1527777782466728E-2</c:v>
                </c:pt>
                <c:pt idx="1">
                  <c:v>0.19305555555911269</c:v>
                </c:pt>
                <c:pt idx="2">
                  <c:v>0.2930555555576575</c:v>
                </c:pt>
                <c:pt idx="3">
                  <c:v>1.1277777777795563</c:v>
                </c:pt>
                <c:pt idx="4">
                  <c:v>2.163888888891961</c:v>
                </c:pt>
              </c:numCache>
            </c:numRef>
          </c:xVal>
          <c:yVal>
            <c:numRef>
              <c:f>'High Summary'!$I$7:$M$7</c:f>
              <c:numCache>
                <c:formatCode>General</c:formatCode>
                <c:ptCount val="5"/>
                <c:pt idx="0">
                  <c:v>20.014590556024498</c:v>
                </c:pt>
                <c:pt idx="1">
                  <c:v>2.7467257077990439</c:v>
                </c:pt>
                <c:pt idx="2">
                  <c:v>0.96619040597693229</c:v>
                </c:pt>
                <c:pt idx="3">
                  <c:v>0.13650563581762826</c:v>
                </c:pt>
                <c:pt idx="4">
                  <c:v>0.10267110614398431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70-4D2F-BACA-FE18A6C0A143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'High Summary'!$C$8:$G$8</c:f>
              <c:numCache>
                <c:formatCode>0.00</c:formatCode>
                <c:ptCount val="5"/>
                <c:pt idx="0">
                  <c:v>2.3611111115314998E-2</c:v>
                </c:pt>
                <c:pt idx="1">
                  <c:v>0.19513888889196096</c:v>
                </c:pt>
                <c:pt idx="2">
                  <c:v>0.29513888889050577</c:v>
                </c:pt>
                <c:pt idx="3">
                  <c:v>1.1298611111124046</c:v>
                </c:pt>
                <c:pt idx="4">
                  <c:v>2.1659722222248092</c:v>
                </c:pt>
              </c:numCache>
            </c:numRef>
          </c:xVal>
          <c:yVal>
            <c:numRef>
              <c:f>'High Summary'!$I$8:$M$8</c:f>
              <c:numCache>
                <c:formatCode>General</c:formatCode>
                <c:ptCount val="5"/>
                <c:pt idx="0">
                  <c:v>29.567232342286676</c:v>
                </c:pt>
                <c:pt idx="1">
                  <c:v>25.851473698123186</c:v>
                </c:pt>
                <c:pt idx="2">
                  <c:v>24.623072945668429</c:v>
                </c:pt>
                <c:pt idx="3">
                  <c:v>10.926434308483405</c:v>
                </c:pt>
                <c:pt idx="4">
                  <c:v>2.0780046399249636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70-4D2F-BACA-FE18A6C0A143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'High Summary'!$C$9:$G$9</c:f>
              <c:numCache>
                <c:formatCode>0.00</c:formatCode>
                <c:ptCount val="5"/>
                <c:pt idx="0">
                  <c:v>2.5000000001455192E-2</c:v>
                </c:pt>
                <c:pt idx="1">
                  <c:v>0.19652777777810115</c:v>
                </c:pt>
                <c:pt idx="2">
                  <c:v>0.29722222222335404</c:v>
                </c:pt>
                <c:pt idx="3">
                  <c:v>1.1312499999985448</c:v>
                </c:pt>
                <c:pt idx="4">
                  <c:v>2.1673611111109494</c:v>
                </c:pt>
              </c:numCache>
            </c:numRef>
          </c:xVal>
          <c:yVal>
            <c:numRef>
              <c:f>'High Summary'!$I$9:$M$9</c:f>
              <c:numCache>
                <c:formatCode>General</c:formatCode>
                <c:ptCount val="5"/>
                <c:pt idx="0">
                  <c:v>28.546505964392349</c:v>
                </c:pt>
                <c:pt idx="1">
                  <c:v>23.628391222326496</c:v>
                </c:pt>
                <c:pt idx="2">
                  <c:v>20.627038118233422</c:v>
                </c:pt>
                <c:pt idx="3">
                  <c:v>3.139622529025317</c:v>
                </c:pt>
                <c:pt idx="4">
                  <c:v>0.16766886813831164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70-4D2F-BACA-FE18A6C0A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444448"/>
        <c:axId val="485447192"/>
      </c:scatterChart>
      <c:valAx>
        <c:axId val="48544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47192"/>
        <c:crosses val="autoZero"/>
        <c:crossBetween val="midCat"/>
      </c:valAx>
      <c:valAx>
        <c:axId val="48544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4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4G - Peat</a:t>
            </a:r>
            <a:r>
              <a:rPr lang="en-US" baseline="0"/>
              <a:t> Forest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'High Summary'!$C$10:$G$10</c:f>
              <c:numCache>
                <c:formatCode>0.00</c:formatCode>
                <c:ptCount val="5"/>
                <c:pt idx="0">
                  <c:v>2.7777777781011537E-2</c:v>
                </c:pt>
                <c:pt idx="1">
                  <c:v>0.19861111111094942</c:v>
                </c:pt>
                <c:pt idx="2">
                  <c:v>0.29930555555620231</c:v>
                </c:pt>
                <c:pt idx="3">
                  <c:v>1.1333333333313931</c:v>
                </c:pt>
                <c:pt idx="4">
                  <c:v>2.1708333333299379</c:v>
                </c:pt>
              </c:numCache>
            </c:numRef>
          </c:xVal>
          <c:yVal>
            <c:numRef>
              <c:f>'High Summary'!$I$10:$M$10</c:f>
              <c:numCache>
                <c:formatCode>General</c:formatCode>
                <c:ptCount val="5"/>
                <c:pt idx="0">
                  <c:v>23.297291649052415</c:v>
                </c:pt>
                <c:pt idx="1">
                  <c:v>6.8584643647013532</c:v>
                </c:pt>
                <c:pt idx="2">
                  <c:v>3.4649158429184159</c:v>
                </c:pt>
                <c:pt idx="3">
                  <c:v>0.16468993124834991</c:v>
                </c:pt>
                <c:pt idx="4">
                  <c:v>0.12932791940352695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3D-4E7E-AF24-F99AB2517991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'High Summary'!$C$11:$G$11</c:f>
              <c:numCache>
                <c:formatCode>0.00</c:formatCode>
                <c:ptCount val="5"/>
                <c:pt idx="0">
                  <c:v>2.8472222220443655E-2</c:v>
                </c:pt>
                <c:pt idx="1">
                  <c:v>0.19999999999708962</c:v>
                </c:pt>
                <c:pt idx="2">
                  <c:v>0.3006944444423425</c:v>
                </c:pt>
                <c:pt idx="3">
                  <c:v>1.1347222222175333</c:v>
                </c:pt>
                <c:pt idx="4">
                  <c:v>2.1722222222160781</c:v>
                </c:pt>
              </c:numCache>
            </c:numRef>
          </c:xVal>
          <c:yVal>
            <c:numRef>
              <c:f>'High Summary'!$I$11:$M$11</c:f>
              <c:numCache>
                <c:formatCode>General</c:formatCode>
                <c:ptCount val="5"/>
                <c:pt idx="0">
                  <c:v>25.163793374980141</c:v>
                </c:pt>
                <c:pt idx="1">
                  <c:v>25.042256768632335</c:v>
                </c:pt>
                <c:pt idx="2">
                  <c:v>23.309888798661621</c:v>
                </c:pt>
                <c:pt idx="3">
                  <c:v>21.435660024920338</c:v>
                </c:pt>
                <c:pt idx="4">
                  <c:v>17.792234089171394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3D-4E7E-AF24-F99AB2517991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'High Summary'!$C$12:$G$12</c:f>
              <c:numCache>
                <c:formatCode>0.00</c:formatCode>
                <c:ptCount val="5"/>
                <c:pt idx="0">
                  <c:v>3.0555555553291924E-2</c:v>
                </c:pt>
                <c:pt idx="1">
                  <c:v>0.20208333332993789</c:v>
                </c:pt>
                <c:pt idx="2">
                  <c:v>0.30347222222189885</c:v>
                </c:pt>
                <c:pt idx="3">
                  <c:v>1.1368055555503815</c:v>
                </c:pt>
                <c:pt idx="4">
                  <c:v>2.1743055555562023</c:v>
                </c:pt>
              </c:numCache>
            </c:numRef>
          </c:xVal>
          <c:yVal>
            <c:numRef>
              <c:f>'High Summary'!$I$12:$M$12</c:f>
              <c:numCache>
                <c:formatCode>General</c:formatCode>
                <c:ptCount val="5"/>
                <c:pt idx="0">
                  <c:v>24.639790265707632</c:v>
                </c:pt>
                <c:pt idx="1">
                  <c:v>11.85628947979753</c:v>
                </c:pt>
                <c:pt idx="2">
                  <c:v>7.4462690785905146</c:v>
                </c:pt>
                <c:pt idx="3">
                  <c:v>0.30861105871323491</c:v>
                </c:pt>
                <c:pt idx="4">
                  <c:v>0.12369245160075387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3D-4E7E-AF24-F99AB2517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456992"/>
        <c:axId val="485455032"/>
      </c:scatterChart>
      <c:valAx>
        <c:axId val="48545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55032"/>
        <c:crosses val="autoZero"/>
        <c:crossBetween val="midCat"/>
      </c:valAx>
      <c:valAx>
        <c:axId val="48545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5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5G - Termite Grassland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'High Summary'!$C$13:$G$13</c:f>
              <c:numCache>
                <c:formatCode>0.00</c:formatCode>
                <c:ptCount val="5"/>
                <c:pt idx="0">
                  <c:v>3.3333333332848269E-2</c:v>
                </c:pt>
                <c:pt idx="1">
                  <c:v>0.20416666666278616</c:v>
                </c:pt>
                <c:pt idx="2">
                  <c:v>0.30555555555474712</c:v>
                </c:pt>
                <c:pt idx="3">
                  <c:v>1.1381944444437977</c:v>
                </c:pt>
                <c:pt idx="4">
                  <c:v>2.1763888888890506</c:v>
                </c:pt>
              </c:numCache>
            </c:numRef>
          </c:xVal>
          <c:yVal>
            <c:numRef>
              <c:f>'High Summary'!$I$13:$M$13</c:f>
              <c:numCache>
                <c:formatCode>General</c:formatCode>
                <c:ptCount val="5"/>
                <c:pt idx="0">
                  <c:v>6.3982157309195626</c:v>
                </c:pt>
                <c:pt idx="1">
                  <c:v>4.9711476981072504</c:v>
                </c:pt>
                <c:pt idx="2">
                  <c:v>4.4304547140431341</c:v>
                </c:pt>
                <c:pt idx="3">
                  <c:v>1.6035668338521041</c:v>
                </c:pt>
                <c:pt idx="4">
                  <c:v>9.0605475122885845E-2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9A-43C5-98A8-5630C02F72C1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'High Summary'!$C$14:$G$14</c:f>
              <c:numCache>
                <c:formatCode>0.00</c:formatCode>
                <c:ptCount val="5"/>
                <c:pt idx="0">
                  <c:v>3.4722222226264421E-2</c:v>
                </c:pt>
                <c:pt idx="1">
                  <c:v>0.20555555555620231</c:v>
                </c:pt>
                <c:pt idx="2">
                  <c:v>0.30694444444816327</c:v>
                </c:pt>
                <c:pt idx="3">
                  <c:v>1.1395833333372138</c:v>
                </c:pt>
                <c:pt idx="4">
                  <c:v>2.1777777777824667</c:v>
                </c:pt>
              </c:numCache>
            </c:numRef>
          </c:xVal>
          <c:yVal>
            <c:numRef>
              <c:f>'High Summary'!$I$14:$M$14</c:f>
              <c:numCache>
                <c:formatCode>General</c:formatCode>
                <c:ptCount val="5"/>
                <c:pt idx="0">
                  <c:v>15.531366280145283</c:v>
                </c:pt>
                <c:pt idx="1">
                  <c:v>8.6873882451202729</c:v>
                </c:pt>
                <c:pt idx="2">
                  <c:v>6.236649517299619</c:v>
                </c:pt>
                <c:pt idx="3">
                  <c:v>0.37643809028886027</c:v>
                </c:pt>
                <c:pt idx="4">
                  <c:v>4.9144667305572425E-2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9A-43C5-98A8-5630C02F72C1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'High Summary'!$C$15:$G$15</c:f>
              <c:numCache>
                <c:formatCode>0.00</c:formatCode>
                <c:ptCount val="5"/>
                <c:pt idx="0">
                  <c:v>3.6111111112404615E-2</c:v>
                </c:pt>
                <c:pt idx="1">
                  <c:v>0.20763888888905058</c:v>
                </c:pt>
                <c:pt idx="2">
                  <c:v>0.30972222222771961</c:v>
                </c:pt>
                <c:pt idx="3">
                  <c:v>1.1416666666700621</c:v>
                </c:pt>
                <c:pt idx="4">
                  <c:v>2.179861111115315</c:v>
                </c:pt>
              </c:numCache>
            </c:numRef>
          </c:xVal>
          <c:yVal>
            <c:numRef>
              <c:f>'High Summary'!$I$15:$M$15</c:f>
              <c:numCache>
                <c:formatCode>General</c:formatCode>
                <c:ptCount val="5"/>
                <c:pt idx="0">
                  <c:v>8.1097784446093168</c:v>
                </c:pt>
                <c:pt idx="1">
                  <c:v>3.326156329952199</c:v>
                </c:pt>
                <c:pt idx="2">
                  <c:v>2.0598886018706901</c:v>
                </c:pt>
                <c:pt idx="3">
                  <c:v>4.1994607024776941E-2</c:v>
                </c:pt>
                <c:pt idx="4">
                  <c:v>2.3171310539024381E-2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9A-43C5-98A8-5630C02F7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456600"/>
        <c:axId val="485456208"/>
      </c:scatterChart>
      <c:valAx>
        <c:axId val="485456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56208"/>
        <c:crosses val="autoZero"/>
        <c:crossBetween val="midCat"/>
      </c:valAx>
      <c:valAx>
        <c:axId val="48545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56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7G - Plantation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'High Summary'!$C$16:$G$16</c:f>
              <c:numCache>
                <c:formatCode>0.00</c:formatCode>
                <c:ptCount val="5"/>
                <c:pt idx="0">
                  <c:v>3.8194444445252884E-2</c:v>
                </c:pt>
                <c:pt idx="1">
                  <c:v>0.20902777777519077</c:v>
                </c:pt>
                <c:pt idx="2">
                  <c:v>0.31111111111385981</c:v>
                </c:pt>
                <c:pt idx="3">
                  <c:v>1.1430555555562023</c:v>
                </c:pt>
                <c:pt idx="4">
                  <c:v>2.1812500000014552</c:v>
                </c:pt>
              </c:numCache>
            </c:numRef>
          </c:xVal>
          <c:yVal>
            <c:numRef>
              <c:f>'High Summary'!$I$16:$M$16</c:f>
              <c:numCache>
                <c:formatCode>General</c:formatCode>
                <c:ptCount val="5"/>
                <c:pt idx="0">
                  <c:v>18.844182027823713</c:v>
                </c:pt>
                <c:pt idx="1">
                  <c:v>9.6197301928366006</c:v>
                </c:pt>
                <c:pt idx="2">
                  <c:v>5.8192753905465642</c:v>
                </c:pt>
                <c:pt idx="3">
                  <c:v>0.2128408906095941</c:v>
                </c:pt>
                <c:pt idx="4">
                  <c:v>0.11628552370038568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52-480C-8BA0-A9E1555115E8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'High Summary'!$C$17:$G$17</c:f>
              <c:numCache>
                <c:formatCode>0.00</c:formatCode>
                <c:ptCount val="5"/>
                <c:pt idx="0">
                  <c:v>4.0277777778101154E-2</c:v>
                </c:pt>
                <c:pt idx="1">
                  <c:v>0.21111111110803904</c:v>
                </c:pt>
                <c:pt idx="2">
                  <c:v>0.31319444444670808</c:v>
                </c:pt>
                <c:pt idx="3">
                  <c:v>1.1451388888890506</c:v>
                </c:pt>
                <c:pt idx="4">
                  <c:v>2.1847222222204437</c:v>
                </c:pt>
              </c:numCache>
            </c:numRef>
          </c:xVal>
          <c:yVal>
            <c:numRef>
              <c:f>'High Summary'!$I$17:$M$17</c:f>
              <c:numCache>
                <c:formatCode>General</c:formatCode>
                <c:ptCount val="5"/>
                <c:pt idx="0">
                  <c:v>23.765031720162877</c:v>
                </c:pt>
                <c:pt idx="1">
                  <c:v>20.403330902207571</c:v>
                </c:pt>
                <c:pt idx="2">
                  <c:v>19.209079097252552</c:v>
                </c:pt>
                <c:pt idx="3">
                  <c:v>13.107326917606837</c:v>
                </c:pt>
                <c:pt idx="4">
                  <c:v>4.9816358976803343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52-480C-8BA0-A9E1555115E8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'High Summary'!$C$18:$G$18</c:f>
              <c:numCache>
                <c:formatCode>0.00</c:formatCode>
                <c:ptCount val="5"/>
                <c:pt idx="0">
                  <c:v>4.1666666664241347E-2</c:v>
                </c:pt>
                <c:pt idx="1">
                  <c:v>0.21250000000145519</c:v>
                </c:pt>
                <c:pt idx="2">
                  <c:v>0.31458333333284827</c:v>
                </c:pt>
                <c:pt idx="3">
                  <c:v>1.1465277777751908</c:v>
                </c:pt>
                <c:pt idx="4">
                  <c:v>2.1861111111065838</c:v>
                </c:pt>
              </c:numCache>
            </c:numRef>
          </c:xVal>
          <c:yVal>
            <c:numRef>
              <c:f>'High Summary'!$I$18:$M$18</c:f>
              <c:numCache>
                <c:formatCode>General</c:formatCode>
                <c:ptCount val="5"/>
                <c:pt idx="0">
                  <c:v>19.670725857318114</c:v>
                </c:pt>
                <c:pt idx="1">
                  <c:v>18.513567116732666</c:v>
                </c:pt>
                <c:pt idx="2">
                  <c:v>18.020681158567616</c:v>
                </c:pt>
                <c:pt idx="4">
                  <c:v>5.0931636140110745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52-480C-8BA0-A9E155511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455424"/>
        <c:axId val="485455816"/>
      </c:scatterChart>
      <c:valAx>
        <c:axId val="48545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55816"/>
        <c:crosses val="autoZero"/>
        <c:crossBetween val="midCat"/>
      </c:valAx>
      <c:valAx>
        <c:axId val="48545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5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8G</a:t>
            </a:r>
            <a:r>
              <a:rPr lang="en-US" baseline="0"/>
              <a:t> - Forest near plantation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'High Summary'!$C$19:$G$19</c:f>
              <c:numCache>
                <c:formatCode>0.00</c:formatCode>
                <c:ptCount val="5"/>
                <c:pt idx="0">
                  <c:v>4.3749999997089617E-2</c:v>
                </c:pt>
                <c:pt idx="1">
                  <c:v>0.21458333333430346</c:v>
                </c:pt>
                <c:pt idx="2">
                  <c:v>0.31736111111240461</c:v>
                </c:pt>
                <c:pt idx="3">
                  <c:v>1.148611111108039</c:v>
                </c:pt>
                <c:pt idx="4">
                  <c:v>2.1881944444394321</c:v>
                </c:pt>
              </c:numCache>
            </c:numRef>
          </c:xVal>
          <c:yVal>
            <c:numRef>
              <c:f>'High Summary'!$I$19:$M$19</c:f>
              <c:numCache>
                <c:formatCode>General</c:formatCode>
                <c:ptCount val="5"/>
                <c:pt idx="0">
                  <c:v>16.855607954874323</c:v>
                </c:pt>
                <c:pt idx="1">
                  <c:v>15.156218608433653</c:v>
                </c:pt>
                <c:pt idx="2">
                  <c:v>14.454483650047038</c:v>
                </c:pt>
                <c:pt idx="3">
                  <c:v>10.577595097353704</c:v>
                </c:pt>
                <c:pt idx="4">
                  <c:v>5.8639496791347536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E8-46EF-9435-F74A22410077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'High Summary'!$C$20:$G$20</c:f>
              <c:numCache>
                <c:formatCode>0.00</c:formatCode>
                <c:ptCount val="5"/>
                <c:pt idx="0">
                  <c:v>4.5138888890505768E-2</c:v>
                </c:pt>
                <c:pt idx="1">
                  <c:v>0.21597222222771961</c:v>
                </c:pt>
                <c:pt idx="2">
                  <c:v>0.31875000000582077</c:v>
                </c:pt>
                <c:pt idx="3">
                  <c:v>1.1500000000014552</c:v>
                </c:pt>
                <c:pt idx="4">
                  <c:v>2.1895833333328483</c:v>
                </c:pt>
              </c:numCache>
            </c:numRef>
          </c:xVal>
          <c:yVal>
            <c:numRef>
              <c:f>'High Summary'!$I$20:$M$20</c:f>
              <c:numCache>
                <c:formatCode>General</c:formatCode>
                <c:ptCount val="5"/>
                <c:pt idx="0">
                  <c:v>24.714680395746822</c:v>
                </c:pt>
                <c:pt idx="1">
                  <c:v>23.029918808004069</c:v>
                </c:pt>
                <c:pt idx="2">
                  <c:v>22.38006758268553</c:v>
                </c:pt>
                <c:pt idx="3">
                  <c:v>20.455042004645176</c:v>
                </c:pt>
                <c:pt idx="4">
                  <c:v>17.195518824849788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E8-46EF-9435-F74A22410077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'High Summary'!$C$21:$G$21</c:f>
              <c:numCache>
                <c:formatCode>0.00</c:formatCode>
                <c:ptCount val="5"/>
                <c:pt idx="0">
                  <c:v>4.7222222223354038E-2</c:v>
                </c:pt>
                <c:pt idx="1">
                  <c:v>0.21805555556056788</c:v>
                </c:pt>
                <c:pt idx="2">
                  <c:v>0.32083333333866904</c:v>
                </c:pt>
                <c:pt idx="3">
                  <c:v>1.1513888888948713</c:v>
                </c:pt>
                <c:pt idx="4">
                  <c:v>2.1916666666729725</c:v>
                </c:pt>
              </c:numCache>
            </c:numRef>
          </c:xVal>
          <c:yVal>
            <c:numRef>
              <c:f>'High Summary'!$I$21:$M$21</c:f>
              <c:numCache>
                <c:formatCode>General</c:formatCode>
                <c:ptCount val="5"/>
                <c:pt idx="0">
                  <c:v>2.3455634504323299</c:v>
                </c:pt>
                <c:pt idx="1">
                  <c:v>0.49290770117689398</c:v>
                </c:pt>
                <c:pt idx="2">
                  <c:v>0.17481449517276462</c:v>
                </c:pt>
                <c:pt idx="3">
                  <c:v>1.9445916150280598E-2</c:v>
                </c:pt>
                <c:pt idx="4">
                  <c:v>1.1803713371993776E-2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7E8-46EF-9435-F74A22410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751440"/>
        <c:axId val="424751048"/>
      </c:scatterChart>
      <c:valAx>
        <c:axId val="42475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51048"/>
        <c:crosses val="autoZero"/>
        <c:crossBetween val="midCat"/>
      </c:valAx>
      <c:valAx>
        <c:axId val="42475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5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2G - Grassland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rep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'Low Summary'!$C$5:$F$5</c:f>
              <c:numCache>
                <c:formatCode>0.00</c:formatCode>
                <c:ptCount val="4"/>
                <c:pt idx="0">
                  <c:v>1.2499999997089617E-2</c:v>
                </c:pt>
                <c:pt idx="1">
                  <c:v>0.12083333333430346</c:v>
                </c:pt>
                <c:pt idx="2">
                  <c:v>0.23680555555620231</c:v>
                </c:pt>
                <c:pt idx="3">
                  <c:v>0.34861111110512866</c:v>
                </c:pt>
              </c:numCache>
            </c:numRef>
          </c:xVal>
          <c:yVal>
            <c:numRef>
              <c:f>'Low Summary'!$H$5:$K$5</c:f>
              <c:numCache>
                <c:formatCode>General</c:formatCode>
                <c:ptCount val="4"/>
                <c:pt idx="0">
                  <c:v>0.12383654080485701</c:v>
                </c:pt>
                <c:pt idx="1">
                  <c:v>4.5372396413131323E-2</c:v>
                </c:pt>
                <c:pt idx="2">
                  <c:v>3.6275779846876299E-2</c:v>
                </c:pt>
                <c:pt idx="3">
                  <c:v>3.0049365836901883E-2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9E-4838-A0D0-102EA9ACECE2}"/>
            </c:ext>
          </c:extLst>
        </c:ser>
        <c:ser>
          <c:idx val="1"/>
          <c:order val="1"/>
          <c:tx>
            <c:v>rep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'Low Summary'!$C$6:$F$6</c:f>
              <c:numCache>
                <c:formatCode>0.00</c:formatCode>
                <c:ptCount val="4"/>
                <c:pt idx="0">
                  <c:v>1.4583333329937886E-2</c:v>
                </c:pt>
                <c:pt idx="1">
                  <c:v>0.12361111110658385</c:v>
                </c:pt>
                <c:pt idx="2">
                  <c:v>0.23958333332848269</c:v>
                </c:pt>
                <c:pt idx="3">
                  <c:v>0.35069444444525288</c:v>
                </c:pt>
              </c:numCache>
            </c:numRef>
          </c:xVal>
          <c:yVal>
            <c:numRef>
              <c:f>'Low Summary'!$H$6:$K$6</c:f>
              <c:numCache>
                <c:formatCode>General</c:formatCode>
                <c:ptCount val="4"/>
                <c:pt idx="0">
                  <c:v>4.3155817030709399E-2</c:v>
                </c:pt>
                <c:pt idx="1">
                  <c:v>3.3220545177898797E-2</c:v>
                </c:pt>
                <c:pt idx="2">
                  <c:v>3.4800247470981281E-2</c:v>
                </c:pt>
                <c:pt idx="3">
                  <c:v>3.4736358479763994E-2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9E-4838-A0D0-102EA9ACECE2}"/>
            </c:ext>
          </c:extLst>
        </c:ser>
        <c:ser>
          <c:idx val="2"/>
          <c:order val="2"/>
          <c:tx>
            <c:v>rep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'Low Summary'!$C$7:$F$7</c:f>
              <c:numCache>
                <c:formatCode>0.00</c:formatCode>
                <c:ptCount val="4"/>
                <c:pt idx="0">
                  <c:v>1.5972222223354038E-2</c:v>
                </c:pt>
                <c:pt idx="1">
                  <c:v>0.125</c:v>
                </c:pt>
                <c:pt idx="2">
                  <c:v>0.24097222222189885</c:v>
                </c:pt>
                <c:pt idx="3">
                  <c:v>0.35277777777810115</c:v>
                </c:pt>
              </c:numCache>
            </c:numRef>
          </c:xVal>
          <c:yVal>
            <c:numRef>
              <c:f>'Low Summary'!$H$7:$K$7</c:f>
              <c:numCache>
                <c:formatCode>General</c:formatCode>
                <c:ptCount val="4"/>
                <c:pt idx="0">
                  <c:v>5.7704144559097281E-2</c:v>
                </c:pt>
                <c:pt idx="1">
                  <c:v>4.9722972974971705E-2</c:v>
                </c:pt>
                <c:pt idx="2">
                  <c:v>5.1528624701957633E-2</c:v>
                </c:pt>
                <c:pt idx="3">
                  <c:v>5.405364258357475E-2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9E-4838-A0D0-102EA9ACE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170832"/>
        <c:axId val="382164952"/>
      </c:scatterChart>
      <c:valAx>
        <c:axId val="38217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64952"/>
        <c:crosses val="autoZero"/>
        <c:crossBetween val="midCat"/>
      </c:valAx>
      <c:valAx>
        <c:axId val="38216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7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9G - Abandoned plantation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'High Summary'!$C$22:$G$22</c:f>
              <c:numCache>
                <c:formatCode>0.00</c:formatCode>
                <c:ptCount val="5"/>
                <c:pt idx="0">
                  <c:v>4.8611111109494232E-2</c:v>
                </c:pt>
                <c:pt idx="1">
                  <c:v>0.22013888888614019</c:v>
                </c:pt>
                <c:pt idx="2">
                  <c:v>0.32222222222480923</c:v>
                </c:pt>
                <c:pt idx="3">
                  <c:v>1.1527777777810115</c:v>
                </c:pt>
                <c:pt idx="4">
                  <c:v>2.1937499999985448</c:v>
                </c:pt>
              </c:numCache>
            </c:numRef>
          </c:xVal>
          <c:yVal>
            <c:numRef>
              <c:f>'High Summary'!$I$22:$M$22</c:f>
              <c:numCache>
                <c:formatCode>General</c:formatCode>
                <c:ptCount val="5"/>
                <c:pt idx="0">
                  <c:v>16.978392387452455</c:v>
                </c:pt>
                <c:pt idx="1">
                  <c:v>14.982643941479003</c:v>
                </c:pt>
                <c:pt idx="2">
                  <c:v>13.611974672913034</c:v>
                </c:pt>
                <c:pt idx="3">
                  <c:v>8.2094376622737677</c:v>
                </c:pt>
                <c:pt idx="4">
                  <c:v>4.1659948639873594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60-46CD-A41D-C6A6DB558EFF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'High Summary'!$C$23:$G$23</c:f>
              <c:numCache>
                <c:formatCode>0.00</c:formatCode>
                <c:ptCount val="5"/>
                <c:pt idx="0">
                  <c:v>5.0694444442342501E-2</c:v>
                </c:pt>
                <c:pt idx="1">
                  <c:v>0.22222222222626442</c:v>
                </c:pt>
                <c:pt idx="2">
                  <c:v>0.32499999999708962</c:v>
                </c:pt>
                <c:pt idx="3">
                  <c:v>1.1548611111138598</c:v>
                </c:pt>
                <c:pt idx="4">
                  <c:v>2.1958333333313931</c:v>
                </c:pt>
              </c:numCache>
            </c:numRef>
          </c:xVal>
          <c:yVal>
            <c:numRef>
              <c:f>'High Summary'!$I$23:$M$23</c:f>
              <c:numCache>
                <c:formatCode>General</c:formatCode>
                <c:ptCount val="5"/>
                <c:pt idx="0">
                  <c:v>11.81111683686434</c:v>
                </c:pt>
                <c:pt idx="1">
                  <c:v>2.1784610326285754</c:v>
                </c:pt>
                <c:pt idx="2">
                  <c:v>0.75772103023647541</c:v>
                </c:pt>
                <c:pt idx="3">
                  <c:v>8.075852625786277E-2</c:v>
                </c:pt>
                <c:pt idx="4">
                  <c:v>5.9776570997257798E-2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60-46CD-A41D-C6A6DB558EFF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'High Summary'!$C$24:$G$24</c:f>
              <c:numCache>
                <c:formatCode>0.00</c:formatCode>
                <c:ptCount val="5"/>
                <c:pt idx="0">
                  <c:v>5.2777777775190771E-2</c:v>
                </c:pt>
                <c:pt idx="1">
                  <c:v>0.22430555555911269</c:v>
                </c:pt>
                <c:pt idx="2">
                  <c:v>0.32708333333721384</c:v>
                </c:pt>
                <c:pt idx="3">
                  <c:v>1.1569444444467081</c:v>
                </c:pt>
                <c:pt idx="4">
                  <c:v>2.1972222222248092</c:v>
                </c:pt>
              </c:numCache>
            </c:numRef>
          </c:xVal>
          <c:yVal>
            <c:numRef>
              <c:f>'High Summary'!$I$24:$M$24</c:f>
              <c:numCache>
                <c:formatCode>General</c:formatCode>
                <c:ptCount val="5"/>
                <c:pt idx="0">
                  <c:v>17.60443275379637</c:v>
                </c:pt>
                <c:pt idx="1">
                  <c:v>17.036483231895819</c:v>
                </c:pt>
                <c:pt idx="2">
                  <c:v>16.370809733300717</c:v>
                </c:pt>
                <c:pt idx="3">
                  <c:v>15.844119495016288</c:v>
                </c:pt>
                <c:pt idx="4">
                  <c:v>14.422441426170321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60-46CD-A41D-C6A6DB558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753008"/>
        <c:axId val="424752616"/>
      </c:scatterChart>
      <c:valAx>
        <c:axId val="42475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52616"/>
        <c:crosses val="autoZero"/>
        <c:crossBetween val="midCat"/>
      </c:valAx>
      <c:valAx>
        <c:axId val="42475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5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10G - Thorny mineral</a:t>
            </a:r>
            <a:r>
              <a:rPr lang="en-US" baseline="0"/>
              <a:t> wetland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'High Summary'!$C$25:$G$25</c:f>
              <c:numCache>
                <c:formatCode>0.00</c:formatCode>
                <c:ptCount val="5"/>
                <c:pt idx="0">
                  <c:v>5.4166666668606922E-2</c:v>
                </c:pt>
                <c:pt idx="1">
                  <c:v>0.22569444444525288</c:v>
                </c:pt>
                <c:pt idx="2">
                  <c:v>0.33611111110803904</c:v>
                </c:pt>
                <c:pt idx="3">
                  <c:v>1.1583333333328483</c:v>
                </c:pt>
                <c:pt idx="4">
                  <c:v>2.1986111111109494</c:v>
                </c:pt>
              </c:numCache>
            </c:numRef>
          </c:xVal>
          <c:yVal>
            <c:numRef>
              <c:f>'High Summary'!$I$25:$M$25</c:f>
              <c:numCache>
                <c:formatCode>General</c:formatCode>
                <c:ptCount val="5"/>
                <c:pt idx="0">
                  <c:v>15.083053352060297</c:v>
                </c:pt>
                <c:pt idx="1">
                  <c:v>1.6911754613727017</c:v>
                </c:pt>
                <c:pt idx="2">
                  <c:v>0.47326333950161459</c:v>
                </c:pt>
                <c:pt idx="3">
                  <c:v>0.13823973689397073</c:v>
                </c:pt>
                <c:pt idx="4">
                  <c:v>9.7117667057184859E-2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D3-4B76-8EF5-F9E4B4C61BB3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'High Summary'!$C$26:$G$26</c:f>
              <c:numCache>
                <c:formatCode>0.00</c:formatCode>
                <c:ptCount val="5"/>
                <c:pt idx="0">
                  <c:v>5.5555555562023073E-2</c:v>
                </c:pt>
                <c:pt idx="1">
                  <c:v>0.22708333333866904</c:v>
                </c:pt>
                <c:pt idx="2">
                  <c:v>0.33819444444816327</c:v>
                </c:pt>
                <c:pt idx="3">
                  <c:v>1.1597222222262644</c:v>
                </c:pt>
                <c:pt idx="4">
                  <c:v>2.2000000000043656</c:v>
                </c:pt>
              </c:numCache>
            </c:numRef>
          </c:xVal>
          <c:yVal>
            <c:numRef>
              <c:f>'High Summary'!$I$26:$M$26</c:f>
              <c:numCache>
                <c:formatCode>General</c:formatCode>
                <c:ptCount val="5"/>
                <c:pt idx="0">
                  <c:v>15.771354446105564</c:v>
                </c:pt>
                <c:pt idx="1">
                  <c:v>2.1953672099346488</c:v>
                </c:pt>
                <c:pt idx="2">
                  <c:v>0.78714225456335718</c:v>
                </c:pt>
                <c:pt idx="3">
                  <c:v>0.11113810909290556</c:v>
                </c:pt>
                <c:pt idx="4">
                  <c:v>9.543152148143226E-2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D3-4B76-8EF5-F9E4B4C61BB3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'High Summary'!$C$27:$G$27</c:f>
              <c:numCache>
                <c:formatCode>0.00</c:formatCode>
                <c:ptCount val="5"/>
                <c:pt idx="0">
                  <c:v>5.7638888894871343E-2</c:v>
                </c:pt>
                <c:pt idx="1">
                  <c:v>0.22986111111094942</c:v>
                </c:pt>
                <c:pt idx="2">
                  <c:v>0.34027777778101154</c:v>
                </c:pt>
                <c:pt idx="3">
                  <c:v>1.1625000000058208</c:v>
                </c:pt>
                <c:pt idx="4">
                  <c:v>2.2020833333372138</c:v>
                </c:pt>
              </c:numCache>
            </c:numRef>
          </c:xVal>
          <c:yVal>
            <c:numRef>
              <c:f>'High Summary'!$I$27:$M$27</c:f>
              <c:numCache>
                <c:formatCode>General</c:formatCode>
                <c:ptCount val="5"/>
                <c:pt idx="0">
                  <c:v>16.287441149075924</c:v>
                </c:pt>
                <c:pt idx="1">
                  <c:v>6.1879542108571455</c:v>
                </c:pt>
                <c:pt idx="2">
                  <c:v>2.8914339701514207</c:v>
                </c:pt>
                <c:pt idx="3">
                  <c:v>6.3972563451843031E-2</c:v>
                </c:pt>
                <c:pt idx="4">
                  <c:v>5.523718766850564E-2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D3-4B76-8EF5-F9E4B4C61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749872"/>
        <c:axId val="424750264"/>
      </c:scatterChart>
      <c:valAx>
        <c:axId val="42474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50264"/>
        <c:crosses val="autoZero"/>
        <c:crossBetween val="midCat"/>
      </c:valAx>
      <c:valAx>
        <c:axId val="42475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4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1R - Laterite mine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'High Summary'!$C$28:$G$28</c:f>
              <c:numCache>
                <c:formatCode>0.00</c:formatCode>
                <c:ptCount val="5"/>
                <c:pt idx="0">
                  <c:v>5.9722222227719612E-2</c:v>
                </c:pt>
                <c:pt idx="1">
                  <c:v>0.23194444445107365</c:v>
                </c:pt>
                <c:pt idx="2">
                  <c:v>0.34722222222626442</c:v>
                </c:pt>
                <c:pt idx="3">
                  <c:v>1.164583333338669</c:v>
                </c:pt>
                <c:pt idx="4">
                  <c:v>2.2055555555562023</c:v>
                </c:pt>
              </c:numCache>
            </c:numRef>
          </c:xVal>
          <c:yVal>
            <c:numRef>
              <c:f>'High Summary'!$I$28:$M$28</c:f>
              <c:numCache>
                <c:formatCode>General</c:formatCode>
                <c:ptCount val="5"/>
                <c:pt idx="0">
                  <c:v>15.167720806901258</c:v>
                </c:pt>
                <c:pt idx="1">
                  <c:v>7.7944679422087884</c:v>
                </c:pt>
                <c:pt idx="2">
                  <c:v>5.0417142522636729</c:v>
                </c:pt>
                <c:pt idx="3">
                  <c:v>6.7732239937243574E-2</c:v>
                </c:pt>
                <c:pt idx="4">
                  <c:v>5.2030379052665401E-2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0B-4692-8497-8D9391D601AD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'High Summary'!$C$29:$G$29</c:f>
              <c:numCache>
                <c:formatCode>0.00</c:formatCode>
                <c:ptCount val="5"/>
                <c:pt idx="0">
                  <c:v>6.1111111113859806E-2</c:v>
                </c:pt>
                <c:pt idx="1">
                  <c:v>0.23402777777664596</c:v>
                </c:pt>
                <c:pt idx="2">
                  <c:v>0.34861111111240461</c:v>
                </c:pt>
                <c:pt idx="3">
                  <c:v>1.1659722222248092</c:v>
                </c:pt>
                <c:pt idx="4">
                  <c:v>2.2069444444423425</c:v>
                </c:pt>
              </c:numCache>
            </c:numRef>
          </c:xVal>
          <c:yVal>
            <c:numRef>
              <c:f>'High Summary'!$I$29:$M$29</c:f>
              <c:numCache>
                <c:formatCode>General</c:formatCode>
                <c:ptCount val="5"/>
                <c:pt idx="0">
                  <c:v>12.948830529181095</c:v>
                </c:pt>
                <c:pt idx="1">
                  <c:v>8.84849029849914</c:v>
                </c:pt>
                <c:pt idx="2">
                  <c:v>7.1802760334396494</c:v>
                </c:pt>
                <c:pt idx="3">
                  <c:v>1.5760666159245205</c:v>
                </c:pt>
                <c:pt idx="4">
                  <c:v>4.2028390784013617E-2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0B-4692-8497-8D9391D601AD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'High Summary'!$C$30:$G$30</c:f>
              <c:numCache>
                <c:formatCode>0.00</c:formatCode>
                <c:ptCount val="5"/>
                <c:pt idx="0">
                  <c:v>6.3194444446708076E-2</c:v>
                </c:pt>
                <c:pt idx="1">
                  <c:v>0.23611111110949423</c:v>
                </c:pt>
                <c:pt idx="2">
                  <c:v>0.35138888889196096</c:v>
                </c:pt>
                <c:pt idx="3">
                  <c:v>1.1673611111109494</c:v>
                </c:pt>
                <c:pt idx="4">
                  <c:v>2.2090277777824667</c:v>
                </c:pt>
              </c:numCache>
            </c:numRef>
          </c:xVal>
          <c:yVal>
            <c:numRef>
              <c:f>'High Summary'!$I$30:$M$30</c:f>
              <c:numCache>
                <c:formatCode>General</c:formatCode>
                <c:ptCount val="5"/>
                <c:pt idx="0">
                  <c:v>17.521381070638743</c:v>
                </c:pt>
                <c:pt idx="1">
                  <c:v>16.998437350826972</c:v>
                </c:pt>
                <c:pt idx="2">
                  <c:v>16.406088869017179</c:v>
                </c:pt>
                <c:pt idx="3">
                  <c:v>13.890940845919163</c:v>
                </c:pt>
                <c:pt idx="4">
                  <c:v>10.293824293017915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0B-4692-8497-8D9391D60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746736"/>
        <c:axId val="424737328"/>
      </c:scatterChart>
      <c:valAx>
        <c:axId val="42474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37328"/>
        <c:crosses val="autoZero"/>
        <c:crossBetween val="midCat"/>
      </c:valAx>
      <c:valAx>
        <c:axId val="42473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4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2R - Wetland outside of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1+'High Summary'!$C$31:$G$31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'High Summary'!$C$31:$G$31</c:f>
              <c:numCache>
                <c:formatCode>0.00</c:formatCode>
                <c:ptCount val="5"/>
                <c:pt idx="0">
                  <c:v>6.4583333332848269E-2</c:v>
                </c:pt>
                <c:pt idx="1">
                  <c:v>0.23541666666278616</c:v>
                </c:pt>
                <c:pt idx="2">
                  <c:v>0.35416666666424135</c:v>
                </c:pt>
                <c:pt idx="3">
                  <c:v>1.1694444444437977</c:v>
                </c:pt>
                <c:pt idx="4">
                  <c:v>2.2104166666686069</c:v>
                </c:pt>
              </c:numCache>
            </c:numRef>
          </c:xVal>
          <c:yVal>
            <c:numRef>
              <c:f>'High Summary'!$I$31:$M$31</c:f>
              <c:numCache>
                <c:formatCode>General</c:formatCode>
                <c:ptCount val="5"/>
                <c:pt idx="0">
                  <c:v>24.292958955016495</c:v>
                </c:pt>
                <c:pt idx="1">
                  <c:v>15.073643633013203</c:v>
                </c:pt>
                <c:pt idx="2">
                  <c:v>9.7636435949538001</c:v>
                </c:pt>
                <c:pt idx="3">
                  <c:v>0.11849776398587787</c:v>
                </c:pt>
                <c:pt idx="4">
                  <c:v>6.0870262441087911E-2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1B-4976-9092-8CA148E8895D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'High Summary'!$C$32:$G$32</c:f>
              <c:numCache>
                <c:formatCode>0.00</c:formatCode>
                <c:ptCount val="5"/>
                <c:pt idx="0">
                  <c:v>6.5972222218988463E-2</c:v>
                </c:pt>
                <c:pt idx="1">
                  <c:v>0.23888888888905058</c:v>
                </c:pt>
                <c:pt idx="2">
                  <c:v>0.35555555555038154</c:v>
                </c:pt>
                <c:pt idx="3">
                  <c:v>1.1736111111094942</c:v>
                </c:pt>
                <c:pt idx="4">
                  <c:v>2.2118055555547471</c:v>
                </c:pt>
              </c:numCache>
            </c:numRef>
          </c:xVal>
          <c:yVal>
            <c:numRef>
              <c:f>'High Summary'!$I$32:$M$32</c:f>
              <c:numCache>
                <c:formatCode>General</c:formatCode>
                <c:ptCount val="5"/>
                <c:pt idx="0">
                  <c:v>14.802124156644862</c:v>
                </c:pt>
                <c:pt idx="1">
                  <c:v>3.1042467332005184</c:v>
                </c:pt>
                <c:pt idx="2">
                  <c:v>1.034372506657856</c:v>
                </c:pt>
                <c:pt idx="3">
                  <c:v>0.12363608870945308</c:v>
                </c:pt>
                <c:pt idx="4">
                  <c:v>9.4752199904438686E-2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1B-4976-9092-8CA148E8895D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'High Summary'!$C$33:$G$33</c:f>
              <c:numCache>
                <c:formatCode>0.00</c:formatCode>
                <c:ptCount val="5"/>
                <c:pt idx="0">
                  <c:v>6.8055555551836733E-2</c:v>
                </c:pt>
                <c:pt idx="1">
                  <c:v>0.24097222222189885</c:v>
                </c:pt>
                <c:pt idx="2">
                  <c:v>0.35763888888322981</c:v>
                </c:pt>
                <c:pt idx="3">
                  <c:v>1.1756944444423425</c:v>
                </c:pt>
                <c:pt idx="4">
                  <c:v>2.2138888888875954</c:v>
                </c:pt>
              </c:numCache>
            </c:numRef>
          </c:xVal>
          <c:yVal>
            <c:numRef>
              <c:f>'High Summary'!$I$33:$M$33</c:f>
              <c:numCache>
                <c:formatCode>General</c:formatCode>
                <c:ptCount val="5"/>
                <c:pt idx="0">
                  <c:v>21.635391854881586</c:v>
                </c:pt>
                <c:pt idx="1">
                  <c:v>13.197649779161676</c:v>
                </c:pt>
                <c:pt idx="2">
                  <c:v>9.0031481430641254</c:v>
                </c:pt>
                <c:pt idx="3">
                  <c:v>0.1486121905525587</c:v>
                </c:pt>
                <c:pt idx="4">
                  <c:v>6.2705248759320917E-2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1B-4976-9092-8CA148E88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743992"/>
        <c:axId val="424747128"/>
      </c:scatterChart>
      <c:valAx>
        <c:axId val="424743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47128"/>
        <c:crosses val="autoZero"/>
        <c:crossBetween val="midCat"/>
      </c:valAx>
      <c:valAx>
        <c:axId val="42474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43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3R - Seasonally wet forest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'High Summary'!$C$34:$G$34</c:f>
              <c:numCache>
                <c:formatCode>0.00</c:formatCode>
                <c:ptCount val="5"/>
                <c:pt idx="0">
                  <c:v>7.0833333331393078E-2</c:v>
                </c:pt>
                <c:pt idx="1">
                  <c:v>0.24305555555474712</c:v>
                </c:pt>
                <c:pt idx="2">
                  <c:v>0.35972222221607808</c:v>
                </c:pt>
                <c:pt idx="3">
                  <c:v>1.1777777777751908</c:v>
                </c:pt>
                <c:pt idx="4">
                  <c:v>2.2159722222204437</c:v>
                </c:pt>
              </c:numCache>
            </c:numRef>
          </c:xVal>
          <c:yVal>
            <c:numRef>
              <c:f>'High Summary'!$I$34:$M$34</c:f>
              <c:numCache>
                <c:formatCode>General</c:formatCode>
                <c:ptCount val="5"/>
                <c:pt idx="0">
                  <c:v>26.874268901095711</c:v>
                </c:pt>
                <c:pt idx="1">
                  <c:v>25.956426585832407</c:v>
                </c:pt>
                <c:pt idx="2">
                  <c:v>24.065362808534935</c:v>
                </c:pt>
                <c:pt idx="3">
                  <c:v>17.229882467704037</c:v>
                </c:pt>
                <c:pt idx="4">
                  <c:v>16.310861925729306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30-4E67-AB69-53D0BBCFDEC5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'High Summary'!$C$35:$G$35</c:f>
              <c:numCache>
                <c:formatCode>0.00</c:formatCode>
                <c:ptCount val="5"/>
                <c:pt idx="0">
                  <c:v>7.1527777778101154E-2</c:v>
                </c:pt>
                <c:pt idx="1">
                  <c:v>0.24513888888759539</c:v>
                </c:pt>
                <c:pt idx="2">
                  <c:v>0.36180555555620231</c:v>
                </c:pt>
                <c:pt idx="3">
                  <c:v>1.1791666666686069</c:v>
                </c:pt>
                <c:pt idx="4">
                  <c:v>2.2180555555605679</c:v>
                </c:pt>
              </c:numCache>
            </c:numRef>
          </c:xVal>
          <c:yVal>
            <c:numRef>
              <c:f>'High Summary'!$I$35:$M$35</c:f>
              <c:numCache>
                <c:formatCode>General</c:formatCode>
                <c:ptCount val="5"/>
                <c:pt idx="0">
                  <c:v>23.565213097464508</c:v>
                </c:pt>
                <c:pt idx="1">
                  <c:v>21.661285027276463</c:v>
                </c:pt>
                <c:pt idx="2">
                  <c:v>20.98333573452166</c:v>
                </c:pt>
                <c:pt idx="3">
                  <c:v>14.487012973284063</c:v>
                </c:pt>
                <c:pt idx="4">
                  <c:v>11.958615400600063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30-4E67-AB69-53D0BBCFDEC5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'High Summary'!$C$36:$G$36</c:f>
              <c:numCache>
                <c:formatCode>0.00</c:formatCode>
                <c:ptCount val="5"/>
                <c:pt idx="0">
                  <c:v>7.4305555557657499E-2</c:v>
                </c:pt>
                <c:pt idx="1">
                  <c:v>0.24652777778101154</c:v>
                </c:pt>
                <c:pt idx="2">
                  <c:v>0.36388888888905058</c:v>
                </c:pt>
                <c:pt idx="3">
                  <c:v>1.1812500000014552</c:v>
                </c:pt>
                <c:pt idx="4">
                  <c:v>2.2201388888934162</c:v>
                </c:pt>
              </c:numCache>
            </c:numRef>
          </c:xVal>
          <c:yVal>
            <c:numRef>
              <c:f>'High Summary'!$I$36:$M$36</c:f>
              <c:numCache>
                <c:formatCode>General</c:formatCode>
                <c:ptCount val="5"/>
                <c:pt idx="0">
                  <c:v>23.364029319894232</c:v>
                </c:pt>
                <c:pt idx="1">
                  <c:v>17.807586737969579</c:v>
                </c:pt>
                <c:pt idx="2">
                  <c:v>14.650203915925834</c:v>
                </c:pt>
                <c:pt idx="3">
                  <c:v>3.509301472997632</c:v>
                </c:pt>
                <c:pt idx="4">
                  <c:v>0.12192691635515172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30-4E67-AB69-53D0BBCFD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739680"/>
        <c:axId val="424740464"/>
      </c:scatterChart>
      <c:valAx>
        <c:axId val="42473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40464"/>
        <c:crosses val="autoZero"/>
        <c:crossBetween val="midCat"/>
      </c:valAx>
      <c:valAx>
        <c:axId val="42474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3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4R</a:t>
            </a:r>
            <a:r>
              <a:rPr lang="en-US" baseline="0"/>
              <a:t> - Wetland inside of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'High Summary'!$C$37:$G$37</c:f>
              <c:numCache>
                <c:formatCode>0.00</c:formatCode>
                <c:ptCount val="5"/>
                <c:pt idx="0">
                  <c:v>7.5694444443797693E-2</c:v>
                </c:pt>
                <c:pt idx="1">
                  <c:v>0.24930555555329192</c:v>
                </c:pt>
                <c:pt idx="2">
                  <c:v>0.36527777777519077</c:v>
                </c:pt>
                <c:pt idx="3">
                  <c:v>1.1826388888875954</c:v>
                </c:pt>
                <c:pt idx="4">
                  <c:v>2.2222222222189885</c:v>
                </c:pt>
              </c:numCache>
            </c:numRef>
          </c:xVal>
          <c:yVal>
            <c:numRef>
              <c:f>'High Summary'!$I$37:$M$37</c:f>
              <c:numCache>
                <c:formatCode>General</c:formatCode>
                <c:ptCount val="5"/>
                <c:pt idx="0">
                  <c:v>19.209315744814504</c:v>
                </c:pt>
                <c:pt idx="1">
                  <c:v>13.971724541224802</c:v>
                </c:pt>
                <c:pt idx="2">
                  <c:v>10.991750247089517</c:v>
                </c:pt>
                <c:pt idx="3">
                  <c:v>1.2906722419178325</c:v>
                </c:pt>
                <c:pt idx="4">
                  <c:v>0.12463801582647781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0D-4D72-A57C-2E97D13F9792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'High Summary'!$C$38:$G$38</c:f>
              <c:numCache>
                <c:formatCode>0.00</c:formatCode>
                <c:ptCount val="5"/>
                <c:pt idx="0">
                  <c:v>7.7083333329937886E-2</c:v>
                </c:pt>
                <c:pt idx="1">
                  <c:v>0.25138888888614019</c:v>
                </c:pt>
                <c:pt idx="2">
                  <c:v>0.36666666666133096</c:v>
                </c:pt>
                <c:pt idx="3">
                  <c:v>1.1840277777737356</c:v>
                </c:pt>
                <c:pt idx="4">
                  <c:v>2.2229166666656965</c:v>
                </c:pt>
              </c:numCache>
            </c:numRef>
          </c:xVal>
          <c:yVal>
            <c:numRef>
              <c:f>'High Summary'!$I$38:$M$38</c:f>
              <c:numCache>
                <c:formatCode>General</c:formatCode>
                <c:ptCount val="5"/>
                <c:pt idx="0">
                  <c:v>22.740857817804226</c:v>
                </c:pt>
                <c:pt idx="1">
                  <c:v>11.370519479230451</c:v>
                </c:pt>
                <c:pt idx="2">
                  <c:v>6.9508812128217095</c:v>
                </c:pt>
                <c:pt idx="3">
                  <c:v>0.13109485869800994</c:v>
                </c:pt>
                <c:pt idx="4">
                  <c:v>6.6214451495864468E-2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0D-4D72-A57C-2E97D13F9792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'High Summary'!$C$39:$G$39</c:f>
              <c:numCache>
                <c:formatCode>0.00</c:formatCode>
                <c:ptCount val="5"/>
                <c:pt idx="0">
                  <c:v>7.9166666662786156E-2</c:v>
                </c:pt>
                <c:pt idx="1">
                  <c:v>0.25347222221898846</c:v>
                </c:pt>
                <c:pt idx="2">
                  <c:v>0.36944444444088731</c:v>
                </c:pt>
                <c:pt idx="3">
                  <c:v>1.1861111111065838</c:v>
                </c:pt>
                <c:pt idx="4">
                  <c:v>2.2249999999985448</c:v>
                </c:pt>
              </c:numCache>
            </c:numRef>
          </c:xVal>
          <c:yVal>
            <c:numRef>
              <c:f>'High Summary'!$I$39:$M$39</c:f>
              <c:numCache>
                <c:formatCode>General</c:formatCode>
                <c:ptCount val="5"/>
                <c:pt idx="0">
                  <c:v>18.937614203443726</c:v>
                </c:pt>
                <c:pt idx="1">
                  <c:v>14.8721699350096</c:v>
                </c:pt>
                <c:pt idx="2">
                  <c:v>13.16198004653741</c:v>
                </c:pt>
                <c:pt idx="3">
                  <c:v>4.2702296116715965</c:v>
                </c:pt>
                <c:pt idx="4">
                  <c:v>1.0375683938115161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0D-4D72-A57C-2E97D13F9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748696"/>
        <c:axId val="424741640"/>
      </c:scatterChart>
      <c:valAx>
        <c:axId val="424748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41640"/>
        <c:crosses val="autoZero"/>
        <c:crossBetween val="midCat"/>
      </c:valAx>
      <c:valAx>
        <c:axId val="42474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48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5R - Forest inside</a:t>
            </a:r>
            <a:r>
              <a:rPr lang="en-US" baseline="0"/>
              <a:t> of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'High Summary'!$C$40:$G$40</c:f>
              <c:numCache>
                <c:formatCode>0.00</c:formatCode>
                <c:ptCount val="5"/>
                <c:pt idx="0">
                  <c:v>8.0555555556202307E-2</c:v>
                </c:pt>
                <c:pt idx="1">
                  <c:v>0.25555555555911269</c:v>
                </c:pt>
                <c:pt idx="2">
                  <c:v>0.37083333333430346</c:v>
                </c:pt>
                <c:pt idx="3">
                  <c:v>1.1875</c:v>
                </c:pt>
                <c:pt idx="4">
                  <c:v>2.226388888891961</c:v>
                </c:pt>
              </c:numCache>
            </c:numRef>
          </c:xVal>
          <c:yVal>
            <c:numRef>
              <c:f>'High Summary'!$I$40:$M$40</c:f>
              <c:numCache>
                <c:formatCode>General</c:formatCode>
                <c:ptCount val="5"/>
                <c:pt idx="0">
                  <c:v>11.581638868931291</c:v>
                </c:pt>
                <c:pt idx="1">
                  <c:v>8.6637662452560775</c:v>
                </c:pt>
                <c:pt idx="2">
                  <c:v>6.9260653117498761</c:v>
                </c:pt>
                <c:pt idx="3">
                  <c:v>0.57111753120098696</c:v>
                </c:pt>
                <c:pt idx="4">
                  <c:v>4.2692247434607707E-2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31-4BD0-9EB2-6EE5EF11AA5E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'High Summary'!$C$41:$G$41</c:f>
              <c:numCache>
                <c:formatCode>0.00</c:formatCode>
                <c:ptCount val="5"/>
                <c:pt idx="0">
                  <c:v>8.2638888889050577E-2</c:v>
                </c:pt>
                <c:pt idx="1">
                  <c:v>0.25763888889196096</c:v>
                </c:pt>
                <c:pt idx="2">
                  <c:v>0.37291666666715173</c:v>
                </c:pt>
                <c:pt idx="3">
                  <c:v>1.1895833333328483</c:v>
                </c:pt>
                <c:pt idx="4">
                  <c:v>2.2284722222248092</c:v>
                </c:pt>
              </c:numCache>
            </c:numRef>
          </c:xVal>
          <c:yVal>
            <c:numRef>
              <c:f>'High Summary'!$I$41:$M$41</c:f>
              <c:numCache>
                <c:formatCode>General</c:formatCode>
                <c:ptCount val="5"/>
                <c:pt idx="0">
                  <c:v>25.686425271723074</c:v>
                </c:pt>
                <c:pt idx="1">
                  <c:v>21.868601894898909</c:v>
                </c:pt>
                <c:pt idx="2">
                  <c:v>19.354485845880117</c:v>
                </c:pt>
                <c:pt idx="3">
                  <c:v>9.6895978880967668</c:v>
                </c:pt>
                <c:pt idx="4">
                  <c:v>4.8387851204068211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31-4BD0-9EB2-6EE5EF11AA5E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'High Summary'!$C$42:$G$42</c:f>
              <c:numCache>
                <c:formatCode>0.00</c:formatCode>
                <c:ptCount val="5"/>
                <c:pt idx="0">
                  <c:v>8.4027777775190771E-2</c:v>
                </c:pt>
                <c:pt idx="1">
                  <c:v>0.25902777777810115</c:v>
                </c:pt>
                <c:pt idx="2">
                  <c:v>0.375</c:v>
                </c:pt>
                <c:pt idx="3">
                  <c:v>1.1909722222189885</c:v>
                </c:pt>
                <c:pt idx="4">
                  <c:v>2.2298611111109494</c:v>
                </c:pt>
              </c:numCache>
            </c:numRef>
          </c:xVal>
          <c:yVal>
            <c:numRef>
              <c:f>'High Summary'!$I$42:$M$42</c:f>
              <c:numCache>
                <c:formatCode>General</c:formatCode>
                <c:ptCount val="5"/>
                <c:pt idx="0">
                  <c:v>27.347308080687036</c:v>
                </c:pt>
                <c:pt idx="1">
                  <c:v>26.435281075287456</c:v>
                </c:pt>
                <c:pt idx="2">
                  <c:v>26.288236054204845</c:v>
                </c:pt>
                <c:pt idx="3">
                  <c:v>19.682696346466685</c:v>
                </c:pt>
                <c:pt idx="4">
                  <c:v>14.68986599683587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31-4BD0-9EB2-6EE5EF11A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740856"/>
        <c:axId val="424745952"/>
      </c:scatterChart>
      <c:valAx>
        <c:axId val="42474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45952"/>
        <c:crosses val="autoZero"/>
        <c:crossBetween val="midCat"/>
      </c:valAx>
      <c:valAx>
        <c:axId val="42474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40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6R - Seasonally wet organic site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'High Summary'!$C$43:$G$43</c:f>
              <c:numCache>
                <c:formatCode>0.00</c:formatCode>
                <c:ptCount val="5"/>
                <c:pt idx="0">
                  <c:v>8.611111110803904E-2</c:v>
                </c:pt>
                <c:pt idx="1">
                  <c:v>0.26111111111094942</c:v>
                </c:pt>
                <c:pt idx="2">
                  <c:v>0.37638888888614019</c:v>
                </c:pt>
                <c:pt idx="3">
                  <c:v>1.1930555555518367</c:v>
                </c:pt>
                <c:pt idx="4">
                  <c:v>2.2319444444437977</c:v>
                </c:pt>
              </c:numCache>
            </c:numRef>
          </c:xVal>
          <c:yVal>
            <c:numRef>
              <c:f>'High Summary'!$I$43:$M$43</c:f>
              <c:numCache>
                <c:formatCode>General</c:formatCode>
                <c:ptCount val="5"/>
                <c:pt idx="0">
                  <c:v>27.850838133124793</c:v>
                </c:pt>
                <c:pt idx="1">
                  <c:v>23.888103112408317</c:v>
                </c:pt>
                <c:pt idx="2">
                  <c:v>21.769423641444913</c:v>
                </c:pt>
                <c:pt idx="3">
                  <c:v>9.5646479399615885</c:v>
                </c:pt>
                <c:pt idx="4">
                  <c:v>1.404551100102347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4E-419D-A641-46C1E347A0E7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'High Summary'!$C$44:$G$44</c:f>
              <c:numCache>
                <c:formatCode>0.00</c:formatCode>
                <c:ptCount val="5"/>
                <c:pt idx="0">
                  <c:v>8.8888888887595385E-2</c:v>
                </c:pt>
                <c:pt idx="1">
                  <c:v>0.26388888889050577</c:v>
                </c:pt>
                <c:pt idx="2">
                  <c:v>0.37847222221898846</c:v>
                </c:pt>
                <c:pt idx="3">
                  <c:v>1.195138888891961</c:v>
                </c:pt>
                <c:pt idx="4">
                  <c:v>2.234027777776646</c:v>
                </c:pt>
              </c:numCache>
            </c:numRef>
          </c:xVal>
          <c:yVal>
            <c:numRef>
              <c:f>'High Summary'!$I$44:$M$44</c:f>
              <c:numCache>
                <c:formatCode>General</c:formatCode>
                <c:ptCount val="5"/>
                <c:pt idx="0">
                  <c:v>26.296381587074396</c:v>
                </c:pt>
                <c:pt idx="1">
                  <c:v>21.116740855318348</c:v>
                </c:pt>
                <c:pt idx="2">
                  <c:v>18.165954473910212</c:v>
                </c:pt>
                <c:pt idx="3">
                  <c:v>1.7510489946366223</c:v>
                </c:pt>
                <c:pt idx="4">
                  <c:v>7.0839084390014212E-2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4E-419D-A641-46C1E347A0E7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'High Summary'!$C$45:$G$45</c:f>
              <c:numCache>
                <c:formatCode>0.00</c:formatCode>
                <c:ptCount val="5"/>
                <c:pt idx="0">
                  <c:v>8.9583333334303461E-2</c:v>
                </c:pt>
                <c:pt idx="1">
                  <c:v>0.26527777777664596</c:v>
                </c:pt>
                <c:pt idx="2">
                  <c:v>0.37986111110512866</c:v>
                </c:pt>
                <c:pt idx="3">
                  <c:v>1.1965277777781012</c:v>
                </c:pt>
                <c:pt idx="4">
                  <c:v>2.2361111111094942</c:v>
                </c:pt>
              </c:numCache>
            </c:numRef>
          </c:xVal>
          <c:yVal>
            <c:numRef>
              <c:f>'High Summary'!$I$45:$M$45</c:f>
              <c:numCache>
                <c:formatCode>General</c:formatCode>
                <c:ptCount val="5"/>
                <c:pt idx="0">
                  <c:v>22.30236544026657</c:v>
                </c:pt>
                <c:pt idx="1">
                  <c:v>26.839153265077801</c:v>
                </c:pt>
                <c:pt idx="2">
                  <c:v>25.880962171757069</c:v>
                </c:pt>
                <c:pt idx="3">
                  <c:v>22.917358058956115</c:v>
                </c:pt>
                <c:pt idx="4">
                  <c:v>21.083993447404666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4E-419D-A641-46C1E347A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746344"/>
        <c:axId val="424742424"/>
      </c:scatterChart>
      <c:valAx>
        <c:axId val="424746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42424"/>
        <c:crosses val="autoZero"/>
        <c:crossBetween val="midCat"/>
      </c:valAx>
      <c:valAx>
        <c:axId val="42474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46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7R - Oil pipe wetland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'High Summary'!$C$46:$G$46</c:f>
              <c:numCache>
                <c:formatCode>0.00</c:formatCode>
                <c:ptCount val="5"/>
                <c:pt idx="0">
                  <c:v>9.2361111106583849E-2</c:v>
                </c:pt>
                <c:pt idx="1">
                  <c:v>0.26736111110949423</c:v>
                </c:pt>
                <c:pt idx="2">
                  <c:v>0.38194444444525288</c:v>
                </c:pt>
                <c:pt idx="3">
                  <c:v>1.1986111111109494</c:v>
                </c:pt>
                <c:pt idx="4">
                  <c:v>2.242361111108039</c:v>
                </c:pt>
              </c:numCache>
            </c:numRef>
          </c:xVal>
          <c:yVal>
            <c:numRef>
              <c:f>'High Summary'!$I$46:$M$46</c:f>
              <c:numCache>
                <c:formatCode>General</c:formatCode>
                <c:ptCount val="5"/>
                <c:pt idx="0">
                  <c:v>9.9548594377074959</c:v>
                </c:pt>
                <c:pt idx="1">
                  <c:v>9.1667036515899021</c:v>
                </c:pt>
                <c:pt idx="2">
                  <c:v>6.8537813916122436</c:v>
                </c:pt>
                <c:pt idx="3">
                  <c:v>0.4928217604160785</c:v>
                </c:pt>
                <c:pt idx="4">
                  <c:v>4.4363860331850927E-2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6C-4526-AA86-A66506DDE95D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'High Summary'!$C$47:$G$47</c:f>
              <c:numCache>
                <c:formatCode>0.00</c:formatCode>
                <c:ptCount val="5"/>
                <c:pt idx="0">
                  <c:v>9.375E-2</c:v>
                </c:pt>
                <c:pt idx="1">
                  <c:v>0.26875000000291038</c:v>
                </c:pt>
                <c:pt idx="2">
                  <c:v>0.38402777777810115</c:v>
                </c:pt>
                <c:pt idx="3">
                  <c:v>1.2000000000043656</c:v>
                </c:pt>
                <c:pt idx="4">
                  <c:v>2.2437500000014552</c:v>
                </c:pt>
              </c:numCache>
            </c:numRef>
          </c:xVal>
          <c:yVal>
            <c:numRef>
              <c:f>'High Summary'!$I$47:$M$47</c:f>
              <c:numCache>
                <c:formatCode>General</c:formatCode>
                <c:ptCount val="5"/>
                <c:pt idx="0">
                  <c:v>8.2382007493119591</c:v>
                </c:pt>
                <c:pt idx="1">
                  <c:v>5.0387892079478656</c:v>
                </c:pt>
                <c:pt idx="2">
                  <c:v>2.8916433383910718</c:v>
                </c:pt>
                <c:pt idx="3">
                  <c:v>5.8847541135966831E-2</c:v>
                </c:pt>
                <c:pt idx="4">
                  <c:v>2.6888280710213108E-2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6C-4526-AA86-A66506DDE95D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'High Summary'!$C$48:$G$48</c:f>
              <c:numCache>
                <c:formatCode>0.00</c:formatCode>
                <c:ptCount val="5"/>
                <c:pt idx="0">
                  <c:v>9.5833333332848269E-2</c:v>
                </c:pt>
                <c:pt idx="1">
                  <c:v>0.27083333333575865</c:v>
                </c:pt>
                <c:pt idx="2">
                  <c:v>0.38611111111094942</c:v>
                </c:pt>
                <c:pt idx="3">
                  <c:v>1.2020833333372138</c:v>
                </c:pt>
                <c:pt idx="4">
                  <c:v>2.2465277777810115</c:v>
                </c:pt>
              </c:numCache>
            </c:numRef>
          </c:xVal>
          <c:yVal>
            <c:numRef>
              <c:f>'High Summary'!$I$48:$M$48</c:f>
              <c:numCache>
                <c:formatCode>General</c:formatCode>
                <c:ptCount val="5"/>
                <c:pt idx="0">
                  <c:v>15.30310440804176</c:v>
                </c:pt>
                <c:pt idx="1">
                  <c:v>16.523463526517624</c:v>
                </c:pt>
                <c:pt idx="2">
                  <c:v>12.833436633431301</c:v>
                </c:pt>
                <c:pt idx="3">
                  <c:v>1.1656011703437692</c:v>
                </c:pt>
                <c:pt idx="4">
                  <c:v>0.14005264360286143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6C-4526-AA86-A66506DDE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747912"/>
        <c:axId val="424744384"/>
      </c:scatterChart>
      <c:valAx>
        <c:axId val="424747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44384"/>
        <c:crosses val="autoZero"/>
        <c:crossBetween val="midCat"/>
      </c:valAx>
      <c:valAx>
        <c:axId val="42474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47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3G - Peatland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'Low Summary'!$C$8:$F$8</c:f>
              <c:numCache>
                <c:formatCode>0.00</c:formatCode>
                <c:ptCount val="4"/>
                <c:pt idx="0">
                  <c:v>1.8055555556202307E-2</c:v>
                </c:pt>
                <c:pt idx="1">
                  <c:v>0.12708333333284827</c:v>
                </c:pt>
                <c:pt idx="2">
                  <c:v>0.24305555555474712</c:v>
                </c:pt>
                <c:pt idx="3">
                  <c:v>0.3555555555576575</c:v>
                </c:pt>
              </c:numCache>
            </c:numRef>
          </c:xVal>
          <c:yVal>
            <c:numRef>
              <c:f>'Low Summary'!$H$8:$K$8</c:f>
              <c:numCache>
                <c:formatCode>General</c:formatCode>
                <c:ptCount val="4"/>
                <c:pt idx="0">
                  <c:v>0.39814834942958205</c:v>
                </c:pt>
                <c:pt idx="1">
                  <c:v>9.8232972182158013E-2</c:v>
                </c:pt>
                <c:pt idx="2">
                  <c:v>9.1700987132487047E-2</c:v>
                </c:pt>
                <c:pt idx="3">
                  <c:v>8.4074989514116141E-2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E5-43C7-8C05-6E9C83CAA265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'Low Summary'!$C$9:$F$9</c:f>
              <c:numCache>
                <c:formatCode>0.00</c:formatCode>
                <c:ptCount val="4"/>
                <c:pt idx="0">
                  <c:v>1.9444444442342501E-2</c:v>
                </c:pt>
                <c:pt idx="1">
                  <c:v>0.12847222221898846</c:v>
                </c:pt>
                <c:pt idx="2">
                  <c:v>0.24444444444816327</c:v>
                </c:pt>
                <c:pt idx="3">
                  <c:v>0.35763888889050577</c:v>
                </c:pt>
              </c:numCache>
            </c:numRef>
          </c:xVal>
          <c:yVal>
            <c:numRef>
              <c:f>'Low Summary'!$H$9:$K$9</c:f>
              <c:numCache>
                <c:formatCode>General</c:formatCode>
                <c:ptCount val="4"/>
                <c:pt idx="0">
                  <c:v>0.26583658064471799</c:v>
                </c:pt>
                <c:pt idx="1">
                  <c:v>5.0550801498509816E-2</c:v>
                </c:pt>
                <c:pt idx="2">
                  <c:v>3.6640291830234463E-2</c:v>
                </c:pt>
                <c:pt idx="3">
                  <c:v>3.5204487784944567E-2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E5-43C7-8C05-6E9C83CAA265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'Low Summary'!$C$10:$F$10</c:f>
              <c:numCache>
                <c:formatCode>0.00</c:formatCode>
                <c:ptCount val="4"/>
                <c:pt idx="0">
                  <c:v>2.2222222221898846E-2</c:v>
                </c:pt>
                <c:pt idx="1">
                  <c:v>0.13124999999854481</c:v>
                </c:pt>
                <c:pt idx="2">
                  <c:v>0.24652777778101154</c:v>
                </c:pt>
                <c:pt idx="3">
                  <c:v>0.35972222222335404</c:v>
                </c:pt>
              </c:numCache>
            </c:numRef>
          </c:xVal>
          <c:yVal>
            <c:numRef>
              <c:f>'Low Summary'!$H$10:$K$10</c:f>
              <c:numCache>
                <c:formatCode>General</c:formatCode>
                <c:ptCount val="4"/>
                <c:pt idx="0">
                  <c:v>0.27661842700910272</c:v>
                </c:pt>
                <c:pt idx="1">
                  <c:v>4.4850192116837051E-2</c:v>
                </c:pt>
                <c:pt idx="2">
                  <c:v>3.3526127544315949E-2</c:v>
                </c:pt>
                <c:pt idx="3">
                  <c:v>3.220997397335678E-2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E5-43C7-8C05-6E9C83CAA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174752"/>
        <c:axId val="382175144"/>
      </c:scatterChart>
      <c:valAx>
        <c:axId val="38217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75144"/>
        <c:crosses val="autoZero"/>
        <c:crossBetween val="midCat"/>
      </c:valAx>
      <c:valAx>
        <c:axId val="38217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7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4G</a:t>
            </a:r>
            <a:r>
              <a:rPr lang="en-US" baseline="0"/>
              <a:t> - Forest Peatland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'Low Summary'!$C$11:$F$11</c:f>
              <c:numCache>
                <c:formatCode>0.00</c:formatCode>
                <c:ptCount val="4"/>
                <c:pt idx="0">
                  <c:v>2.4305555554747116E-2</c:v>
                </c:pt>
                <c:pt idx="1">
                  <c:v>0.13333333333139308</c:v>
                </c:pt>
                <c:pt idx="2">
                  <c:v>0.25</c:v>
                </c:pt>
                <c:pt idx="3">
                  <c:v>0.36180555555620231</c:v>
                </c:pt>
              </c:numCache>
            </c:numRef>
          </c:xVal>
          <c:yVal>
            <c:numRef>
              <c:f>'Low Summary'!$H$11:$K$11</c:f>
              <c:numCache>
                <c:formatCode>General</c:formatCode>
                <c:ptCount val="4"/>
                <c:pt idx="0">
                  <c:v>0.11317440858473343</c:v>
                </c:pt>
                <c:pt idx="1">
                  <c:v>7.5218619554717744E-2</c:v>
                </c:pt>
                <c:pt idx="2">
                  <c:v>6.179288181061466E-2</c:v>
                </c:pt>
                <c:pt idx="3">
                  <c:v>5.1687807250080105E-2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08-4B91-AE40-73180F38C238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'Low Summary'!$C$12:$F$12</c:f>
              <c:numCache>
                <c:formatCode>0.00</c:formatCode>
                <c:ptCount val="4"/>
                <c:pt idx="0">
                  <c:v>2.569444444088731E-2</c:v>
                </c:pt>
                <c:pt idx="1">
                  <c:v>0.13541666666424135</c:v>
                </c:pt>
                <c:pt idx="2">
                  <c:v>0.25138888888614019</c:v>
                </c:pt>
                <c:pt idx="3">
                  <c:v>0.3631944444423425</c:v>
                </c:pt>
              </c:numCache>
            </c:numRef>
          </c:xVal>
          <c:yVal>
            <c:numRef>
              <c:f>'Low Summary'!$H$12:$K$12</c:f>
              <c:numCache>
                <c:formatCode>General</c:formatCode>
                <c:ptCount val="4"/>
                <c:pt idx="0">
                  <c:v>0.1080809964556541</c:v>
                </c:pt>
                <c:pt idx="1">
                  <c:v>8.0604228393220206E-2</c:v>
                </c:pt>
                <c:pt idx="2">
                  <c:v>6.1463388650405765E-2</c:v>
                </c:pt>
                <c:pt idx="3">
                  <c:v>6.0288894552472543E-2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08-4B91-AE40-73180F38C238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'Low Summary'!$C$13:$F$13</c:f>
              <c:numCache>
                <c:formatCode>0.00</c:formatCode>
                <c:ptCount val="4"/>
                <c:pt idx="0">
                  <c:v>2.7777777773735579E-2</c:v>
                </c:pt>
                <c:pt idx="1">
                  <c:v>0.14097222222335404</c:v>
                </c:pt>
                <c:pt idx="2">
                  <c:v>0.25347222221898846</c:v>
                </c:pt>
                <c:pt idx="3">
                  <c:v>0.36597222222189885</c:v>
                </c:pt>
              </c:numCache>
            </c:numRef>
          </c:xVal>
          <c:yVal>
            <c:numRef>
              <c:f>'Low Summary'!$H$13:$K$13</c:f>
              <c:numCache>
                <c:formatCode>General</c:formatCode>
                <c:ptCount val="4"/>
                <c:pt idx="0">
                  <c:v>0.10526522324226222</c:v>
                </c:pt>
                <c:pt idx="1">
                  <c:v>7.1677840627534739E-2</c:v>
                </c:pt>
                <c:pt idx="2">
                  <c:v>5.4466999047291464E-2</c:v>
                </c:pt>
                <c:pt idx="3">
                  <c:v>4.5791107986266767E-2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08-4B91-AE40-73180F38C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174360"/>
        <c:axId val="382165736"/>
      </c:scatterChart>
      <c:valAx>
        <c:axId val="382174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65736"/>
        <c:crosses val="autoZero"/>
        <c:crossBetween val="midCat"/>
      </c:valAx>
      <c:valAx>
        <c:axId val="38216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74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5G - Termite Grassland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'Low Summary'!$C$14:$F$14</c:f>
              <c:numCache>
                <c:formatCode>0.00</c:formatCode>
                <c:ptCount val="4"/>
                <c:pt idx="0">
                  <c:v>2.9861111106583849E-2</c:v>
                </c:pt>
                <c:pt idx="1">
                  <c:v>0.14305555555620231</c:v>
                </c:pt>
                <c:pt idx="2">
                  <c:v>0.25555555555183673</c:v>
                </c:pt>
                <c:pt idx="3">
                  <c:v>0.36805555555474712</c:v>
                </c:pt>
              </c:numCache>
            </c:numRef>
          </c:xVal>
          <c:yVal>
            <c:numRef>
              <c:f>'Low Summary'!$H$14:$K$14</c:f>
              <c:numCache>
                <c:formatCode>General</c:formatCode>
                <c:ptCount val="4"/>
                <c:pt idx="0">
                  <c:v>2.2462375017660633E-2</c:v>
                </c:pt>
                <c:pt idx="1">
                  <c:v>1.0601324122191164E-2</c:v>
                </c:pt>
                <c:pt idx="2">
                  <c:v>5.8905410055487637E-3</c:v>
                </c:pt>
                <c:pt idx="3">
                  <c:v>5.8905410055487637E-3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B2-4097-A3B0-7A0CE2E0823C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'Low Summary'!$C$15:$F$15</c:f>
              <c:numCache>
                <c:formatCode>0.00</c:formatCode>
                <c:ptCount val="4"/>
                <c:pt idx="0">
                  <c:v>3.125E-2</c:v>
                </c:pt>
                <c:pt idx="1">
                  <c:v>0.14513888888905058</c:v>
                </c:pt>
                <c:pt idx="2">
                  <c:v>0.25694444444525288</c:v>
                </c:pt>
                <c:pt idx="3">
                  <c:v>0.37013888889487134</c:v>
                </c:pt>
              </c:numCache>
            </c:numRef>
          </c:xVal>
          <c:yVal>
            <c:numRef>
              <c:f>'Low Summary'!$H$15:$K$15</c:f>
              <c:numCache>
                <c:formatCode>General</c:formatCode>
                <c:ptCount val="4"/>
                <c:pt idx="0">
                  <c:v>6.4073840711505625E-2</c:v>
                </c:pt>
                <c:pt idx="1">
                  <c:v>3.8764777140157795E-2</c:v>
                </c:pt>
                <c:pt idx="2">
                  <c:v>2.5145615368983843E-2</c:v>
                </c:pt>
                <c:pt idx="3">
                  <c:v>2.3271280255653382E-2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B2-4097-A3B0-7A0CE2E0823C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'Low Summary'!$C$16:$F$16</c:f>
              <c:numCache>
                <c:formatCode>0.00</c:formatCode>
                <c:ptCount val="4"/>
                <c:pt idx="0">
                  <c:v>3.3333333332848269E-2</c:v>
                </c:pt>
                <c:pt idx="1">
                  <c:v>0.14791666666860692</c:v>
                </c:pt>
                <c:pt idx="2">
                  <c:v>0.25902777777810115</c:v>
                </c:pt>
                <c:pt idx="3">
                  <c:v>0.37222222222771961</c:v>
                </c:pt>
              </c:numCache>
            </c:numRef>
          </c:xVal>
          <c:yVal>
            <c:numRef>
              <c:f>'Low Summary'!$H$16:$K$16</c:f>
              <c:numCache>
                <c:formatCode>General</c:formatCode>
                <c:ptCount val="4"/>
                <c:pt idx="0">
                  <c:v>3.7330851670960181E-2</c:v>
                </c:pt>
                <c:pt idx="1">
                  <c:v>2.3263930702119108E-2</c:v>
                </c:pt>
                <c:pt idx="2">
                  <c:v>1.3634631770531726E-2</c:v>
                </c:pt>
                <c:pt idx="3">
                  <c:v>1.0173671026999532E-2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B2-4097-A3B0-7A0CE2E08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168088"/>
        <c:axId val="382168872"/>
      </c:scatterChart>
      <c:valAx>
        <c:axId val="382168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68872"/>
        <c:crosses val="autoZero"/>
        <c:crossBetween val="midCat"/>
      </c:valAx>
      <c:valAx>
        <c:axId val="38216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68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7G</a:t>
            </a:r>
            <a:r>
              <a:rPr lang="en-US" baseline="0"/>
              <a:t> - Plantation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'Low Summary'!$C$17:$F$17</c:f>
              <c:numCache>
                <c:formatCode>0.00</c:formatCode>
                <c:ptCount val="4"/>
                <c:pt idx="0">
                  <c:v>3.680555555911269E-2</c:v>
                </c:pt>
                <c:pt idx="1">
                  <c:v>0.15000000000145519</c:v>
                </c:pt>
                <c:pt idx="2">
                  <c:v>0.26319444444379769</c:v>
                </c:pt>
                <c:pt idx="3">
                  <c:v>0.37430555556056788</c:v>
                </c:pt>
              </c:numCache>
            </c:numRef>
          </c:xVal>
          <c:yVal>
            <c:numRef>
              <c:f>'Low Summary'!$H$17:$K$17</c:f>
              <c:numCache>
                <c:formatCode>General</c:formatCode>
                <c:ptCount val="4"/>
                <c:pt idx="0">
                  <c:v>8.4902163944078901E-2</c:v>
                </c:pt>
                <c:pt idx="1">
                  <c:v>3.7755230689466068E-2</c:v>
                </c:pt>
                <c:pt idx="2">
                  <c:v>2.5506465288456844E-2</c:v>
                </c:pt>
                <c:pt idx="3">
                  <c:v>2.2564033777008486E-2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76-4B9E-8CF8-1F2080BCFCDB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'Low Summary'!$C$18:$F$18</c:f>
              <c:numCache>
                <c:formatCode>0.00</c:formatCode>
                <c:ptCount val="4"/>
                <c:pt idx="0">
                  <c:v>3.8194444445252884E-2</c:v>
                </c:pt>
                <c:pt idx="1">
                  <c:v>0.15138888888759539</c:v>
                </c:pt>
                <c:pt idx="2">
                  <c:v>0.26527777777664596</c:v>
                </c:pt>
                <c:pt idx="3">
                  <c:v>0.37569444444670808</c:v>
                </c:pt>
              </c:numCache>
            </c:numRef>
          </c:xVal>
          <c:yVal>
            <c:numRef>
              <c:f>'Low Summary'!$H$18:$K$18</c:f>
              <c:numCache>
                <c:formatCode>General</c:formatCode>
                <c:ptCount val="4"/>
                <c:pt idx="0">
                  <c:v>7.4706930278586103E-2</c:v>
                </c:pt>
                <c:pt idx="1">
                  <c:v>2.7613965117965135E-2</c:v>
                </c:pt>
                <c:pt idx="2">
                  <c:v>1.0543898932635855E-2</c:v>
                </c:pt>
                <c:pt idx="3">
                  <c:v>7.221066442257615E-3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76-4B9E-8CF8-1F2080BCFCDB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'Low Summary'!$C$19:$F$19</c:f>
              <c:numCache>
                <c:formatCode>0.00</c:formatCode>
                <c:ptCount val="4"/>
                <c:pt idx="0">
                  <c:v>4.1666666664241347E-2</c:v>
                </c:pt>
                <c:pt idx="1">
                  <c:v>0.15347222222044365</c:v>
                </c:pt>
                <c:pt idx="2">
                  <c:v>0.26736111110949423</c:v>
                </c:pt>
                <c:pt idx="3">
                  <c:v>0.37777777777955635</c:v>
                </c:pt>
              </c:numCache>
            </c:numRef>
          </c:xVal>
          <c:yVal>
            <c:numRef>
              <c:f>'Low Summary'!$H$19:$K$19</c:f>
              <c:numCache>
                <c:formatCode>General</c:formatCode>
                <c:ptCount val="4"/>
                <c:pt idx="0">
                  <c:v>4.8849150650177343E-2</c:v>
                </c:pt>
                <c:pt idx="1">
                  <c:v>1.3491894424479244E-2</c:v>
                </c:pt>
                <c:pt idx="2">
                  <c:v>5.0748908290692944E-3</c:v>
                </c:pt>
                <c:pt idx="3">
                  <c:v>2.2066025749517462E-3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376-4B9E-8CF8-1F2080BCF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167696"/>
        <c:axId val="382173184"/>
      </c:scatterChart>
      <c:valAx>
        <c:axId val="38216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73184"/>
        <c:crosses val="autoZero"/>
        <c:crossBetween val="midCat"/>
      </c:valAx>
      <c:valAx>
        <c:axId val="38217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6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8G - Forest near</a:t>
            </a:r>
            <a:r>
              <a:rPr lang="en-US" baseline="0"/>
              <a:t> plantation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'Low Summary'!$C$20:$F$20</c:f>
              <c:numCache>
                <c:formatCode>0.00</c:formatCode>
                <c:ptCount val="4"/>
                <c:pt idx="0">
                  <c:v>4.3749999997089617E-2</c:v>
                </c:pt>
                <c:pt idx="1">
                  <c:v>0.15625</c:v>
                </c:pt>
                <c:pt idx="2">
                  <c:v>0.2694444444423425</c:v>
                </c:pt>
                <c:pt idx="3">
                  <c:v>0.38055555555911269</c:v>
                </c:pt>
              </c:numCache>
            </c:numRef>
          </c:xVal>
          <c:yVal>
            <c:numRef>
              <c:f>'Low Summary'!$H$20:$K$20</c:f>
              <c:numCache>
                <c:formatCode>General</c:formatCode>
                <c:ptCount val="4"/>
                <c:pt idx="0">
                  <c:v>9.4306304015933512E-2</c:v>
                </c:pt>
                <c:pt idx="1">
                  <c:v>1.7954435037410177E-2</c:v>
                </c:pt>
                <c:pt idx="2">
                  <c:v>1.2926568328437716E-2</c:v>
                </c:pt>
                <c:pt idx="3">
                  <c:v>1.3575410004991692E-2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17-442B-A0AB-3CB4AE4783E4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'Low Summary'!$C$21:$F$21</c:f>
              <c:numCache>
                <c:formatCode>0.00</c:formatCode>
                <c:ptCount val="4"/>
                <c:pt idx="0">
                  <c:v>4.5833333329937886E-2</c:v>
                </c:pt>
                <c:pt idx="1">
                  <c:v>0.15763888888614019</c:v>
                </c:pt>
                <c:pt idx="2">
                  <c:v>0.27083333332848269</c:v>
                </c:pt>
                <c:pt idx="3">
                  <c:v>0.38194444444525288</c:v>
                </c:pt>
              </c:numCache>
            </c:numRef>
          </c:xVal>
          <c:yVal>
            <c:numRef>
              <c:f>'Low Summary'!$H$21:$K$21</c:f>
              <c:numCache>
                <c:formatCode>General</c:formatCode>
                <c:ptCount val="4"/>
                <c:pt idx="0">
                  <c:v>0.13760072279007049</c:v>
                </c:pt>
                <c:pt idx="1">
                  <c:v>2.7024452737491485E-2</c:v>
                </c:pt>
                <c:pt idx="2">
                  <c:v>1.5835713064003287E-2</c:v>
                </c:pt>
                <c:pt idx="3">
                  <c:v>1.3695929049090807E-2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17-442B-A0AB-3CB4AE4783E4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'Low Summary'!$C$22:$F$22</c:f>
              <c:numCache>
                <c:formatCode>0.00</c:formatCode>
                <c:ptCount val="4"/>
                <c:pt idx="0">
                  <c:v>4.7916666662786156E-2</c:v>
                </c:pt>
                <c:pt idx="1">
                  <c:v>0.16041666666569654</c:v>
                </c:pt>
                <c:pt idx="2">
                  <c:v>0.27361111110803904</c:v>
                </c:pt>
                <c:pt idx="3">
                  <c:v>0.38611111111094942</c:v>
                </c:pt>
              </c:numCache>
            </c:numRef>
          </c:xVal>
          <c:yVal>
            <c:numRef>
              <c:f>'Low Summary'!$H$22:$K$22</c:f>
              <c:numCache>
                <c:formatCode>General</c:formatCode>
                <c:ptCount val="4"/>
                <c:pt idx="0">
                  <c:v>1.6808467010529474E-2</c:v>
                </c:pt>
                <c:pt idx="1">
                  <c:v>5.5853283434531605E-3</c:v>
                </c:pt>
                <c:pt idx="2">
                  <c:v>2.3251361113918274E-3</c:v>
                </c:pt>
                <c:pt idx="3">
                  <c:v>2.0831061241069829E-3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17-442B-A0AB-3CB4AE478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165344"/>
        <c:axId val="382168480"/>
      </c:scatterChart>
      <c:valAx>
        <c:axId val="38216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68480"/>
        <c:crosses val="autoZero"/>
        <c:crossBetween val="midCat"/>
      </c:valAx>
      <c:valAx>
        <c:axId val="3821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6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9G - Abandoned Plantation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'Low Summary'!$C$23:$F$23</c:f>
              <c:numCache>
                <c:formatCode>0.00</c:formatCode>
                <c:ptCount val="4"/>
                <c:pt idx="0">
                  <c:v>5.0694444442342501E-2</c:v>
                </c:pt>
                <c:pt idx="1">
                  <c:v>0.16249999999854481</c:v>
                </c:pt>
                <c:pt idx="2">
                  <c:v>0.27638888888759539</c:v>
                </c:pt>
                <c:pt idx="3">
                  <c:v>0.38888888889050577</c:v>
                </c:pt>
              </c:numCache>
            </c:numRef>
          </c:xVal>
          <c:yVal>
            <c:numRef>
              <c:f>'Low Summary'!$H$23:$K$23</c:f>
              <c:numCache>
                <c:formatCode>General</c:formatCode>
                <c:ptCount val="4"/>
                <c:pt idx="0">
                  <c:v>7.3633760647246055E-2</c:v>
                </c:pt>
                <c:pt idx="1">
                  <c:v>4.9631529401064162E-2</c:v>
                </c:pt>
                <c:pt idx="2">
                  <c:v>4.2777232297711805E-2</c:v>
                </c:pt>
                <c:pt idx="3">
                  <c:v>3.3125127208376542E-2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F3-46BA-945F-FDA23C73866D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'Low Summary'!$C$24:$F$24</c:f>
              <c:numCache>
                <c:formatCode>0.00</c:formatCode>
                <c:ptCount val="4"/>
                <c:pt idx="0">
                  <c:v>5.3472222229174804E-2</c:v>
                </c:pt>
                <c:pt idx="1">
                  <c:v>0.16458333333866904</c:v>
                </c:pt>
                <c:pt idx="2">
                  <c:v>0.27777777778101154</c:v>
                </c:pt>
                <c:pt idx="3">
                  <c:v>0.39027777778392192</c:v>
                </c:pt>
              </c:numCache>
            </c:numRef>
          </c:xVal>
          <c:yVal>
            <c:numRef>
              <c:f>'Low Summary'!$H$24:$K$24</c:f>
              <c:numCache>
                <c:formatCode>General</c:formatCode>
                <c:ptCount val="4"/>
                <c:pt idx="0">
                  <c:v>6.0621696627373496E-2</c:v>
                </c:pt>
                <c:pt idx="1">
                  <c:v>4.2248902302812613E-2</c:v>
                </c:pt>
                <c:pt idx="2">
                  <c:v>3.3084468720337733E-2</c:v>
                </c:pt>
                <c:pt idx="3">
                  <c:v>2.57541685938831E-2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F3-46BA-945F-FDA23C73866D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'Low Summary'!$C$25:$F$25</c:f>
              <c:numCache>
                <c:formatCode>0.00</c:formatCode>
                <c:ptCount val="4"/>
                <c:pt idx="0">
                  <c:v>5.6250000001455192E-2</c:v>
                </c:pt>
                <c:pt idx="1">
                  <c:v>0.16666666667151731</c:v>
                </c:pt>
                <c:pt idx="2">
                  <c:v>0.27916666666715173</c:v>
                </c:pt>
                <c:pt idx="3">
                  <c:v>0.39305555555620231</c:v>
                </c:pt>
              </c:numCache>
            </c:numRef>
          </c:xVal>
          <c:yVal>
            <c:numRef>
              <c:f>'Low Summary'!$H$25:$K$25</c:f>
              <c:numCache>
                <c:formatCode>General</c:formatCode>
                <c:ptCount val="4"/>
                <c:pt idx="0">
                  <c:v>5.6300281227309089E-2</c:v>
                </c:pt>
                <c:pt idx="1">
                  <c:v>3.2974932666880612E-2</c:v>
                </c:pt>
                <c:pt idx="2">
                  <c:v>1.9259545748534782E-2</c:v>
                </c:pt>
                <c:pt idx="3">
                  <c:v>1.2347954206168542E-2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F3-46BA-945F-FDA23C738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166128"/>
        <c:axId val="382169656"/>
      </c:scatterChart>
      <c:valAx>
        <c:axId val="38216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69656"/>
        <c:crosses val="autoZero"/>
        <c:crossBetween val="midCat"/>
      </c:valAx>
      <c:valAx>
        <c:axId val="38216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6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5" Type="http://schemas.openxmlformats.org/officeDocument/2006/relationships/chart" Target="../charts/chart1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13" Type="http://schemas.openxmlformats.org/officeDocument/2006/relationships/chart" Target="../charts/chart36.xml"/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12" Type="http://schemas.openxmlformats.org/officeDocument/2006/relationships/chart" Target="../charts/chart35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11" Type="http://schemas.openxmlformats.org/officeDocument/2006/relationships/chart" Target="../charts/chart34.xml"/><Relationship Id="rId5" Type="http://schemas.openxmlformats.org/officeDocument/2006/relationships/chart" Target="../charts/chart28.xml"/><Relationship Id="rId15" Type="http://schemas.openxmlformats.org/officeDocument/2006/relationships/chart" Target="../charts/chart38.xml"/><Relationship Id="rId10" Type="http://schemas.openxmlformats.org/officeDocument/2006/relationships/chart" Target="../charts/chart33.xml"/><Relationship Id="rId4" Type="http://schemas.openxmlformats.org/officeDocument/2006/relationships/chart" Target="../charts/chart27.xml"/><Relationship Id="rId9" Type="http://schemas.openxmlformats.org/officeDocument/2006/relationships/chart" Target="../charts/chart32.xml"/><Relationship Id="rId14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4</xdr:row>
      <xdr:rowOff>42862</xdr:rowOff>
    </xdr:from>
    <xdr:to>
      <xdr:col>13</xdr:col>
      <xdr:colOff>285750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590550</xdr:colOff>
      <xdr:row>4</xdr:row>
      <xdr:rowOff>42862</xdr:rowOff>
    </xdr:from>
    <xdr:to>
      <xdr:col>30</xdr:col>
      <xdr:colOff>285750</xdr:colOff>
      <xdr:row>17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190500</xdr:colOff>
      <xdr:row>2</xdr:row>
      <xdr:rowOff>200025</xdr:rowOff>
    </xdr:from>
    <xdr:to>
      <xdr:col>32</xdr:col>
      <xdr:colOff>539750</xdr:colOff>
      <xdr:row>13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206375</xdr:colOff>
      <xdr:row>13</xdr:row>
      <xdr:rowOff>73025</xdr:rowOff>
    </xdr:from>
    <xdr:to>
      <xdr:col>32</xdr:col>
      <xdr:colOff>555625</xdr:colOff>
      <xdr:row>27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222250</xdr:colOff>
      <xdr:row>27</xdr:row>
      <xdr:rowOff>136525</xdr:rowOff>
    </xdr:from>
    <xdr:to>
      <xdr:col>32</xdr:col>
      <xdr:colOff>571500</xdr:colOff>
      <xdr:row>41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254000</xdr:colOff>
      <xdr:row>42</xdr:row>
      <xdr:rowOff>9525</xdr:rowOff>
    </xdr:from>
    <xdr:to>
      <xdr:col>33</xdr:col>
      <xdr:colOff>0</xdr:colOff>
      <xdr:row>56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2</xdr:row>
      <xdr:rowOff>200025</xdr:rowOff>
    </xdr:from>
    <xdr:to>
      <xdr:col>40</xdr:col>
      <xdr:colOff>349250</xdr:colOff>
      <xdr:row>13</xdr:row>
      <xdr:rowOff>6350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0</xdr:colOff>
      <xdr:row>13</xdr:row>
      <xdr:rowOff>73025</xdr:rowOff>
    </xdr:from>
    <xdr:to>
      <xdr:col>40</xdr:col>
      <xdr:colOff>349250</xdr:colOff>
      <xdr:row>27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31750</xdr:colOff>
      <xdr:row>27</xdr:row>
      <xdr:rowOff>136525</xdr:rowOff>
    </xdr:from>
    <xdr:to>
      <xdr:col>40</xdr:col>
      <xdr:colOff>381000</xdr:colOff>
      <xdr:row>41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31750</xdr:colOff>
      <xdr:row>42</xdr:row>
      <xdr:rowOff>25400</xdr:rowOff>
    </xdr:from>
    <xdr:to>
      <xdr:col>40</xdr:col>
      <xdr:colOff>381000</xdr:colOff>
      <xdr:row>56</xdr:row>
      <xdr:rowOff>53975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428625</xdr:colOff>
      <xdr:row>2</xdr:row>
      <xdr:rowOff>200025</xdr:rowOff>
    </xdr:from>
    <xdr:to>
      <xdr:col>48</xdr:col>
      <xdr:colOff>174625</xdr:colOff>
      <xdr:row>13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40</xdr:col>
      <xdr:colOff>428625</xdr:colOff>
      <xdr:row>13</xdr:row>
      <xdr:rowOff>73025</xdr:rowOff>
    </xdr:from>
    <xdr:to>
      <xdr:col>48</xdr:col>
      <xdr:colOff>174625</xdr:colOff>
      <xdr:row>27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40</xdr:col>
      <xdr:colOff>444500</xdr:colOff>
      <xdr:row>27</xdr:row>
      <xdr:rowOff>152400</xdr:rowOff>
    </xdr:from>
    <xdr:to>
      <xdr:col>48</xdr:col>
      <xdr:colOff>190500</xdr:colOff>
      <xdr:row>41</xdr:row>
      <xdr:rowOff>149225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40</xdr:col>
      <xdr:colOff>428625</xdr:colOff>
      <xdr:row>42</xdr:row>
      <xdr:rowOff>25400</xdr:rowOff>
    </xdr:from>
    <xdr:to>
      <xdr:col>48</xdr:col>
      <xdr:colOff>174625</xdr:colOff>
      <xdr:row>56</xdr:row>
      <xdr:rowOff>53975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48</xdr:col>
      <xdr:colOff>238125</xdr:colOff>
      <xdr:row>3</xdr:row>
      <xdr:rowOff>9525</xdr:rowOff>
    </xdr:from>
    <xdr:to>
      <xdr:col>55</xdr:col>
      <xdr:colOff>587375</xdr:colOff>
      <xdr:row>13</xdr:row>
      <xdr:rowOff>22225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48</xdr:col>
      <xdr:colOff>222250</xdr:colOff>
      <xdr:row>13</xdr:row>
      <xdr:rowOff>73025</xdr:rowOff>
    </xdr:from>
    <xdr:to>
      <xdr:col>55</xdr:col>
      <xdr:colOff>571500</xdr:colOff>
      <xdr:row>27</xdr:row>
      <xdr:rowOff>85725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48</xdr:col>
      <xdr:colOff>254000</xdr:colOff>
      <xdr:row>27</xdr:row>
      <xdr:rowOff>184150</xdr:rowOff>
    </xdr:from>
    <xdr:to>
      <xdr:col>56</xdr:col>
      <xdr:colOff>0</xdr:colOff>
      <xdr:row>41</xdr:row>
      <xdr:rowOff>180975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4</xdr:row>
      <xdr:rowOff>42862</xdr:rowOff>
    </xdr:from>
    <xdr:to>
      <xdr:col>13</xdr:col>
      <xdr:colOff>285750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590550</xdr:colOff>
      <xdr:row>4</xdr:row>
      <xdr:rowOff>42862</xdr:rowOff>
    </xdr:from>
    <xdr:to>
      <xdr:col>30</xdr:col>
      <xdr:colOff>285750</xdr:colOff>
      <xdr:row>17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590550</xdr:colOff>
      <xdr:row>27</xdr:row>
      <xdr:rowOff>42862</xdr:rowOff>
    </xdr:from>
    <xdr:to>
      <xdr:col>13</xdr:col>
      <xdr:colOff>285750</xdr:colOff>
      <xdr:row>40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590550</xdr:colOff>
      <xdr:row>27</xdr:row>
      <xdr:rowOff>42862</xdr:rowOff>
    </xdr:from>
    <xdr:to>
      <xdr:col>30</xdr:col>
      <xdr:colOff>285750</xdr:colOff>
      <xdr:row>40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590550</xdr:colOff>
      <xdr:row>50</xdr:row>
      <xdr:rowOff>42862</xdr:rowOff>
    </xdr:from>
    <xdr:to>
      <xdr:col>13</xdr:col>
      <xdr:colOff>285750</xdr:colOff>
      <xdr:row>63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590550</xdr:colOff>
      <xdr:row>50</xdr:row>
      <xdr:rowOff>42862</xdr:rowOff>
    </xdr:from>
    <xdr:to>
      <xdr:col>30</xdr:col>
      <xdr:colOff>285750</xdr:colOff>
      <xdr:row>63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117475</xdr:colOff>
      <xdr:row>1</xdr:row>
      <xdr:rowOff>180975</xdr:rowOff>
    </xdr:from>
    <xdr:to>
      <xdr:col>54</xdr:col>
      <xdr:colOff>466725</xdr:colOff>
      <xdr:row>12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133350</xdr:colOff>
      <xdr:row>13</xdr:row>
      <xdr:rowOff>76200</xdr:rowOff>
    </xdr:from>
    <xdr:to>
      <xdr:col>54</xdr:col>
      <xdr:colOff>438150</xdr:colOff>
      <xdr:row>27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152400</xdr:colOff>
      <xdr:row>27</xdr:row>
      <xdr:rowOff>152400</xdr:rowOff>
    </xdr:from>
    <xdr:to>
      <xdr:col>54</xdr:col>
      <xdr:colOff>457200</xdr:colOff>
      <xdr:row>41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152400</xdr:colOff>
      <xdr:row>42</xdr:row>
      <xdr:rowOff>0</xdr:rowOff>
    </xdr:from>
    <xdr:to>
      <xdr:col>54</xdr:col>
      <xdr:colOff>457200</xdr:colOff>
      <xdr:row>56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54</xdr:col>
      <xdr:colOff>514350</xdr:colOff>
      <xdr:row>1</xdr:row>
      <xdr:rowOff>190500</xdr:rowOff>
    </xdr:from>
    <xdr:to>
      <xdr:col>62</xdr:col>
      <xdr:colOff>209550</xdr:colOff>
      <xdr:row>12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54</xdr:col>
      <xdr:colOff>495300</xdr:colOff>
      <xdr:row>13</xdr:row>
      <xdr:rowOff>57150</xdr:rowOff>
    </xdr:from>
    <xdr:to>
      <xdr:col>62</xdr:col>
      <xdr:colOff>190500</xdr:colOff>
      <xdr:row>27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54</xdr:col>
      <xdr:colOff>514350</xdr:colOff>
      <xdr:row>27</xdr:row>
      <xdr:rowOff>133350</xdr:rowOff>
    </xdr:from>
    <xdr:to>
      <xdr:col>62</xdr:col>
      <xdr:colOff>209550</xdr:colOff>
      <xdr:row>41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54</xdr:col>
      <xdr:colOff>552450</xdr:colOff>
      <xdr:row>41</xdr:row>
      <xdr:rowOff>190500</xdr:rowOff>
    </xdr:from>
    <xdr:to>
      <xdr:col>62</xdr:col>
      <xdr:colOff>247650</xdr:colOff>
      <xdr:row>56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62</xdr:col>
      <xdr:colOff>266700</xdr:colOff>
      <xdr:row>1</xdr:row>
      <xdr:rowOff>190500</xdr:rowOff>
    </xdr:from>
    <xdr:to>
      <xdr:col>69</xdr:col>
      <xdr:colOff>571500</xdr:colOff>
      <xdr:row>12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62</xdr:col>
      <xdr:colOff>228600</xdr:colOff>
      <xdr:row>13</xdr:row>
      <xdr:rowOff>38100</xdr:rowOff>
    </xdr:from>
    <xdr:to>
      <xdr:col>69</xdr:col>
      <xdr:colOff>533400</xdr:colOff>
      <xdr:row>27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62</xdr:col>
      <xdr:colOff>266700</xdr:colOff>
      <xdr:row>27</xdr:row>
      <xdr:rowOff>133350</xdr:rowOff>
    </xdr:from>
    <xdr:to>
      <xdr:col>69</xdr:col>
      <xdr:colOff>571500</xdr:colOff>
      <xdr:row>41</xdr:row>
      <xdr:rowOff>133350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62</xdr:col>
      <xdr:colOff>304800</xdr:colOff>
      <xdr:row>42</xdr:row>
      <xdr:rowOff>0</xdr:rowOff>
    </xdr:from>
    <xdr:to>
      <xdr:col>70</xdr:col>
      <xdr:colOff>0</xdr:colOff>
      <xdr:row>56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70</xdr:col>
      <xdr:colOff>95250</xdr:colOff>
      <xdr:row>1</xdr:row>
      <xdr:rowOff>190500</xdr:rowOff>
    </xdr:from>
    <xdr:to>
      <xdr:col>77</xdr:col>
      <xdr:colOff>400050</xdr:colOff>
      <xdr:row>12</xdr:row>
      <xdr:rowOff>171450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70</xdr:col>
      <xdr:colOff>76200</xdr:colOff>
      <xdr:row>13</xdr:row>
      <xdr:rowOff>57150</xdr:rowOff>
    </xdr:from>
    <xdr:to>
      <xdr:col>77</xdr:col>
      <xdr:colOff>381000</xdr:colOff>
      <xdr:row>27</xdr:row>
      <xdr:rowOff>38100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70</xdr:col>
      <xdr:colOff>57150</xdr:colOff>
      <xdr:row>27</xdr:row>
      <xdr:rowOff>171450</xdr:rowOff>
    </xdr:from>
    <xdr:to>
      <xdr:col>77</xdr:col>
      <xdr:colOff>361950</xdr:colOff>
      <xdr:row>41</xdr:row>
      <xdr:rowOff>171450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workbookViewId="0">
      <selection activeCell="E3" sqref="E3"/>
    </sheetView>
  </sheetViews>
  <sheetFormatPr defaultRowHeight="15" x14ac:dyDescent="0.25"/>
  <sheetData>
    <row r="1" spans="1:5" ht="15.75" thickBot="1" x14ac:dyDescent="0.3"/>
    <row r="2" spans="1:5" ht="45.75" thickBot="1" x14ac:dyDescent="0.3">
      <c r="A2" s="19" t="s">
        <v>0</v>
      </c>
      <c r="B2" s="20" t="s">
        <v>50</v>
      </c>
      <c r="C2" s="45" t="s">
        <v>79</v>
      </c>
      <c r="D2" s="45" t="s">
        <v>80</v>
      </c>
      <c r="E2" s="46" t="s">
        <v>81</v>
      </c>
    </row>
    <row r="3" spans="1:5" x14ac:dyDescent="0.25">
      <c r="A3" s="9" t="s">
        <v>21</v>
      </c>
      <c r="B3" s="10">
        <v>1</v>
      </c>
      <c r="C3" s="10"/>
      <c r="D3" s="10"/>
      <c r="E3" s="32"/>
    </row>
    <row r="4" spans="1:5" x14ac:dyDescent="0.25">
      <c r="A4" s="11" t="s">
        <v>21</v>
      </c>
      <c r="B4" s="12">
        <v>2</v>
      </c>
      <c r="C4" s="12"/>
      <c r="D4" s="12"/>
      <c r="E4" s="33"/>
    </row>
    <row r="5" spans="1:5" ht="15.75" thickBot="1" x14ac:dyDescent="0.3">
      <c r="A5" s="13" t="s">
        <v>21</v>
      </c>
      <c r="B5" s="14">
        <v>3</v>
      </c>
      <c r="C5" s="14"/>
      <c r="D5" s="14"/>
      <c r="E5" s="34"/>
    </row>
    <row r="6" spans="1:5" x14ac:dyDescent="0.25">
      <c r="A6" s="3" t="s">
        <v>22</v>
      </c>
      <c r="B6" s="4">
        <v>1</v>
      </c>
      <c r="C6" s="4"/>
      <c r="D6" s="4"/>
      <c r="E6" s="35"/>
    </row>
    <row r="7" spans="1:5" x14ac:dyDescent="0.25">
      <c r="A7" s="5" t="s">
        <v>22</v>
      </c>
      <c r="B7" s="6">
        <v>2</v>
      </c>
      <c r="C7" s="6"/>
      <c r="D7" s="6"/>
      <c r="E7" s="36"/>
    </row>
    <row r="8" spans="1:5" ht="15.75" thickBot="1" x14ac:dyDescent="0.3">
      <c r="A8" s="7" t="s">
        <v>22</v>
      </c>
      <c r="B8" s="8">
        <v>3</v>
      </c>
      <c r="C8" s="8"/>
      <c r="D8" s="8"/>
      <c r="E8" s="37"/>
    </row>
    <row r="9" spans="1:5" x14ac:dyDescent="0.25">
      <c r="A9" s="9" t="s">
        <v>23</v>
      </c>
      <c r="B9" s="10">
        <v>1</v>
      </c>
      <c r="C9" s="10"/>
      <c r="D9" s="10"/>
      <c r="E9" s="32"/>
    </row>
    <row r="10" spans="1:5" x14ac:dyDescent="0.25">
      <c r="A10" s="11" t="s">
        <v>23</v>
      </c>
      <c r="B10" s="12">
        <v>2</v>
      </c>
      <c r="C10" s="12"/>
      <c r="D10" s="12"/>
      <c r="E10" s="33"/>
    </row>
    <row r="11" spans="1:5" ht="15.75" thickBot="1" x14ac:dyDescent="0.3">
      <c r="A11" s="13" t="s">
        <v>23</v>
      </c>
      <c r="B11" s="14">
        <v>3</v>
      </c>
      <c r="C11" s="14"/>
      <c r="D11" s="14"/>
      <c r="E11" s="34"/>
    </row>
    <row r="12" spans="1:5" x14ac:dyDescent="0.25">
      <c r="A12" s="3" t="s">
        <v>24</v>
      </c>
      <c r="B12" s="4">
        <v>1</v>
      </c>
      <c r="C12" s="4"/>
      <c r="D12" s="4"/>
      <c r="E12" s="35"/>
    </row>
    <row r="13" spans="1:5" x14ac:dyDescent="0.25">
      <c r="A13" s="5" t="s">
        <v>24</v>
      </c>
      <c r="B13" s="6">
        <v>2</v>
      </c>
      <c r="C13" s="6"/>
      <c r="D13" s="6"/>
      <c r="E13" s="36"/>
    </row>
    <row r="14" spans="1:5" ht="15.75" thickBot="1" x14ac:dyDescent="0.3">
      <c r="A14" s="7" t="s">
        <v>24</v>
      </c>
      <c r="B14" s="8">
        <v>3</v>
      </c>
      <c r="C14" s="8"/>
      <c r="D14" s="8"/>
      <c r="E14" s="37"/>
    </row>
    <row r="15" spans="1:5" x14ac:dyDescent="0.25">
      <c r="A15" s="9" t="s">
        <v>26</v>
      </c>
      <c r="B15" s="10">
        <v>1</v>
      </c>
      <c r="C15" s="10"/>
      <c r="D15" s="10"/>
      <c r="E15" s="32"/>
    </row>
    <row r="16" spans="1:5" x14ac:dyDescent="0.25">
      <c r="A16" s="11" t="s">
        <v>26</v>
      </c>
      <c r="B16" s="12">
        <v>2</v>
      </c>
      <c r="C16" s="12"/>
      <c r="D16" s="12"/>
      <c r="E16" s="33"/>
    </row>
    <row r="17" spans="1:5" ht="15.75" thickBot="1" x14ac:dyDescent="0.3">
      <c r="A17" s="13" t="s">
        <v>26</v>
      </c>
      <c r="B17" s="14">
        <v>3</v>
      </c>
      <c r="C17" s="14"/>
      <c r="D17" s="14"/>
      <c r="E17" s="34"/>
    </row>
    <row r="18" spans="1:5" x14ac:dyDescent="0.25">
      <c r="A18" s="3" t="s">
        <v>27</v>
      </c>
      <c r="B18" s="4">
        <v>1</v>
      </c>
      <c r="C18" s="4"/>
      <c r="D18" s="4"/>
      <c r="E18" s="35"/>
    </row>
    <row r="19" spans="1:5" x14ac:dyDescent="0.25">
      <c r="A19" s="5" t="s">
        <v>27</v>
      </c>
      <c r="B19" s="6">
        <v>2</v>
      </c>
      <c r="C19" s="6"/>
      <c r="D19" s="6"/>
      <c r="E19" s="36"/>
    </row>
    <row r="20" spans="1:5" ht="15.75" thickBot="1" x14ac:dyDescent="0.3">
      <c r="A20" s="7" t="s">
        <v>27</v>
      </c>
      <c r="B20" s="8">
        <v>3</v>
      </c>
      <c r="C20" s="8"/>
      <c r="D20" s="8"/>
      <c r="E20" s="37"/>
    </row>
    <row r="21" spans="1:5" x14ac:dyDescent="0.25">
      <c r="A21" s="15" t="s">
        <v>28</v>
      </c>
      <c r="B21" s="10">
        <v>1</v>
      </c>
      <c r="C21" s="10"/>
      <c r="D21" s="10"/>
      <c r="E21" s="32"/>
    </row>
    <row r="22" spans="1:5" x14ac:dyDescent="0.25">
      <c r="A22" s="16" t="s">
        <v>28</v>
      </c>
      <c r="B22" s="12">
        <v>2</v>
      </c>
      <c r="C22" s="12"/>
      <c r="D22" s="12"/>
      <c r="E22" s="33"/>
    </row>
    <row r="23" spans="1:5" ht="15.75" thickBot="1" x14ac:dyDescent="0.3">
      <c r="A23" s="55" t="s">
        <v>28</v>
      </c>
      <c r="B23" s="14">
        <v>3</v>
      </c>
      <c r="C23" s="14"/>
      <c r="D23" s="14"/>
      <c r="E23" s="34"/>
    </row>
    <row r="24" spans="1:5" x14ac:dyDescent="0.25">
      <c r="A24" s="3" t="s">
        <v>29</v>
      </c>
      <c r="B24" s="4">
        <v>1</v>
      </c>
      <c r="C24" s="4"/>
      <c r="D24" s="4"/>
      <c r="E24" s="35"/>
    </row>
    <row r="25" spans="1:5" x14ac:dyDescent="0.25">
      <c r="A25" s="5" t="s">
        <v>29</v>
      </c>
      <c r="B25" s="6">
        <v>2</v>
      </c>
      <c r="C25" s="6"/>
      <c r="D25" s="6"/>
      <c r="E25" s="36"/>
    </row>
    <row r="26" spans="1:5" ht="15.75" thickBot="1" x14ac:dyDescent="0.3">
      <c r="A26" s="7" t="s">
        <v>29</v>
      </c>
      <c r="B26" s="8">
        <v>3</v>
      </c>
      <c r="C26" s="8"/>
      <c r="D26" s="8"/>
      <c r="E26" s="37"/>
    </row>
    <row r="27" spans="1:5" x14ac:dyDescent="0.25">
      <c r="A27" s="9" t="s">
        <v>30</v>
      </c>
      <c r="B27" s="10">
        <v>1</v>
      </c>
      <c r="C27" s="10"/>
      <c r="D27" s="10"/>
      <c r="E27" s="32"/>
    </row>
    <row r="28" spans="1:5" x14ac:dyDescent="0.25">
      <c r="A28" s="11" t="s">
        <v>30</v>
      </c>
      <c r="B28" s="12">
        <v>2</v>
      </c>
      <c r="C28" s="12"/>
      <c r="D28" s="12"/>
      <c r="E28" s="33"/>
    </row>
    <row r="29" spans="1:5" ht="15.75" thickBot="1" x14ac:dyDescent="0.3">
      <c r="A29" s="13" t="s">
        <v>30</v>
      </c>
      <c r="B29" s="14">
        <v>3</v>
      </c>
      <c r="C29" s="14"/>
      <c r="D29" s="14"/>
      <c r="E29" s="34"/>
    </row>
    <row r="30" spans="1:5" x14ac:dyDescent="0.25">
      <c r="A30" s="3" t="s">
        <v>31</v>
      </c>
      <c r="B30" s="4">
        <v>1</v>
      </c>
      <c r="C30" s="4"/>
      <c r="D30" s="4"/>
      <c r="E30" s="35"/>
    </row>
    <row r="31" spans="1:5" x14ac:dyDescent="0.25">
      <c r="A31" s="5" t="s">
        <v>31</v>
      </c>
      <c r="B31" s="6">
        <v>2</v>
      </c>
      <c r="C31" s="6"/>
      <c r="D31" s="6"/>
      <c r="E31" s="36"/>
    </row>
    <row r="32" spans="1:5" ht="15.75" thickBot="1" x14ac:dyDescent="0.3">
      <c r="A32" s="7" t="s">
        <v>31</v>
      </c>
      <c r="B32" s="8">
        <v>3</v>
      </c>
      <c r="C32" s="8"/>
      <c r="D32" s="8"/>
      <c r="E32" s="37"/>
    </row>
    <row r="33" spans="1:5" x14ac:dyDescent="0.25">
      <c r="A33" s="15" t="s">
        <v>32</v>
      </c>
      <c r="B33" s="10">
        <v>1</v>
      </c>
      <c r="C33" s="10"/>
      <c r="D33" s="10"/>
      <c r="E33" s="32"/>
    </row>
    <row r="34" spans="1:5" x14ac:dyDescent="0.25">
      <c r="A34" s="16" t="s">
        <v>32</v>
      </c>
      <c r="B34" s="12">
        <v>2</v>
      </c>
      <c r="C34" s="12"/>
      <c r="D34" s="12"/>
      <c r="E34" s="33"/>
    </row>
    <row r="35" spans="1:5" ht="15.75" thickBot="1" x14ac:dyDescent="0.3">
      <c r="A35" s="55" t="s">
        <v>32</v>
      </c>
      <c r="B35" s="14">
        <v>3</v>
      </c>
      <c r="C35" s="14"/>
      <c r="D35" s="14"/>
      <c r="E35" s="34"/>
    </row>
    <row r="36" spans="1:5" x14ac:dyDescent="0.25">
      <c r="A36" s="3" t="s">
        <v>33</v>
      </c>
      <c r="B36" s="4">
        <v>1</v>
      </c>
      <c r="C36" s="4"/>
      <c r="D36" s="4"/>
      <c r="E36" s="35"/>
    </row>
    <row r="37" spans="1:5" x14ac:dyDescent="0.25">
      <c r="A37" s="5" t="s">
        <v>33</v>
      </c>
      <c r="B37" s="6">
        <v>2</v>
      </c>
      <c r="C37" s="6"/>
      <c r="D37" s="6"/>
      <c r="E37" s="36"/>
    </row>
    <row r="38" spans="1:5" ht="15.75" thickBot="1" x14ac:dyDescent="0.3">
      <c r="A38" s="7" t="s">
        <v>33</v>
      </c>
      <c r="B38" s="8">
        <v>3</v>
      </c>
      <c r="C38" s="8"/>
      <c r="D38" s="8"/>
      <c r="E38" s="37"/>
    </row>
    <row r="39" spans="1:5" x14ac:dyDescent="0.25">
      <c r="A39" s="9" t="s">
        <v>34</v>
      </c>
      <c r="B39" s="10">
        <v>1</v>
      </c>
      <c r="C39" s="10"/>
      <c r="D39" s="10"/>
      <c r="E39" s="32"/>
    </row>
    <row r="40" spans="1:5" x14ac:dyDescent="0.25">
      <c r="A40" s="11" t="s">
        <v>34</v>
      </c>
      <c r="B40" s="12">
        <v>2</v>
      </c>
      <c r="C40" s="12"/>
      <c r="D40" s="12"/>
      <c r="E40" s="33"/>
    </row>
    <row r="41" spans="1:5" ht="15.75" thickBot="1" x14ac:dyDescent="0.3">
      <c r="A41" s="13" t="s">
        <v>34</v>
      </c>
      <c r="B41" s="14">
        <v>3</v>
      </c>
      <c r="C41" s="14"/>
      <c r="D41" s="14"/>
      <c r="E41" s="34"/>
    </row>
    <row r="42" spans="1:5" x14ac:dyDescent="0.25">
      <c r="A42" s="3" t="s">
        <v>35</v>
      </c>
      <c r="B42" s="4">
        <v>1</v>
      </c>
      <c r="C42" s="4"/>
      <c r="D42" s="4"/>
      <c r="E42" s="35"/>
    </row>
    <row r="43" spans="1:5" x14ac:dyDescent="0.25">
      <c r="A43" s="5" t="s">
        <v>35</v>
      </c>
      <c r="B43" s="6">
        <v>2</v>
      </c>
      <c r="C43" s="6"/>
      <c r="D43" s="6"/>
      <c r="E43" s="36"/>
    </row>
    <row r="44" spans="1:5" ht="15.75" thickBot="1" x14ac:dyDescent="0.3">
      <c r="A44" s="7" t="s">
        <v>35</v>
      </c>
      <c r="B44" s="8">
        <v>3</v>
      </c>
      <c r="C44" s="8"/>
      <c r="D44" s="8"/>
      <c r="E44" s="37"/>
    </row>
    <row r="45" spans="1:5" x14ac:dyDescent="0.25">
      <c r="A45" s="15" t="s">
        <v>36</v>
      </c>
      <c r="B45" s="10">
        <v>1</v>
      </c>
      <c r="C45" s="10"/>
      <c r="D45" s="10"/>
      <c r="E45" s="32"/>
    </row>
    <row r="46" spans="1:5" x14ac:dyDescent="0.25">
      <c r="A46" s="16" t="s">
        <v>36</v>
      </c>
      <c r="B46" s="12">
        <v>2</v>
      </c>
      <c r="C46" s="12"/>
      <c r="D46" s="12"/>
      <c r="E46" s="33"/>
    </row>
    <row r="47" spans="1:5" ht="15.75" thickBot="1" x14ac:dyDescent="0.3">
      <c r="A47" s="17" t="s">
        <v>36</v>
      </c>
      <c r="B47" s="18">
        <v>3</v>
      </c>
      <c r="C47" s="18"/>
      <c r="D47" s="18"/>
      <c r="E47" s="38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N22"/>
  <sheetViews>
    <sheetView topLeftCell="A4" workbookViewId="0">
      <selection activeCell="E11" sqref="E11"/>
    </sheetView>
  </sheetViews>
  <sheetFormatPr defaultRowHeight="15" x14ac:dyDescent="0.25"/>
  <cols>
    <col min="6" max="6" width="12.28515625" customWidth="1"/>
    <col min="7" max="7" width="10.5703125" bestFit="1" customWidth="1"/>
  </cols>
  <sheetData>
    <row r="3" spans="1:14" x14ac:dyDescent="0.25">
      <c r="A3" t="s">
        <v>0</v>
      </c>
      <c r="D3" t="s">
        <v>1</v>
      </c>
      <c r="E3" t="s">
        <v>19</v>
      </c>
      <c r="F3" t="s">
        <v>37</v>
      </c>
    </row>
    <row r="4" spans="1:14" ht="30" x14ac:dyDescent="0.25">
      <c r="A4" t="s">
        <v>2</v>
      </c>
      <c r="D4">
        <v>3</v>
      </c>
      <c r="E4" t="s">
        <v>20</v>
      </c>
      <c r="F4" s="2" t="s">
        <v>45</v>
      </c>
      <c r="G4">
        <v>625.34</v>
      </c>
      <c r="H4" t="s">
        <v>46</v>
      </c>
    </row>
    <row r="5" spans="1:14" x14ac:dyDescent="0.25">
      <c r="A5" t="s">
        <v>3</v>
      </c>
      <c r="D5">
        <v>3</v>
      </c>
      <c r="E5" t="s">
        <v>21</v>
      </c>
      <c r="F5" s="1" t="s">
        <v>38</v>
      </c>
      <c r="G5">
        <v>190.066</v>
      </c>
      <c r="H5" t="s">
        <v>46</v>
      </c>
    </row>
    <row r="6" spans="1:14" x14ac:dyDescent="0.25">
      <c r="A6" t="s">
        <v>4</v>
      </c>
      <c r="D6">
        <v>3</v>
      </c>
      <c r="E6" t="s">
        <v>22</v>
      </c>
      <c r="F6" s="1" t="s">
        <v>47</v>
      </c>
      <c r="G6">
        <f>G4-G5</f>
        <v>435.274</v>
      </c>
      <c r="H6" t="s">
        <v>46</v>
      </c>
    </row>
    <row r="7" spans="1:14" ht="15.75" thickBot="1" x14ac:dyDescent="0.3">
      <c r="A7" t="s">
        <v>5</v>
      </c>
      <c r="D7">
        <v>3</v>
      </c>
      <c r="E7" t="s">
        <v>23</v>
      </c>
    </row>
    <row r="8" spans="1:14" x14ac:dyDescent="0.25">
      <c r="A8" t="s">
        <v>6</v>
      </c>
      <c r="D8">
        <v>3</v>
      </c>
      <c r="E8" t="s">
        <v>24</v>
      </c>
      <c r="F8" s="263" t="s">
        <v>48</v>
      </c>
      <c r="G8" s="264"/>
      <c r="H8" s="264"/>
      <c r="I8" s="265"/>
      <c r="K8" s="263" t="s">
        <v>159</v>
      </c>
      <c r="L8" s="264"/>
      <c r="M8" s="264"/>
      <c r="N8" s="265"/>
    </row>
    <row r="9" spans="1:14" x14ac:dyDescent="0.25">
      <c r="A9" t="s">
        <v>7</v>
      </c>
      <c r="E9" t="s">
        <v>25</v>
      </c>
      <c r="F9" s="275"/>
      <c r="G9" s="276"/>
      <c r="H9" s="276"/>
      <c r="I9" s="277"/>
      <c r="K9" s="275"/>
      <c r="L9" s="276"/>
      <c r="M9" s="276"/>
      <c r="N9" s="277"/>
    </row>
    <row r="10" spans="1:14" x14ac:dyDescent="0.25">
      <c r="A10" t="s">
        <v>8</v>
      </c>
      <c r="D10">
        <v>3</v>
      </c>
      <c r="E10" t="s">
        <v>26</v>
      </c>
      <c r="F10" s="11" t="s">
        <v>39</v>
      </c>
      <c r="G10" s="12" t="s">
        <v>40</v>
      </c>
      <c r="H10" s="12" t="s">
        <v>41</v>
      </c>
      <c r="I10" s="33" t="s">
        <v>42</v>
      </c>
      <c r="K10" s="11" t="s">
        <v>39</v>
      </c>
      <c r="L10" s="12" t="s">
        <v>40</v>
      </c>
      <c r="M10" s="12" t="s">
        <v>41</v>
      </c>
      <c r="N10" s="33" t="s">
        <v>42</v>
      </c>
    </row>
    <row r="11" spans="1:14" x14ac:dyDescent="0.25">
      <c r="A11" t="s">
        <v>9</v>
      </c>
      <c r="D11">
        <v>3</v>
      </c>
      <c r="E11" t="s">
        <v>27</v>
      </c>
      <c r="F11" s="11">
        <v>1.1890000000000001</v>
      </c>
      <c r="G11" s="12">
        <v>990000</v>
      </c>
      <c r="H11" s="12">
        <v>118.9</v>
      </c>
      <c r="I11" s="33">
        <v>9900</v>
      </c>
      <c r="K11" s="11">
        <v>0.48</v>
      </c>
      <c r="L11" s="12">
        <v>990000</v>
      </c>
      <c r="M11" s="12">
        <v>435.274</v>
      </c>
      <c r="N11" s="33">
        <v>1000</v>
      </c>
    </row>
    <row r="12" spans="1:14" x14ac:dyDescent="0.25">
      <c r="A12" t="s">
        <v>10</v>
      </c>
      <c r="D12">
        <v>3</v>
      </c>
      <c r="E12" t="s">
        <v>28</v>
      </c>
      <c r="F12" s="11"/>
      <c r="G12" s="12"/>
      <c r="H12" s="12"/>
      <c r="I12" s="33"/>
      <c r="K12" s="11"/>
      <c r="L12" s="12"/>
      <c r="M12" s="12"/>
      <c r="N12" s="33"/>
    </row>
    <row r="13" spans="1:14" x14ac:dyDescent="0.25">
      <c r="A13" t="s">
        <v>11</v>
      </c>
      <c r="D13">
        <v>3</v>
      </c>
      <c r="E13" t="s">
        <v>29</v>
      </c>
      <c r="F13" s="11"/>
      <c r="G13" s="12">
        <f>(H11*I11)/G11</f>
        <v>1.1890000000000001</v>
      </c>
      <c r="H13" s="12" t="s">
        <v>43</v>
      </c>
      <c r="I13" s="33"/>
      <c r="K13" s="11"/>
      <c r="L13" s="12">
        <f>(M11*N11)/L11</f>
        <v>0.43967070707070705</v>
      </c>
      <c r="M13" s="12" t="s">
        <v>43</v>
      </c>
      <c r="N13" s="33"/>
    </row>
    <row r="14" spans="1:14" ht="15.75" thickBot="1" x14ac:dyDescent="0.3">
      <c r="A14" t="s">
        <v>12</v>
      </c>
      <c r="D14">
        <v>3</v>
      </c>
      <c r="E14" t="s">
        <v>30</v>
      </c>
      <c r="F14" s="42"/>
      <c r="G14" s="18">
        <f>G13*1000</f>
        <v>1189</v>
      </c>
      <c r="H14" s="18" t="s">
        <v>44</v>
      </c>
      <c r="I14" s="38"/>
      <c r="K14" s="42"/>
      <c r="L14" s="18">
        <f>L13*1000</f>
        <v>439.67070707070707</v>
      </c>
      <c r="M14" s="18" t="s">
        <v>44</v>
      </c>
      <c r="N14" s="38"/>
    </row>
    <row r="15" spans="1:14" ht="15.75" thickBot="1" x14ac:dyDescent="0.3">
      <c r="A15" t="s">
        <v>13</v>
      </c>
      <c r="D15">
        <v>3</v>
      </c>
      <c r="E15" t="s">
        <v>31</v>
      </c>
    </row>
    <row r="16" spans="1:14" x14ac:dyDescent="0.25">
      <c r="A16" t="s">
        <v>14</v>
      </c>
      <c r="D16">
        <v>3</v>
      </c>
      <c r="E16" t="s">
        <v>32</v>
      </c>
      <c r="F16" s="263" t="s">
        <v>49</v>
      </c>
      <c r="G16" s="264"/>
      <c r="H16" s="264"/>
      <c r="I16" s="265"/>
    </row>
    <row r="17" spans="1:9" x14ac:dyDescent="0.25">
      <c r="A17" t="s">
        <v>15</v>
      </c>
      <c r="D17">
        <v>3</v>
      </c>
      <c r="E17" t="s">
        <v>33</v>
      </c>
      <c r="F17" s="275"/>
      <c r="G17" s="276"/>
      <c r="H17" s="276"/>
      <c r="I17" s="277"/>
    </row>
    <row r="18" spans="1:9" x14ac:dyDescent="0.25">
      <c r="A18" t="s">
        <v>16</v>
      </c>
      <c r="D18">
        <v>3</v>
      </c>
      <c r="E18" t="s">
        <v>34</v>
      </c>
      <c r="F18" s="11" t="s">
        <v>39</v>
      </c>
      <c r="G18" s="12" t="s">
        <v>40</v>
      </c>
      <c r="H18" s="12" t="s">
        <v>41</v>
      </c>
      <c r="I18" s="33" t="s">
        <v>42</v>
      </c>
    </row>
    <row r="19" spans="1:9" x14ac:dyDescent="0.25">
      <c r="A19" t="s">
        <v>17</v>
      </c>
      <c r="D19">
        <v>3</v>
      </c>
      <c r="E19" t="s">
        <v>35</v>
      </c>
      <c r="F19" s="11">
        <v>0.2404</v>
      </c>
      <c r="G19" s="12">
        <v>9900</v>
      </c>
      <c r="H19" s="12">
        <v>435.274</v>
      </c>
      <c r="I19" s="33">
        <v>5</v>
      </c>
    </row>
    <row r="20" spans="1:9" x14ac:dyDescent="0.25">
      <c r="A20" t="s">
        <v>18</v>
      </c>
      <c r="D20">
        <v>3</v>
      </c>
      <c r="E20" t="s">
        <v>36</v>
      </c>
      <c r="F20" s="11"/>
      <c r="G20" s="12"/>
      <c r="H20" s="12"/>
      <c r="I20" s="33"/>
    </row>
    <row r="21" spans="1:9" x14ac:dyDescent="0.25">
      <c r="D21">
        <f>SUM(D4:D20)</f>
        <v>48</v>
      </c>
      <c r="F21" s="11"/>
      <c r="G21" s="12">
        <f>(H19*I19)/G19</f>
        <v>0.21983535353535352</v>
      </c>
      <c r="H21" s="12" t="s">
        <v>43</v>
      </c>
      <c r="I21" s="33"/>
    </row>
    <row r="22" spans="1:9" ht="15.75" thickBot="1" x14ac:dyDescent="0.3">
      <c r="F22" s="42"/>
      <c r="G22" s="18">
        <f>G21*1000</f>
        <v>219.83535353535353</v>
      </c>
      <c r="H22" s="18" t="s">
        <v>44</v>
      </c>
      <c r="I22" s="38"/>
    </row>
  </sheetData>
  <mergeCells count="3">
    <mergeCell ref="F8:I9"/>
    <mergeCell ref="F16:I17"/>
    <mergeCell ref="K8:N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P49"/>
  <sheetViews>
    <sheetView tabSelected="1" zoomScale="80" zoomScaleNormal="80" workbookViewId="0">
      <selection activeCell="G5" sqref="G5"/>
    </sheetView>
  </sheetViews>
  <sheetFormatPr defaultRowHeight="15" x14ac:dyDescent="0.25"/>
  <cols>
    <col min="2" max="2" width="4.5703125" bestFit="1" customWidth="1"/>
    <col min="10" max="10" width="15.85546875" bestFit="1" customWidth="1"/>
    <col min="14" max="14" width="10.140625" bestFit="1" customWidth="1"/>
    <col min="15" max="15" width="10.140625" customWidth="1"/>
  </cols>
  <sheetData>
    <row r="2" spans="1:16" x14ac:dyDescent="0.25">
      <c r="A2" t="s">
        <v>126</v>
      </c>
    </row>
    <row r="3" spans="1:16" ht="15.75" thickBot="1" x14ac:dyDescent="0.3">
      <c r="C3" s="253"/>
      <c r="D3" s="278" t="s">
        <v>144</v>
      </c>
      <c r="E3" s="278"/>
      <c r="F3" s="253"/>
      <c r="G3" s="278" t="s">
        <v>161</v>
      </c>
      <c r="H3" s="278"/>
      <c r="J3" s="255" t="s">
        <v>162</v>
      </c>
      <c r="K3" s="255" t="s">
        <v>163</v>
      </c>
      <c r="L3" s="255" t="s">
        <v>170</v>
      </c>
      <c r="M3" s="255" t="s">
        <v>164</v>
      </c>
      <c r="N3" s="255" t="s">
        <v>165</v>
      </c>
      <c r="O3" s="255" t="s">
        <v>171</v>
      </c>
      <c r="P3" s="255" t="s">
        <v>166</v>
      </c>
    </row>
    <row r="4" spans="1:16" ht="15.75" thickBot="1" x14ac:dyDescent="0.3">
      <c r="A4" s="19" t="s">
        <v>0</v>
      </c>
      <c r="B4" s="25" t="s">
        <v>50</v>
      </c>
      <c r="C4" s="133"/>
      <c r="D4" s="133" t="s">
        <v>148</v>
      </c>
      <c r="E4" s="91" t="s">
        <v>68</v>
      </c>
      <c r="F4" s="133"/>
      <c r="G4" s="133" t="s">
        <v>160</v>
      </c>
      <c r="H4" s="91" t="s">
        <v>68</v>
      </c>
      <c r="J4" s="254" t="s">
        <v>4</v>
      </c>
      <c r="K4">
        <f>AVERAGE(D8:D13)</f>
        <v>-1.7032639930665965</v>
      </c>
      <c r="L4">
        <f>STDEV(D8:D13)</f>
        <v>0.63302879405360957</v>
      </c>
      <c r="M4">
        <f>L4/SQRT(6)</f>
        <v>0.25843292298678694</v>
      </c>
      <c r="N4">
        <f>AVERAGE(G8:G13)</f>
        <v>-4.3465671927192355</v>
      </c>
      <c r="O4">
        <f>STDEV(G8:G13)</f>
        <v>4.1636627485125608</v>
      </c>
      <c r="P4">
        <f>O4/SQRT(6)</f>
        <v>1.6998081991483223</v>
      </c>
    </row>
    <row r="5" spans="1:16" x14ac:dyDescent="0.25">
      <c r="A5" s="9" t="s">
        <v>21</v>
      </c>
      <c r="B5" s="26">
        <v>1</v>
      </c>
      <c r="C5" s="10"/>
      <c r="D5" s="10">
        <f>'Low Summary'!X5</f>
        <v>-1.8098012240415982</v>
      </c>
      <c r="E5" s="32">
        <f>'Low Summary'!Y5</f>
        <v>0.99847501503137759</v>
      </c>
      <c r="F5" s="32"/>
      <c r="G5" s="174">
        <f>'High Summary'!AH4</f>
        <v>-0.60379199984072185</v>
      </c>
      <c r="H5" s="223">
        <f>'High Summary'!AI4</f>
        <v>0.97607442973396075</v>
      </c>
      <c r="J5" t="s">
        <v>167</v>
      </c>
      <c r="K5">
        <f>AVERAGE(D26:D28,D32:D34,D38:D40,D47:D49)</f>
        <v>-1.9184451666974296</v>
      </c>
      <c r="L5">
        <f>STDEV(D26:D28,D32:D34,D38:D40,D47:D49)</f>
        <v>1.5897238734084957</v>
      </c>
      <c r="M5">
        <f>L5/SQRT(12)</f>
        <v>0.45891375312478483</v>
      </c>
      <c r="N5">
        <f>AVERAGE(G26:G28,G32:G34,G38:G40,G47:G48)</f>
        <v>-5.3657534456473206</v>
      </c>
      <c r="O5">
        <f>STDEV(G26:G28,G32:G34,G38:G40,G47:G48)</f>
        <v>3.6930738427952523</v>
      </c>
      <c r="P5">
        <f>O5/SQRT(11)</f>
        <v>1.113503659966165</v>
      </c>
    </row>
    <row r="6" spans="1:16" x14ac:dyDescent="0.25">
      <c r="A6" s="11" t="s">
        <v>21</v>
      </c>
      <c r="B6" s="27">
        <v>2</v>
      </c>
      <c r="C6" s="12"/>
      <c r="D6" s="12">
        <f>'Low Summary'!X6</f>
        <v>0.19797205110639801</v>
      </c>
      <c r="E6" s="33">
        <f>'Low Summary'!Y6</f>
        <v>0.73020223672181905</v>
      </c>
      <c r="F6" s="33"/>
      <c r="G6" s="169">
        <f>'High Summary'!AH5</f>
        <v>-4.7802749841856924</v>
      </c>
      <c r="H6" s="224">
        <f>'High Summary'!AI5</f>
        <v>0.99987595023435372</v>
      </c>
      <c r="J6" t="s">
        <v>168</v>
      </c>
      <c r="K6">
        <f>AVERAGE(D35:D37,D44:D46)</f>
        <v>-1.8232339655767758</v>
      </c>
      <c r="L6">
        <f>STDEV(D35:D37,D44:D46)</f>
        <v>1.0740978304797451</v>
      </c>
      <c r="M6">
        <f>L6/SQRT(6)</f>
        <v>0.43849860308430011</v>
      </c>
      <c r="N6">
        <f>AVERAGE(G35:G37,G44:G45)</f>
        <v>-1.2793934962059361</v>
      </c>
      <c r="O6">
        <f>STDEV(G35:G37,G44:G45)</f>
        <v>0.93734867585465853</v>
      </c>
      <c r="P6">
        <f>O6/SQRT(5)</f>
        <v>0.41919507156608643</v>
      </c>
    </row>
    <row r="7" spans="1:16" ht="15.75" thickBot="1" x14ac:dyDescent="0.3">
      <c r="A7" s="13" t="s">
        <v>21</v>
      </c>
      <c r="B7" s="28">
        <v>3</v>
      </c>
      <c r="C7" s="14"/>
      <c r="D7" s="14">
        <f>'Low Summary'!X7</f>
        <v>0.36626210564354739</v>
      </c>
      <c r="E7" s="34">
        <f>'Low Summary'!Y7</f>
        <v>0.99109730797497575</v>
      </c>
      <c r="F7" s="34"/>
      <c r="G7" s="170">
        <f>'High Summary'!AH6</f>
        <v>-0.40601645184336332</v>
      </c>
      <c r="H7" s="225">
        <f>'High Summary'!AI6</f>
        <v>0.93672916229932024</v>
      </c>
      <c r="J7" t="s">
        <v>169</v>
      </c>
      <c r="K7">
        <f>AVERAGE(D20:D22,D29:D31,D41:D43)</f>
        <v>-4.5937515563960067</v>
      </c>
      <c r="L7">
        <f>STDEV(D20:D22,D29:D31,D41:D43)</f>
        <v>2.3660226613353683</v>
      </c>
      <c r="M7">
        <f>L7/SQRT(9)</f>
        <v>0.78867422044512281</v>
      </c>
      <c r="N7">
        <f>AVERAGE(G20:G22,G29:G31,G41:G43)</f>
        <v>-2.2355478136215514</v>
      </c>
      <c r="O7">
        <f>STDEV(G20:G22,G29:G31,G41:G43)</f>
        <v>3.0056449896309858</v>
      </c>
      <c r="P7">
        <f>O7/SQRT(9)</f>
        <v>1.0018816632103287</v>
      </c>
    </row>
    <row r="8" spans="1:16" x14ac:dyDescent="0.25">
      <c r="A8" s="47" t="s">
        <v>22</v>
      </c>
      <c r="B8" s="110">
        <v>1</v>
      </c>
      <c r="C8" s="48"/>
      <c r="D8" s="48">
        <f>'Low Summary'!X8</f>
        <v>-0.68073726251138023</v>
      </c>
      <c r="E8" s="49">
        <f>'Low Summary'!Y8</f>
        <v>0.99430968774004402</v>
      </c>
      <c r="F8" s="49"/>
      <c r="G8" s="171">
        <f>'High Summary'!AH7</f>
        <v>-11.207379444549005</v>
      </c>
      <c r="H8" s="226">
        <f>'High Summary'!AI7</f>
        <v>0.99929892394864683</v>
      </c>
    </row>
    <row r="9" spans="1:16" x14ac:dyDescent="0.25">
      <c r="A9" s="50" t="s">
        <v>22</v>
      </c>
      <c r="B9" s="111">
        <v>2</v>
      </c>
      <c r="C9" s="51"/>
      <c r="D9" s="51">
        <f>'Low Summary'!X9</f>
        <v>-1.5836782599138282</v>
      </c>
      <c r="E9" s="52">
        <f>'Low Summary'!Y9</f>
        <v>0.83694695618368797</v>
      </c>
      <c r="F9" s="52"/>
      <c r="G9" s="172">
        <f>'High Summary'!AH8</f>
        <v>-1.2324696931266934</v>
      </c>
      <c r="H9" s="227">
        <f>'High Summary'!AI8</f>
        <v>0.98041241030590975</v>
      </c>
    </row>
    <row r="10" spans="1:16" ht="15.75" thickBot="1" x14ac:dyDescent="0.3">
      <c r="A10" s="92" t="s">
        <v>22</v>
      </c>
      <c r="B10" s="112">
        <v>3</v>
      </c>
      <c r="C10" s="53"/>
      <c r="D10" s="53">
        <f>'Low Summary'!X10</f>
        <v>-1.452278509079475</v>
      </c>
      <c r="E10" s="54">
        <f>'Low Summary'!Y10</f>
        <v>0.84309374141235871</v>
      </c>
      <c r="F10" s="54"/>
      <c r="G10" s="173">
        <f>'High Summary'!AH9</f>
        <v>-2.0755693192165148</v>
      </c>
      <c r="H10" s="228">
        <f>'High Summary'!AI9</f>
        <v>0.9898994527051227</v>
      </c>
    </row>
    <row r="11" spans="1:16" x14ac:dyDescent="0.25">
      <c r="A11" s="9" t="s">
        <v>23</v>
      </c>
      <c r="B11" s="26">
        <v>1</v>
      </c>
      <c r="C11" s="10"/>
      <c r="D11" s="10">
        <f>'Low Summary'!X11</f>
        <v>-2.2515469427349917</v>
      </c>
      <c r="E11" s="32">
        <f>'Low Summary'!Y11</f>
        <v>0.95166766143404036</v>
      </c>
      <c r="F11" s="32"/>
      <c r="G11" s="174">
        <f>'High Summary'!AH10</f>
        <v>-7.0330761109625541</v>
      </c>
      <c r="H11" s="223">
        <f>'High Summary'!AI10</f>
        <v>0.99980013499849618</v>
      </c>
    </row>
    <row r="12" spans="1:16" x14ac:dyDescent="0.25">
      <c r="A12" s="11" t="s">
        <v>23</v>
      </c>
      <c r="B12" s="27">
        <v>2</v>
      </c>
      <c r="C12" s="12"/>
      <c r="D12" s="12">
        <f>'Low Summary'!X12</f>
        <v>-1.7915296721019267</v>
      </c>
      <c r="E12" s="33">
        <f>'Low Summary'!Y12</f>
        <v>0.90476384935212151</v>
      </c>
      <c r="F12" s="33"/>
      <c r="G12" s="169">
        <f>'High Summary'!AH11</f>
        <v>-0.15888526816433349</v>
      </c>
      <c r="H12" s="224">
        <f>'High Summary'!AI11</f>
        <v>0.97717832850970687</v>
      </c>
    </row>
    <row r="13" spans="1:16" ht="15.75" thickBot="1" x14ac:dyDescent="0.3">
      <c r="A13" s="13" t="s">
        <v>23</v>
      </c>
      <c r="B13" s="28">
        <v>3</v>
      </c>
      <c r="C13" s="14"/>
      <c r="D13" s="14">
        <f>'Low Summary'!X13</f>
        <v>-2.4598133120579759</v>
      </c>
      <c r="E13" s="34">
        <f>'Low Summary'!Y13</f>
        <v>0.97234162765632082</v>
      </c>
      <c r="F13" s="34"/>
      <c r="G13" s="170">
        <f>'High Summary'!AH12</f>
        <v>-4.3720233202963152</v>
      </c>
      <c r="H13" s="225">
        <f>'High Summary'!AI12</f>
        <v>0.99962008617379738</v>
      </c>
    </row>
    <row r="14" spans="1:16" x14ac:dyDescent="0.25">
      <c r="A14" s="47" t="s">
        <v>24</v>
      </c>
      <c r="B14" s="110">
        <v>1</v>
      </c>
      <c r="C14" s="48"/>
      <c r="D14" s="48">
        <f>'Low Summary'!X14</f>
        <v>-4.0859035638863306</v>
      </c>
      <c r="E14" s="49">
        <f>'Low Summary'!Y14</f>
        <v>0.87678693239384253</v>
      </c>
      <c r="F14" s="49"/>
      <c r="G14" s="171">
        <f>'High Summary'!AH13</f>
        <v>-1.9341277740096547</v>
      </c>
      <c r="H14" s="226">
        <f>'High Summary'!AI13</f>
        <v>0.96313186134487672</v>
      </c>
    </row>
    <row r="15" spans="1:16" x14ac:dyDescent="0.25">
      <c r="A15" s="50" t="s">
        <v>24</v>
      </c>
      <c r="B15" s="111">
        <v>2</v>
      </c>
      <c r="C15" s="51"/>
      <c r="D15" s="51">
        <f>'Low Summary'!X15</f>
        <v>-3.076430621489274</v>
      </c>
      <c r="E15" s="52">
        <f>'Low Summary'!Y15</f>
        <v>0.92465154070448907</v>
      </c>
      <c r="F15" s="52"/>
      <c r="G15" s="172">
        <f>'High Summary'!AH14</f>
        <v>-3.3568779114192409</v>
      </c>
      <c r="H15" s="227">
        <f>'High Summary'!AI14</f>
        <v>0.99989207999148144</v>
      </c>
    </row>
    <row r="16" spans="1:16" ht="15.75" thickBot="1" x14ac:dyDescent="0.3">
      <c r="A16" s="92" t="s">
        <v>24</v>
      </c>
      <c r="B16" s="112">
        <v>3</v>
      </c>
      <c r="C16" s="53"/>
      <c r="D16" s="53">
        <f>'Low Summary'!X16</f>
        <v>-3.9314642446124681</v>
      </c>
      <c r="E16" s="54">
        <f>'Low Summary'!Y16</f>
        <v>0.98704972350017262</v>
      </c>
      <c r="F16" s="54"/>
      <c r="G16" s="173">
        <f>'High Summary'!AH15</f>
        <v>-5.028090327432122</v>
      </c>
      <c r="H16" s="228">
        <f>'High Summary'!AI15</f>
        <v>0.99930336154636035</v>
      </c>
    </row>
    <row r="17" spans="1:8" x14ac:dyDescent="0.25">
      <c r="A17" s="9" t="s">
        <v>26</v>
      </c>
      <c r="B17" s="26">
        <v>1</v>
      </c>
      <c r="C17" s="10"/>
      <c r="D17" s="10">
        <f>'Low Summary'!X17</f>
        <v>-3.8852629649452033</v>
      </c>
      <c r="E17" s="32">
        <f>'Low Summary'!Y17</f>
        <v>0.89123017538666793</v>
      </c>
      <c r="F17" s="32"/>
      <c r="G17" s="174">
        <f>'High Summary'!AH16</f>
        <v>-4.2674079646550593</v>
      </c>
      <c r="H17" s="223">
        <f>'High Summary'!AI16</f>
        <v>0.99625753999345756</v>
      </c>
    </row>
    <row r="18" spans="1:8" x14ac:dyDescent="0.25">
      <c r="A18" s="11" t="s">
        <v>26</v>
      </c>
      <c r="B18" s="27">
        <v>2</v>
      </c>
      <c r="C18" s="12"/>
      <c r="D18" s="12">
        <f>'Low Summary'!X18</f>
        <v>-7.0861656272759985</v>
      </c>
      <c r="E18" s="33">
        <f>'Low Summary'!Y18</f>
        <v>0.96875331367334394</v>
      </c>
      <c r="F18" s="33"/>
      <c r="G18" s="169">
        <f>'High Summary'!AH17</f>
        <v>-0.69751861481864741</v>
      </c>
      <c r="H18" s="224">
        <f>'High Summary'!AI17</f>
        <v>0.97715896857587548</v>
      </c>
    </row>
    <row r="19" spans="1:8" ht="15.75" thickBot="1" x14ac:dyDescent="0.3">
      <c r="A19" s="13" t="s">
        <v>26</v>
      </c>
      <c r="B19" s="28">
        <v>3</v>
      </c>
      <c r="C19" s="14"/>
      <c r="D19" s="14">
        <f>'Low Summary'!X19</f>
        <v>-9.1526428239886233</v>
      </c>
      <c r="E19" s="34">
        <f>'Low Summary'!Y19</f>
        <v>0.99043471548125639</v>
      </c>
      <c r="F19" s="34"/>
      <c r="G19" s="170">
        <f>'High Summary'!AH18</f>
        <v>-0.58923886467403397</v>
      </c>
      <c r="H19" s="225">
        <f>'High Summary'!AI18</f>
        <v>0.84546689427747568</v>
      </c>
    </row>
    <row r="20" spans="1:8" x14ac:dyDescent="0.25">
      <c r="A20" s="47" t="s">
        <v>27</v>
      </c>
      <c r="B20" s="110">
        <v>1</v>
      </c>
      <c r="C20" s="48"/>
      <c r="D20" s="48">
        <f>'Low Summary'!X20</f>
        <v>-5.4747865030784713</v>
      </c>
      <c r="E20" s="49">
        <f>'Low Summary'!Y20</f>
        <v>0.7109117416517412</v>
      </c>
      <c r="F20" s="49"/>
      <c r="G20" s="171">
        <f>'High Summary'!AH19</f>
        <v>-0.47672476854909118</v>
      </c>
      <c r="H20" s="226">
        <f>'High Summary'!AI19</f>
        <v>0.9919549844037322</v>
      </c>
    </row>
    <row r="21" spans="1:8" x14ac:dyDescent="0.25">
      <c r="A21" s="50" t="s">
        <v>27</v>
      </c>
      <c r="B21" s="111">
        <v>2</v>
      </c>
      <c r="C21" s="51"/>
      <c r="D21" s="51">
        <f>'Low Summary'!X21</f>
        <v>-6.6503674177642615</v>
      </c>
      <c r="E21" s="52">
        <f>'Low Summary'!Y21</f>
        <v>0.82933186336762099</v>
      </c>
      <c r="F21" s="52"/>
      <c r="G21" s="172">
        <f>'High Summary'!AH20</f>
        <v>-0.15429526387770567</v>
      </c>
      <c r="H21" s="227">
        <f>'High Summary'!AI20</f>
        <v>0.97483771277897591</v>
      </c>
    </row>
    <row r="22" spans="1:8" ht="15.75" thickBot="1" x14ac:dyDescent="0.3">
      <c r="A22" s="92" t="s">
        <v>27</v>
      </c>
      <c r="B22" s="112">
        <v>3</v>
      </c>
      <c r="C22" s="53"/>
      <c r="D22" s="53">
        <f>'Low Summary'!X22</f>
        <v>-6.3319992764254236</v>
      </c>
      <c r="E22" s="54">
        <f>'Low Summary'!Y22</f>
        <v>0.90743533166073975</v>
      </c>
      <c r="F22" s="54"/>
      <c r="G22" s="173">
        <f>'High Summary'!AH21</f>
        <v>-9.4535845290339804</v>
      </c>
      <c r="H22" s="228">
        <f>'High Summary'!AI21</f>
        <v>0.99928300459929553</v>
      </c>
    </row>
    <row r="23" spans="1:8" x14ac:dyDescent="0.25">
      <c r="A23" s="15" t="s">
        <v>28</v>
      </c>
      <c r="B23" s="26">
        <v>1</v>
      </c>
      <c r="C23" s="10"/>
      <c r="D23" s="10">
        <f>'Low Summary'!X23</f>
        <v>-2.2539437728818905</v>
      </c>
      <c r="E23" s="32">
        <f>'Low Summary'!Y23</f>
        <v>0.96586776835937849</v>
      </c>
      <c r="F23" s="32"/>
      <c r="G23" s="174">
        <f>'High Summary'!AH22</f>
        <v>-0.64701894275658567</v>
      </c>
      <c r="H23" s="223">
        <f>'High Summary'!AI22</f>
        <v>0.99921862410943663</v>
      </c>
    </row>
    <row r="24" spans="1:8" x14ac:dyDescent="0.25">
      <c r="A24" s="16" t="s">
        <v>28</v>
      </c>
      <c r="B24" s="27">
        <v>2</v>
      </c>
      <c r="C24" s="12"/>
      <c r="D24" s="12">
        <f>'Low Summary'!X24</f>
        <v>-2.5023411805354585</v>
      </c>
      <c r="E24" s="33">
        <f>'Low Summary'!Y24</f>
        <v>0.98975431069091302</v>
      </c>
      <c r="F24" s="33"/>
      <c r="G24" s="169">
        <f>'High Summary'!AH23</f>
        <v>-9.9963806675739519</v>
      </c>
      <c r="H24" s="224">
        <f>'High Summary'!AI23</f>
        <v>0.99987601377760749</v>
      </c>
    </row>
    <row r="25" spans="1:8" ht="15.75" thickBot="1" x14ac:dyDescent="0.3">
      <c r="A25" s="55" t="s">
        <v>28</v>
      </c>
      <c r="B25" s="28">
        <v>3</v>
      </c>
      <c r="C25" s="14"/>
      <c r="D25" s="14">
        <f>'Low Summary'!X25</f>
        <v>-4.5308653672559416</v>
      </c>
      <c r="E25" s="34">
        <f>'Low Summary'!Y25</f>
        <v>0.99749594838201572</v>
      </c>
      <c r="F25" s="34"/>
      <c r="G25" s="170">
        <f>'High Summary'!AH24</f>
        <v>-8.3422509970404332E-2</v>
      </c>
      <c r="H25" s="225">
        <f>'High Summary'!AI24</f>
        <v>0.94337963159854088</v>
      </c>
    </row>
    <row r="26" spans="1:8" x14ac:dyDescent="0.25">
      <c r="A26" s="47" t="s">
        <v>29</v>
      </c>
      <c r="B26" s="110">
        <v>1</v>
      </c>
      <c r="C26" s="48"/>
      <c r="D26" s="48">
        <f>'Low Summary'!X26</f>
        <v>-1.0948735666880329</v>
      </c>
      <c r="E26" s="49">
        <f>'Low Summary'!Y26</f>
        <v>0.95955589722786072</v>
      </c>
      <c r="F26" s="49"/>
      <c r="G26" s="171">
        <f>'High Summary'!AH25</f>
        <v>-12.319317762223244</v>
      </c>
      <c r="H26" s="226">
        <f>'High Summary'!AI25</f>
        <v>0.99927742973286382</v>
      </c>
    </row>
    <row r="27" spans="1:8" x14ac:dyDescent="0.25">
      <c r="A27" s="50" t="s">
        <v>29</v>
      </c>
      <c r="B27" s="111">
        <v>2</v>
      </c>
      <c r="C27" s="51"/>
      <c r="D27" s="51">
        <f>'Low Summary'!X27</f>
        <v>-2.0362249284257303</v>
      </c>
      <c r="E27" s="52">
        <f>'Low Summary'!Y27</f>
        <v>0.78905667062164797</v>
      </c>
      <c r="F27" s="52"/>
      <c r="G27" s="172">
        <f>'High Summary'!AH26</f>
        <v>-10.681388133783173</v>
      </c>
      <c r="H27" s="227">
        <f>'High Summary'!AI26</f>
        <v>0.99670141388959554</v>
      </c>
    </row>
    <row r="28" spans="1:8" ht="15.75" thickBot="1" x14ac:dyDescent="0.3">
      <c r="A28" s="92" t="s">
        <v>29</v>
      </c>
      <c r="B28" s="112">
        <v>3</v>
      </c>
      <c r="C28" s="53"/>
      <c r="D28" s="53">
        <f>'Low Summary'!X28</f>
        <v>-2.584036892711167</v>
      </c>
      <c r="E28" s="54">
        <f>'Low Summary'!Y28</f>
        <v>0.88051024788321763</v>
      </c>
      <c r="F28" s="54"/>
      <c r="G28" s="173">
        <f>'High Summary'!AH27</f>
        <v>-6.0726531521525917</v>
      </c>
      <c r="H28" s="228">
        <f>'High Summary'!AI27</f>
        <v>0.99680200204998393</v>
      </c>
    </row>
    <row r="29" spans="1:8" x14ac:dyDescent="0.25">
      <c r="A29" s="9" t="s">
        <v>30</v>
      </c>
      <c r="B29" s="26">
        <v>1</v>
      </c>
      <c r="C29" s="10"/>
      <c r="D29" s="10">
        <f>'Low Summary'!X29</f>
        <v>-7.6310529260374897</v>
      </c>
      <c r="E29" s="32">
        <f>'Low Summary'!Y29</f>
        <v>0.91723312829308923</v>
      </c>
      <c r="F29" s="32"/>
      <c r="G29" s="174">
        <f>'High Summary'!AH28</f>
        <v>-3.8337423454306689</v>
      </c>
      <c r="H29" s="223">
        <f>'High Summary'!AI28</f>
        <v>0.9999619459470579</v>
      </c>
    </row>
    <row r="30" spans="1:8" x14ac:dyDescent="0.25">
      <c r="A30" s="11" t="s">
        <v>30</v>
      </c>
      <c r="B30" s="27">
        <v>2</v>
      </c>
      <c r="C30" s="12"/>
      <c r="D30" s="12">
        <f>'Low Summary'!X30</f>
        <v>-6.0915797398424134</v>
      </c>
      <c r="E30" s="33">
        <f>'Low Summary'!Y30</f>
        <v>0.97576844442514798</v>
      </c>
      <c r="F30" s="33"/>
      <c r="G30" s="169">
        <f>'High Summary'!AH29</f>
        <v>-2.0631330544661091</v>
      </c>
      <c r="H30" s="224">
        <f>'High Summary'!AI29</f>
        <v>0.99749345311474868</v>
      </c>
    </row>
    <row r="31" spans="1:8" ht="15.75" thickBot="1" x14ac:dyDescent="0.3">
      <c r="A31" s="13" t="s">
        <v>30</v>
      </c>
      <c r="B31" s="28">
        <v>3</v>
      </c>
      <c r="C31" s="14"/>
      <c r="D31" s="14">
        <f>'Low Summary'!X31</f>
        <v>-3.5608324031576091</v>
      </c>
      <c r="E31" s="34">
        <f>'Low Summary'!Y31</f>
        <v>0.95777335342305026</v>
      </c>
      <c r="F31" s="34"/>
      <c r="G31" s="170">
        <f>'High Summary'!AH30</f>
        <v>-0.24620030206969906</v>
      </c>
      <c r="H31" s="225">
        <f>'High Summary'!AI30</f>
        <v>0.99386934552684192</v>
      </c>
    </row>
    <row r="32" spans="1:8" x14ac:dyDescent="0.25">
      <c r="A32" s="47" t="s">
        <v>31</v>
      </c>
      <c r="B32" s="110">
        <v>1</v>
      </c>
      <c r="C32" s="48"/>
      <c r="D32" s="48">
        <f>'Low Summary'!X32</f>
        <v>-3.733606177025004</v>
      </c>
      <c r="E32" s="49">
        <f>'Low Summary'!Y32</f>
        <v>0.99906080607236558</v>
      </c>
      <c r="F32" s="49"/>
      <c r="G32" s="171">
        <f>'High Summary'!AH31</f>
        <v>-3.1229177331939515</v>
      </c>
      <c r="H32" s="226">
        <f>'High Summary'!AI31</f>
        <v>0.99419454810460905</v>
      </c>
    </row>
    <row r="33" spans="1:8" x14ac:dyDescent="0.25">
      <c r="A33" s="50" t="s">
        <v>31</v>
      </c>
      <c r="B33" s="111">
        <v>2</v>
      </c>
      <c r="C33" s="51"/>
      <c r="D33" s="51">
        <f>'Low Summary'!X33</f>
        <v>-1.9580315380965596</v>
      </c>
      <c r="E33" s="52">
        <f>'Low Summary'!Y33</f>
        <v>0.99685189499607285</v>
      </c>
      <c r="F33" s="52"/>
      <c r="G33" s="172">
        <f>'High Summary'!AH32</f>
        <v>-9.1770886256056645</v>
      </c>
      <c r="H33" s="227">
        <f>'High Summary'!AI32</f>
        <v>0.99986649824291784</v>
      </c>
    </row>
    <row r="34" spans="1:8" ht="15.75" thickBot="1" x14ac:dyDescent="0.3">
      <c r="A34" s="92" t="s">
        <v>31</v>
      </c>
      <c r="B34" s="112">
        <v>3</v>
      </c>
      <c r="C34" s="53"/>
      <c r="D34" s="53">
        <f>'Low Summary'!X34</f>
        <v>-2.957575163937312</v>
      </c>
      <c r="E34" s="54">
        <f>'Low Summary'!Y34</f>
        <v>0.99791952394252448</v>
      </c>
      <c r="F34" s="54"/>
      <c r="G34" s="173">
        <f>'High Summary'!AH33</f>
        <v>-3.0147345030711925</v>
      </c>
      <c r="H34" s="228">
        <f>'High Summary'!AI33</f>
        <v>0.9985434419854905</v>
      </c>
    </row>
    <row r="35" spans="1:8" x14ac:dyDescent="0.25">
      <c r="A35" s="15" t="s">
        <v>32</v>
      </c>
      <c r="B35" s="26">
        <v>1</v>
      </c>
      <c r="C35" s="10"/>
      <c r="D35" s="10">
        <f>'Low Summary'!X35</f>
        <v>-0.72503481689852156</v>
      </c>
      <c r="E35" s="32">
        <f>'Low Summary'!Y35</f>
        <v>0.98279210761329716</v>
      </c>
      <c r="F35" s="32"/>
      <c r="G35" s="174">
        <f>'High Summary'!AH34</f>
        <v>-0.41282775540477995</v>
      </c>
      <c r="H35" s="223">
        <f>'High Summary'!AI34</f>
        <v>0.99416859894690046</v>
      </c>
    </row>
    <row r="36" spans="1:8" x14ac:dyDescent="0.25">
      <c r="A36" s="16" t="s">
        <v>32</v>
      </c>
      <c r="B36" s="27">
        <v>2</v>
      </c>
      <c r="C36" s="12"/>
      <c r="D36" s="12">
        <f>'Low Summary'!X36</f>
        <v>-0.76734627436940395</v>
      </c>
      <c r="E36" s="33">
        <f>'Low Summary'!Y36</f>
        <v>0.99728245684003647</v>
      </c>
      <c r="F36" s="33"/>
      <c r="G36" s="169">
        <f>'High Summary'!AH35</f>
        <v>-0.32289168989576533</v>
      </c>
      <c r="H36" s="224">
        <f>'High Summary'!AI35</f>
        <v>0.9631521461711815</v>
      </c>
    </row>
    <row r="37" spans="1:8" ht="15.75" thickBot="1" x14ac:dyDescent="0.3">
      <c r="A37" s="55" t="s">
        <v>32</v>
      </c>
      <c r="B37" s="28">
        <v>3</v>
      </c>
      <c r="C37" s="14"/>
      <c r="D37" s="14">
        <f>'Low Summary'!X37</f>
        <v>-2.1762778205627362</v>
      </c>
      <c r="E37" s="34">
        <f>'Low Summary'!Y37</f>
        <v>0.8528799651510186</v>
      </c>
      <c r="F37" s="34"/>
      <c r="G37" s="170">
        <f>'High Summary'!AH36</f>
        <v>-1.7238728895779059</v>
      </c>
      <c r="H37" s="225">
        <f>'High Summary'!AI36</f>
        <v>0.99971330640340994</v>
      </c>
    </row>
    <row r="38" spans="1:8" x14ac:dyDescent="0.25">
      <c r="A38" s="47" t="s">
        <v>33</v>
      </c>
      <c r="B38" s="110">
        <v>1</v>
      </c>
      <c r="C38" s="48"/>
      <c r="D38" s="48">
        <f>'Low Summary'!X38</f>
        <v>-0.79973760614836242</v>
      </c>
      <c r="E38" s="49">
        <f>'Low Summary'!Y38</f>
        <v>0.98817676259087062</v>
      </c>
      <c r="F38" s="49"/>
      <c r="G38" s="171">
        <f>'High Summary'!AH37</f>
        <v>-2.4922886389980752</v>
      </c>
      <c r="H38" s="226">
        <f>'High Summary'!AI37</f>
        <v>0.99668480491766909</v>
      </c>
    </row>
    <row r="39" spans="1:8" x14ac:dyDescent="0.25">
      <c r="A39" s="50" t="s">
        <v>33</v>
      </c>
      <c r="B39" s="111">
        <v>2</v>
      </c>
      <c r="C39" s="51"/>
      <c r="D39" s="51">
        <f>'Low Summary'!X39</f>
        <v>-3.5447156118262422</v>
      </c>
      <c r="E39" s="52">
        <f>'Low Summary'!Y39</f>
        <v>0.98641861092419325</v>
      </c>
      <c r="F39" s="52"/>
      <c r="G39" s="172">
        <f>'High Summary'!AH38</f>
        <v>-4.0837029172622952</v>
      </c>
      <c r="H39" s="227">
        <f>'High Summary'!AI38</f>
        <v>0.99961747678897628</v>
      </c>
    </row>
    <row r="40" spans="1:8" ht="15.75" thickBot="1" x14ac:dyDescent="0.3">
      <c r="A40" s="92" t="s">
        <v>33</v>
      </c>
      <c r="B40" s="112">
        <v>3</v>
      </c>
      <c r="C40" s="53"/>
      <c r="D40" s="53">
        <f>'Low Summary'!X40</f>
        <v>2.0802416722059678</v>
      </c>
      <c r="E40" s="54">
        <f>'Low Summary'!Y40</f>
        <v>0.95633356744600817</v>
      </c>
      <c r="F40" s="54"/>
      <c r="G40" s="173">
        <f>'High Summary'!AH39</f>
        <v>-1.3472294858409359</v>
      </c>
      <c r="H40" s="228">
        <f>'High Summary'!AI39</f>
        <v>0.99949018617944385</v>
      </c>
    </row>
    <row r="41" spans="1:8" x14ac:dyDescent="0.25">
      <c r="A41" s="9" t="s">
        <v>34</v>
      </c>
      <c r="B41" s="26">
        <v>1</v>
      </c>
      <c r="C41" s="10"/>
      <c r="D41" s="10">
        <f>'Low Summary'!X41</f>
        <v>-0.99750579816113349</v>
      </c>
      <c r="E41" s="32">
        <f>'Low Summary'!Y41</f>
        <v>0.98209187089908068</v>
      </c>
      <c r="F41" s="32"/>
      <c r="G41" s="174">
        <f>'High Summary'!AH40</f>
        <v>-2.8139759680139154</v>
      </c>
      <c r="H41" s="223">
        <f>'High Summary'!AI40</f>
        <v>0.99124539487272822</v>
      </c>
    </row>
    <row r="42" spans="1:8" x14ac:dyDescent="0.25">
      <c r="A42" s="11" t="s">
        <v>34</v>
      </c>
      <c r="B42" s="27">
        <v>2</v>
      </c>
      <c r="C42" s="12"/>
      <c r="D42" s="12">
        <f>'Low Summary'!X42</f>
        <v>-2.9320178323687371</v>
      </c>
      <c r="E42" s="33">
        <f>'Low Summary'!Y42</f>
        <v>0.95949463128018198</v>
      </c>
      <c r="F42" s="33"/>
      <c r="G42" s="169">
        <f>'High Summary'!AH41</f>
        <v>-0.77833933940539723</v>
      </c>
      <c r="H42" s="224">
        <f>'High Summary'!AI41</f>
        <v>0.99526300495097975</v>
      </c>
    </row>
    <row r="43" spans="1:8" ht="15.75" thickBot="1" x14ac:dyDescent="0.3">
      <c r="A43" s="13" t="s">
        <v>34</v>
      </c>
      <c r="B43" s="28">
        <v>3</v>
      </c>
      <c r="C43" s="14"/>
      <c r="D43" s="14">
        <f>'Low Summary'!X43</f>
        <v>-1.673622110728519</v>
      </c>
      <c r="E43" s="34">
        <f>'Low Summary'!Y43</f>
        <v>0.9868636390463047</v>
      </c>
      <c r="F43" s="34"/>
      <c r="G43" s="170">
        <f>'High Summary'!AH42</f>
        <v>-0.29993475174739087</v>
      </c>
      <c r="H43" s="225">
        <f>'High Summary'!AI42</f>
        <v>0.99496064410388274</v>
      </c>
    </row>
    <row r="44" spans="1:8" x14ac:dyDescent="0.25">
      <c r="A44" s="47" t="s">
        <v>35</v>
      </c>
      <c r="B44" s="110">
        <v>1</v>
      </c>
      <c r="C44" s="48"/>
      <c r="D44" s="48">
        <f>'Low Summary'!X44</f>
        <v>-3.6435092215796336</v>
      </c>
      <c r="E44" s="49">
        <f>'Low Summary'!Y44</f>
        <v>0.99504437521150157</v>
      </c>
      <c r="F44" s="49"/>
      <c r="G44" s="171">
        <f>'High Summary'!AH43</f>
        <v>-1.3767231772064508</v>
      </c>
      <c r="H44" s="226">
        <f>'High Summary'!AI43</f>
        <v>0.97548108500394271</v>
      </c>
    </row>
    <row r="45" spans="1:8" x14ac:dyDescent="0.25">
      <c r="A45" s="50" t="s">
        <v>35</v>
      </c>
      <c r="B45" s="111">
        <v>2</v>
      </c>
      <c r="C45" s="51"/>
      <c r="D45" s="51">
        <f>'Low Summary'!X45</f>
        <v>-1.7455603200792307</v>
      </c>
      <c r="E45" s="52">
        <f>'Low Summary'!Y45</f>
        <v>0.96286125947959322</v>
      </c>
      <c r="F45" s="52"/>
      <c r="G45" s="172">
        <f>'High Summary'!AH44</f>
        <v>-2.5606519689447795</v>
      </c>
      <c r="H45" s="227">
        <f>'High Summary'!AI44</f>
        <v>0.98445514642093424</v>
      </c>
    </row>
    <row r="46" spans="1:8" ht="15.75" thickBot="1" x14ac:dyDescent="0.3">
      <c r="A46" s="92" t="s">
        <v>35</v>
      </c>
      <c r="B46" s="112">
        <v>3</v>
      </c>
      <c r="C46" s="53"/>
      <c r="D46" s="53">
        <f>'Low Summary'!X46</f>
        <v>-1.8816753399711279</v>
      </c>
      <c r="E46" s="54">
        <f>'Low Summary'!Y46</f>
        <v>0.99277583088129584</v>
      </c>
      <c r="F46" s="54"/>
      <c r="G46" s="173">
        <f>'High Summary'!AH45</f>
        <v>-0.11984936660852531</v>
      </c>
      <c r="H46" s="228">
        <f>'High Summary'!AI45</f>
        <v>0.96456529927342161</v>
      </c>
    </row>
    <row r="47" spans="1:8" x14ac:dyDescent="0.25">
      <c r="A47" s="15" t="s">
        <v>36</v>
      </c>
      <c r="B47" s="26">
        <v>1</v>
      </c>
      <c r="C47" s="10"/>
      <c r="D47" s="10">
        <f>'Low Summary'!X47</f>
        <v>-1.5183464041210957</v>
      </c>
      <c r="E47" s="32">
        <f>'Low Summary'!Y47</f>
        <v>0.99906963697652573</v>
      </c>
      <c r="F47" s="32"/>
      <c r="G47" s="174">
        <f>'High Summary'!AH46</f>
        <v>-3.1702537618842785</v>
      </c>
      <c r="H47" s="223">
        <f>'High Summary'!AI46</f>
        <v>0.99948699983303213</v>
      </c>
    </row>
    <row r="48" spans="1:8" x14ac:dyDescent="0.25">
      <c r="A48" s="16" t="s">
        <v>36</v>
      </c>
      <c r="B48" s="27">
        <v>2</v>
      </c>
      <c r="C48" s="12"/>
      <c r="D48" s="12">
        <f>'Low Summary'!X48</f>
        <v>-1.5141708442363355</v>
      </c>
      <c r="E48" s="33">
        <f>'Low Summary'!Y48</f>
        <v>0.91741041658756128</v>
      </c>
      <c r="F48" s="33"/>
      <c r="G48" s="169">
        <f>'High Summary'!AH47</f>
        <v>-3.5417131881051427</v>
      </c>
      <c r="H48" s="224">
        <f>'High Summary'!AI47</f>
        <v>0.9766651614341153</v>
      </c>
    </row>
    <row r="49" spans="1:8" ht="15.75" thickBot="1" x14ac:dyDescent="0.3">
      <c r="A49" s="17" t="s">
        <v>36</v>
      </c>
      <c r="B49" s="29">
        <v>3</v>
      </c>
      <c r="C49" s="18"/>
      <c r="D49" s="18">
        <f>'Low Summary'!X49</f>
        <v>-3.3602649393592841</v>
      </c>
      <c r="E49" s="38">
        <f>'Low Summary'!Y49</f>
        <v>0.81469942477162149</v>
      </c>
      <c r="F49" s="38"/>
      <c r="G49" s="175">
        <f>'High Summary'!AH48</f>
        <v>-2.8815088721116791</v>
      </c>
      <c r="H49" s="229">
        <f>'High Summary'!AI48</f>
        <v>0.99925353285602903</v>
      </c>
    </row>
  </sheetData>
  <mergeCells count="2">
    <mergeCell ref="D3:E3"/>
    <mergeCell ref="G3:H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G23"/>
  <sheetViews>
    <sheetView topLeftCell="A2" zoomScale="60" zoomScaleNormal="60" workbookViewId="0">
      <selection activeCell="Y23" sqref="Y23"/>
    </sheetView>
  </sheetViews>
  <sheetFormatPr defaultRowHeight="15" x14ac:dyDescent="0.25"/>
  <cols>
    <col min="1" max="1" width="11.85546875" bestFit="1" customWidth="1"/>
    <col min="18" max="18" width="11.85546875" bestFit="1" customWidth="1"/>
  </cols>
  <sheetData>
    <row r="2" spans="1:33" ht="15.75" thickBot="1" x14ac:dyDescent="0.3"/>
    <row r="3" spans="1:33" ht="15.75" thickBot="1" x14ac:dyDescent="0.3">
      <c r="A3" s="56">
        <v>41963</v>
      </c>
      <c r="R3" s="56">
        <v>41963</v>
      </c>
    </row>
    <row r="4" spans="1:33" ht="15.75" thickBot="1" x14ac:dyDescent="0.3"/>
    <row r="5" spans="1:33" ht="45.75" thickBot="1" x14ac:dyDescent="0.3">
      <c r="A5" s="43" t="s">
        <v>61</v>
      </c>
      <c r="B5" s="44" t="s">
        <v>62</v>
      </c>
      <c r="C5" s="57" t="s">
        <v>63</v>
      </c>
      <c r="D5" s="57" t="s">
        <v>64</v>
      </c>
      <c r="E5" s="58" t="s">
        <v>65</v>
      </c>
      <c r="R5" s="43" t="s">
        <v>61</v>
      </c>
      <c r="S5" s="44" t="s">
        <v>62</v>
      </c>
      <c r="T5" s="57" t="s">
        <v>63</v>
      </c>
      <c r="U5" s="57" t="s">
        <v>64</v>
      </c>
      <c r="V5" s="58" t="s">
        <v>65</v>
      </c>
    </row>
    <row r="6" spans="1:33" x14ac:dyDescent="0.25">
      <c r="A6" s="47">
        <v>10.3</v>
      </c>
      <c r="B6" s="48">
        <f>10.3*0.05</f>
        <v>0.51500000000000001</v>
      </c>
      <c r="C6" s="48">
        <v>1.7</v>
      </c>
      <c r="D6" s="48"/>
      <c r="E6" s="49"/>
      <c r="R6" s="47">
        <v>10000</v>
      </c>
      <c r="S6" s="48">
        <v>500</v>
      </c>
      <c r="T6" s="48">
        <v>1453.2639999999999</v>
      </c>
      <c r="U6" s="48"/>
      <c r="V6" s="49"/>
    </row>
    <row r="7" spans="1:33" x14ac:dyDescent="0.25">
      <c r="A7" s="50">
        <v>10.3</v>
      </c>
      <c r="B7" s="51">
        <f>10.3*0.025</f>
        <v>0.25750000000000001</v>
      </c>
      <c r="C7" s="51">
        <v>0.52100000000000002</v>
      </c>
      <c r="D7" s="51"/>
      <c r="E7" s="52"/>
      <c r="R7" s="50">
        <v>10000</v>
      </c>
      <c r="S7" s="51">
        <f>10000*0.1</f>
        <v>1000</v>
      </c>
      <c r="T7" s="51">
        <v>3081.8380000000002</v>
      </c>
      <c r="U7" s="51"/>
      <c r="V7" s="52"/>
    </row>
    <row r="8" spans="1:33" ht="15.75" thickBot="1" x14ac:dyDescent="0.3">
      <c r="A8" s="9">
        <v>10.3</v>
      </c>
      <c r="B8" s="10">
        <f>10.3*0.1</f>
        <v>1.03</v>
      </c>
      <c r="C8" s="10">
        <v>3.3660000000000001</v>
      </c>
      <c r="D8" s="10">
        <f>AVERAGE(C8:C9)</f>
        <v>5.1440000000000001</v>
      </c>
      <c r="E8" s="32">
        <f>STDEV(C8:C9)</f>
        <v>2.5144717138993622</v>
      </c>
      <c r="O8" s="59"/>
      <c r="R8" s="84">
        <v>10000</v>
      </c>
      <c r="S8" s="86">
        <v>2000</v>
      </c>
      <c r="T8" s="86">
        <v>6349.5140000000001</v>
      </c>
      <c r="U8" s="86"/>
      <c r="V8" s="88"/>
      <c r="AF8" s="59"/>
    </row>
    <row r="9" spans="1:33" ht="15.75" thickBot="1" x14ac:dyDescent="0.3">
      <c r="A9" s="11">
        <v>10.3</v>
      </c>
      <c r="B9" s="12">
        <f>10.3*0.2</f>
        <v>2.06</v>
      </c>
      <c r="C9" s="12">
        <v>6.9219999999999997</v>
      </c>
      <c r="D9" s="12"/>
      <c r="E9" s="33"/>
      <c r="O9" t="s">
        <v>66</v>
      </c>
      <c r="P9">
        <f>SLOPE(B8:B19,C8:C19)</f>
        <v>0.23874628716803376</v>
      </c>
      <c r="R9" s="50">
        <v>10000</v>
      </c>
      <c r="S9" s="51">
        <f>10000*0.3</f>
        <v>3000</v>
      </c>
      <c r="T9" s="51">
        <v>9558.2139999999999</v>
      </c>
      <c r="U9" s="51"/>
      <c r="V9" s="52"/>
      <c r="AF9" t="s">
        <v>66</v>
      </c>
      <c r="AG9">
        <f>SLOPE(S8:S19,T8:T19)</f>
        <v>0.30565831405792865</v>
      </c>
    </row>
    <row r="10" spans="1:33" x14ac:dyDescent="0.25">
      <c r="A10" s="47">
        <v>10.3</v>
      </c>
      <c r="B10" s="48">
        <f>10.3*0.3</f>
        <v>3.0900000000000003</v>
      </c>
      <c r="C10">
        <v>10.95</v>
      </c>
      <c r="D10" s="48">
        <f>AVERAGE(C10:C11)</f>
        <v>12.62</v>
      </c>
      <c r="E10" s="49">
        <f>STDEV(C10:C11)</f>
        <v>2.361736649163074</v>
      </c>
      <c r="O10" t="s">
        <v>67</v>
      </c>
      <c r="P10">
        <f>INTERCEPT(B8:B19,C8:C19)</f>
        <v>0.46677919096153175</v>
      </c>
      <c r="R10" s="39">
        <v>10000</v>
      </c>
      <c r="S10" s="40">
        <f>10000*0.5</f>
        <v>5000</v>
      </c>
      <c r="T10" s="87">
        <v>16051.196</v>
      </c>
      <c r="U10" s="40">
        <f>AVERAGE(T10:T11)</f>
        <v>17241.646000000001</v>
      </c>
      <c r="V10" s="41">
        <f>STDEV(T10:T11)</f>
        <v>1683.5505353270521</v>
      </c>
      <c r="AF10" t="s">
        <v>67</v>
      </c>
      <c r="AG10">
        <f>INTERCEPT(S8:S19,T8:T19)</f>
        <v>167.17536551946068</v>
      </c>
    </row>
    <row r="11" spans="1:33" ht="15.75" thickBot="1" x14ac:dyDescent="0.3">
      <c r="A11" s="50">
        <v>10.3</v>
      </c>
      <c r="B11" s="51">
        <f>0.4*10.3</f>
        <v>4.12</v>
      </c>
      <c r="C11" s="51">
        <v>14.29</v>
      </c>
      <c r="D11" s="51"/>
      <c r="E11" s="52"/>
      <c r="O11" t="s">
        <v>68</v>
      </c>
      <c r="P11">
        <f>RSQ(B8:B19,C8:C19)</f>
        <v>0.99866305659229193</v>
      </c>
      <c r="R11" s="11">
        <v>10000</v>
      </c>
      <c r="S11" s="85">
        <v>6000</v>
      </c>
      <c r="T11" s="12">
        <v>18432.096000000001</v>
      </c>
      <c r="U11" s="12"/>
      <c r="V11" s="33"/>
      <c r="AF11" t="s">
        <v>68</v>
      </c>
      <c r="AG11">
        <f>RSQ(S8:S19,T8:T19)</f>
        <v>0.9996097602089089</v>
      </c>
    </row>
    <row r="12" spans="1:33" x14ac:dyDescent="0.25">
      <c r="A12" s="39">
        <v>10.3</v>
      </c>
      <c r="B12" s="40">
        <f>10.3*0.5</f>
        <v>5.15</v>
      </c>
      <c r="C12" s="40">
        <v>18.777999999999999</v>
      </c>
      <c r="D12" s="40">
        <f>AVERAGE(C12:C13)</f>
        <v>20.888500000000001</v>
      </c>
      <c r="E12" s="41">
        <f>STDEV(C12:C13)</f>
        <v>2.9846977233883845</v>
      </c>
      <c r="R12" s="39">
        <v>10000</v>
      </c>
      <c r="S12" s="40">
        <v>7000</v>
      </c>
      <c r="T12" s="40">
        <v>21976.485000000001</v>
      </c>
      <c r="U12" s="40"/>
      <c r="V12" s="41"/>
    </row>
    <row r="13" spans="1:33" ht="15.75" thickBot="1" x14ac:dyDescent="0.3">
      <c r="A13" s="13">
        <v>10.3</v>
      </c>
      <c r="B13" s="60">
        <f>10.3*0.6</f>
        <v>6.1800000000000006</v>
      </c>
      <c r="C13" s="14">
        <v>22.998999999999999</v>
      </c>
      <c r="D13" s="14"/>
      <c r="E13" s="34"/>
      <c r="R13" s="62">
        <v>10000</v>
      </c>
      <c r="S13" s="63">
        <v>10000</v>
      </c>
      <c r="T13" s="14">
        <v>31885.978999999999</v>
      </c>
      <c r="U13" s="63">
        <f>AVERAGE(T13:T14)</f>
        <v>40437.731499999994</v>
      </c>
      <c r="V13" s="64">
        <f>STDEV(T13:T14)</f>
        <v>12094.004367558053</v>
      </c>
    </row>
    <row r="14" spans="1:33" x14ac:dyDescent="0.25">
      <c r="A14" s="47">
        <v>10.3</v>
      </c>
      <c r="B14" s="48">
        <f>10.3*0.7</f>
        <v>7.21</v>
      </c>
      <c r="C14" s="48">
        <v>27.768000000000001</v>
      </c>
      <c r="D14" s="48">
        <f>AVERAGE(C14:C15)</f>
        <v>30.221</v>
      </c>
      <c r="E14" s="49">
        <f>STDEV(C14:C15)</f>
        <v>3.4690658685012012</v>
      </c>
      <c r="F14" s="61"/>
      <c r="R14" s="47">
        <v>10000</v>
      </c>
      <c r="S14" s="48">
        <v>15000</v>
      </c>
      <c r="T14" s="48">
        <v>48989.483999999997</v>
      </c>
      <c r="U14" s="48">
        <f>AVERAGE(T14:T15)</f>
        <v>56920.834999999999</v>
      </c>
      <c r="V14" s="49">
        <f>STDEV(T14:T15)</f>
        <v>11216.624152141425</v>
      </c>
      <c r="W14" s="61"/>
    </row>
    <row r="15" spans="1:33" ht="15.75" thickBot="1" x14ac:dyDescent="0.3">
      <c r="A15" s="62">
        <v>10.3</v>
      </c>
      <c r="B15" s="63">
        <f>10.3*0.8</f>
        <v>8.24</v>
      </c>
      <c r="C15" s="63">
        <v>32.673999999999999</v>
      </c>
      <c r="D15" s="63"/>
      <c r="E15" s="64"/>
      <c r="R15" s="13">
        <v>10000</v>
      </c>
      <c r="S15" s="14">
        <v>20000</v>
      </c>
      <c r="T15" s="14">
        <v>64852.186000000002</v>
      </c>
      <c r="U15" s="14">
        <f>AVERAGE(T15:T16)</f>
        <v>64852.186000000002</v>
      </c>
      <c r="V15" s="34" t="e">
        <f>STDEV(T15:T16)</f>
        <v>#DIV/0!</v>
      </c>
    </row>
    <row r="16" spans="1:33" x14ac:dyDescent="0.25">
      <c r="A16" s="65">
        <v>10.3</v>
      </c>
      <c r="B16" s="66">
        <f>10.3*0.9</f>
        <v>9.2700000000000014</v>
      </c>
      <c r="C16" s="66">
        <v>38.177999999999997</v>
      </c>
      <c r="D16" s="40">
        <f>AVERAGE(C16:C17)</f>
        <v>40.366</v>
      </c>
      <c r="E16" s="41">
        <f>STDEV(C16:C17)</f>
        <v>3.0942992744723354</v>
      </c>
      <c r="R16" s="65">
        <v>1005</v>
      </c>
      <c r="S16" s="66"/>
      <c r="T16" s="66"/>
      <c r="U16" s="40" t="e">
        <f>AVERAGE(T16:T17)</f>
        <v>#DIV/0!</v>
      </c>
      <c r="V16" s="41" t="e">
        <f>STDEV(T16:T17)</f>
        <v>#DIV/0!</v>
      </c>
    </row>
    <row r="17" spans="1:31" ht="15.75" thickBot="1" x14ac:dyDescent="0.3">
      <c r="A17" s="55">
        <v>10.3</v>
      </c>
      <c r="B17" s="60">
        <v>10.3</v>
      </c>
      <c r="C17" s="60">
        <v>42.554000000000002</v>
      </c>
      <c r="D17" s="60"/>
      <c r="E17" s="67"/>
      <c r="R17" s="55">
        <v>1005</v>
      </c>
      <c r="S17" s="60"/>
      <c r="T17" s="60"/>
      <c r="U17" s="60"/>
      <c r="V17" s="67"/>
    </row>
    <row r="18" spans="1:31" x14ac:dyDescent="0.25">
      <c r="A18" s="47">
        <v>99.7</v>
      </c>
      <c r="B18" s="48">
        <f>99.7*0.2</f>
        <v>19.940000000000001</v>
      </c>
      <c r="C18" s="48">
        <v>81.254000000000005</v>
      </c>
      <c r="D18" s="48">
        <f>AVERAGE(C18:C19)</f>
        <v>70.75</v>
      </c>
      <c r="E18" s="49">
        <f>STDEV(C18:C19)</f>
        <v>14.854899259167038</v>
      </c>
      <c r="R18" s="47">
        <v>1005</v>
      </c>
      <c r="S18" s="48"/>
      <c r="T18" s="48"/>
      <c r="U18" s="48" t="e">
        <f>AVERAGE(T18:T19)</f>
        <v>#DIV/0!</v>
      </c>
      <c r="V18" s="49" t="e">
        <f>STDEV(T18:T19)</f>
        <v>#DIV/0!</v>
      </c>
    </row>
    <row r="19" spans="1:31" ht="15.75" thickBot="1" x14ac:dyDescent="0.3">
      <c r="A19" s="62">
        <v>99.7</v>
      </c>
      <c r="B19" s="63">
        <f>99.7*0.15</f>
        <v>14.955</v>
      </c>
      <c r="C19" s="63">
        <v>60.246000000000002</v>
      </c>
      <c r="D19" s="63"/>
      <c r="E19" s="64"/>
      <c r="G19" t="s">
        <v>72</v>
      </c>
      <c r="J19" t="s">
        <v>73</v>
      </c>
      <c r="M19" t="s">
        <v>71</v>
      </c>
      <c r="R19" s="62">
        <v>1005</v>
      </c>
      <c r="S19" s="63"/>
      <c r="T19" s="63"/>
      <c r="U19" s="63"/>
      <c r="V19" s="64"/>
      <c r="X19" t="s">
        <v>72</v>
      </c>
      <c r="AA19" t="s">
        <v>73</v>
      </c>
      <c r="AD19" t="s">
        <v>71</v>
      </c>
    </row>
    <row r="20" spans="1:31" x14ac:dyDescent="0.25">
      <c r="A20" s="65">
        <v>99.7</v>
      </c>
      <c r="B20" s="66">
        <f>99.7*0.4</f>
        <v>39.880000000000003</v>
      </c>
      <c r="C20" s="66">
        <v>169.85499999999999</v>
      </c>
      <c r="D20" s="40">
        <f>AVERAGE(C20:C21)</f>
        <v>146.1095</v>
      </c>
      <c r="E20" s="41">
        <f>STDEV(C20:C21)</f>
        <v>33.581208145330294</v>
      </c>
      <c r="G20" t="s">
        <v>66</v>
      </c>
      <c r="H20">
        <f>SLOPE(B6:B19,C6:C19)</f>
        <v>0.24110984957790146</v>
      </c>
      <c r="J20" t="s">
        <v>66</v>
      </c>
      <c r="K20">
        <f>SLOPE(B6:B17,C6:C17)</f>
        <v>0.23999405140239077</v>
      </c>
      <c r="M20" t="s">
        <v>74</v>
      </c>
      <c r="N20">
        <f>SLOPE(B6:B13,C6:C13)</f>
        <v>0.26718485378428558</v>
      </c>
      <c r="R20" s="65">
        <v>99.7</v>
      </c>
      <c r="S20" s="66"/>
      <c r="T20" s="66"/>
      <c r="U20" s="40" t="e">
        <f>AVERAGE(T20:T21)</f>
        <v>#DIV/0!</v>
      </c>
      <c r="V20" s="41" t="e">
        <f>STDEV(T20:T21)</f>
        <v>#DIV/0!</v>
      </c>
      <c r="X20" t="s">
        <v>66</v>
      </c>
      <c r="Y20">
        <f>SLOPE(S8:S15,T8:T15)</f>
        <v>0.30565831405792865</v>
      </c>
      <c r="AA20" t="s">
        <v>66</v>
      </c>
      <c r="AB20">
        <f>SLOPE(S7:S13,T7:T13)</f>
        <v>0.31508518103152278</v>
      </c>
      <c r="AD20" t="s">
        <v>74</v>
      </c>
      <c r="AE20">
        <f>SLOPE(S6:S10,T6:T10)</f>
        <v>0.3084181978137655</v>
      </c>
    </row>
    <row r="21" spans="1:31" ht="15.75" thickBot="1" x14ac:dyDescent="0.3">
      <c r="A21" s="55">
        <v>99.7</v>
      </c>
      <c r="B21" s="60">
        <f>99.7*0.3</f>
        <v>29.91</v>
      </c>
      <c r="C21" s="60">
        <v>122.364</v>
      </c>
      <c r="D21" s="60"/>
      <c r="E21" s="67"/>
      <c r="G21" t="s">
        <v>67</v>
      </c>
      <c r="H21">
        <f>INTERCEPT(B6:B19,C6:C19)</f>
        <v>0.35625089163457879</v>
      </c>
      <c r="J21" t="s">
        <v>67</v>
      </c>
      <c r="K21">
        <f>INTERCEPT(B6:B17,C6:C17)</f>
        <v>0.37131773795769707</v>
      </c>
      <c r="M21" t="s">
        <v>67</v>
      </c>
      <c r="N21">
        <f>INTERCEPT(B6:B13,C6:C13)</f>
        <v>0.14429466474386388</v>
      </c>
      <c r="R21" s="55">
        <v>99.7</v>
      </c>
      <c r="S21" s="60"/>
      <c r="T21" s="60"/>
      <c r="U21" s="60"/>
      <c r="V21" s="67"/>
      <c r="X21" t="s">
        <v>67</v>
      </c>
      <c r="Y21">
        <f>INTERCEPT(S8:S15,T8:T15)</f>
        <v>167.17536551946068</v>
      </c>
      <c r="AA21" t="s">
        <v>67</v>
      </c>
      <c r="AB21">
        <f>INTERCEPT(S7:S13,T7:T13)</f>
        <v>25.74723379331499</v>
      </c>
      <c r="AD21" t="s">
        <v>67</v>
      </c>
      <c r="AE21">
        <f>INTERCEPT(S6:S10,T6:T10)</f>
        <v>48.915654022259787</v>
      </c>
    </row>
    <row r="22" spans="1:31" x14ac:dyDescent="0.25">
      <c r="A22" s="3">
        <v>99.7</v>
      </c>
      <c r="B22" s="4">
        <f>99.7*0.35</f>
        <v>34.894999999999996</v>
      </c>
      <c r="C22" s="4">
        <v>145.26400000000001</v>
      </c>
      <c r="D22" s="48">
        <f>AVERAGE(C22:C23)</f>
        <v>145.26400000000001</v>
      </c>
      <c r="E22" s="49" t="e">
        <f>STDEV(C22:C23)</f>
        <v>#DIV/0!</v>
      </c>
      <c r="G22" t="s">
        <v>68</v>
      </c>
      <c r="H22">
        <f>RSQ(B6:B19,C6:C19)</f>
        <v>0.99855761696911305</v>
      </c>
      <c r="J22" t="s">
        <v>68</v>
      </c>
      <c r="K22">
        <f>RSQ(B6:B17,C6:C17)</f>
        <v>0.99552946786927854</v>
      </c>
      <c r="M22" t="s">
        <v>68</v>
      </c>
      <c r="N22">
        <f>RSQ(B6:B13,C6:C13)</f>
        <v>0.99854864028224211</v>
      </c>
      <c r="R22" s="3">
        <v>99.7</v>
      </c>
      <c r="S22" s="4"/>
      <c r="T22" s="4"/>
      <c r="U22" s="48" t="e">
        <f>AVERAGE(T22:T23)</f>
        <v>#DIV/0!</v>
      </c>
      <c r="V22" s="49" t="e">
        <f>STDEV(T22:T23)</f>
        <v>#DIV/0!</v>
      </c>
      <c r="X22" t="s">
        <v>68</v>
      </c>
      <c r="Y22">
        <f>RSQ(S8:S15,T8:T15)</f>
        <v>0.9996097602089089</v>
      </c>
      <c r="AA22" t="s">
        <v>68</v>
      </c>
      <c r="AB22">
        <f>RSQ(S7:S13,T7:T13)</f>
        <v>0.99924354959281414</v>
      </c>
      <c r="AD22" t="s">
        <v>68</v>
      </c>
      <c r="AE22">
        <f>RSQ(S6:S10,T6:T10)</f>
        <v>0.99999444756272204</v>
      </c>
    </row>
    <row r="23" spans="1:31" ht="15.75" thickBot="1" x14ac:dyDescent="0.3">
      <c r="A23" s="7">
        <v>99.7</v>
      </c>
      <c r="B23" s="8"/>
      <c r="C23" s="8"/>
      <c r="D23" s="53"/>
      <c r="E23" s="54"/>
      <c r="R23" s="7">
        <v>99.7</v>
      </c>
      <c r="S23" s="8"/>
      <c r="T23" s="8"/>
      <c r="U23" s="53"/>
      <c r="V23" s="54"/>
    </row>
  </sheetData>
  <sortState xmlns:xlrd2="http://schemas.microsoft.com/office/spreadsheetml/2017/richdata2" ref="R6:V23">
    <sortCondition ref="S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F49"/>
  <sheetViews>
    <sheetView zoomScale="70" zoomScaleNormal="70" workbookViewId="0">
      <pane xSplit="2" ySplit="4" topLeftCell="AA5" activePane="bottomRight" state="frozen"/>
      <selection pane="topRight" activeCell="C1" sqref="C1"/>
      <selection pane="bottomLeft" activeCell="A4" sqref="A4"/>
      <selection pane="bottomRight" activeCell="AW6" sqref="AW6:AW49"/>
    </sheetView>
  </sheetViews>
  <sheetFormatPr defaultRowHeight="15" x14ac:dyDescent="0.25"/>
  <cols>
    <col min="3" max="3" width="15.7109375" customWidth="1"/>
    <col min="4" max="4" width="16.85546875" bestFit="1" customWidth="1"/>
    <col min="5" max="5" width="10.28515625" customWidth="1"/>
    <col min="10" max="11" width="12.42578125" customWidth="1"/>
    <col min="12" max="12" width="16.42578125" bestFit="1" customWidth="1"/>
    <col min="13" max="13" width="9.7109375" customWidth="1"/>
    <col min="18" max="19" width="12.85546875" customWidth="1"/>
    <col min="20" max="20" width="16.42578125" bestFit="1" customWidth="1"/>
    <col min="21" max="21" width="9.5703125" customWidth="1"/>
    <col min="26" max="27" width="12.140625" customWidth="1"/>
    <col min="28" max="28" width="16.42578125" bestFit="1" customWidth="1"/>
    <col min="29" max="29" width="9.7109375" customWidth="1"/>
    <col min="33" max="33" width="9.7109375" customWidth="1"/>
    <col min="34" max="34" width="12.140625" customWidth="1"/>
    <col min="35" max="35" width="10.85546875" bestFit="1" customWidth="1"/>
    <col min="55" max="55" width="14.7109375" bestFit="1" customWidth="1"/>
    <col min="59" max="59" width="14.7109375" bestFit="1" customWidth="1"/>
    <col min="63" max="63" width="14.7109375" bestFit="1" customWidth="1"/>
    <col min="67" max="67" width="14.7109375" bestFit="1" customWidth="1"/>
  </cols>
  <sheetData>
    <row r="1" spans="1:84" x14ac:dyDescent="0.25">
      <c r="AL1" s="135" t="s">
        <v>105</v>
      </c>
      <c r="AM1" s="136">
        <v>8.2059999999999994E-2</v>
      </c>
      <c r="AN1" s="136"/>
      <c r="AO1" s="137" t="s">
        <v>106</v>
      </c>
      <c r="AP1" s="138"/>
      <c r="AQ1" s="139">
        <v>8.2500000000000004E-7</v>
      </c>
      <c r="AR1" s="137" t="s">
        <v>107</v>
      </c>
      <c r="AS1" s="139">
        <v>-6.6019000000000006E-5</v>
      </c>
      <c r="AT1" s="139" t="s">
        <v>108</v>
      </c>
      <c r="AU1" s="139">
        <v>2.4575E-3</v>
      </c>
      <c r="AV1" s="139" t="s">
        <v>109</v>
      </c>
      <c r="AW1" s="139">
        <v>-5.7142999999999998E-5</v>
      </c>
      <c r="AX1" s="137" t="s">
        <v>107</v>
      </c>
      <c r="AY1" s="139">
        <v>1.5713999999999999E-2</v>
      </c>
      <c r="AZ1" s="137" t="s">
        <v>108</v>
      </c>
      <c r="BA1" s="139">
        <v>1.1113999999999999</v>
      </c>
      <c r="BB1" s="137" t="s">
        <v>110</v>
      </c>
      <c r="BC1" s="139">
        <v>1.4571000000000001E-4</v>
      </c>
      <c r="BD1" s="137" t="s">
        <v>107</v>
      </c>
      <c r="BE1" s="139">
        <v>-1.2751999999999999E-2</v>
      </c>
      <c r="BF1" s="137" t="s">
        <v>108</v>
      </c>
      <c r="BG1" s="139">
        <v>6.5778999999999996</v>
      </c>
      <c r="BH1" s="137" t="s">
        <v>111</v>
      </c>
      <c r="BI1" s="139">
        <v>1.1429000000000001E-4</v>
      </c>
      <c r="BJ1" s="140" t="s">
        <v>107</v>
      </c>
      <c r="BK1" s="139">
        <v>-1.4704999999999999E-2</v>
      </c>
      <c r="BL1" s="137" t="s">
        <v>108</v>
      </c>
      <c r="BM1" s="139">
        <v>10.625999999999999</v>
      </c>
      <c r="BN1" s="139" t="s">
        <v>109</v>
      </c>
      <c r="BO1" s="139">
        <v>-5.7142999999999998E-5</v>
      </c>
      <c r="BP1" s="137" t="s">
        <v>107</v>
      </c>
      <c r="BQ1" s="139">
        <v>1.5713999999999999E-2</v>
      </c>
      <c r="BR1" s="137" t="s">
        <v>108</v>
      </c>
      <c r="BS1" s="139">
        <v>1.1113999999999999</v>
      </c>
      <c r="BT1" s="137" t="s">
        <v>110</v>
      </c>
      <c r="BU1" s="139">
        <v>1.4571000000000001E-4</v>
      </c>
      <c r="BV1" s="137" t="s">
        <v>107</v>
      </c>
      <c r="BW1" s="139">
        <v>-1.2751999999999999E-2</v>
      </c>
      <c r="BX1" s="137" t="s">
        <v>108</v>
      </c>
      <c r="BY1" s="139">
        <v>6.5778999999999996</v>
      </c>
      <c r="BZ1" s="137" t="s">
        <v>111</v>
      </c>
      <c r="CA1" s="139">
        <v>1.1429000000000001E-4</v>
      </c>
      <c r="CB1" s="140" t="s">
        <v>107</v>
      </c>
      <c r="CC1" s="139">
        <v>-1.4704999999999999E-2</v>
      </c>
      <c r="CD1" s="137" t="s">
        <v>108</v>
      </c>
      <c r="CE1" s="139">
        <v>10.625999999999999</v>
      </c>
    </row>
    <row r="2" spans="1:84" ht="15.75" thickBot="1" x14ac:dyDescent="0.3">
      <c r="AL2" s="135"/>
      <c r="AM2" s="136"/>
      <c r="AN2" s="136"/>
      <c r="AO2" s="141"/>
      <c r="AP2" s="141"/>
      <c r="AQ2" s="142"/>
      <c r="AR2" s="143"/>
      <c r="AS2" s="142"/>
      <c r="AT2" s="142"/>
      <c r="AU2" s="142"/>
      <c r="AV2" s="142"/>
      <c r="AW2" s="142"/>
      <c r="AX2" s="141"/>
      <c r="AY2" s="142"/>
      <c r="AZ2" s="141"/>
      <c r="BA2" s="142"/>
      <c r="BB2" s="141"/>
      <c r="BC2" s="142"/>
      <c r="BD2" s="141"/>
      <c r="BE2" s="142"/>
      <c r="BF2" s="141"/>
      <c r="BG2" s="142"/>
      <c r="BH2" s="141"/>
      <c r="BI2" s="142"/>
      <c r="BJ2" s="144"/>
      <c r="BK2" s="142"/>
      <c r="BL2" s="141"/>
      <c r="BM2" s="142"/>
      <c r="BN2" s="142"/>
      <c r="BO2" s="142"/>
      <c r="BP2" s="141"/>
      <c r="BQ2" s="142"/>
      <c r="BR2" s="141"/>
      <c r="BS2" s="142"/>
      <c r="BT2" s="141"/>
      <c r="BU2" s="142"/>
      <c r="BV2" s="141"/>
      <c r="BW2" s="142"/>
      <c r="BX2" s="141"/>
      <c r="BY2" s="142"/>
      <c r="BZ2" s="141"/>
      <c r="CA2" s="142"/>
      <c r="CB2" s="144"/>
      <c r="CC2" s="142"/>
      <c r="CD2" s="141"/>
      <c r="CE2" s="142"/>
      <c r="CF2" s="145"/>
    </row>
    <row r="3" spans="1:84" ht="30.75" thickBot="1" x14ac:dyDescent="0.3">
      <c r="A3" s="23"/>
      <c r="B3" s="24"/>
      <c r="C3" s="89" t="s">
        <v>57</v>
      </c>
      <c r="D3" s="263" t="s">
        <v>55</v>
      </c>
      <c r="E3" s="264"/>
      <c r="F3" s="264"/>
      <c r="G3" s="264"/>
      <c r="H3" s="264"/>
      <c r="I3" s="264"/>
      <c r="J3" s="264"/>
      <c r="K3" s="265"/>
      <c r="L3" s="264" t="s">
        <v>58</v>
      </c>
      <c r="M3" s="264"/>
      <c r="N3" s="264"/>
      <c r="O3" s="264"/>
      <c r="P3" s="264"/>
      <c r="Q3" s="264"/>
      <c r="R3" s="264"/>
      <c r="S3" s="264"/>
      <c r="T3" s="263" t="s">
        <v>59</v>
      </c>
      <c r="U3" s="264"/>
      <c r="V3" s="264"/>
      <c r="W3" s="264"/>
      <c r="X3" s="264"/>
      <c r="Y3" s="264"/>
      <c r="Z3" s="264"/>
      <c r="AA3" s="265"/>
      <c r="AB3" s="266" t="s">
        <v>56</v>
      </c>
      <c r="AC3" s="266"/>
      <c r="AD3" s="266"/>
      <c r="AE3" s="266"/>
      <c r="AF3" s="266"/>
      <c r="AG3" s="266"/>
      <c r="AH3" s="266"/>
      <c r="AI3" s="267"/>
      <c r="AJ3" s="90"/>
      <c r="AK3" s="90"/>
      <c r="AP3" s="268" t="s">
        <v>91</v>
      </c>
      <c r="AQ3" s="269"/>
      <c r="AR3" s="269"/>
      <c r="AS3" s="269"/>
      <c r="AT3" s="270"/>
      <c r="BA3" s="258" t="s">
        <v>84</v>
      </c>
      <c r="BB3" s="259"/>
      <c r="BC3" s="259"/>
      <c r="BD3" s="260"/>
      <c r="BE3" s="261" t="s">
        <v>86</v>
      </c>
      <c r="BF3" s="259"/>
      <c r="BG3" s="259"/>
      <c r="BH3" s="262"/>
      <c r="BI3" s="258" t="s">
        <v>112</v>
      </c>
      <c r="BJ3" s="259"/>
      <c r="BK3" s="259"/>
      <c r="BL3" s="260"/>
      <c r="BM3" s="261" t="s">
        <v>117</v>
      </c>
      <c r="BN3" s="259"/>
      <c r="BO3" s="259"/>
      <c r="BP3" s="260"/>
    </row>
    <row r="4" spans="1:84" ht="45.75" thickBot="1" x14ac:dyDescent="0.35">
      <c r="A4" s="19" t="s">
        <v>0</v>
      </c>
      <c r="B4" s="20" t="s">
        <v>50</v>
      </c>
      <c r="C4" s="96" t="s">
        <v>85</v>
      </c>
      <c r="D4" s="30" t="s">
        <v>84</v>
      </c>
      <c r="E4" s="21" t="s">
        <v>122</v>
      </c>
      <c r="F4" s="21" t="s">
        <v>52</v>
      </c>
      <c r="G4" s="21" t="s">
        <v>89</v>
      </c>
      <c r="H4" s="20" t="s">
        <v>53</v>
      </c>
      <c r="I4" s="20" t="s">
        <v>70</v>
      </c>
      <c r="J4" s="20" t="s">
        <v>54</v>
      </c>
      <c r="K4" s="22" t="s">
        <v>90</v>
      </c>
      <c r="L4" s="71" t="s">
        <v>86</v>
      </c>
      <c r="M4" s="21" t="s">
        <v>123</v>
      </c>
      <c r="N4" s="21" t="s">
        <v>52</v>
      </c>
      <c r="O4" s="21" t="s">
        <v>89</v>
      </c>
      <c r="P4" s="20" t="s">
        <v>53</v>
      </c>
      <c r="Q4" s="20" t="s">
        <v>70</v>
      </c>
      <c r="R4" s="20" t="s">
        <v>54</v>
      </c>
      <c r="S4" s="25" t="s">
        <v>90</v>
      </c>
      <c r="T4" s="30" t="s">
        <v>87</v>
      </c>
      <c r="U4" s="21" t="s">
        <v>124</v>
      </c>
      <c r="V4" s="21" t="s">
        <v>52</v>
      </c>
      <c r="W4" s="21" t="s">
        <v>89</v>
      </c>
      <c r="X4" s="20" t="s">
        <v>53</v>
      </c>
      <c r="Y4" s="20" t="s">
        <v>70</v>
      </c>
      <c r="Z4" s="20" t="s">
        <v>54</v>
      </c>
      <c r="AA4" s="22" t="s">
        <v>90</v>
      </c>
      <c r="AB4" s="71" t="s">
        <v>88</v>
      </c>
      <c r="AC4" s="21" t="s">
        <v>138</v>
      </c>
      <c r="AD4" s="21" t="s">
        <v>52</v>
      </c>
      <c r="AE4" s="21" t="s">
        <v>89</v>
      </c>
      <c r="AF4" s="20" t="s">
        <v>53</v>
      </c>
      <c r="AG4" s="20" t="s">
        <v>70</v>
      </c>
      <c r="AH4" s="20" t="s">
        <v>54</v>
      </c>
      <c r="AI4" s="91" t="s">
        <v>90</v>
      </c>
      <c r="AJ4" s="68"/>
      <c r="AK4" s="211" t="s">
        <v>125</v>
      </c>
      <c r="AL4" s="208" t="s">
        <v>92</v>
      </c>
      <c r="AM4" s="208" t="s">
        <v>93</v>
      </c>
      <c r="AN4" s="208" t="s">
        <v>103</v>
      </c>
      <c r="AO4" s="208" t="s">
        <v>94</v>
      </c>
      <c r="AP4" s="208" t="s">
        <v>95</v>
      </c>
      <c r="AQ4" s="208" t="s">
        <v>92</v>
      </c>
      <c r="AR4" s="208" t="s">
        <v>96</v>
      </c>
      <c r="AS4" s="212" t="s">
        <v>97</v>
      </c>
      <c r="AT4" s="212" t="s">
        <v>98</v>
      </c>
      <c r="AU4" s="212" t="s">
        <v>99</v>
      </c>
      <c r="AV4" s="212" t="s">
        <v>104</v>
      </c>
      <c r="AW4" s="212" t="s">
        <v>100</v>
      </c>
      <c r="AX4" s="212" t="s">
        <v>101</v>
      </c>
      <c r="AY4" s="213" t="s">
        <v>102</v>
      </c>
      <c r="BA4" s="146" t="s">
        <v>113</v>
      </c>
      <c r="BB4" s="147" t="s">
        <v>114</v>
      </c>
      <c r="BC4" s="148" t="s">
        <v>115</v>
      </c>
      <c r="BD4" s="149" t="s">
        <v>116</v>
      </c>
      <c r="BE4" s="150" t="s">
        <v>113</v>
      </c>
      <c r="BF4" s="147" t="s">
        <v>114</v>
      </c>
      <c r="BG4" s="148" t="s">
        <v>115</v>
      </c>
      <c r="BH4" s="160" t="s">
        <v>116</v>
      </c>
      <c r="BI4" s="146" t="s">
        <v>113</v>
      </c>
      <c r="BJ4" s="147" t="s">
        <v>114</v>
      </c>
      <c r="BK4" s="148" t="s">
        <v>115</v>
      </c>
      <c r="BL4" s="149" t="s">
        <v>116</v>
      </c>
      <c r="BM4" s="150" t="s">
        <v>113</v>
      </c>
      <c r="BN4" s="147" t="s">
        <v>114</v>
      </c>
      <c r="BO4" s="148" t="s">
        <v>115</v>
      </c>
      <c r="BP4" s="149" t="s">
        <v>116</v>
      </c>
    </row>
    <row r="5" spans="1:84" x14ac:dyDescent="0.25">
      <c r="A5" s="9" t="s">
        <v>21</v>
      </c>
      <c r="B5" s="10">
        <v>1</v>
      </c>
      <c r="C5" s="97">
        <v>41963.353472222225</v>
      </c>
      <c r="D5" s="104">
        <v>41963.365972222222</v>
      </c>
      <c r="E5" s="181">
        <f>D5-C5</f>
        <v>1.2499999997089617E-2</v>
      </c>
      <c r="F5" s="10">
        <v>0.01</v>
      </c>
      <c r="G5" s="10">
        <f>(F5+14.43)*0.068045971</f>
        <v>0.98258382123999988</v>
      </c>
      <c r="H5" s="10">
        <v>49.213999999999999</v>
      </c>
      <c r="I5" s="10">
        <f>('Low STDs'!H$20*'Low Data'!H5)+'Low STDs'!H$21</f>
        <v>12.222231028761421</v>
      </c>
      <c r="J5" s="10">
        <v>2059.4380000000001</v>
      </c>
      <c r="K5" s="32">
        <f>('Low STDs'!AE$20*'Low Data'!J5)+'Low STDs'!AE$21</f>
        <v>684.08381049144543</v>
      </c>
      <c r="L5" s="72">
        <v>41963.474305555559</v>
      </c>
      <c r="M5" s="181">
        <f t="shared" ref="M5:M49" si="0">L5-C5</f>
        <v>0.12083333333430346</v>
      </c>
      <c r="N5" s="10">
        <v>0</v>
      </c>
      <c r="O5" s="10">
        <f>(N5+14.43)*0.068045971</f>
        <v>0.98190336152999991</v>
      </c>
      <c r="P5" s="10">
        <v>17.111999999999998</v>
      </c>
      <c r="Q5" s="10">
        <f>('Low STDs'!K$20*'Low Data'!P5)+'Low STDs'!K$21</f>
        <v>4.4780959455554079</v>
      </c>
      <c r="R5" s="10">
        <v>4248.4409999999998</v>
      </c>
      <c r="S5" s="26">
        <f>('Low STDs'!AB$20*'Low Data'!R5)+'Low STDs'!AB$21</f>
        <v>1364.3680353800585</v>
      </c>
      <c r="T5" s="31">
        <v>41963.590277777781</v>
      </c>
      <c r="U5" s="181">
        <f t="shared" ref="U5:U49" si="1">T5-C5</f>
        <v>0.23680555555620231</v>
      </c>
      <c r="V5" s="10">
        <v>0.01</v>
      </c>
      <c r="W5" s="10">
        <f>(V5+14.43)*0.068045971</f>
        <v>0.98258382123999988</v>
      </c>
      <c r="X5" s="10">
        <v>12.86</v>
      </c>
      <c r="Y5" s="10">
        <f>('Low STDs'!N$20*'Low Data'!X5)+'Low STDs'!N$21</f>
        <v>3.5802918844097764</v>
      </c>
      <c r="Z5" s="10">
        <v>6505.0379999999996</v>
      </c>
      <c r="AA5" s="32">
        <f>('Low STDs'!Y$20*'Low Data'!Z5)+'Low STDs'!Y$21</f>
        <v>2155.4943134822206</v>
      </c>
      <c r="AB5" s="72">
        <v>41963.70208333333</v>
      </c>
      <c r="AC5" s="181">
        <f t="shared" ref="AC5:AC49" si="2">AB5-C5</f>
        <v>0.34861111110512866</v>
      </c>
      <c r="AD5" s="10">
        <v>0</v>
      </c>
      <c r="AE5" s="10">
        <f>(AD5+14.43)*0.068045971</f>
        <v>0.98190336152999991</v>
      </c>
      <c r="AF5" s="10">
        <v>10.56</v>
      </c>
      <c r="AG5" s="10">
        <f>('Low STDs'!N$20*'Low Data'!AF5)+'Low STDs'!N$21</f>
        <v>2.9657667207059197</v>
      </c>
      <c r="AH5" s="10">
        <v>8290.634</v>
      </c>
      <c r="AI5" s="113">
        <f>('Low STDs'!Y$20*'Low Data'!AH5)+'Low STDs'!Y$21</f>
        <v>2701.2765764308019</v>
      </c>
      <c r="AJ5" s="69"/>
      <c r="AK5" s="214">
        <v>1.3948108045870988</v>
      </c>
      <c r="AL5" s="85">
        <v>270.58</v>
      </c>
      <c r="AM5" s="85">
        <f>AL5-(AL5*(AT5/100))</f>
        <v>265.10660629872916</v>
      </c>
      <c r="AN5" s="12">
        <f>AL5-AM5</f>
        <v>5.4733937012708225</v>
      </c>
      <c r="AO5" s="12"/>
      <c r="AP5" s="85">
        <v>0.99509999999999998</v>
      </c>
      <c r="AQ5" s="85">
        <v>6.5156000000000001</v>
      </c>
      <c r="AR5" s="85">
        <v>7.3788999999999998</v>
      </c>
      <c r="AS5" s="12">
        <f>AR5-AP5</f>
        <v>6.3837999999999999</v>
      </c>
      <c r="AT5" s="12">
        <f>((AQ5-AS5)/AQ5)*100</f>
        <v>2.0228374976978349</v>
      </c>
      <c r="AU5" s="12"/>
      <c r="AV5" s="12">
        <v>190.06635554218249</v>
      </c>
      <c r="AW5" s="210">
        <f>625.34-AN5-(AM5/AK5)</f>
        <v>429.8002507565468</v>
      </c>
      <c r="AX5" s="12">
        <v>28</v>
      </c>
      <c r="AY5" s="33">
        <f t="shared" ref="AY5:AY49" si="3">AX5+273</f>
        <v>301</v>
      </c>
      <c r="BA5" s="65">
        <f>(AW5*I5*10^(-3))/(AM$1*AY5)</f>
        <v>0.21267632390229443</v>
      </c>
      <c r="BB5" s="66">
        <f>AQ$1*AX5*AX5+AS$1*AX5+AU$1</f>
        <v>1.255768E-3</v>
      </c>
      <c r="BC5" s="66">
        <f>BB5*AN5*I5*10^(-3)</f>
        <v>8.4007215281244082E-5</v>
      </c>
      <c r="BD5" s="151">
        <f>BA5+BC5</f>
        <v>0.21276033111757567</v>
      </c>
      <c r="BE5" s="155">
        <f>(AW5*Q5*10^(-3))/(AM$1*AY5)</f>
        <v>7.7922351618238586E-2</v>
      </c>
      <c r="BF5" s="66">
        <f>AQ$1*AX5*AX5+AS$1*AX5+AU$1</f>
        <v>1.255768E-3</v>
      </c>
      <c r="BG5" s="66">
        <f>BF5*AN5*Q5*10^(-3)</f>
        <v>3.0779353561807291E-5</v>
      </c>
      <c r="BH5" s="161">
        <f>BE5+BG5</f>
        <v>7.79531309718004E-2</v>
      </c>
      <c r="BI5" s="65">
        <f>(AW5*Y5*10^(-3))/(AM$1*AY5)</f>
        <v>6.2299862822234098E-2</v>
      </c>
      <c r="BJ5" s="66">
        <f>AQ$1*AX5*AX5+AS$1*AX5+AU$1</f>
        <v>1.255768E-3</v>
      </c>
      <c r="BK5" s="66">
        <f>BJ5*AN5*Y5*10^(-3)</f>
        <v>2.4608465540827099E-5</v>
      </c>
      <c r="BL5" s="151">
        <f>BI5+BK5</f>
        <v>6.2324471287774928E-2</v>
      </c>
      <c r="BM5" s="155">
        <f>(AW5*AG5*10^(-3))/(AM$1*AY5)</f>
        <v>5.160664711927121E-2</v>
      </c>
      <c r="BN5" s="66">
        <f>AQ$1*AX5*AX5+AS$1*AX5+AU$1</f>
        <v>1.255768E-3</v>
      </c>
      <c r="BO5" s="66">
        <f>BN5*AN5*AG5*10^(-3)</f>
        <v>2.0384641952357161E-5</v>
      </c>
      <c r="BP5" s="151">
        <f>BM5+BO5</f>
        <v>5.1627031761223567E-2</v>
      </c>
    </row>
    <row r="6" spans="1:84" x14ac:dyDescent="0.25">
      <c r="A6" s="11" t="s">
        <v>21</v>
      </c>
      <c r="B6" s="12">
        <v>2</v>
      </c>
      <c r="C6" s="98">
        <v>41963.353472222225</v>
      </c>
      <c r="D6" s="82">
        <v>41963.368055555555</v>
      </c>
      <c r="E6" s="182">
        <f t="shared" ref="E6:E49" si="4">D6-C6</f>
        <v>1.4583333329937886E-2</v>
      </c>
      <c r="F6" s="12">
        <v>0.01</v>
      </c>
      <c r="G6" s="12">
        <f t="shared" ref="G6:G49" si="5">(F6+14.43)*0.068045971</f>
        <v>0.98258382123999988</v>
      </c>
      <c r="H6" s="12">
        <v>23.224</v>
      </c>
      <c r="I6" s="12">
        <f>('Low STDs'!H$20*'Low Data'!H6)+'Low STDs'!H$21</f>
        <v>5.9557860382317624</v>
      </c>
      <c r="J6" s="12">
        <v>2086.1979999999999</v>
      </c>
      <c r="K6" s="33">
        <f>('Low STDs'!AE$20*'Low Data'!J6)+'Low STDs'!AE$21</f>
        <v>692.33708146494166</v>
      </c>
      <c r="L6" s="73">
        <v>41963.477083333331</v>
      </c>
      <c r="M6" s="182">
        <f t="shared" si="0"/>
        <v>0.12361111110658385</v>
      </c>
      <c r="N6" s="12">
        <v>0</v>
      </c>
      <c r="O6" s="12">
        <f t="shared" ref="O6:O49" si="6">(N6+14.43)*0.068045971</f>
        <v>0.98190336152999991</v>
      </c>
      <c r="P6" s="12">
        <v>17.556000000000001</v>
      </c>
      <c r="Q6" s="12">
        <f>('Low STDs'!K$20*'Low Data'!P6)+'Low STDs'!K$21</f>
        <v>4.5846533043780697</v>
      </c>
      <c r="R6" s="12">
        <v>4709.2299999999996</v>
      </c>
      <c r="S6" s="27">
        <f>('Low STDs'!AB$20*'Low Data'!R6)+'Low STDs'!AB$21</f>
        <v>1509.5558208623929</v>
      </c>
      <c r="T6" s="82">
        <v>41963.593055555553</v>
      </c>
      <c r="U6" s="182">
        <f t="shared" si="1"/>
        <v>0.23958333332848269</v>
      </c>
      <c r="V6" s="12">
        <v>-0.01</v>
      </c>
      <c r="W6" s="12">
        <f t="shared" ref="W6:W49" si="7">(V6+14.43)*0.068045971</f>
        <v>0.98122290181999994</v>
      </c>
      <c r="X6" s="12">
        <v>17.434999999999999</v>
      </c>
      <c r="Y6" s="12">
        <f>('Low STDs'!N$20*'Low Data'!X6)+'Low STDs'!N$21</f>
        <v>4.8026625904728828</v>
      </c>
      <c r="Z6" s="12">
        <v>8105.924</v>
      </c>
      <c r="AA6" s="33">
        <f>('Low STDs'!Y$20*'Low Data'!Z6)+'Low STDs'!Y$21</f>
        <v>2644.818429241162</v>
      </c>
      <c r="AB6" s="73">
        <v>41963.70416666667</v>
      </c>
      <c r="AC6" s="182">
        <f t="shared" si="2"/>
        <v>0.35069444444525288</v>
      </c>
      <c r="AD6" s="12">
        <v>-0.13</v>
      </c>
      <c r="AE6" s="12">
        <f t="shared" ref="AE6:AE49" si="8">(AD6+14.43)*0.068045971</f>
        <v>0.97305738529999986</v>
      </c>
      <c r="AF6" s="12">
        <v>17.402000000000001</v>
      </c>
      <c r="AG6" s="12">
        <f>('Low STDs'!N$20*'Low Data'!AF6)+'Low STDs'!N$21</f>
        <v>4.7938454902980014</v>
      </c>
      <c r="AH6" s="12">
        <v>11150.002</v>
      </c>
      <c r="AI6" s="114">
        <f>('Low STDs'!Y$20*'Low Data'!AH6)+'Low STDs'!Y$21</f>
        <v>3575.2661785819932</v>
      </c>
      <c r="AJ6" s="69"/>
      <c r="AK6" s="214">
        <v>1.521391533491635</v>
      </c>
      <c r="AL6" s="85">
        <v>295.8</v>
      </c>
      <c r="AM6" s="85">
        <f t="shared" ref="AM6:AM49" si="9">AL6-(AL6*(AT6/100))</f>
        <v>289.16534412348733</v>
      </c>
      <c r="AN6" s="12">
        <f t="shared" ref="AN6:AN49" si="10">AL6-AM6</f>
        <v>6.6346558765126815</v>
      </c>
      <c r="AO6" s="12"/>
      <c r="AP6" s="85">
        <v>0.99790000000000001</v>
      </c>
      <c r="AQ6" s="85">
        <v>8.0073000000000008</v>
      </c>
      <c r="AR6" s="85">
        <v>8.8255999999999997</v>
      </c>
      <c r="AS6" s="12">
        <f t="shared" ref="AS6:AS49" si="11">AR6-AP6</f>
        <v>7.8277000000000001</v>
      </c>
      <c r="AT6" s="12">
        <f t="shared" ref="AT6:AT49" si="12">((AQ6-AS6)/AQ6)*100</f>
        <v>2.2429533051090957</v>
      </c>
      <c r="AU6" s="12"/>
      <c r="AV6" s="12">
        <v>190.06635554218249</v>
      </c>
      <c r="AW6" s="12">
        <f t="shared" ref="AW6:AW49" si="13">625.34-AN6-(AM6/AK6)</f>
        <v>428.63898858130483</v>
      </c>
      <c r="AX6" s="12">
        <v>28</v>
      </c>
      <c r="AY6" s="33">
        <f t="shared" si="3"/>
        <v>301</v>
      </c>
      <c r="BA6" s="16">
        <f t="shared" ref="BA6:BA49" si="14">(AW6*I6*10^(-3))/(AM$1*AY6)</f>
        <v>0.10335529968892057</v>
      </c>
      <c r="BB6" s="85">
        <f t="shared" ref="BB6:BB49" si="15">AQ$1*AX6*AX6+AS$1*AX6+AU$1</f>
        <v>1.255768E-3</v>
      </c>
      <c r="BC6" s="85">
        <f t="shared" ref="BC6:BC48" si="16">BB6*AN6*I6*10^(-3)</f>
        <v>4.9621158707210641E-5</v>
      </c>
      <c r="BD6" s="152">
        <f t="shared" ref="BD6:BD49" si="17">BA6+BC6</f>
        <v>0.10340492084762778</v>
      </c>
      <c r="BE6" s="156">
        <f t="shared" ref="BE6:BE49" si="18">(AW6*Q6*10^(-3))/(AM$1*AY6)</f>
        <v>7.9560987114385667E-2</v>
      </c>
      <c r="BF6" s="85">
        <f t="shared" ref="BF6:BF49" si="19">AQ$1*AX6*AX6+AS$1*AX6+AU$1</f>
        <v>1.255768E-3</v>
      </c>
      <c r="BG6" s="85">
        <f t="shared" ref="BG6:BG49" si="20">BF6*AN6*Q6*10^(-3)</f>
        <v>3.8197444934006407E-5</v>
      </c>
      <c r="BH6" s="162">
        <f t="shared" ref="BH6:BH49" si="21">BE6+BG6</f>
        <v>7.9599184559319677E-2</v>
      </c>
      <c r="BI6" s="16">
        <f t="shared" ref="BI6:BI49" si="22">(AW6*Y6*10^(-3))/(AM$1*AY6)</f>
        <v>8.3344268608155858E-2</v>
      </c>
      <c r="BJ6" s="85">
        <f t="shared" ref="BJ6:BJ49" si="23">AQ$1*AX6*AX6+AS$1*AX6+AU$1</f>
        <v>1.255768E-3</v>
      </c>
      <c r="BK6" s="85">
        <f t="shared" ref="BK6:BK49" si="24">BJ6*AN6*Y6*10^(-3)</f>
        <v>4.0013808603808116E-5</v>
      </c>
      <c r="BL6" s="152">
        <f t="shared" ref="BL6:BL49" si="25">BI6+BK6</f>
        <v>8.3384282416759672E-2</v>
      </c>
      <c r="BM6" s="156">
        <f t="shared" ref="BM6:BM49" si="26">(AW6*AG6*10^(-3))/(AM$1*AY6)</f>
        <v>8.3191258740925519E-2</v>
      </c>
      <c r="BN6" s="85">
        <f t="shared" ref="BN6:BN49" si="27">AQ$1*AX6*AX6+AS$1*AX6+AU$1</f>
        <v>1.255768E-3</v>
      </c>
      <c r="BO6" s="85">
        <f t="shared" ref="BO6:BO49" si="28">BN6*AN6*AG6*10^(-3)</f>
        <v>3.9940348153028542E-5</v>
      </c>
      <c r="BP6" s="152">
        <f t="shared" ref="BP6:BP49" si="29">BM6+BO6</f>
        <v>8.3231199089078542E-2</v>
      </c>
    </row>
    <row r="7" spans="1:84" ht="15.75" thickBot="1" x14ac:dyDescent="0.3">
      <c r="A7" s="13" t="s">
        <v>21</v>
      </c>
      <c r="B7" s="14">
        <v>3</v>
      </c>
      <c r="C7" s="99">
        <v>41963.354166666664</v>
      </c>
      <c r="D7" s="105">
        <v>41963.370138888888</v>
      </c>
      <c r="E7" s="183">
        <f t="shared" si="4"/>
        <v>1.5972222223354038E-2</v>
      </c>
      <c r="F7" s="14">
        <v>0.01</v>
      </c>
      <c r="G7" s="14">
        <f t="shared" si="5"/>
        <v>0.98258382123999988</v>
      </c>
      <c r="H7" s="14">
        <v>22.53</v>
      </c>
      <c r="I7" s="14">
        <f>('Low STDs'!H$20*'Low Data'!H7)+'Low STDs'!H$21</f>
        <v>5.7884558026246991</v>
      </c>
      <c r="J7" s="14">
        <v>2075.8789999999999</v>
      </c>
      <c r="K7" s="34">
        <f>('Low STDs'!AE$20*'Low Data'!J7)+'Low STDs'!AE$21</f>
        <v>689.15451408170145</v>
      </c>
      <c r="L7" s="74">
        <v>41963.479166666664</v>
      </c>
      <c r="M7" s="183">
        <f t="shared" si="0"/>
        <v>0.125</v>
      </c>
      <c r="N7" s="14">
        <v>0.21</v>
      </c>
      <c r="O7" s="14">
        <f t="shared" si="6"/>
        <v>0.99619301543999994</v>
      </c>
      <c r="P7" s="14">
        <v>19.236000000000001</v>
      </c>
      <c r="Q7" s="14">
        <f>('Low STDs'!K$20*'Low Data'!P7)+'Low STDs'!K$21</f>
        <v>4.9878433107340863</v>
      </c>
      <c r="R7" s="14">
        <v>4104.1080000000002</v>
      </c>
      <c r="S7" s="28">
        <f>('Low STDs'!AB$20*'Low Data'!R7)+'Low STDs'!AB$21</f>
        <v>1318.8908459462359</v>
      </c>
      <c r="T7" s="105">
        <v>41963.595138888886</v>
      </c>
      <c r="U7" s="183">
        <f t="shared" si="1"/>
        <v>0.24097222222189885</v>
      </c>
      <c r="V7" s="14">
        <v>0.17</v>
      </c>
      <c r="W7" s="14">
        <f t="shared" si="7"/>
        <v>0.99347117659999995</v>
      </c>
      <c r="X7" s="14">
        <v>18.806000000000001</v>
      </c>
      <c r="Y7" s="14">
        <f>('Low STDs'!N$20*'Low Data'!X7)+'Low STDs'!N$21</f>
        <v>5.1689730250111392</v>
      </c>
      <c r="Z7" s="14">
        <v>6500.0839999999998</v>
      </c>
      <c r="AA7" s="34">
        <f>('Low STDs'!Y$20*'Low Data'!Z7)+'Low STDs'!Y$21</f>
        <v>2153.9800821943777</v>
      </c>
      <c r="AB7" s="74">
        <v>41963.706944444442</v>
      </c>
      <c r="AC7" s="183">
        <f t="shared" si="2"/>
        <v>0.35277777777810115</v>
      </c>
      <c r="AD7" s="14">
        <v>0.04</v>
      </c>
      <c r="AE7" s="14">
        <f t="shared" si="8"/>
        <v>0.9846252003699999</v>
      </c>
      <c r="AF7" s="14">
        <v>19.754000000000001</v>
      </c>
      <c r="AG7" s="14">
        <f>('Low STDs'!N$20*'Low Data'!AF7)+'Low STDs'!N$21</f>
        <v>5.422264266398642</v>
      </c>
      <c r="AH7" s="14">
        <v>9206.2479999999996</v>
      </c>
      <c r="AI7" s="115">
        <f>('Low STDs'!Y$20*'Low Data'!AH7)+'Low STDs'!Y$21</f>
        <v>2981.1416079986379</v>
      </c>
      <c r="AJ7" s="69"/>
      <c r="AK7" s="217">
        <v>1.4077429822831391</v>
      </c>
      <c r="AL7" s="60">
        <v>270.08999999999997</v>
      </c>
      <c r="AM7" s="60">
        <f t="shared" si="9"/>
        <v>267.56457818263942</v>
      </c>
      <c r="AN7" s="14">
        <f t="shared" si="10"/>
        <v>2.5254218173605523</v>
      </c>
      <c r="AO7" s="14"/>
      <c r="AP7" s="60">
        <v>0.9819</v>
      </c>
      <c r="AQ7" s="60">
        <v>6.6414999999999997</v>
      </c>
      <c r="AR7" s="60">
        <v>7.5613000000000001</v>
      </c>
      <c r="AS7" s="14">
        <f t="shared" si="11"/>
        <v>6.5793999999999997</v>
      </c>
      <c r="AT7" s="14">
        <f t="shared" si="12"/>
        <v>0.93502973725815031</v>
      </c>
      <c r="AU7" s="14"/>
      <c r="AV7" s="14">
        <v>190.06635554218249</v>
      </c>
      <c r="AW7" s="14">
        <f t="shared" si="13"/>
        <v>432.74822264045702</v>
      </c>
      <c r="AX7" s="14">
        <v>28</v>
      </c>
      <c r="AY7" s="34">
        <f t="shared" si="3"/>
        <v>301</v>
      </c>
      <c r="BA7" s="55">
        <f t="shared" si="14"/>
        <v>0.10141448888863748</v>
      </c>
      <c r="BB7" s="60">
        <f t="shared" si="15"/>
        <v>1.255768E-3</v>
      </c>
      <c r="BC7" s="60">
        <f t="shared" si="16"/>
        <v>1.8357184027529398E-5</v>
      </c>
      <c r="BD7" s="67">
        <f t="shared" si="17"/>
        <v>0.10143284607266501</v>
      </c>
      <c r="BE7" s="157">
        <f t="shared" si="18"/>
        <v>8.7387655233601411E-2</v>
      </c>
      <c r="BF7" s="60">
        <f t="shared" si="19"/>
        <v>1.255768E-3</v>
      </c>
      <c r="BG7" s="60">
        <f t="shared" si="20"/>
        <v>1.581816648131082E-5</v>
      </c>
      <c r="BH7" s="163">
        <f t="shared" si="21"/>
        <v>8.7403473400082726E-2</v>
      </c>
      <c r="BI7" s="55">
        <f t="shared" si="22"/>
        <v>9.0561071084444222E-2</v>
      </c>
      <c r="BJ7" s="60">
        <f t="shared" si="23"/>
        <v>1.255768E-3</v>
      </c>
      <c r="BK7" s="60">
        <f t="shared" si="24"/>
        <v>1.6392591096651231E-5</v>
      </c>
      <c r="BL7" s="67">
        <f t="shared" si="25"/>
        <v>9.057746367554087E-2</v>
      </c>
      <c r="BM7" s="157">
        <f t="shared" si="26"/>
        <v>9.499876615566416E-2</v>
      </c>
      <c r="BN7" s="60">
        <f t="shared" si="27"/>
        <v>1.255768E-3</v>
      </c>
      <c r="BO7" s="60">
        <f t="shared" si="28"/>
        <v>1.7195864731150333E-5</v>
      </c>
      <c r="BP7" s="67">
        <f t="shared" si="29"/>
        <v>9.5015962020395306E-2</v>
      </c>
    </row>
    <row r="8" spans="1:84" x14ac:dyDescent="0.25">
      <c r="A8" s="47" t="s">
        <v>22</v>
      </c>
      <c r="B8" s="48">
        <v>1</v>
      </c>
      <c r="C8" s="100">
        <v>41963.354166666664</v>
      </c>
      <c r="D8" s="106">
        <v>41963.37222222222</v>
      </c>
      <c r="E8" s="188">
        <f t="shared" si="4"/>
        <v>1.8055555556202307E-2</v>
      </c>
      <c r="F8" s="48">
        <v>0.01</v>
      </c>
      <c r="G8" s="48">
        <f t="shared" si="5"/>
        <v>0.98258382123999988</v>
      </c>
      <c r="H8" s="48">
        <v>78.016000000000005</v>
      </c>
      <c r="I8" s="48">
        <f>('Low STDs'!H$20*'Low Data'!H8)+'Low STDs'!H$21</f>
        <v>19.166676916304141</v>
      </c>
      <c r="J8" s="48">
        <v>3136.2179999999998</v>
      </c>
      <c r="K8" s="49">
        <f>('Low STDs'!AE$20*'Low Data'!J8)+'Low STDs'!AE$21</f>
        <v>1016.1823575333518</v>
      </c>
      <c r="L8" s="93">
        <v>41963.481249999997</v>
      </c>
      <c r="M8" s="188">
        <f t="shared" si="0"/>
        <v>0.12708333333284827</v>
      </c>
      <c r="N8" s="48">
        <v>0.01</v>
      </c>
      <c r="O8" s="48">
        <f t="shared" si="6"/>
        <v>0.98258382123999988</v>
      </c>
      <c r="P8" s="48">
        <v>18.157</v>
      </c>
      <c r="Q8" s="48">
        <f>('Low STDs'!K$20*'Low Data'!P8)+'Low STDs'!K$21</f>
        <v>4.7288897292709065</v>
      </c>
      <c r="R8" s="48">
        <v>9969.232</v>
      </c>
      <c r="S8" s="110">
        <f>('Low STDs'!AB$20*'Low Data'!R8)+'Low STDs'!AB$21</f>
        <v>3166.904503258565</v>
      </c>
      <c r="T8" s="106">
        <v>41963.597222222219</v>
      </c>
      <c r="U8" s="188">
        <f t="shared" si="1"/>
        <v>0.24305555555474712</v>
      </c>
      <c r="V8" s="48">
        <v>0</v>
      </c>
      <c r="W8" s="48">
        <f t="shared" si="7"/>
        <v>0.98190336152999991</v>
      </c>
      <c r="X8" s="48">
        <v>15.981999999999999</v>
      </c>
      <c r="Y8" s="48">
        <f>('Low STDs'!N$20*'Low Data'!X8)+'Low STDs'!N$21</f>
        <v>4.4144429979243158</v>
      </c>
      <c r="Z8" s="48">
        <v>17122.344000000001</v>
      </c>
      <c r="AA8" s="49">
        <f>('Low STDs'!Y$20*'Low Data'!Z8)+'Low STDs'!Y$21</f>
        <v>5400.7621652793514</v>
      </c>
      <c r="AB8" s="93">
        <v>41963.709722222222</v>
      </c>
      <c r="AC8" s="188">
        <f t="shared" si="2"/>
        <v>0.3555555555576575</v>
      </c>
      <c r="AD8" s="48">
        <v>0.01</v>
      </c>
      <c r="AE8" s="48">
        <f t="shared" si="8"/>
        <v>0.98258382123999988</v>
      </c>
      <c r="AF8" s="48">
        <v>14.608000000000001</v>
      </c>
      <c r="AG8" s="48">
        <f>('Low STDs'!N$20*'Low Data'!AF8)+'Low STDs'!N$21</f>
        <v>4.0473310088247079</v>
      </c>
      <c r="AH8" s="48">
        <v>24668.948</v>
      </c>
      <c r="AI8" s="116">
        <f>('Low STDs'!Y$20*'Low Data'!AH8)+'Low STDs'!Y$21</f>
        <v>7707.4444207821716</v>
      </c>
      <c r="AJ8" s="69"/>
      <c r="AK8" s="219">
        <v>6.1034749347316009E-2</v>
      </c>
      <c r="AL8" s="4">
        <v>126.71</v>
      </c>
      <c r="AM8" s="4">
        <f t="shared" si="9"/>
        <v>11.60065236987495</v>
      </c>
      <c r="AN8" s="4">
        <f t="shared" si="10"/>
        <v>115.10934763012504</v>
      </c>
      <c r="AO8" s="4"/>
      <c r="AP8" s="4">
        <v>0.98429999999999995</v>
      </c>
      <c r="AQ8" s="4">
        <v>6.8780000000000001</v>
      </c>
      <c r="AR8" s="4">
        <v>1.6140000000000001</v>
      </c>
      <c r="AS8" s="4">
        <f t="shared" si="11"/>
        <v>0.62970000000000015</v>
      </c>
      <c r="AT8" s="4">
        <f t="shared" si="12"/>
        <v>90.844722302995066</v>
      </c>
      <c r="AU8" s="4"/>
      <c r="AV8" s="4">
        <v>190.06635554218249</v>
      </c>
      <c r="AW8" s="4">
        <f t="shared" si="13"/>
        <v>320.16429682769257</v>
      </c>
      <c r="AX8" s="4">
        <v>28</v>
      </c>
      <c r="AY8" s="35">
        <f t="shared" si="3"/>
        <v>301</v>
      </c>
      <c r="BA8" s="47">
        <f t="shared" si="14"/>
        <v>0.24844011056783197</v>
      </c>
      <c r="BB8" s="48">
        <f t="shared" si="15"/>
        <v>1.255768E-3</v>
      </c>
      <c r="BC8" s="48">
        <f t="shared" si="16"/>
        <v>2.7705553239750231E-3</v>
      </c>
      <c r="BD8" s="49">
        <f t="shared" si="17"/>
        <v>0.25121066589180702</v>
      </c>
      <c r="BE8" s="130">
        <f t="shared" si="18"/>
        <v>6.1296274379403021E-2</v>
      </c>
      <c r="BF8" s="48">
        <f t="shared" si="19"/>
        <v>1.255768E-3</v>
      </c>
      <c r="BG8" s="48">
        <f t="shared" si="20"/>
        <v>6.8356401441594663E-4</v>
      </c>
      <c r="BH8" s="110">
        <f t="shared" si="21"/>
        <v>6.1979838393818966E-2</v>
      </c>
      <c r="BI8" s="47">
        <f t="shared" si="22"/>
        <v>5.7220388870163473E-2</v>
      </c>
      <c r="BJ8" s="48">
        <f t="shared" si="23"/>
        <v>1.255768E-3</v>
      </c>
      <c r="BK8" s="48">
        <f t="shared" si="24"/>
        <v>6.3811053964600562E-4</v>
      </c>
      <c r="BL8" s="49">
        <f t="shared" si="25"/>
        <v>5.7858499409809479E-2</v>
      </c>
      <c r="BM8" s="130">
        <f t="shared" si="26"/>
        <v>5.246185177158591E-2</v>
      </c>
      <c r="BN8" s="48">
        <f t="shared" si="27"/>
        <v>1.255768E-3</v>
      </c>
      <c r="BO8" s="48">
        <f t="shared" si="28"/>
        <v>5.8504426841200893E-4</v>
      </c>
      <c r="BP8" s="49">
        <f t="shared" si="29"/>
        <v>5.3046896039997918E-2</v>
      </c>
    </row>
    <row r="9" spans="1:84" x14ac:dyDescent="0.25">
      <c r="A9" s="50" t="s">
        <v>22</v>
      </c>
      <c r="B9" s="51">
        <v>2</v>
      </c>
      <c r="C9" s="101">
        <v>41963.354861111111</v>
      </c>
      <c r="D9" s="107">
        <v>41963.374305555553</v>
      </c>
      <c r="E9" s="187">
        <f t="shared" si="4"/>
        <v>1.9444444442342501E-2</v>
      </c>
      <c r="F9" s="51">
        <v>0.01</v>
      </c>
      <c r="G9" s="51">
        <f t="shared" si="5"/>
        <v>0.98258382123999988</v>
      </c>
      <c r="H9" s="51">
        <v>53.097999999999999</v>
      </c>
      <c r="I9" s="51">
        <f>('Low STDs'!H$20*'Low Data'!H9)+'Low STDs'!H$21</f>
        <v>13.15870168452199</v>
      </c>
      <c r="J9" s="51">
        <v>3078.7559999999999</v>
      </c>
      <c r="K9" s="52">
        <f>('Low STDs'!AE$20*'Low Data'!J9)+'Low STDs'!AE$21</f>
        <v>998.46003105057719</v>
      </c>
      <c r="L9" s="94">
        <v>41963.48333333333</v>
      </c>
      <c r="M9" s="187">
        <f t="shared" si="0"/>
        <v>0.12847222221898846</v>
      </c>
      <c r="N9" s="51">
        <v>0</v>
      </c>
      <c r="O9" s="51">
        <f t="shared" si="6"/>
        <v>0.98190336152999991</v>
      </c>
      <c r="P9" s="51">
        <v>8.8789999999999996</v>
      </c>
      <c r="Q9" s="51">
        <f>('Low STDs'!K$20*'Low Data'!P9)+'Low STDs'!K$21</f>
        <v>2.5022249203595246</v>
      </c>
      <c r="R9" s="51">
        <v>7016.3389999999999</v>
      </c>
      <c r="S9" s="111">
        <f>('Low STDs'!AB$20*'Low Data'!R9)+'Low STDs'!AB$21</f>
        <v>2236.4916777868484</v>
      </c>
      <c r="T9" s="107">
        <v>41963.599305555559</v>
      </c>
      <c r="U9" s="187">
        <f t="shared" si="1"/>
        <v>0.24444444444816327</v>
      </c>
      <c r="V9" s="51">
        <v>0</v>
      </c>
      <c r="W9" s="51">
        <f t="shared" si="7"/>
        <v>0.98190336152999991</v>
      </c>
      <c r="X9" s="51">
        <v>6.2480000000000002</v>
      </c>
      <c r="Y9" s="51">
        <f>('Low STDs'!N$20*'Low Data'!X9)+'Low STDs'!N$21</f>
        <v>1.8136656311880803</v>
      </c>
      <c r="Z9" s="51">
        <v>9208.5879999999997</v>
      </c>
      <c r="AA9" s="52">
        <f>('Low STDs'!Y$20*'Low Data'!Z9)+'Low STDs'!Y$21</f>
        <v>2981.8568484535335</v>
      </c>
      <c r="AB9" s="94">
        <v>41963.712500000001</v>
      </c>
      <c r="AC9" s="187">
        <f t="shared" si="2"/>
        <v>0.35763888889050577</v>
      </c>
      <c r="AD9" s="51">
        <v>0</v>
      </c>
      <c r="AE9" s="51">
        <f t="shared" si="8"/>
        <v>0.98190336152999991</v>
      </c>
      <c r="AF9" s="51">
        <v>5.9820000000000002</v>
      </c>
      <c r="AG9" s="51">
        <f>('Low STDs'!N$20*'Low Data'!AF9)+'Low STDs'!N$21</f>
        <v>1.7425944600814602</v>
      </c>
      <c r="AH9" s="51">
        <v>10489.981</v>
      </c>
      <c r="AI9" s="117">
        <f>('Low STDs'!Y$20*'Low Data'!AH9)+'Low STDs'!Y$21</f>
        <v>3373.5252724791649</v>
      </c>
      <c r="AJ9" s="69"/>
      <c r="AK9" s="216">
        <v>9.8785121064188505E-2</v>
      </c>
      <c r="AL9" s="6">
        <v>144.57</v>
      </c>
      <c r="AM9" s="6">
        <f t="shared" si="9"/>
        <v>15.795075170291966</v>
      </c>
      <c r="AN9" s="6">
        <f t="shared" si="10"/>
        <v>128.77492482970803</v>
      </c>
      <c r="AO9" s="6"/>
      <c r="AP9" s="6">
        <v>0.97319999999999995</v>
      </c>
      <c r="AQ9" s="6">
        <v>7.4431000000000003</v>
      </c>
      <c r="AR9" s="6">
        <v>1.7864</v>
      </c>
      <c r="AS9" s="6">
        <f t="shared" si="11"/>
        <v>0.81320000000000003</v>
      </c>
      <c r="AT9" s="6">
        <f t="shared" si="12"/>
        <v>89.074444787790028</v>
      </c>
      <c r="AU9" s="6"/>
      <c r="AV9" s="6">
        <v>159.89326125367242</v>
      </c>
      <c r="AW9" s="6">
        <f t="shared" si="13"/>
        <v>336.67181391661944</v>
      </c>
      <c r="AX9" s="6">
        <v>28</v>
      </c>
      <c r="AY9" s="36">
        <f t="shared" si="3"/>
        <v>301</v>
      </c>
      <c r="BA9" s="50">
        <f t="shared" si="14"/>
        <v>0.17935842928785173</v>
      </c>
      <c r="BB9" s="51">
        <f t="shared" si="15"/>
        <v>1.255768E-3</v>
      </c>
      <c r="BC9" s="51">
        <f t="shared" si="16"/>
        <v>2.1279124637624694E-3</v>
      </c>
      <c r="BD9" s="52">
        <f t="shared" si="17"/>
        <v>0.18148634175161421</v>
      </c>
      <c r="BE9" s="126">
        <f t="shared" si="18"/>
        <v>3.4106338315162389E-2</v>
      </c>
      <c r="BF9" s="51">
        <f t="shared" si="19"/>
        <v>1.255768E-3</v>
      </c>
      <c r="BG9" s="51">
        <f t="shared" si="20"/>
        <v>4.0463836956141974E-4</v>
      </c>
      <c r="BH9" s="111">
        <f t="shared" si="21"/>
        <v>3.4510976684723811E-2</v>
      </c>
      <c r="BI9" s="50">
        <f t="shared" si="22"/>
        <v>2.4720996543746113E-2</v>
      </c>
      <c r="BJ9" s="51">
        <f t="shared" si="23"/>
        <v>1.255768E-3</v>
      </c>
      <c r="BK9" s="51">
        <f t="shared" si="24"/>
        <v>2.9329046240498754E-4</v>
      </c>
      <c r="BL9" s="52">
        <f t="shared" si="25"/>
        <v>2.50142870061511E-2</v>
      </c>
      <c r="BM9" s="126">
        <f t="shared" si="26"/>
        <v>2.3752267719053206E-2</v>
      </c>
      <c r="BN9" s="51">
        <f t="shared" si="27"/>
        <v>1.255768E-3</v>
      </c>
      <c r="BO9" s="51">
        <f t="shared" si="28"/>
        <v>2.8179744170752301E-4</v>
      </c>
      <c r="BP9" s="52">
        <f t="shared" si="29"/>
        <v>2.4034065160760728E-2</v>
      </c>
    </row>
    <row r="10" spans="1:84" ht="15.75" thickBot="1" x14ac:dyDescent="0.3">
      <c r="A10" s="92" t="s">
        <v>22</v>
      </c>
      <c r="B10" s="53">
        <v>3</v>
      </c>
      <c r="C10" s="102">
        <v>41963.354861111111</v>
      </c>
      <c r="D10" s="108">
        <v>41963.377083333333</v>
      </c>
      <c r="E10" s="189">
        <f t="shared" si="4"/>
        <v>2.2222222221898846E-2</v>
      </c>
      <c r="F10" s="53">
        <v>0.01</v>
      </c>
      <c r="G10" s="53">
        <f t="shared" si="5"/>
        <v>0.98258382123999988</v>
      </c>
      <c r="H10" s="53">
        <v>53.72</v>
      </c>
      <c r="I10" s="53">
        <f>('Low STDs'!H$20*'Low Data'!H10)+'Low STDs'!H$21</f>
        <v>13.308672010959445</v>
      </c>
      <c r="J10" s="53">
        <v>2704.5360000000001</v>
      </c>
      <c r="K10" s="54">
        <f>('Low STDs'!AE$20*'Low Data'!J10)+'Low STDs'!AE$21</f>
        <v>883.04377306470985</v>
      </c>
      <c r="L10" s="95">
        <v>41963.486111111109</v>
      </c>
      <c r="M10" s="189">
        <f t="shared" si="0"/>
        <v>0.13124999999854481</v>
      </c>
      <c r="N10" s="53">
        <v>0</v>
      </c>
      <c r="O10" s="53">
        <f t="shared" si="6"/>
        <v>0.98190336152999991</v>
      </c>
      <c r="P10" s="53">
        <v>7.444</v>
      </c>
      <c r="Q10" s="53">
        <f>('Low STDs'!K$20*'Low Data'!P10)+'Low STDs'!K$21</f>
        <v>2.157833456597094</v>
      </c>
      <c r="R10" s="53">
        <v>5012.4179999999997</v>
      </c>
      <c r="S10" s="112">
        <f>('Low STDs'!AB$20*'Low Data'!R10)+'Low STDs'!AB$21</f>
        <v>1605.0858667289783</v>
      </c>
      <c r="T10" s="108">
        <v>41963.601388888892</v>
      </c>
      <c r="U10" s="189">
        <f t="shared" si="1"/>
        <v>0.24652777778101154</v>
      </c>
      <c r="V10" s="53">
        <v>0</v>
      </c>
      <c r="W10" s="53">
        <f t="shared" si="7"/>
        <v>0.98190336152999991</v>
      </c>
      <c r="X10" s="53">
        <v>5.4969999999999999</v>
      </c>
      <c r="Y10" s="53">
        <f>('Low STDs'!N$20*'Low Data'!X10)+'Low STDs'!N$21</f>
        <v>1.6130098059960818</v>
      </c>
      <c r="Z10" s="53">
        <v>7767.6859999999997</v>
      </c>
      <c r="AA10" s="54">
        <f>('Low STDs'!Y$20*'Low Data'!Z10)+'Low STDs'!Y$21</f>
        <v>2541.4331724108361</v>
      </c>
      <c r="AB10" s="95">
        <v>41963.714583333334</v>
      </c>
      <c r="AC10" s="189">
        <f t="shared" si="2"/>
        <v>0.35972222222335404</v>
      </c>
      <c r="AD10" s="53">
        <v>0</v>
      </c>
      <c r="AE10" s="53">
        <f t="shared" si="8"/>
        <v>0.98190336152999991</v>
      </c>
      <c r="AF10" s="53">
        <v>5.26</v>
      </c>
      <c r="AG10" s="53">
        <f>('Low STDs'!N$20*'Low Data'!AF10)+'Low STDs'!N$21</f>
        <v>1.5496869956492059</v>
      </c>
      <c r="AH10" s="53">
        <v>9338.3340000000007</v>
      </c>
      <c r="AI10" s="118">
        <f>('Low STDs'!Y$20*'Low Data'!AH10)+'Low STDs'!Y$21</f>
        <v>3021.5147920692939</v>
      </c>
      <c r="AJ10" s="69"/>
      <c r="AK10" s="220">
        <v>9.9319288285469279E-2</v>
      </c>
      <c r="AL10" s="8">
        <v>129.79</v>
      </c>
      <c r="AM10" s="8">
        <f t="shared" si="9"/>
        <v>15.880484909357349</v>
      </c>
      <c r="AN10" s="8">
        <f t="shared" si="10"/>
        <v>113.90951509064264</v>
      </c>
      <c r="AO10" s="8"/>
      <c r="AP10" s="8">
        <v>0.98950000000000005</v>
      </c>
      <c r="AQ10" s="8">
        <v>6.0732999999999997</v>
      </c>
      <c r="AR10" s="8">
        <v>1.7325999999999999</v>
      </c>
      <c r="AS10" s="8">
        <f t="shared" si="11"/>
        <v>0.74309999999999987</v>
      </c>
      <c r="AT10" s="8">
        <f t="shared" si="12"/>
        <v>87.764477302290359</v>
      </c>
      <c r="AU10" s="8"/>
      <c r="AV10" s="8">
        <v>159.89326125367242</v>
      </c>
      <c r="AW10" s="8">
        <f t="shared" si="13"/>
        <v>351.53722365568495</v>
      </c>
      <c r="AX10" s="8">
        <v>28</v>
      </c>
      <c r="AY10" s="37">
        <f t="shared" si="3"/>
        <v>301</v>
      </c>
      <c r="BA10" s="92">
        <f t="shared" si="14"/>
        <v>0.18941223662115822</v>
      </c>
      <c r="BB10" s="53">
        <f t="shared" si="15"/>
        <v>1.255768E-3</v>
      </c>
      <c r="BC10" s="53">
        <f t="shared" si="16"/>
        <v>1.9037246669625482E-3</v>
      </c>
      <c r="BD10" s="54">
        <f t="shared" si="17"/>
        <v>0.19131596128812076</v>
      </c>
      <c r="BE10" s="131">
        <f t="shared" si="18"/>
        <v>3.0710807279152055E-2</v>
      </c>
      <c r="BF10" s="53">
        <f t="shared" si="19"/>
        <v>1.255768E-3</v>
      </c>
      <c r="BG10" s="53">
        <f t="shared" si="20"/>
        <v>3.0866496485435591E-4</v>
      </c>
      <c r="BH10" s="112">
        <f t="shared" si="21"/>
        <v>3.1019472244006412E-2</v>
      </c>
      <c r="BI10" s="92">
        <f t="shared" si="22"/>
        <v>2.2956745405851551E-2</v>
      </c>
      <c r="BJ10" s="53">
        <f t="shared" si="23"/>
        <v>1.255768E-3</v>
      </c>
      <c r="BK10" s="53">
        <f t="shared" si="24"/>
        <v>2.3073125201361405E-4</v>
      </c>
      <c r="BL10" s="54">
        <f t="shared" si="25"/>
        <v>2.3187476657865164E-2</v>
      </c>
      <c r="BM10" s="131">
        <f t="shared" si="26"/>
        <v>2.2055519864560714E-2</v>
      </c>
      <c r="BN10" s="53">
        <f t="shared" si="27"/>
        <v>1.255768E-3</v>
      </c>
      <c r="BO10" s="53">
        <f t="shared" si="28"/>
        <v>2.2167330874628662E-4</v>
      </c>
      <c r="BP10" s="54">
        <f t="shared" si="29"/>
        <v>2.2277193173307001E-2</v>
      </c>
    </row>
    <row r="11" spans="1:84" x14ac:dyDescent="0.25">
      <c r="A11" s="9" t="s">
        <v>23</v>
      </c>
      <c r="B11" s="10">
        <v>1</v>
      </c>
      <c r="C11" s="97">
        <v>41963.354861111111</v>
      </c>
      <c r="D11" s="104">
        <v>41963.379166666666</v>
      </c>
      <c r="E11" s="181">
        <f t="shared" si="4"/>
        <v>2.4305555554747116E-2</v>
      </c>
      <c r="F11" s="10">
        <v>0.01</v>
      </c>
      <c r="G11" s="10">
        <f t="shared" si="5"/>
        <v>0.98258382123999988</v>
      </c>
      <c r="H11" s="10">
        <v>18.38</v>
      </c>
      <c r="I11" s="10">
        <f>('Low STDs'!H$20*'Low Data'!H11)+'Low STDs'!H$21</f>
        <v>4.7878499268764072</v>
      </c>
      <c r="J11" s="10">
        <v>2997.1750000000002</v>
      </c>
      <c r="K11" s="32">
        <f>('Low STDs'!AE$20*'Low Data'!J11)+'Low STDs'!AE$21</f>
        <v>973.29896605473243</v>
      </c>
      <c r="L11" s="72">
        <v>41963.488194444442</v>
      </c>
      <c r="M11" s="181">
        <f t="shared" si="0"/>
        <v>0.13333333333139308</v>
      </c>
      <c r="N11" s="10">
        <v>0.01</v>
      </c>
      <c r="O11" s="10">
        <f t="shared" si="6"/>
        <v>0.98258382123999988</v>
      </c>
      <c r="P11" s="10">
        <v>11.712</v>
      </c>
      <c r="Q11" s="10">
        <f>('Low STDs'!K$20*'Low Data'!P11)+'Low STDs'!K$21</f>
        <v>3.1821280679824979</v>
      </c>
      <c r="R11" s="10">
        <v>8320.1260000000002</v>
      </c>
      <c r="S11" s="26">
        <f>('Low STDs'!AB$20*'Low Data'!R11)+'Low STDs'!AB$21</f>
        <v>2647.2956407083943</v>
      </c>
      <c r="T11" s="104">
        <v>41963.604861111111</v>
      </c>
      <c r="U11" s="181">
        <f t="shared" si="1"/>
        <v>0.25</v>
      </c>
      <c r="V11" s="10">
        <v>0.01</v>
      </c>
      <c r="W11" s="10">
        <f t="shared" si="7"/>
        <v>0.98258382123999988</v>
      </c>
      <c r="X11" s="10">
        <v>9.2439999999999998</v>
      </c>
      <c r="Y11" s="10">
        <f>('Low STDs'!N$20*'Low Data'!X11)+'Low STDs'!N$21</f>
        <v>2.6141514531257997</v>
      </c>
      <c r="Z11" s="10">
        <v>13743.688</v>
      </c>
      <c r="AA11" s="32">
        <f>('Low STDs'!Y$20*'Low Data'!Z11)+'Low STDs'!Y$21</f>
        <v>4368.0478685376456</v>
      </c>
      <c r="AB11" s="72">
        <v>41963.716666666667</v>
      </c>
      <c r="AC11" s="181">
        <f t="shared" si="2"/>
        <v>0.36180555555620231</v>
      </c>
      <c r="AD11" s="10">
        <v>0.01</v>
      </c>
      <c r="AE11" s="10">
        <f t="shared" si="8"/>
        <v>0.98258382123999988</v>
      </c>
      <c r="AF11" s="10">
        <v>7.6440000000000001</v>
      </c>
      <c r="AG11" s="10">
        <f>('Low STDs'!N$20*'Low Data'!AF11)+'Low STDs'!N$21</f>
        <v>2.1866556870709428</v>
      </c>
      <c r="AH11" s="10">
        <v>18087.202000000001</v>
      </c>
      <c r="AI11" s="113">
        <f>('Low STDs'!Y$20*'Low Data'!AH11)+'Low STDs'!Y$21</f>
        <v>5695.6790348646564</v>
      </c>
      <c r="AJ11" s="69"/>
      <c r="AK11" s="218">
        <v>9.4915031632014854E-2</v>
      </c>
      <c r="AL11" s="128">
        <v>55.21</v>
      </c>
      <c r="AM11" s="128">
        <f t="shared" si="9"/>
        <v>13.744333850223484</v>
      </c>
      <c r="AN11" s="10">
        <f t="shared" si="10"/>
        <v>41.465666149776517</v>
      </c>
      <c r="AO11" s="10"/>
      <c r="AP11" s="128">
        <v>0.97589999999999999</v>
      </c>
      <c r="AQ11" s="128">
        <v>5.4814999999999996</v>
      </c>
      <c r="AR11" s="128">
        <v>2.3405</v>
      </c>
      <c r="AS11" s="10">
        <f t="shared" si="11"/>
        <v>1.3646</v>
      </c>
      <c r="AT11" s="10">
        <f t="shared" si="12"/>
        <v>75.105354373802783</v>
      </c>
      <c r="AU11" s="10"/>
      <c r="AV11" s="10">
        <v>144.80671410941741</v>
      </c>
      <c r="AW11" s="10">
        <f t="shared" si="13"/>
        <v>439.06761974080609</v>
      </c>
      <c r="AX11" s="10">
        <v>28</v>
      </c>
      <c r="AY11" s="32">
        <f t="shared" si="3"/>
        <v>301</v>
      </c>
      <c r="BA11" s="15">
        <f t="shared" si="14"/>
        <v>8.5108694920976571E-2</v>
      </c>
      <c r="BB11" s="128">
        <f t="shared" si="15"/>
        <v>1.255768E-3</v>
      </c>
      <c r="BC11" s="128">
        <f t="shared" si="16"/>
        <v>2.4930936234201861E-4</v>
      </c>
      <c r="BD11" s="154">
        <f t="shared" si="17"/>
        <v>8.5358004283318592E-2</v>
      </c>
      <c r="BE11" s="158">
        <f t="shared" si="18"/>
        <v>5.6565425206233734E-2</v>
      </c>
      <c r="BF11" s="128">
        <f t="shared" si="19"/>
        <v>1.255768E-3</v>
      </c>
      <c r="BG11" s="128">
        <f t="shared" si="20"/>
        <v>1.6569740731972512E-4</v>
      </c>
      <c r="BH11" s="164">
        <f t="shared" si="21"/>
        <v>5.673112261355346E-2</v>
      </c>
      <c r="BI11" s="15">
        <f t="shared" si="22"/>
        <v>4.6469087774115306E-2</v>
      </c>
      <c r="BJ11" s="128">
        <f t="shared" si="23"/>
        <v>1.255768E-3</v>
      </c>
      <c r="BK11" s="128">
        <f t="shared" si="24"/>
        <v>1.3612215123656656E-4</v>
      </c>
      <c r="BL11" s="154">
        <f t="shared" si="25"/>
        <v>4.6605209925351873E-2</v>
      </c>
      <c r="BM11" s="158">
        <f t="shared" si="26"/>
        <v>3.886993423153369E-2</v>
      </c>
      <c r="BN11" s="128">
        <f t="shared" si="27"/>
        <v>1.255768E-3</v>
      </c>
      <c r="BO11" s="128">
        <f t="shared" si="28"/>
        <v>1.1386190948571849E-4</v>
      </c>
      <c r="BP11" s="154">
        <f t="shared" si="29"/>
        <v>3.8983796141019406E-2</v>
      </c>
    </row>
    <row r="12" spans="1:84" x14ac:dyDescent="0.25">
      <c r="A12" s="11" t="s">
        <v>23</v>
      </c>
      <c r="B12" s="12">
        <v>2</v>
      </c>
      <c r="C12" s="98">
        <v>41963.355555555558</v>
      </c>
      <c r="D12" s="82">
        <v>41963.381249999999</v>
      </c>
      <c r="E12" s="182">
        <f t="shared" si="4"/>
        <v>2.569444444088731E-2</v>
      </c>
      <c r="F12" s="12">
        <v>0.01</v>
      </c>
      <c r="G12" s="12">
        <f t="shared" si="5"/>
        <v>0.98258382123999988</v>
      </c>
      <c r="H12" s="12">
        <v>16.98</v>
      </c>
      <c r="I12" s="12">
        <f>('Low STDs'!H$20*'Low Data'!H12)+'Low STDs'!H$21</f>
        <v>4.4502961374673458</v>
      </c>
      <c r="J12" s="12">
        <v>2720.4560000000001</v>
      </c>
      <c r="K12" s="33">
        <f>('Low STDs'!AE$20*'Low Data'!J12)+'Low STDs'!AE$21</f>
        <v>887.9537907739051</v>
      </c>
      <c r="L12" s="73">
        <v>41963.490972222222</v>
      </c>
      <c r="M12" s="182">
        <f t="shared" si="0"/>
        <v>0.13541666666424135</v>
      </c>
      <c r="N12" s="12">
        <v>0</v>
      </c>
      <c r="O12" s="12">
        <f t="shared" si="6"/>
        <v>0.98190336152999991</v>
      </c>
      <c r="P12" s="12">
        <v>12.282</v>
      </c>
      <c r="Q12" s="12">
        <f>('Low STDs'!K$20*'Low Data'!P12)+'Low STDs'!K$21</f>
        <v>3.3189246772818604</v>
      </c>
      <c r="R12" s="12">
        <v>5999.5259999999998</v>
      </c>
      <c r="S12" s="27">
        <f>('Low STDs'!AB$20*'Low Data'!R12)+'Low STDs'!AB$21</f>
        <v>1916.1089696066426</v>
      </c>
      <c r="T12" s="82">
        <v>41963.606944444444</v>
      </c>
      <c r="U12" s="182">
        <f t="shared" si="1"/>
        <v>0.25138888888614019</v>
      </c>
      <c r="V12" s="12">
        <v>0</v>
      </c>
      <c r="W12" s="12">
        <f t="shared" si="7"/>
        <v>0.98190336152999991</v>
      </c>
      <c r="X12" s="12">
        <v>8.9320000000000004</v>
      </c>
      <c r="Y12" s="12">
        <f>('Low STDs'!N$20*'Low Data'!X12)+'Low STDs'!N$21</f>
        <v>2.5307897787451026</v>
      </c>
      <c r="Z12" s="12">
        <v>8184.6260000000002</v>
      </c>
      <c r="AA12" s="33">
        <f>('Low STDs'!Y$20*'Low Data'!Z12)+'Low STDs'!Y$21</f>
        <v>2668.8743498741492</v>
      </c>
      <c r="AB12" s="73">
        <v>41963.71875</v>
      </c>
      <c r="AC12" s="182">
        <f t="shared" si="2"/>
        <v>0.3631944444423425</v>
      </c>
      <c r="AD12" s="12">
        <v>0.01</v>
      </c>
      <c r="AE12" s="12">
        <f t="shared" si="8"/>
        <v>0.98258382123999988</v>
      </c>
      <c r="AF12" s="12">
        <v>8.7509999999999994</v>
      </c>
      <c r="AG12" s="12">
        <f>('Low STDs'!N$20*'Low Data'!AF12)+'Low STDs'!N$21</f>
        <v>2.4824293202101471</v>
      </c>
      <c r="AH12" s="12">
        <v>10339.254000000001</v>
      </c>
      <c r="AI12" s="114">
        <f>('Low STDs'!Y$20*'Low Data'!AH12)+'Low STDs'!Y$21</f>
        <v>3327.4543117761559</v>
      </c>
      <c r="AJ12" s="69"/>
      <c r="AK12" s="214">
        <v>0.15677746575930351</v>
      </c>
      <c r="AL12" s="85">
        <v>35.4</v>
      </c>
      <c r="AM12" s="85">
        <f t="shared" si="9"/>
        <v>10.87627652133364</v>
      </c>
      <c r="AN12" s="12">
        <f t="shared" si="10"/>
        <v>24.523723478666358</v>
      </c>
      <c r="AO12" s="12"/>
      <c r="AP12" s="85">
        <v>0.99590000000000001</v>
      </c>
      <c r="AQ12" s="85">
        <v>5.1467999999999998</v>
      </c>
      <c r="AR12" s="85">
        <v>2.5771999999999999</v>
      </c>
      <c r="AS12" s="12">
        <f t="shared" si="11"/>
        <v>1.5812999999999999</v>
      </c>
      <c r="AT12" s="12">
        <f t="shared" si="12"/>
        <v>69.276055024481238</v>
      </c>
      <c r="AU12" s="12"/>
      <c r="AV12" s="12">
        <v>69.373978388142291</v>
      </c>
      <c r="AW12" s="12">
        <f t="shared" si="13"/>
        <v>531.44229813319134</v>
      </c>
      <c r="AX12" s="12">
        <v>28</v>
      </c>
      <c r="AY12" s="33">
        <f t="shared" si="3"/>
        <v>301</v>
      </c>
      <c r="BA12" s="16">
        <f t="shared" si="14"/>
        <v>9.5751816257487285E-2</v>
      </c>
      <c r="BB12" s="85">
        <f t="shared" si="15"/>
        <v>1.255768E-3</v>
      </c>
      <c r="BC12" s="85">
        <f t="shared" si="16"/>
        <v>1.370517968560286E-4</v>
      </c>
      <c r="BD12" s="152">
        <f t="shared" si="17"/>
        <v>9.588886805434331E-2</v>
      </c>
      <c r="BE12" s="156">
        <f t="shared" si="18"/>
        <v>7.1409419970058063E-2</v>
      </c>
      <c r="BF12" s="85">
        <f t="shared" si="19"/>
        <v>1.255768E-3</v>
      </c>
      <c r="BG12" s="85">
        <f t="shared" si="20"/>
        <v>1.0220996010170153E-4</v>
      </c>
      <c r="BH12" s="162">
        <f t="shared" si="21"/>
        <v>7.1511629930159762E-2</v>
      </c>
      <c r="BI12" s="16">
        <f t="shared" si="22"/>
        <v>5.4452043278772934E-2</v>
      </c>
      <c r="BJ12" s="85">
        <f t="shared" si="23"/>
        <v>1.255768E-3</v>
      </c>
      <c r="BK12" s="85">
        <f t="shared" si="24"/>
        <v>7.7938473289842374E-5</v>
      </c>
      <c r="BL12" s="152">
        <f t="shared" si="25"/>
        <v>5.4529981752062778E-2</v>
      </c>
      <c r="BM12" s="156">
        <f t="shared" si="26"/>
        <v>5.3411527862106276E-2</v>
      </c>
      <c r="BN12" s="85">
        <f t="shared" si="27"/>
        <v>1.255768E-3</v>
      </c>
      <c r="BO12" s="85">
        <f t="shared" si="28"/>
        <v>7.6449159425266824E-5</v>
      </c>
      <c r="BP12" s="152">
        <f t="shared" si="29"/>
        <v>5.3487977021531539E-2</v>
      </c>
    </row>
    <row r="13" spans="1:84" ht="15.75" thickBot="1" x14ac:dyDescent="0.3">
      <c r="A13" s="13" t="s">
        <v>23</v>
      </c>
      <c r="B13" s="14">
        <v>3</v>
      </c>
      <c r="C13" s="99">
        <v>41963.355555555558</v>
      </c>
      <c r="D13" s="105">
        <v>41963.383333333331</v>
      </c>
      <c r="E13" s="183">
        <f t="shared" si="4"/>
        <v>2.7777777773735579E-2</v>
      </c>
      <c r="F13" s="14">
        <v>0.01</v>
      </c>
      <c r="G13" s="14">
        <f t="shared" si="5"/>
        <v>0.98258382123999988</v>
      </c>
      <c r="H13" s="14">
        <v>17.776</v>
      </c>
      <c r="I13" s="14">
        <f>('Low STDs'!H$20*'Low Data'!H13)+'Low STDs'!H$21</f>
        <v>4.6422195777313551</v>
      </c>
      <c r="J13" s="14">
        <v>3350.7959999999998</v>
      </c>
      <c r="K13" s="34">
        <f>('Low STDs'!AE$20*'Low Data'!J13)+'Low STDs'!AE$21</f>
        <v>1082.3621175838339</v>
      </c>
      <c r="L13" s="74">
        <v>41963.496527777781</v>
      </c>
      <c r="M13" s="183">
        <f t="shared" si="0"/>
        <v>0.14097222222335404</v>
      </c>
      <c r="N13" s="14">
        <v>0</v>
      </c>
      <c r="O13" s="14">
        <f t="shared" si="6"/>
        <v>0.98190336152999991</v>
      </c>
      <c r="P13" s="14">
        <v>11.624000000000001</v>
      </c>
      <c r="Q13" s="14">
        <f>('Low STDs'!K$20*'Low Data'!P13)+'Low STDs'!K$21</f>
        <v>3.1610085914590877</v>
      </c>
      <c r="R13" s="14">
        <v>8567.1409999999996</v>
      </c>
      <c r="S13" s="28">
        <f>('Low STDs'!AB$20*'Low Data'!R13)+'Low STDs'!AB$21</f>
        <v>2725.126406700896</v>
      </c>
      <c r="T13" s="105">
        <v>41963.609027777777</v>
      </c>
      <c r="U13" s="183">
        <f t="shared" si="1"/>
        <v>0.25347222221898846</v>
      </c>
      <c r="V13" s="14">
        <v>0.01</v>
      </c>
      <c r="W13" s="14">
        <f t="shared" si="7"/>
        <v>0.98258382123999988</v>
      </c>
      <c r="X13" s="14">
        <v>8.4499999999999993</v>
      </c>
      <c r="Y13" s="14">
        <f>('Low STDs'!N$20*'Low Data'!X13)+'Low STDs'!N$21</f>
        <v>2.4020066792210768</v>
      </c>
      <c r="Z13" s="14">
        <v>12006.808000000001</v>
      </c>
      <c r="AA13" s="34">
        <f>('Low STDs'!Y$20*'Low Data'!Z13)+'Low STDs'!Y$21</f>
        <v>3837.1560560167113</v>
      </c>
      <c r="AB13" s="74">
        <v>41963.72152777778</v>
      </c>
      <c r="AC13" s="183">
        <f t="shared" si="2"/>
        <v>0.36597222222189885</v>
      </c>
      <c r="AD13" s="14">
        <v>0.01</v>
      </c>
      <c r="AE13" s="14">
        <f t="shared" si="8"/>
        <v>0.98258382123999988</v>
      </c>
      <c r="AF13" s="14">
        <v>7.0179999999999998</v>
      </c>
      <c r="AG13" s="14">
        <f>('Low STDs'!N$20*'Low Data'!AF13)+'Low STDs'!N$21</f>
        <v>2.0193979686019801</v>
      </c>
      <c r="AH13" s="14">
        <v>14359.678</v>
      </c>
      <c r="AI13" s="115">
        <f>('Low STDs'!Y$20*'Low Data'!AH13)+'Low STDs'!Y$21</f>
        <v>4556.3303334141892</v>
      </c>
      <c r="AJ13" s="69"/>
      <c r="AK13" s="217">
        <v>0.10365311546002556</v>
      </c>
      <c r="AL13" s="60">
        <v>82.14</v>
      </c>
      <c r="AM13" s="60">
        <f t="shared" si="9"/>
        <v>16.573434670006932</v>
      </c>
      <c r="AN13" s="14">
        <f t="shared" si="10"/>
        <v>65.566565329993068</v>
      </c>
      <c r="AO13" s="14"/>
      <c r="AP13" s="60">
        <v>0.97989999999999999</v>
      </c>
      <c r="AQ13" s="60">
        <v>5.9077000000000002</v>
      </c>
      <c r="AR13" s="60">
        <v>2.1718999999999999</v>
      </c>
      <c r="AS13" s="14">
        <f t="shared" si="11"/>
        <v>1.1919999999999999</v>
      </c>
      <c r="AT13" s="14">
        <f t="shared" si="12"/>
        <v>79.82294293887638</v>
      </c>
      <c r="AU13" s="14"/>
      <c r="AV13" s="14">
        <v>159.89326125367242</v>
      </c>
      <c r="AW13" s="14">
        <f t="shared" si="13"/>
        <v>399.88017341633463</v>
      </c>
      <c r="AX13" s="14">
        <v>28</v>
      </c>
      <c r="AY13" s="34">
        <f t="shared" si="3"/>
        <v>301</v>
      </c>
      <c r="BA13" s="55">
        <f t="shared" si="14"/>
        <v>7.5154941719976318E-2</v>
      </c>
      <c r="BB13" s="60">
        <f t="shared" si="15"/>
        <v>1.255768E-3</v>
      </c>
      <c r="BC13" s="60">
        <f t="shared" si="16"/>
        <v>3.8222362302445966E-4</v>
      </c>
      <c r="BD13" s="67">
        <f t="shared" si="17"/>
        <v>7.5537165343000784E-2</v>
      </c>
      <c r="BE13" s="157">
        <f t="shared" si="18"/>
        <v>5.117496328847719E-2</v>
      </c>
      <c r="BF13" s="60">
        <f t="shared" si="19"/>
        <v>1.255768E-3</v>
      </c>
      <c r="BG13" s="60">
        <f t="shared" si="20"/>
        <v>2.602660507561316E-4</v>
      </c>
      <c r="BH13" s="163">
        <f t="shared" si="21"/>
        <v>5.1435229339233321E-2</v>
      </c>
      <c r="BI13" s="55">
        <f t="shared" si="22"/>
        <v>3.8887146324102791E-2</v>
      </c>
      <c r="BJ13" s="60">
        <f t="shared" si="23"/>
        <v>1.255768E-3</v>
      </c>
      <c r="BK13" s="60">
        <f t="shared" si="24"/>
        <v>1.9777256979936026E-4</v>
      </c>
      <c r="BL13" s="67">
        <f t="shared" si="25"/>
        <v>3.908491889390215E-2</v>
      </c>
      <c r="BM13" s="157">
        <f t="shared" si="26"/>
        <v>3.2692925032617483E-2</v>
      </c>
      <c r="BN13" s="60">
        <f t="shared" si="27"/>
        <v>1.255768E-3</v>
      </c>
      <c r="BO13" s="60">
        <f t="shared" si="28"/>
        <v>1.6626994802009998E-4</v>
      </c>
      <c r="BP13" s="67">
        <f t="shared" si="29"/>
        <v>3.2859194980637579E-2</v>
      </c>
    </row>
    <row r="14" spans="1:84" x14ac:dyDescent="0.25">
      <c r="A14" s="47" t="s">
        <v>24</v>
      </c>
      <c r="B14" s="48">
        <v>1</v>
      </c>
      <c r="C14" s="100">
        <v>41963.355555555558</v>
      </c>
      <c r="D14" s="106">
        <v>41963.385416666664</v>
      </c>
      <c r="E14" s="188">
        <f t="shared" si="4"/>
        <v>2.9861111106583849E-2</v>
      </c>
      <c r="F14" s="48">
        <v>0.01</v>
      </c>
      <c r="G14" s="48">
        <f t="shared" si="5"/>
        <v>0.98258382123999988</v>
      </c>
      <c r="H14" s="48">
        <v>16.11</v>
      </c>
      <c r="I14" s="48">
        <f>('Low STDs'!H$20*'Low Data'!H14)+'Low STDs'!H$21</f>
        <v>4.2405305683345711</v>
      </c>
      <c r="J14" s="48">
        <v>2424.2379999999998</v>
      </c>
      <c r="K14" s="49">
        <f>('Low STDs'!AE$20*'Low Data'!J14)+'Low STDs'!AE$21</f>
        <v>796.59476905390704</v>
      </c>
      <c r="L14" s="93">
        <v>41963.498611111114</v>
      </c>
      <c r="M14" s="188">
        <f t="shared" si="0"/>
        <v>0.14305555555620231</v>
      </c>
      <c r="N14" s="48">
        <v>0.01</v>
      </c>
      <c r="O14" s="48">
        <f t="shared" si="6"/>
        <v>0.98258382123999988</v>
      </c>
      <c r="P14" s="48">
        <v>6.7919999999999998</v>
      </c>
      <c r="Q14" s="48">
        <f>('Low STDs'!K$20*'Low Data'!P14)+'Low STDs'!K$21</f>
        <v>2.0013573350827354</v>
      </c>
      <c r="R14" s="48">
        <v>5130.7</v>
      </c>
      <c r="S14" s="110">
        <f>('Low STDs'!AB$20*'Low Data'!R14)+'Low STDs'!AB$21</f>
        <v>1642.3547721117488</v>
      </c>
      <c r="T14" s="106">
        <v>41963.611111111109</v>
      </c>
      <c r="U14" s="188">
        <f t="shared" si="1"/>
        <v>0.25555555555183673</v>
      </c>
      <c r="V14" s="48">
        <v>0.01</v>
      </c>
      <c r="W14" s="48">
        <f t="shared" si="7"/>
        <v>0.98258382123999988</v>
      </c>
      <c r="X14" s="48">
        <v>3.6219999999999999</v>
      </c>
      <c r="Y14" s="48">
        <f>('Low STDs'!N$20*'Low Data'!X14)+'Low STDs'!N$21</f>
        <v>1.1120382051505462</v>
      </c>
      <c r="Z14" s="48">
        <v>6956.3159999999998</v>
      </c>
      <c r="AA14" s="49">
        <f>('Low STDs'!Y$20*'Low Data'!Z14)+'Low STDs'!Y$21</f>
        <v>2293.4311861336546</v>
      </c>
      <c r="AB14" s="93">
        <v>41963.723611111112</v>
      </c>
      <c r="AC14" s="188">
        <f t="shared" si="2"/>
        <v>0.36805555555474712</v>
      </c>
      <c r="AD14" s="48">
        <v>0.01</v>
      </c>
      <c r="AE14" s="48">
        <f t="shared" si="8"/>
        <v>0.98258382123999988</v>
      </c>
      <c r="AF14" s="48">
        <v>3.6219999999999999</v>
      </c>
      <c r="AG14" s="48">
        <f>('Low STDs'!N$20*'Low Data'!AF14)+'Low STDs'!N$21</f>
        <v>1.1120382051505462</v>
      </c>
      <c r="AH14" s="48">
        <v>8425.1020000000008</v>
      </c>
      <c r="AI14" s="116">
        <f>('Low STDs'!Y$20*'Low Data'!AH14)+'Low STDs'!Y$21</f>
        <v>2742.3778386055437</v>
      </c>
      <c r="AJ14" s="69"/>
      <c r="AK14" s="219">
        <v>1.5928988902113346</v>
      </c>
      <c r="AL14" s="4">
        <v>315.39</v>
      </c>
      <c r="AM14" s="4">
        <f t="shared" si="9"/>
        <v>302.75648680965543</v>
      </c>
      <c r="AN14" s="4">
        <f t="shared" si="10"/>
        <v>12.633513190344559</v>
      </c>
      <c r="AO14" s="4"/>
      <c r="AP14" s="4">
        <v>0.95530000000000004</v>
      </c>
      <c r="AQ14" s="4">
        <v>6.6905000000000001</v>
      </c>
      <c r="AR14" s="4">
        <v>7.3777999999999997</v>
      </c>
      <c r="AS14" s="4">
        <f t="shared" si="11"/>
        <v>6.4224999999999994</v>
      </c>
      <c r="AT14" s="4">
        <f t="shared" si="12"/>
        <v>4.0056796950900635</v>
      </c>
      <c r="AU14" s="4"/>
      <c r="AV14" s="4">
        <v>190.06635554218249</v>
      </c>
      <c r="AW14" s="4">
        <f t="shared" si="13"/>
        <v>422.64013126747295</v>
      </c>
      <c r="AX14" s="4">
        <v>28</v>
      </c>
      <c r="AY14" s="35">
        <f t="shared" si="3"/>
        <v>301</v>
      </c>
      <c r="BA14" s="47">
        <f t="shared" si="14"/>
        <v>7.2559272975233874E-2</v>
      </c>
      <c r="BB14" s="48">
        <f t="shared" si="15"/>
        <v>1.255768E-3</v>
      </c>
      <c r="BC14" s="48">
        <f t="shared" si="16"/>
        <v>6.7275006490269702E-5</v>
      </c>
      <c r="BD14" s="49">
        <f t="shared" si="17"/>
        <v>7.2626547981724146E-2</v>
      </c>
      <c r="BE14" s="130">
        <f t="shared" si="18"/>
        <v>3.4245015065246284E-2</v>
      </c>
      <c r="BF14" s="48">
        <f t="shared" si="19"/>
        <v>1.255768E-3</v>
      </c>
      <c r="BG14" s="48">
        <f t="shared" si="20"/>
        <v>3.1751056981513286E-5</v>
      </c>
      <c r="BH14" s="110">
        <f t="shared" si="21"/>
        <v>3.4276766122227798E-2</v>
      </c>
      <c r="BI14" s="47">
        <f t="shared" si="22"/>
        <v>1.9027968879398345E-2</v>
      </c>
      <c r="BJ14" s="48">
        <f t="shared" si="23"/>
        <v>1.255768E-3</v>
      </c>
      <c r="BK14" s="48">
        <f t="shared" si="24"/>
        <v>1.7642221005923023E-5</v>
      </c>
      <c r="BL14" s="49">
        <f t="shared" si="25"/>
        <v>1.9045611100404269E-2</v>
      </c>
      <c r="BM14" s="130">
        <f t="shared" si="26"/>
        <v>1.9027968879398345E-2</v>
      </c>
      <c r="BN14" s="48">
        <f t="shared" si="27"/>
        <v>1.255768E-3</v>
      </c>
      <c r="BO14" s="48">
        <f t="shared" si="28"/>
        <v>1.7642221005923023E-5</v>
      </c>
      <c r="BP14" s="49">
        <f t="shared" si="29"/>
        <v>1.9045611100404269E-2</v>
      </c>
    </row>
    <row r="15" spans="1:84" x14ac:dyDescent="0.25">
      <c r="A15" s="50" t="s">
        <v>24</v>
      </c>
      <c r="B15" s="51">
        <v>2</v>
      </c>
      <c r="C15" s="101">
        <v>41963.356249999997</v>
      </c>
      <c r="D15" s="107">
        <v>41963.387499999997</v>
      </c>
      <c r="E15" s="187">
        <f t="shared" si="4"/>
        <v>3.125E-2</v>
      </c>
      <c r="F15" s="51">
        <v>0.01</v>
      </c>
      <c r="G15" s="51">
        <f t="shared" si="5"/>
        <v>0.98258382123999988</v>
      </c>
      <c r="H15" s="51">
        <v>16.933</v>
      </c>
      <c r="I15" s="51">
        <f>('Low STDs'!H$20*'Low Data'!H15)+'Low STDs'!H$21</f>
        <v>4.4389639745371845</v>
      </c>
      <c r="J15" s="51">
        <v>3031.3040000000001</v>
      </c>
      <c r="K15" s="52">
        <f>('Low STDs'!AE$20*'Low Data'!J15)+'Low STDs'!AE$21</f>
        <v>983.82497072791841</v>
      </c>
      <c r="L15" s="94">
        <v>41963.501388888886</v>
      </c>
      <c r="M15" s="187">
        <f t="shared" si="0"/>
        <v>0.14513888888905058</v>
      </c>
      <c r="N15" s="51">
        <v>0</v>
      </c>
      <c r="O15" s="51">
        <f t="shared" si="6"/>
        <v>0.98190336152999991</v>
      </c>
      <c r="P15" s="51">
        <v>9.6430000000000007</v>
      </c>
      <c r="Q15" s="51">
        <f>('Low STDs'!K$20*'Low Data'!P15)+'Low STDs'!K$21</f>
        <v>2.6855803756309515</v>
      </c>
      <c r="R15" s="51">
        <v>6075.4219999999996</v>
      </c>
      <c r="S15" s="111">
        <f>('Low STDs'!AB$20*'Low Data'!R15)+'Low STDs'!AB$21</f>
        <v>1940.0226745062109</v>
      </c>
      <c r="T15" s="107">
        <v>41963.613194444442</v>
      </c>
      <c r="U15" s="187">
        <f t="shared" si="1"/>
        <v>0.25694444444525288</v>
      </c>
      <c r="V15" s="51">
        <v>0</v>
      </c>
      <c r="W15" s="51">
        <f t="shared" si="7"/>
        <v>0.98190336152999991</v>
      </c>
      <c r="X15" s="51">
        <v>5.98</v>
      </c>
      <c r="Y15" s="51">
        <f>('Low STDs'!N$20*'Low Data'!X15)+'Low STDs'!N$21</f>
        <v>1.7420600903738919</v>
      </c>
      <c r="Z15" s="51">
        <v>8340.0249999999996</v>
      </c>
      <c r="AA15" s="52">
        <f>('Low STDs'!Y$20*'Low Data'!Z15)+'Low STDs'!Y$21</f>
        <v>2716.3733462204368</v>
      </c>
      <c r="AB15" s="94">
        <v>41963.726388888892</v>
      </c>
      <c r="AC15" s="187">
        <f t="shared" si="2"/>
        <v>0.37013888889487134</v>
      </c>
      <c r="AD15" s="51">
        <v>0</v>
      </c>
      <c r="AE15" s="51">
        <f t="shared" si="8"/>
        <v>0.98190336152999991</v>
      </c>
      <c r="AF15" s="51">
        <v>5.4939999999999998</v>
      </c>
      <c r="AG15" s="51">
        <f>('Low STDs'!N$20*'Low Data'!AF15)+'Low STDs'!N$21</f>
        <v>1.6122082514347289</v>
      </c>
      <c r="AH15" s="51">
        <v>9588.3169999999991</v>
      </c>
      <c r="AI15" s="117">
        <f>('Low STDs'!Y$20*'Low Data'!AH15)+'Low STDs'!Y$21</f>
        <v>3097.9241743924367</v>
      </c>
      <c r="AJ15" s="69"/>
      <c r="AK15" s="216">
        <v>1.2688078743787212</v>
      </c>
      <c r="AL15" s="6">
        <v>214.64</v>
      </c>
      <c r="AM15" s="6">
        <f t="shared" si="9"/>
        <v>202.87382893875366</v>
      </c>
      <c r="AN15" s="6">
        <f t="shared" si="10"/>
        <v>11.766171061246325</v>
      </c>
      <c r="AO15" s="6"/>
      <c r="AP15" s="6">
        <v>0.9627</v>
      </c>
      <c r="AQ15" s="6">
        <v>6.7203999999999997</v>
      </c>
      <c r="AR15" s="6">
        <v>7.3147000000000002</v>
      </c>
      <c r="AS15" s="6">
        <f t="shared" si="11"/>
        <v>6.3520000000000003</v>
      </c>
      <c r="AT15" s="6">
        <f t="shared" si="12"/>
        <v>5.4818165585381742</v>
      </c>
      <c r="AU15" s="6"/>
      <c r="AV15" s="6">
        <v>159.89326125367242</v>
      </c>
      <c r="AW15" s="6">
        <f t="shared" si="13"/>
        <v>453.6805676850812</v>
      </c>
      <c r="AX15" s="6">
        <v>28</v>
      </c>
      <c r="AY15" s="36">
        <f t="shared" si="3"/>
        <v>301</v>
      </c>
      <c r="BA15" s="50">
        <f t="shared" si="14"/>
        <v>8.1533068984514789E-2</v>
      </c>
      <c r="BB15" s="51">
        <f t="shared" si="15"/>
        <v>1.255768E-3</v>
      </c>
      <c r="BC15" s="51">
        <f t="shared" si="16"/>
        <v>6.5588272211253155E-5</v>
      </c>
      <c r="BD15" s="52">
        <f t="shared" si="17"/>
        <v>8.1598657256726048E-2</v>
      </c>
      <c r="BE15" s="126">
        <f t="shared" si="18"/>
        <v>4.93276384502776E-2</v>
      </c>
      <c r="BF15" s="51">
        <f t="shared" si="19"/>
        <v>1.255768E-3</v>
      </c>
      <c r="BG15" s="51">
        <f t="shared" si="20"/>
        <v>3.9681010644031489E-5</v>
      </c>
      <c r="BH15" s="111">
        <f t="shared" si="21"/>
        <v>4.9367319460921634E-2</v>
      </c>
      <c r="BI15" s="50">
        <f t="shared" si="22"/>
        <v>3.1997444975532495E-2</v>
      </c>
      <c r="BJ15" s="51">
        <f t="shared" si="23"/>
        <v>1.255768E-3</v>
      </c>
      <c r="BK15" s="51">
        <f t="shared" si="24"/>
        <v>2.5739950148551484E-5</v>
      </c>
      <c r="BL15" s="52">
        <f t="shared" si="25"/>
        <v>3.2023184925681049E-2</v>
      </c>
      <c r="BM15" s="126">
        <f t="shared" si="26"/>
        <v>2.9612379675898762E-2</v>
      </c>
      <c r="BN15" s="51">
        <f t="shared" si="27"/>
        <v>1.255768E-3</v>
      </c>
      <c r="BO15" s="51">
        <f t="shared" si="28"/>
        <v>2.3821313771160836E-5</v>
      </c>
      <c r="BP15" s="52">
        <f t="shared" si="29"/>
        <v>2.9636200989669924E-2</v>
      </c>
    </row>
    <row r="16" spans="1:84" ht="15.75" thickBot="1" x14ac:dyDescent="0.3">
      <c r="A16" s="92" t="s">
        <v>24</v>
      </c>
      <c r="B16" s="53">
        <v>3</v>
      </c>
      <c r="C16" s="102">
        <v>41963.356249999997</v>
      </c>
      <c r="D16" s="108">
        <v>41963.38958333333</v>
      </c>
      <c r="E16" s="189">
        <f t="shared" si="4"/>
        <v>3.3333333332848269E-2</v>
      </c>
      <c r="F16" s="53">
        <v>0.02</v>
      </c>
      <c r="G16" s="53">
        <f t="shared" si="5"/>
        <v>0.98326428094999996</v>
      </c>
      <c r="H16" s="53">
        <v>18.878</v>
      </c>
      <c r="I16" s="53">
        <f>('Low STDs'!H$20*'Low Data'!H16)+'Low STDs'!H$21</f>
        <v>4.907922631966203</v>
      </c>
      <c r="J16" s="53">
        <v>2837.1390000000001</v>
      </c>
      <c r="K16" s="54">
        <f>('Low STDs'!AE$20*'Low Data'!J16)+'Low STDs'!AE$21</f>
        <v>923.94095134940869</v>
      </c>
      <c r="L16" s="95">
        <v>41963.504166666666</v>
      </c>
      <c r="M16" s="189">
        <f t="shared" si="0"/>
        <v>0.14791666666860692</v>
      </c>
      <c r="N16" s="53">
        <v>0.01</v>
      </c>
      <c r="O16" s="53">
        <f t="shared" si="6"/>
        <v>0.98258382123999988</v>
      </c>
      <c r="P16" s="53">
        <v>11.196999999999999</v>
      </c>
      <c r="Q16" s="53">
        <f>('Low STDs'!K$20*'Low Data'!P16)+'Low STDs'!K$21</f>
        <v>3.0585311315102666</v>
      </c>
      <c r="R16" s="53">
        <v>6690.0460000000003</v>
      </c>
      <c r="S16" s="112">
        <f>('Low STDs'!AB$20*'Low Data'!R16)+'Low STDs'!AB$21</f>
        <v>2133.6815888125298</v>
      </c>
      <c r="T16" s="108">
        <v>41963.615277777775</v>
      </c>
      <c r="U16" s="189">
        <f t="shared" si="1"/>
        <v>0.25902777777810115</v>
      </c>
      <c r="V16" s="53">
        <v>0.01</v>
      </c>
      <c r="W16" s="53">
        <f t="shared" si="7"/>
        <v>0.98258382123999988</v>
      </c>
      <c r="X16" s="53">
        <v>6.1689999999999996</v>
      </c>
      <c r="Y16" s="53">
        <f>('Low STDs'!N$20*'Low Data'!X16)+'Low STDs'!N$21</f>
        <v>1.7925580277391215</v>
      </c>
      <c r="Z16" s="53">
        <v>9520.2749999999996</v>
      </c>
      <c r="AA16" s="54">
        <f>('Low STDs'!Y$20*'Low Data'!Z16)+'Low STDs'!Y$21</f>
        <v>3077.1265713873072</v>
      </c>
      <c r="AB16" s="95">
        <v>41963.728472222225</v>
      </c>
      <c r="AC16" s="189">
        <f t="shared" si="2"/>
        <v>0.37222222222771961</v>
      </c>
      <c r="AD16" s="53">
        <v>0.01</v>
      </c>
      <c r="AE16" s="53">
        <f t="shared" si="8"/>
        <v>0.98258382123999988</v>
      </c>
      <c r="AF16" s="53">
        <v>4.4660000000000002</v>
      </c>
      <c r="AG16" s="53">
        <f>('Low STDs'!N$20*'Low Data'!AF16)+'Low STDs'!N$21</f>
        <v>1.3375422217444832</v>
      </c>
      <c r="AH16" s="53">
        <v>14287.262000000001</v>
      </c>
      <c r="AI16" s="118">
        <f>('Low STDs'!Y$20*'Low Data'!AH16)+'Low STDs'!Y$21</f>
        <v>4534.1957809433707</v>
      </c>
      <c r="AJ16" s="69"/>
      <c r="AK16" s="220">
        <v>1.4959752901120122</v>
      </c>
      <c r="AL16" s="8">
        <v>296.83</v>
      </c>
      <c r="AM16" s="8">
        <f t="shared" si="9"/>
        <v>284.33457137274934</v>
      </c>
      <c r="AN16" s="8">
        <f t="shared" si="10"/>
        <v>12.495428627250647</v>
      </c>
      <c r="AO16" s="8"/>
      <c r="AP16" s="8">
        <v>0.96779999999999999</v>
      </c>
      <c r="AQ16" s="8">
        <v>6.6538000000000004</v>
      </c>
      <c r="AR16" s="8">
        <v>7.3414999999999999</v>
      </c>
      <c r="AS16" s="8">
        <f t="shared" si="11"/>
        <v>6.3736999999999995</v>
      </c>
      <c r="AT16" s="8">
        <f t="shared" si="12"/>
        <v>4.2096245754305945</v>
      </c>
      <c r="AU16" s="8"/>
      <c r="AV16" s="8">
        <v>190.06635554218249</v>
      </c>
      <c r="AW16" s="8">
        <f t="shared" si="13"/>
        <v>422.77821583056698</v>
      </c>
      <c r="AX16" s="8">
        <v>28</v>
      </c>
      <c r="AY16" s="37">
        <f t="shared" si="3"/>
        <v>301</v>
      </c>
      <c r="BA16" s="92">
        <f t="shared" si="14"/>
        <v>8.4006385967367356E-2</v>
      </c>
      <c r="BB16" s="53">
        <f t="shared" si="15"/>
        <v>1.255768E-3</v>
      </c>
      <c r="BC16" s="53">
        <f t="shared" si="16"/>
        <v>7.7011978005993355E-5</v>
      </c>
      <c r="BD16" s="54">
        <f t="shared" si="17"/>
        <v>8.4083397945373353E-2</v>
      </c>
      <c r="BE16" s="131">
        <f t="shared" si="18"/>
        <v>5.2351303391253136E-2</v>
      </c>
      <c r="BF16" s="53">
        <f t="shared" si="19"/>
        <v>1.255768E-3</v>
      </c>
      <c r="BG16" s="53">
        <f t="shared" si="20"/>
        <v>4.7992511270731173E-5</v>
      </c>
      <c r="BH16" s="112">
        <f t="shared" si="21"/>
        <v>5.2399295902523867E-2</v>
      </c>
      <c r="BI16" s="92">
        <f t="shared" si="22"/>
        <v>3.0682293271364763E-2</v>
      </c>
      <c r="BJ16" s="53">
        <f t="shared" si="23"/>
        <v>1.255768E-3</v>
      </c>
      <c r="BK16" s="53">
        <f t="shared" si="24"/>
        <v>2.8127672287981311E-5</v>
      </c>
      <c r="BL16" s="54">
        <f t="shared" si="25"/>
        <v>3.0710420943652745E-2</v>
      </c>
      <c r="BM16" s="131">
        <f t="shared" si="26"/>
        <v>2.2894021881209412E-2</v>
      </c>
      <c r="BN16" s="53">
        <f t="shared" si="27"/>
        <v>1.255768E-3</v>
      </c>
      <c r="BO16" s="53">
        <f t="shared" si="28"/>
        <v>2.0987855735983197E-5</v>
      </c>
      <c r="BP16" s="54">
        <f t="shared" si="29"/>
        <v>2.2915009736945394E-2</v>
      </c>
    </row>
    <row r="17" spans="1:68" x14ac:dyDescent="0.25">
      <c r="A17" s="9" t="s">
        <v>26</v>
      </c>
      <c r="B17" s="10">
        <v>1</v>
      </c>
      <c r="C17" s="97">
        <v>41963.356249999997</v>
      </c>
      <c r="D17" s="104">
        <v>41963.393055555556</v>
      </c>
      <c r="E17" s="181">
        <f t="shared" si="4"/>
        <v>3.680555555911269E-2</v>
      </c>
      <c r="F17" s="10">
        <v>0</v>
      </c>
      <c r="G17" s="10">
        <f t="shared" si="5"/>
        <v>0.98190336152999991</v>
      </c>
      <c r="H17" s="10">
        <v>16.940000000000001</v>
      </c>
      <c r="I17" s="10">
        <f>('Low STDs'!H$20*'Low Data'!H17)+'Low STDs'!H$21</f>
        <v>4.4406517434842296</v>
      </c>
      <c r="J17" s="10">
        <v>3049.779</v>
      </c>
      <c r="K17" s="32">
        <f>('Low STDs'!AE$20*'Low Data'!J17)+'Low STDs'!AE$21</f>
        <v>989.52299693252769</v>
      </c>
      <c r="L17" s="72">
        <v>41963.506249999999</v>
      </c>
      <c r="M17" s="181">
        <f t="shared" si="0"/>
        <v>0.15000000000145519</v>
      </c>
      <c r="N17" s="10">
        <v>0</v>
      </c>
      <c r="O17" s="10">
        <f t="shared" si="6"/>
        <v>0.98190336152999991</v>
      </c>
      <c r="P17" s="10">
        <v>6.681</v>
      </c>
      <c r="Q17" s="10">
        <f>('Low STDs'!K$20*'Low Data'!P17)+'Low STDs'!K$21</f>
        <v>1.9747179953770699</v>
      </c>
      <c r="R17" s="10">
        <v>6980.5309999999999</v>
      </c>
      <c r="S17" s="26">
        <f>('Low STDs'!AB$20*'Low Data'!R17)+'Low STDs'!AB$21</f>
        <v>2225.2091076244715</v>
      </c>
      <c r="T17" s="104">
        <v>41963.619444444441</v>
      </c>
      <c r="U17" s="181">
        <f t="shared" si="1"/>
        <v>0.26319444444379769</v>
      </c>
      <c r="V17" s="10">
        <v>0</v>
      </c>
      <c r="W17" s="10">
        <f t="shared" si="7"/>
        <v>0.98190336152999991</v>
      </c>
      <c r="X17" s="10">
        <v>4.4530000000000003</v>
      </c>
      <c r="Y17" s="10">
        <f>('Low STDs'!N$20*'Low Data'!X17)+'Low STDs'!N$21</f>
        <v>1.3340688186452876</v>
      </c>
      <c r="Z17" s="10">
        <v>9421.15</v>
      </c>
      <c r="AA17" s="32">
        <f>('Low STDs'!Y$20*'Low Data'!Z17)+'Low STDs'!Y$21</f>
        <v>3046.8281910063151</v>
      </c>
      <c r="AB17" s="72">
        <v>41963.730555555558</v>
      </c>
      <c r="AC17" s="181">
        <f t="shared" si="2"/>
        <v>0.37430555556056788</v>
      </c>
      <c r="AD17" s="10">
        <v>0</v>
      </c>
      <c r="AE17" s="10">
        <f t="shared" si="8"/>
        <v>0.98190336152999991</v>
      </c>
      <c r="AF17" s="10">
        <v>3.8769999999999998</v>
      </c>
      <c r="AG17" s="10">
        <f>('Low STDs'!N$20*'Low Data'!AF17)+'Low STDs'!N$21</f>
        <v>1.180170342865539</v>
      </c>
      <c r="AH17" s="10">
        <v>11674.34</v>
      </c>
      <c r="AI17" s="113">
        <f>('Low STDs'!Y$20*'Low Data'!AH17)+'Low STDs'!Y$21</f>
        <v>3735.5344476584996</v>
      </c>
      <c r="AJ17" s="69"/>
      <c r="AK17" s="218">
        <v>1.0206703720961228</v>
      </c>
      <c r="AL17" s="128">
        <v>150.93</v>
      </c>
      <c r="AM17" s="128">
        <f t="shared" si="9"/>
        <v>132.40153108470349</v>
      </c>
      <c r="AN17" s="10">
        <f t="shared" si="10"/>
        <v>18.528468915296514</v>
      </c>
      <c r="AO17" s="10"/>
      <c r="AP17" s="128">
        <v>0.98460000000000003</v>
      </c>
      <c r="AQ17" s="128">
        <v>6.9760999999999997</v>
      </c>
      <c r="AR17" s="128">
        <v>7.1043000000000003</v>
      </c>
      <c r="AS17" s="10">
        <f t="shared" si="11"/>
        <v>6.1196999999999999</v>
      </c>
      <c r="AT17" s="10">
        <f t="shared" si="12"/>
        <v>12.27620016914895</v>
      </c>
      <c r="AU17" s="10"/>
      <c r="AV17" s="10">
        <v>129.72016696516241</v>
      </c>
      <c r="AW17" s="10">
        <f t="shared" si="13"/>
        <v>477.09136411954114</v>
      </c>
      <c r="AX17" s="10">
        <v>28</v>
      </c>
      <c r="AY17" s="32">
        <f t="shared" si="3"/>
        <v>301</v>
      </c>
      <c r="BA17" s="15">
        <f t="shared" si="14"/>
        <v>8.5772933259219211E-2</v>
      </c>
      <c r="BB17" s="128">
        <f t="shared" si="15"/>
        <v>1.255768E-3</v>
      </c>
      <c r="BC17" s="128">
        <f t="shared" si="16"/>
        <v>1.0332267950091492E-4</v>
      </c>
      <c r="BD17" s="154">
        <f t="shared" si="17"/>
        <v>8.5876255938720128E-2</v>
      </c>
      <c r="BE17" s="158">
        <f t="shared" si="18"/>
        <v>3.814245399265638E-2</v>
      </c>
      <c r="BF17" s="128">
        <f t="shared" si="19"/>
        <v>1.255768E-3</v>
      </c>
      <c r="BG17" s="128">
        <f t="shared" si="20"/>
        <v>4.5946668716008217E-5</v>
      </c>
      <c r="BH17" s="164">
        <f t="shared" si="21"/>
        <v>3.8188400661372392E-2</v>
      </c>
      <c r="BI17" s="15">
        <f t="shared" si="22"/>
        <v>2.576806341834089E-2</v>
      </c>
      <c r="BJ17" s="128">
        <f t="shared" si="23"/>
        <v>1.255768E-3</v>
      </c>
      <c r="BK17" s="128">
        <f t="shared" si="24"/>
        <v>3.1040390677630438E-5</v>
      </c>
      <c r="BL17" s="154">
        <f t="shared" si="25"/>
        <v>2.5799103809018523E-2</v>
      </c>
      <c r="BM17" s="158">
        <f t="shared" si="26"/>
        <v>2.2795453888417545E-2</v>
      </c>
      <c r="BN17" s="128">
        <f t="shared" si="27"/>
        <v>1.255768E-3</v>
      </c>
      <c r="BO17" s="128">
        <f t="shared" si="28"/>
        <v>2.7459564301862039E-5</v>
      </c>
      <c r="BP17" s="154">
        <f t="shared" si="29"/>
        <v>2.2822913452719407E-2</v>
      </c>
    </row>
    <row r="18" spans="1:68" x14ac:dyDescent="0.25">
      <c r="A18" s="11" t="s">
        <v>26</v>
      </c>
      <c r="B18" s="12">
        <v>2</v>
      </c>
      <c r="C18" s="98">
        <v>41963.356944444444</v>
      </c>
      <c r="D18" s="82">
        <v>41963.395138888889</v>
      </c>
      <c r="E18" s="182">
        <f t="shared" si="4"/>
        <v>3.8194444445252884E-2</v>
      </c>
      <c r="F18" s="12">
        <v>0.12</v>
      </c>
      <c r="G18" s="12">
        <f t="shared" si="5"/>
        <v>0.99006887804999988</v>
      </c>
      <c r="H18" s="12">
        <v>14.069000000000001</v>
      </c>
      <c r="I18" s="12">
        <f>('Low STDs'!H$20*'Low Data'!H18)+'Low STDs'!H$21</f>
        <v>3.7484253653460748</v>
      </c>
      <c r="J18" s="12">
        <v>3428.45</v>
      </c>
      <c r="K18" s="33">
        <f>('Low STDs'!AE$20*'Low Data'!J18)+'Low STDs'!AE$21</f>
        <v>1106.3120243168642</v>
      </c>
      <c r="L18" s="73">
        <v>41963.508333333331</v>
      </c>
      <c r="M18" s="182">
        <f t="shared" si="0"/>
        <v>0.15138888888759539</v>
      </c>
      <c r="N18" s="12">
        <v>0.01</v>
      </c>
      <c r="O18" s="12">
        <f t="shared" si="6"/>
        <v>0.98258382123999988</v>
      </c>
      <c r="P18" s="12">
        <v>4.226</v>
      </c>
      <c r="Q18" s="12">
        <f>('Low STDs'!K$20*'Low Data'!P18)+'Low STDs'!K$21</f>
        <v>1.3855325991842005</v>
      </c>
      <c r="R18" s="12">
        <v>8395.0779999999995</v>
      </c>
      <c r="S18" s="27">
        <f>('Low STDs'!AB$20*'Low Data'!R18)+'Low STDs'!AB$21</f>
        <v>2670.9119051970688</v>
      </c>
      <c r="T18" s="82">
        <v>41963.62222222222</v>
      </c>
      <c r="U18" s="182">
        <f t="shared" si="1"/>
        <v>0.26527777777664596</v>
      </c>
      <c r="V18" s="12">
        <v>-0.05</v>
      </c>
      <c r="W18" s="12">
        <f t="shared" si="7"/>
        <v>0.97850106297999984</v>
      </c>
      <c r="X18" s="12">
        <v>1.44</v>
      </c>
      <c r="Y18" s="12">
        <f>('Low STDs'!N$20*'Low Data'!X18)+'Low STDs'!N$21</f>
        <v>0.5290408541932351</v>
      </c>
      <c r="Z18" s="12">
        <v>13171.397999999999</v>
      </c>
      <c r="AA18" s="33">
        <f>('Low STDs'!Y$20*'Low Data'!Z18)+'Low STDs'!Y$21</f>
        <v>4193.122671985434</v>
      </c>
      <c r="AB18" s="73">
        <v>41963.732638888891</v>
      </c>
      <c r="AC18" s="182">
        <f t="shared" si="2"/>
        <v>0.37569444444670808</v>
      </c>
      <c r="AD18" s="12">
        <v>-0.09</v>
      </c>
      <c r="AE18" s="12">
        <f t="shared" si="8"/>
        <v>0.97577922413999996</v>
      </c>
      <c r="AF18" s="12">
        <v>0.81599999999999995</v>
      </c>
      <c r="AG18" s="12">
        <f>('Low STDs'!N$20*'Low Data'!AF18)+'Low STDs'!N$21</f>
        <v>0.36231750543184094</v>
      </c>
      <c r="AH18" s="12">
        <v>18654.995999999999</v>
      </c>
      <c r="AI18" s="114">
        <f>('Low STDs'!Y$20*'Low Data'!AH18)+'Low STDs'!Y$21</f>
        <v>5869.2299916368629</v>
      </c>
      <c r="AJ18" s="69"/>
      <c r="AK18" s="214">
        <v>0.8646158916329395</v>
      </c>
      <c r="AL18" s="85">
        <v>151.65</v>
      </c>
      <c r="AM18" s="85">
        <f t="shared" si="9"/>
        <v>133.02862728062556</v>
      </c>
      <c r="AN18" s="12">
        <f t="shared" si="10"/>
        <v>18.621372719374449</v>
      </c>
      <c r="AO18" s="12"/>
      <c r="AP18" s="85">
        <v>0.97250000000000003</v>
      </c>
      <c r="AQ18" s="85">
        <v>7.2512999999999996</v>
      </c>
      <c r="AR18" s="85">
        <v>7.3334000000000001</v>
      </c>
      <c r="AS18" s="12">
        <f t="shared" si="11"/>
        <v>6.3609</v>
      </c>
      <c r="AT18" s="12">
        <f t="shared" si="12"/>
        <v>12.279177526788295</v>
      </c>
      <c r="AU18" s="12"/>
      <c r="AV18" s="12">
        <v>153.85864239597043</v>
      </c>
      <c r="AW18" s="12">
        <f t="shared" si="13"/>
        <v>452.85998488465515</v>
      </c>
      <c r="AX18" s="12">
        <v>28</v>
      </c>
      <c r="AY18" s="33">
        <f t="shared" si="3"/>
        <v>301</v>
      </c>
      <c r="BA18" s="16">
        <f t="shared" si="14"/>
        <v>6.8725009343778176E-2</v>
      </c>
      <c r="BB18" s="85">
        <f t="shared" si="15"/>
        <v>1.255768E-3</v>
      </c>
      <c r="BC18" s="85">
        <f t="shared" si="16"/>
        <v>8.7653643462021834E-5</v>
      </c>
      <c r="BD18" s="152">
        <f t="shared" si="17"/>
        <v>6.8812662987240203E-2</v>
      </c>
      <c r="BE18" s="156">
        <f t="shared" si="18"/>
        <v>2.5402864281453327E-2</v>
      </c>
      <c r="BF18" s="85">
        <f t="shared" si="19"/>
        <v>1.255768E-3</v>
      </c>
      <c r="BG18" s="85">
        <f t="shared" si="20"/>
        <v>3.2399466073586252E-5</v>
      </c>
      <c r="BH18" s="162">
        <f t="shared" si="21"/>
        <v>2.5435263747526912E-2</v>
      </c>
      <c r="BI18" s="16">
        <f t="shared" si="22"/>
        <v>9.6996296054873369E-3</v>
      </c>
      <c r="BJ18" s="85">
        <f t="shared" si="23"/>
        <v>1.255768E-3</v>
      </c>
      <c r="BK18" s="85">
        <f t="shared" si="24"/>
        <v>1.2371156923386138E-5</v>
      </c>
      <c r="BL18" s="152">
        <f t="shared" si="25"/>
        <v>9.7120007624107232E-3</v>
      </c>
      <c r="BM18" s="156">
        <f t="shared" si="26"/>
        <v>6.6428624073508122E-3</v>
      </c>
      <c r="BN18" s="85">
        <f t="shared" si="27"/>
        <v>1.255768E-3</v>
      </c>
      <c r="BO18" s="85">
        <f t="shared" si="28"/>
        <v>8.4724774660785149E-6</v>
      </c>
      <c r="BP18" s="152">
        <f t="shared" si="29"/>
        <v>6.6513348848168908E-3</v>
      </c>
    </row>
    <row r="19" spans="1:68" ht="15.75" thickBot="1" x14ac:dyDescent="0.3">
      <c r="A19" s="13" t="s">
        <v>26</v>
      </c>
      <c r="B19" s="14">
        <v>3</v>
      </c>
      <c r="C19" s="99">
        <v>41963.356944444444</v>
      </c>
      <c r="D19" s="105">
        <v>41963.398611111108</v>
      </c>
      <c r="E19" s="183">
        <f t="shared" si="4"/>
        <v>4.1666666664241347E-2</v>
      </c>
      <c r="F19" s="14">
        <v>0.21</v>
      </c>
      <c r="G19" s="14">
        <f t="shared" si="5"/>
        <v>0.99619301543999994</v>
      </c>
      <c r="H19" s="14">
        <v>11.771000000000001</v>
      </c>
      <c r="I19" s="14">
        <f>('Low STDs'!H$20*'Low Data'!H19)+'Low STDs'!H$21</f>
        <v>3.1943549310160573</v>
      </c>
      <c r="J19" s="14">
        <v>4116.3900000000003</v>
      </c>
      <c r="K19" s="34">
        <f>('Low STDs'!AE$20*'Low Data'!J19)+'Low STDs'!AE$21</f>
        <v>1318.4852393208662</v>
      </c>
      <c r="L19" s="74">
        <v>41963.510416666664</v>
      </c>
      <c r="M19" s="183">
        <f t="shared" si="0"/>
        <v>0.15347222222044365</v>
      </c>
      <c r="N19" s="14">
        <v>0.21</v>
      </c>
      <c r="O19" s="14">
        <f t="shared" si="6"/>
        <v>0.99619301543999994</v>
      </c>
      <c r="P19" s="14">
        <v>2.129</v>
      </c>
      <c r="Q19" s="14">
        <f>('Low STDs'!K$20*'Low Data'!P19)+'Low STDs'!K$21</f>
        <v>0.882265073393387</v>
      </c>
      <c r="R19" s="14">
        <v>11617.123</v>
      </c>
      <c r="S19" s="28">
        <f>('Low STDs'!AB$20*'Low Data'!R19)+'Low STDs'!AB$21</f>
        <v>3686.130537313782</v>
      </c>
      <c r="T19" s="105">
        <v>41963.624305555553</v>
      </c>
      <c r="U19" s="183">
        <f t="shared" si="1"/>
        <v>0.26736111110949423</v>
      </c>
      <c r="V19" s="14">
        <v>0.11</v>
      </c>
      <c r="W19" s="14">
        <f t="shared" si="7"/>
        <v>0.98938841833999991</v>
      </c>
      <c r="X19" s="14">
        <v>0.70199999999999996</v>
      </c>
      <c r="Y19" s="14">
        <f>('Low STDs'!N$20*'Low Data'!X19)+'Low STDs'!N$21</f>
        <v>0.33185843210043231</v>
      </c>
      <c r="Z19" s="14">
        <v>18374.13</v>
      </c>
      <c r="AA19" s="34">
        <f>('Low STDs'!Y$20*'Low Data'!Z19)+'Low STDs'!Y$21</f>
        <v>5783.3809636006699</v>
      </c>
      <c r="AB19" s="74">
        <v>41963.734722222223</v>
      </c>
      <c r="AC19" s="183">
        <f t="shared" si="2"/>
        <v>0.37777777777955635</v>
      </c>
      <c r="AD19" s="14">
        <v>0</v>
      </c>
      <c r="AE19" s="14">
        <f t="shared" si="8"/>
        <v>0.98190336152999991</v>
      </c>
      <c r="AF19" s="14">
        <v>0</v>
      </c>
      <c r="AG19" s="14">
        <f>('Low STDs'!N$20*'Low Data'!AF19)+'Low STDs'!N$21</f>
        <v>0.14429466474386388</v>
      </c>
      <c r="AH19" s="14">
        <v>25742.68</v>
      </c>
      <c r="AI19" s="115">
        <f>('Low STDs'!Y$20*'Low Data'!AH19)+'Low STDs'!Y$21</f>
        <v>8035.6395336522191</v>
      </c>
      <c r="AJ19" s="69"/>
      <c r="AK19" s="217">
        <v>1.155276801077489</v>
      </c>
      <c r="AL19" s="60">
        <v>217.35</v>
      </c>
      <c r="AM19" s="60">
        <f t="shared" si="9"/>
        <v>198.66428571428571</v>
      </c>
      <c r="AN19" s="14">
        <f t="shared" si="10"/>
        <v>18.685714285714283</v>
      </c>
      <c r="AO19" s="14"/>
      <c r="AP19" s="60">
        <v>0.9919</v>
      </c>
      <c r="AQ19" s="60">
        <v>6.0857999999999999</v>
      </c>
      <c r="AR19" s="60">
        <v>6.5545</v>
      </c>
      <c r="AS19" s="14">
        <f t="shared" si="11"/>
        <v>5.5625999999999998</v>
      </c>
      <c r="AT19" s="14">
        <f t="shared" si="12"/>
        <v>8.5970620132110831</v>
      </c>
      <c r="AU19" s="14"/>
      <c r="AV19" s="14">
        <v>171.96249896907648</v>
      </c>
      <c r="AW19" s="14">
        <f t="shared" si="13"/>
        <v>434.69178674520924</v>
      </c>
      <c r="AX19" s="14">
        <v>28</v>
      </c>
      <c r="AY19" s="34">
        <f t="shared" si="3"/>
        <v>301</v>
      </c>
      <c r="BA19" s="55">
        <f t="shared" si="14"/>
        <v>5.6216861516196315E-2</v>
      </c>
      <c r="BB19" s="60">
        <f t="shared" si="15"/>
        <v>1.255768E-3</v>
      </c>
      <c r="BC19" s="60">
        <f t="shared" si="16"/>
        <v>7.4955289479141724E-5</v>
      </c>
      <c r="BD19" s="67">
        <f t="shared" si="17"/>
        <v>5.6291816805675458E-2</v>
      </c>
      <c r="BE19" s="157">
        <f t="shared" si="18"/>
        <v>1.5526819818909939E-2</v>
      </c>
      <c r="BF19" s="60">
        <f t="shared" si="19"/>
        <v>1.255768E-3</v>
      </c>
      <c r="BG19" s="60">
        <f t="shared" si="20"/>
        <v>2.0702281180915248E-5</v>
      </c>
      <c r="BH19" s="163">
        <f t="shared" si="21"/>
        <v>1.5547522100090853E-2</v>
      </c>
      <c r="BI19" s="55">
        <f t="shared" si="22"/>
        <v>5.8403151569753542E-3</v>
      </c>
      <c r="BJ19" s="60">
        <f t="shared" si="23"/>
        <v>1.255768E-3</v>
      </c>
      <c r="BK19" s="60">
        <f t="shared" si="24"/>
        <v>7.7870322432422797E-6</v>
      </c>
      <c r="BL19" s="67">
        <f t="shared" si="25"/>
        <v>5.8481021892185965E-3</v>
      </c>
      <c r="BM19" s="157">
        <f t="shared" si="26"/>
        <v>2.5394151121621222E-3</v>
      </c>
      <c r="BN19" s="60">
        <f t="shared" si="27"/>
        <v>1.255768E-3</v>
      </c>
      <c r="BO19" s="60">
        <f t="shared" si="28"/>
        <v>3.3858630614763254E-6</v>
      </c>
      <c r="BP19" s="67">
        <f t="shared" si="29"/>
        <v>2.5428009752235985E-3</v>
      </c>
    </row>
    <row r="20" spans="1:68" x14ac:dyDescent="0.25">
      <c r="A20" s="47" t="s">
        <v>27</v>
      </c>
      <c r="B20" s="48">
        <v>1</v>
      </c>
      <c r="C20" s="100">
        <v>41963.356944444444</v>
      </c>
      <c r="D20" s="109">
        <v>41963.400694444441</v>
      </c>
      <c r="E20" s="188">
        <f t="shared" si="4"/>
        <v>4.3749999997089617E-2</v>
      </c>
      <c r="F20" s="48">
        <v>0</v>
      </c>
      <c r="G20" s="48">
        <f t="shared" si="5"/>
        <v>0.98190336152999991</v>
      </c>
      <c r="H20" s="48">
        <v>27.513999999999999</v>
      </c>
      <c r="I20" s="48">
        <f>('Low STDs'!H$20*'Low Data'!H20)+'Low STDs'!H$21</f>
        <v>6.9901472929209598</v>
      </c>
      <c r="J20" s="48">
        <v>3005.3119999999999</v>
      </c>
      <c r="K20" s="49">
        <f>('Low STDs'!AE$20*'Low Data'!J20)+'Low STDs'!AE$21</f>
        <v>975.80856493034298</v>
      </c>
      <c r="L20" s="93">
        <v>41963.513194444444</v>
      </c>
      <c r="M20" s="188">
        <f t="shared" si="0"/>
        <v>0.15625</v>
      </c>
      <c r="N20" s="48">
        <v>0</v>
      </c>
      <c r="O20" s="48">
        <f t="shared" si="6"/>
        <v>0.98190336152999991</v>
      </c>
      <c r="P20" s="48">
        <v>3.9980000000000002</v>
      </c>
      <c r="Q20" s="48">
        <f>('Low STDs'!K$20*'Low Data'!P20)+'Low STDs'!K$21</f>
        <v>1.3308139554644556</v>
      </c>
      <c r="R20" s="48">
        <v>5346.4380000000001</v>
      </c>
      <c r="S20" s="110">
        <f>('Low STDs'!AB$20*'Low Data'!R20)+'Low STDs'!AB$21</f>
        <v>1710.3306188971276</v>
      </c>
      <c r="T20" s="106">
        <v>41963.626388888886</v>
      </c>
      <c r="U20" s="188">
        <f t="shared" si="1"/>
        <v>0.2694444444423425</v>
      </c>
      <c r="V20" s="48">
        <v>0</v>
      </c>
      <c r="W20" s="48">
        <f t="shared" si="7"/>
        <v>0.98190336152999991</v>
      </c>
      <c r="X20" s="48">
        <v>3.0459999999999998</v>
      </c>
      <c r="Y20" s="48">
        <f>('Low STDs'!N$20*'Low Data'!X20)+'Low STDs'!N$21</f>
        <v>0.95813972937079772</v>
      </c>
      <c r="Z20" s="48">
        <v>6283.2089999999998</v>
      </c>
      <c r="AA20" s="49">
        <f>('Low STDs'!Y$20*'Low Data'!Z20)+'Low STDs'!Y$21</f>
        <v>2087.6904353330647</v>
      </c>
      <c r="AB20" s="93">
        <v>41963.737500000003</v>
      </c>
      <c r="AC20" s="188">
        <f t="shared" si="2"/>
        <v>0.38055555555911269</v>
      </c>
      <c r="AD20" s="48">
        <v>0.01</v>
      </c>
      <c r="AE20" s="48">
        <f t="shared" si="8"/>
        <v>0.98258382123999988</v>
      </c>
      <c r="AF20" s="48">
        <v>3.226</v>
      </c>
      <c r="AG20" s="48">
        <f>('Low STDs'!N$20*'Low Data'!AF20)+'Low STDs'!N$21</f>
        <v>1.0062330030519693</v>
      </c>
      <c r="AH20" s="48">
        <v>7345.2160000000003</v>
      </c>
      <c r="AI20" s="116">
        <f>('Low STDs'!Y$20*'Low Data'!AH20)+'Low STDs'!Y$21</f>
        <v>2412.3017044707831</v>
      </c>
      <c r="AJ20" s="69"/>
      <c r="AK20" s="219">
        <v>1.2014057577996009</v>
      </c>
      <c r="AL20" s="4">
        <v>250.16</v>
      </c>
      <c r="AM20" s="4">
        <f t="shared" si="9"/>
        <v>213.84676222882567</v>
      </c>
      <c r="AN20" s="4">
        <f t="shared" si="10"/>
        <v>36.313237771174329</v>
      </c>
      <c r="AO20" s="4"/>
      <c r="AP20" s="4">
        <v>1.0024999999999999</v>
      </c>
      <c r="AQ20" s="4">
        <v>6.4949000000000003</v>
      </c>
      <c r="AR20" s="4">
        <v>6.5545999999999998</v>
      </c>
      <c r="AS20" s="4">
        <f t="shared" si="11"/>
        <v>5.5520999999999994</v>
      </c>
      <c r="AT20" s="4">
        <f t="shared" si="12"/>
        <v>14.516004865355908</v>
      </c>
      <c r="AU20" s="4"/>
      <c r="AV20" s="4">
        <v>177.99711782677846</v>
      </c>
      <c r="AW20" s="4">
        <f t="shared" si="13"/>
        <v>411.02964440204715</v>
      </c>
      <c r="AX20" s="4">
        <v>28</v>
      </c>
      <c r="AY20" s="35">
        <f t="shared" si="3"/>
        <v>301</v>
      </c>
      <c r="BA20" s="47">
        <f t="shared" si="14"/>
        <v>0.11632189379812176</v>
      </c>
      <c r="BB20" s="48">
        <f t="shared" si="15"/>
        <v>1.255768E-3</v>
      </c>
      <c r="BC20" s="48">
        <f t="shared" si="16"/>
        <v>3.187577204711088E-4</v>
      </c>
      <c r="BD20" s="49">
        <f t="shared" si="17"/>
        <v>0.11664065151859286</v>
      </c>
      <c r="BE20" s="130">
        <f t="shared" si="18"/>
        <v>2.2145856604390321E-2</v>
      </c>
      <c r="BF20" s="48">
        <f t="shared" si="19"/>
        <v>1.255768E-3</v>
      </c>
      <c r="BG20" s="48">
        <f t="shared" si="20"/>
        <v>6.0686449804082295E-5</v>
      </c>
      <c r="BH20" s="110">
        <f t="shared" si="21"/>
        <v>2.2206543054194405E-2</v>
      </c>
      <c r="BI20" s="47">
        <f t="shared" si="22"/>
        <v>1.5944245975546324E-2</v>
      </c>
      <c r="BJ20" s="48">
        <f t="shared" si="23"/>
        <v>1.255768E-3</v>
      </c>
      <c r="BK20" s="48">
        <f t="shared" si="24"/>
        <v>4.3692131686028836E-5</v>
      </c>
      <c r="BL20" s="49">
        <f t="shared" si="25"/>
        <v>1.5987938107232352E-2</v>
      </c>
      <c r="BM20" s="130">
        <f t="shared" si="26"/>
        <v>1.6744558249253444E-2</v>
      </c>
      <c r="BN20" s="48">
        <f t="shared" si="27"/>
        <v>1.255768E-3</v>
      </c>
      <c r="BO20" s="48">
        <f t="shared" si="28"/>
        <v>4.588523315388037E-5</v>
      </c>
      <c r="BP20" s="49">
        <f t="shared" si="29"/>
        <v>1.6790443482407325E-2</v>
      </c>
    </row>
    <row r="21" spans="1:68" x14ac:dyDescent="0.25">
      <c r="A21" s="50" t="s">
        <v>27</v>
      </c>
      <c r="B21" s="51">
        <v>2</v>
      </c>
      <c r="C21" s="101">
        <v>41963.357638888891</v>
      </c>
      <c r="D21" s="107">
        <v>41963.40347222222</v>
      </c>
      <c r="E21" s="187">
        <f t="shared" si="4"/>
        <v>4.5833333329937886E-2</v>
      </c>
      <c r="F21" s="51">
        <v>0</v>
      </c>
      <c r="G21" s="51">
        <f t="shared" si="5"/>
        <v>0.98190336152999991</v>
      </c>
      <c r="H21" s="51">
        <v>28.238</v>
      </c>
      <c r="I21" s="51">
        <f>('Low STDs'!H$20*'Low Data'!H21)+'Low STDs'!H$21</f>
        <v>7.1647108240153603</v>
      </c>
      <c r="J21" s="51">
        <v>3246.1930000000002</v>
      </c>
      <c r="K21" s="52">
        <f>('Low STDs'!AE$20*'Low Data'!J21)+'Low STDs'!AE$21</f>
        <v>1050.1006488379207</v>
      </c>
      <c r="L21" s="94">
        <v>41963.515277777777</v>
      </c>
      <c r="M21" s="187">
        <f t="shared" si="0"/>
        <v>0.15763888888614019</v>
      </c>
      <c r="N21" s="51">
        <v>0</v>
      </c>
      <c r="O21" s="51">
        <f t="shared" si="6"/>
        <v>0.98190336152999991</v>
      </c>
      <c r="P21" s="51">
        <v>4.3159999999999998</v>
      </c>
      <c r="Q21" s="51">
        <f>('Low STDs'!K$20*'Low Data'!P21)+'Low STDs'!K$21</f>
        <v>1.4071320638104157</v>
      </c>
      <c r="R21" s="51">
        <v>7099.1</v>
      </c>
      <c r="S21" s="111">
        <f>('Low STDs'!AB$20*'Low Data'!R21)+'Low STDs'!AB$21</f>
        <v>2262.5684424541982</v>
      </c>
      <c r="T21" s="107">
        <v>41963.628472222219</v>
      </c>
      <c r="U21" s="187">
        <f t="shared" si="1"/>
        <v>0.27083333332848269</v>
      </c>
      <c r="V21" s="51">
        <v>0</v>
      </c>
      <c r="W21" s="51">
        <f t="shared" si="7"/>
        <v>0.98190336152999991</v>
      </c>
      <c r="X21" s="51">
        <v>2.5459999999999998</v>
      </c>
      <c r="Y21" s="51">
        <f>('Low STDs'!N$20*'Low Data'!X21)+'Low STDs'!N$21</f>
        <v>0.82454730247865493</v>
      </c>
      <c r="Z21" s="51">
        <v>9533.241</v>
      </c>
      <c r="AA21" s="52">
        <f>('Low STDs'!Y$20*'Low Data'!Z21)+'Low STDs'!Y$21</f>
        <v>3081.0897370873822</v>
      </c>
      <c r="AB21" s="94">
        <v>41963.739583333336</v>
      </c>
      <c r="AC21" s="187">
        <f t="shared" si="2"/>
        <v>0.38194444444525288</v>
      </c>
      <c r="AD21" s="51">
        <v>0.01</v>
      </c>
      <c r="AE21" s="51">
        <f t="shared" si="8"/>
        <v>0.98258382123999988</v>
      </c>
      <c r="AF21" s="51">
        <v>2.129</v>
      </c>
      <c r="AG21" s="51">
        <f>('Low STDs'!N$20*'Low Data'!AF21)+'Low STDs'!N$21</f>
        <v>0.7131312184506079</v>
      </c>
      <c r="AH21" s="51">
        <v>12074.322</v>
      </c>
      <c r="AI21" s="117">
        <f>('Low STDs'!Y$20*'Low Data'!AH21)+'Low STDs'!Y$21</f>
        <v>3857.792271432018</v>
      </c>
      <c r="AJ21" s="69"/>
      <c r="AK21" s="216">
        <v>0.87732600387916859</v>
      </c>
      <c r="AL21" s="6">
        <v>170.07</v>
      </c>
      <c r="AM21" s="6">
        <f t="shared" si="9"/>
        <v>150.86717203761552</v>
      </c>
      <c r="AN21" s="6">
        <f t="shared" si="10"/>
        <v>19.202827962384475</v>
      </c>
      <c r="AO21" s="6"/>
      <c r="AP21" s="6">
        <v>1.0144</v>
      </c>
      <c r="AQ21" s="6">
        <v>6.1783000000000001</v>
      </c>
      <c r="AR21" s="6">
        <v>6.4950999999999999</v>
      </c>
      <c r="AS21" s="6">
        <f t="shared" si="11"/>
        <v>5.4806999999999997</v>
      </c>
      <c r="AT21" s="6">
        <f t="shared" si="12"/>
        <v>11.291131864752447</v>
      </c>
      <c r="AU21" s="6"/>
      <c r="AV21" s="6">
        <v>171.96249896907648</v>
      </c>
      <c r="AW21" s="6">
        <f t="shared" si="13"/>
        <v>434.17467306853905</v>
      </c>
      <c r="AX21" s="6">
        <v>28</v>
      </c>
      <c r="AY21" s="36">
        <f t="shared" si="3"/>
        <v>301</v>
      </c>
      <c r="BA21" s="50">
        <f t="shared" si="14"/>
        <v>0.12594042199280053</v>
      </c>
      <c r="BB21" s="51">
        <f t="shared" si="15"/>
        <v>1.255768E-3</v>
      </c>
      <c r="BC21" s="51">
        <f t="shared" si="16"/>
        <v>1.7277196375980382E-4</v>
      </c>
      <c r="BD21" s="52">
        <f t="shared" si="17"/>
        <v>0.12611319395656034</v>
      </c>
      <c r="BE21" s="126">
        <f t="shared" si="18"/>
        <v>2.4734397558918719E-2</v>
      </c>
      <c r="BF21" s="51">
        <f t="shared" si="19"/>
        <v>1.255768E-3</v>
      </c>
      <c r="BG21" s="51">
        <f t="shared" si="20"/>
        <v>3.3932000314516791E-5</v>
      </c>
      <c r="BH21" s="111">
        <f t="shared" si="21"/>
        <v>2.4768329559233235E-2</v>
      </c>
      <c r="BI21" s="50">
        <f t="shared" si="22"/>
        <v>1.4493792949621005E-2</v>
      </c>
      <c r="BJ21" s="51">
        <f t="shared" si="23"/>
        <v>1.255768E-3</v>
      </c>
      <c r="BK21" s="51">
        <f t="shared" si="24"/>
        <v>1.9883378430931176E-5</v>
      </c>
      <c r="BL21" s="52">
        <f t="shared" si="25"/>
        <v>1.4513676328051936E-2</v>
      </c>
      <c r="BM21" s="126">
        <f t="shared" si="26"/>
        <v>1.2535334473914703E-2</v>
      </c>
      <c r="BN21" s="51">
        <f t="shared" si="27"/>
        <v>1.255768E-3</v>
      </c>
      <c r="BO21" s="51">
        <f t="shared" si="28"/>
        <v>1.7196657905180099E-5</v>
      </c>
      <c r="BP21" s="52">
        <f t="shared" si="29"/>
        <v>1.2552531131819884E-2</v>
      </c>
    </row>
    <row r="22" spans="1:68" ht="15.75" thickBot="1" x14ac:dyDescent="0.3">
      <c r="A22" s="92" t="s">
        <v>27</v>
      </c>
      <c r="B22" s="53">
        <v>3</v>
      </c>
      <c r="C22" s="102">
        <v>41963.357638888891</v>
      </c>
      <c r="D22" s="108">
        <v>41963.405555555553</v>
      </c>
      <c r="E22" s="189">
        <f t="shared" si="4"/>
        <v>4.7916666662786156E-2</v>
      </c>
      <c r="F22" s="53">
        <v>0.04</v>
      </c>
      <c r="G22" s="53">
        <f t="shared" si="5"/>
        <v>0.9846252003699999</v>
      </c>
      <c r="H22" s="53">
        <v>10.451000000000001</v>
      </c>
      <c r="I22" s="53">
        <f>('Low STDs'!H$20*'Low Data'!H22)+'Low STDs'!H$21</f>
        <v>2.8760899295732272</v>
      </c>
      <c r="J22" s="53">
        <v>2925.9029999999998</v>
      </c>
      <c r="K22" s="54">
        <f>('Low STDs'!AE$20*'Low Data'!J22)+'Low STDs'!AE$21</f>
        <v>951.31738426014965</v>
      </c>
      <c r="L22" s="95">
        <v>41963.518055555556</v>
      </c>
      <c r="M22" s="189">
        <f t="shared" si="0"/>
        <v>0.16041666666569654</v>
      </c>
      <c r="N22" s="53">
        <v>0.06</v>
      </c>
      <c r="O22" s="53">
        <f t="shared" si="6"/>
        <v>0.98598611978999995</v>
      </c>
      <c r="P22" s="53">
        <v>2.4350000000000001</v>
      </c>
      <c r="Q22" s="53">
        <f>('Low STDs'!K$20*'Low Data'!P22)+'Low STDs'!K$21</f>
        <v>0.95570325312251858</v>
      </c>
      <c r="R22" s="53">
        <v>6347.9920000000002</v>
      </c>
      <c r="S22" s="112">
        <f>('Low STDs'!AB$20*'Low Data'!R22)+'Low STDs'!AB$21</f>
        <v>2025.9054422999734</v>
      </c>
      <c r="T22" s="108">
        <v>41963.631249999999</v>
      </c>
      <c r="U22" s="189">
        <f t="shared" si="1"/>
        <v>0.27361111110803904</v>
      </c>
      <c r="V22" s="53">
        <v>0.04</v>
      </c>
      <c r="W22" s="53">
        <f t="shared" si="7"/>
        <v>0.9846252003699999</v>
      </c>
      <c r="X22" s="53">
        <v>0.94899999999999995</v>
      </c>
      <c r="Y22" s="53">
        <f>('Low STDs'!N$20*'Low Data'!X22)+'Low STDs'!N$21</f>
        <v>0.39785309098515087</v>
      </c>
      <c r="Z22" s="53">
        <v>9816.6319999999996</v>
      </c>
      <c r="AA22" s="54">
        <f>('Low STDs'!Y$20*'Low Data'!Z22)+'Low STDs'!Y$21</f>
        <v>3167.7105523665728</v>
      </c>
      <c r="AB22" s="95">
        <v>41963.743750000001</v>
      </c>
      <c r="AC22" s="189">
        <f t="shared" si="2"/>
        <v>0.38611111111094942</v>
      </c>
      <c r="AD22" s="53">
        <v>0.04</v>
      </c>
      <c r="AE22" s="53">
        <f t="shared" si="8"/>
        <v>0.9846252003699999</v>
      </c>
      <c r="AF22" s="53">
        <v>0.79400000000000004</v>
      </c>
      <c r="AG22" s="53">
        <f>('Low STDs'!N$20*'Low Data'!AF22)+'Low STDs'!N$21</f>
        <v>0.35643943864858663</v>
      </c>
      <c r="AH22" s="53">
        <v>12849.864</v>
      </c>
      <c r="AI22" s="118">
        <f>('Low STDs'!Y$20*'Low Data'!AH22)+'Low STDs'!Y$21</f>
        <v>4094.8431316331316</v>
      </c>
      <c r="AJ22" s="69"/>
      <c r="AK22" s="220">
        <v>1.5344941391148503</v>
      </c>
      <c r="AL22" s="8">
        <v>326.17</v>
      </c>
      <c r="AM22" s="8">
        <f t="shared" si="9"/>
        <v>291.65570862239838</v>
      </c>
      <c r="AN22" s="8">
        <f t="shared" si="10"/>
        <v>34.514291377601637</v>
      </c>
      <c r="AO22" s="8"/>
      <c r="AP22" s="8">
        <v>0.99119999999999997</v>
      </c>
      <c r="AQ22" s="8">
        <v>6.5585000000000004</v>
      </c>
      <c r="AR22" s="8">
        <v>6.8556999999999997</v>
      </c>
      <c r="AS22" s="8">
        <f t="shared" si="11"/>
        <v>5.8644999999999996</v>
      </c>
      <c r="AT22" s="8">
        <f t="shared" si="12"/>
        <v>10.581687885949544</v>
      </c>
      <c r="AU22" s="8"/>
      <c r="AV22" s="8">
        <v>190.06635554218249</v>
      </c>
      <c r="AW22" s="8">
        <f t="shared" si="13"/>
        <v>400.75935308021599</v>
      </c>
      <c r="AX22" s="8">
        <v>28</v>
      </c>
      <c r="AY22" s="37">
        <f t="shared" si="3"/>
        <v>301</v>
      </c>
      <c r="BA22" s="92">
        <f t="shared" si="14"/>
        <v>4.6664661526178104E-2</v>
      </c>
      <c r="BB22" s="53">
        <f t="shared" si="15"/>
        <v>1.255768E-3</v>
      </c>
      <c r="BC22" s="53">
        <f t="shared" si="16"/>
        <v>1.2465532479723109E-4</v>
      </c>
      <c r="BD22" s="54">
        <f t="shared" si="17"/>
        <v>4.6789316850975336E-2</v>
      </c>
      <c r="BE22" s="131">
        <f t="shared" si="18"/>
        <v>1.5506319314934397E-2</v>
      </c>
      <c r="BF22" s="53">
        <f t="shared" si="19"/>
        <v>1.255768E-3</v>
      </c>
      <c r="BG22" s="53">
        <f t="shared" si="20"/>
        <v>4.1422035591715906E-5</v>
      </c>
      <c r="BH22" s="112">
        <f t="shared" si="21"/>
        <v>1.5547741350526114E-2</v>
      </c>
      <c r="BI22" s="92">
        <f t="shared" si="22"/>
        <v>6.4551805689611035E-3</v>
      </c>
      <c r="BJ22" s="53">
        <f t="shared" si="23"/>
        <v>1.255768E-3</v>
      </c>
      <c r="BK22" s="53">
        <f t="shared" si="24"/>
        <v>1.7243725854460841E-5</v>
      </c>
      <c r="BL22" s="54">
        <f t="shared" si="25"/>
        <v>6.4724242948155644E-3</v>
      </c>
      <c r="BM22" s="131">
        <f t="shared" si="26"/>
        <v>5.7832425850416124E-3</v>
      </c>
      <c r="BN22" s="53">
        <f t="shared" si="27"/>
        <v>1.255768E-3</v>
      </c>
      <c r="BO22" s="53">
        <f t="shared" si="28"/>
        <v>1.5448777709769111E-5</v>
      </c>
      <c r="BP22" s="54">
        <f t="shared" si="29"/>
        <v>5.7986913627513818E-3</v>
      </c>
    </row>
    <row r="23" spans="1:68" x14ac:dyDescent="0.25">
      <c r="A23" s="15" t="s">
        <v>28</v>
      </c>
      <c r="B23" s="10">
        <v>1</v>
      </c>
      <c r="C23" s="97">
        <v>41963.357638888891</v>
      </c>
      <c r="D23" s="104">
        <v>41963.408333333333</v>
      </c>
      <c r="E23" s="181">
        <f t="shared" si="4"/>
        <v>5.0694444442342501E-2</v>
      </c>
      <c r="F23" s="10">
        <v>0.01</v>
      </c>
      <c r="G23" s="10">
        <f t="shared" si="5"/>
        <v>0.98258382123999988</v>
      </c>
      <c r="H23" s="10">
        <v>21.111000000000001</v>
      </c>
      <c r="I23" s="10">
        <f>('Low STDs'!H$20*'Low Data'!H23)+'Low STDs'!H$21</f>
        <v>5.4463209260736569</v>
      </c>
      <c r="J23" s="10">
        <v>3897.8380000000002</v>
      </c>
      <c r="K23" s="32">
        <f>('Low STDs'!AE$20*'Low Data'!J23)+'Low STDs'!AE$21</f>
        <v>1251.0798253522719</v>
      </c>
      <c r="L23" s="72">
        <v>41963.520138888889</v>
      </c>
      <c r="M23" s="181">
        <f t="shared" si="0"/>
        <v>0.16249999999854481</v>
      </c>
      <c r="N23" s="10">
        <v>0.03</v>
      </c>
      <c r="O23" s="10">
        <f t="shared" si="6"/>
        <v>0.98394474065999993</v>
      </c>
      <c r="P23" s="10">
        <v>13.749000000000001</v>
      </c>
      <c r="Q23" s="10">
        <f>('Low STDs'!K$20*'Low Data'!P23)+'Low STDs'!K$21</f>
        <v>3.6709959506891678</v>
      </c>
      <c r="R23" s="10">
        <v>8589.0249999999996</v>
      </c>
      <c r="S23" s="26">
        <f>('Low STDs'!AB$20*'Low Data'!R23)+'Low STDs'!AB$21</f>
        <v>2732.0217308025899</v>
      </c>
      <c r="T23" s="104">
        <v>41963.634027777778</v>
      </c>
      <c r="U23" s="181">
        <f t="shared" si="1"/>
        <v>0.27638888888759539</v>
      </c>
      <c r="V23" s="10">
        <v>0</v>
      </c>
      <c r="W23" s="10">
        <f t="shared" si="7"/>
        <v>0.98190336152999991</v>
      </c>
      <c r="X23" s="10">
        <v>11.302</v>
      </c>
      <c r="Y23" s="10">
        <f>('Low STDs'!N$20*'Low Data'!X23)+'Low STDs'!N$21</f>
        <v>3.1640178822138596</v>
      </c>
      <c r="Z23" s="10">
        <v>13791.019</v>
      </c>
      <c r="AA23" s="32">
        <f>('Low STDs'!Y$20*'Low Data'!Z23)+'Low STDs'!Y$21</f>
        <v>4382.5149822003223</v>
      </c>
      <c r="AB23" s="72">
        <v>41963.746527777781</v>
      </c>
      <c r="AC23" s="181">
        <f t="shared" si="2"/>
        <v>0.38888888889050577</v>
      </c>
      <c r="AD23" s="10">
        <v>0.02</v>
      </c>
      <c r="AE23" s="10">
        <f t="shared" si="8"/>
        <v>0.98326428094999996</v>
      </c>
      <c r="AF23" s="10">
        <v>8.6300000000000008</v>
      </c>
      <c r="AG23" s="10">
        <f>('Low STDs'!N$20*'Low Data'!AF23)+'Low STDs'!N$21</f>
        <v>2.4500999529022485</v>
      </c>
      <c r="AH23" s="10">
        <v>17889.344000000001</v>
      </c>
      <c r="AI23" s="113">
        <f>('Low STDs'!Y$20*'Low Data'!AH23)+'Low STDs'!Y$21</f>
        <v>5635.2020921617823</v>
      </c>
      <c r="AJ23" s="69"/>
      <c r="AK23" s="218">
        <v>1.2843976415849589</v>
      </c>
      <c r="AL23" s="128">
        <v>228.83</v>
      </c>
      <c r="AM23" s="128">
        <f t="shared" si="9"/>
        <v>220.86822811693776</v>
      </c>
      <c r="AN23" s="10">
        <f t="shared" si="10"/>
        <v>7.961771883062255</v>
      </c>
      <c r="AO23" s="10"/>
      <c r="AP23" s="128">
        <v>0.98070000000000002</v>
      </c>
      <c r="AQ23" s="128">
        <v>7.0156999999999998</v>
      </c>
      <c r="AR23" s="128">
        <v>7.7523</v>
      </c>
      <c r="AS23" s="10">
        <f t="shared" si="11"/>
        <v>6.7716000000000003</v>
      </c>
      <c r="AT23" s="10">
        <f t="shared" si="12"/>
        <v>3.4793391963738407</v>
      </c>
      <c r="AU23" s="10"/>
      <c r="AV23" s="10">
        <v>171.96249896907648</v>
      </c>
      <c r="AW23" s="10">
        <f t="shared" si="13"/>
        <v>445.41572914786127</v>
      </c>
      <c r="AX23" s="10">
        <v>28</v>
      </c>
      <c r="AY23" s="32">
        <f t="shared" si="3"/>
        <v>301</v>
      </c>
      <c r="BA23" s="15">
        <f t="shared" si="14"/>
        <v>9.821340541117525E-2</v>
      </c>
      <c r="BB23" s="128">
        <f t="shared" si="15"/>
        <v>1.255768E-3</v>
      </c>
      <c r="BC23" s="128">
        <f t="shared" si="16"/>
        <v>5.4453070139438449E-5</v>
      </c>
      <c r="BD23" s="154">
        <f t="shared" si="17"/>
        <v>9.8267858481314682E-2</v>
      </c>
      <c r="BE23" s="158">
        <f t="shared" si="18"/>
        <v>6.6199002677526375E-2</v>
      </c>
      <c r="BF23" s="128">
        <f t="shared" si="19"/>
        <v>1.255768E-3</v>
      </c>
      <c r="BG23" s="128">
        <f t="shared" si="20"/>
        <v>3.6703125412145123E-5</v>
      </c>
      <c r="BH23" s="164">
        <f t="shared" si="21"/>
        <v>6.6235705802938527E-2</v>
      </c>
      <c r="BI23" s="15">
        <f t="shared" si="22"/>
        <v>5.7056676463261971E-2</v>
      </c>
      <c r="BJ23" s="128">
        <f t="shared" si="23"/>
        <v>1.255768E-3</v>
      </c>
      <c r="BK23" s="128">
        <f t="shared" si="24"/>
        <v>3.1634288541060296E-5</v>
      </c>
      <c r="BL23" s="154">
        <f t="shared" si="25"/>
        <v>5.7088310751803033E-2</v>
      </c>
      <c r="BM23" s="158">
        <f t="shared" si="26"/>
        <v>4.4182607532414722E-2</v>
      </c>
      <c r="BN23" s="128">
        <f t="shared" si="27"/>
        <v>1.255768E-3</v>
      </c>
      <c r="BO23" s="128">
        <f t="shared" si="28"/>
        <v>2.4496438310366406E-5</v>
      </c>
      <c r="BP23" s="154">
        <f t="shared" si="29"/>
        <v>4.4207103970725088E-2</v>
      </c>
    </row>
    <row r="24" spans="1:68" x14ac:dyDescent="0.25">
      <c r="A24" s="16" t="s">
        <v>28</v>
      </c>
      <c r="B24" s="12">
        <v>2</v>
      </c>
      <c r="C24" s="98">
        <v>41963.35833333333</v>
      </c>
      <c r="D24" s="82">
        <v>41963.411805555559</v>
      </c>
      <c r="E24" s="182">
        <f t="shared" si="4"/>
        <v>5.3472222229174804E-2</v>
      </c>
      <c r="F24" s="12">
        <v>0.01</v>
      </c>
      <c r="G24" s="12">
        <f t="shared" si="5"/>
        <v>0.98258382123999988</v>
      </c>
      <c r="H24" s="12">
        <v>17.731000000000002</v>
      </c>
      <c r="I24" s="12">
        <f>('Low STDs'!H$20*'Low Data'!H24)+'Low STDs'!H$21</f>
        <v>4.6313696345003503</v>
      </c>
      <c r="J24" s="12">
        <v>3473.096</v>
      </c>
      <c r="K24" s="33">
        <f>('Low STDs'!AE$20*'Low Data'!J24)+'Low STDs'!AE$21</f>
        <v>1120.0816631764576</v>
      </c>
      <c r="L24" s="73">
        <v>41963.522916666669</v>
      </c>
      <c r="M24" s="182">
        <f t="shared" si="0"/>
        <v>0.16458333333866904</v>
      </c>
      <c r="N24" s="12">
        <v>0</v>
      </c>
      <c r="O24" s="12">
        <f t="shared" si="6"/>
        <v>0.98190336152999991</v>
      </c>
      <c r="P24" s="12">
        <v>11.901999999999999</v>
      </c>
      <c r="Q24" s="12">
        <f>('Low STDs'!K$20*'Low Data'!P24)+'Low STDs'!K$21</f>
        <v>3.2277269377489519</v>
      </c>
      <c r="R24" s="12">
        <v>6478.6480000000001</v>
      </c>
      <c r="S24" s="27">
        <f>('Low STDs'!AB$20*'Low Data'!R24)+'Low STDs'!AB$21</f>
        <v>2067.0732117128282</v>
      </c>
      <c r="T24" s="82">
        <v>41963.636111111111</v>
      </c>
      <c r="U24" s="182">
        <f t="shared" si="1"/>
        <v>0.27777777778101154</v>
      </c>
      <c r="V24" s="12">
        <v>0</v>
      </c>
      <c r="W24" s="12">
        <f t="shared" si="7"/>
        <v>0.98190336152999991</v>
      </c>
      <c r="X24" s="12">
        <v>8.92</v>
      </c>
      <c r="Y24" s="12">
        <f>('Low STDs'!N$20*'Low Data'!X24)+'Low STDs'!N$21</f>
        <v>2.527583560499691</v>
      </c>
      <c r="Z24" s="12">
        <v>9724.7819999999992</v>
      </c>
      <c r="AA24" s="33">
        <f>('Low STDs'!Y$20*'Low Data'!Z24)+'Low STDs'!Y$21</f>
        <v>3139.6358362203518</v>
      </c>
      <c r="AB24" s="73">
        <v>41963.748611111114</v>
      </c>
      <c r="AC24" s="182">
        <f t="shared" si="2"/>
        <v>0.39027777778392192</v>
      </c>
      <c r="AD24" s="12">
        <v>0.01</v>
      </c>
      <c r="AE24" s="12">
        <f t="shared" si="8"/>
        <v>0.98258382123999988</v>
      </c>
      <c r="AF24" s="12">
        <v>6.8239999999999998</v>
      </c>
      <c r="AG24" s="12">
        <f>('Low STDs'!N$20*'Low Data'!AF24)+'Low STDs'!N$21</f>
        <v>1.9675641069678287</v>
      </c>
      <c r="AH24" s="12">
        <v>12360.16</v>
      </c>
      <c r="AI24" s="114">
        <f>('Low STDs'!Y$20*'Low Data'!AH24)+'Low STDs'!Y$21</f>
        <v>3945.161032605708</v>
      </c>
      <c r="AJ24" s="69"/>
      <c r="AK24" s="214">
        <v>1.2302584651273076</v>
      </c>
      <c r="AL24" s="85">
        <v>248.65</v>
      </c>
      <c r="AM24" s="85">
        <f t="shared" si="9"/>
        <v>233.83074284166656</v>
      </c>
      <c r="AN24" s="12">
        <f t="shared" si="10"/>
        <v>14.819257158333443</v>
      </c>
      <c r="AO24" s="12"/>
      <c r="AP24" s="85">
        <v>0.98370000000000002</v>
      </c>
      <c r="AQ24" s="85">
        <v>6.6460999999999997</v>
      </c>
      <c r="AR24" s="85">
        <v>7.2336999999999998</v>
      </c>
      <c r="AS24" s="12">
        <f t="shared" si="11"/>
        <v>6.25</v>
      </c>
      <c r="AT24" s="12">
        <f t="shared" si="12"/>
        <v>5.9598862490784024</v>
      </c>
      <c r="AU24" s="12"/>
      <c r="AV24" s="12">
        <v>190.06635554218249</v>
      </c>
      <c r="AW24" s="12">
        <f t="shared" si="13"/>
        <v>420.4543872994841</v>
      </c>
      <c r="AX24" s="12">
        <v>28</v>
      </c>
      <c r="AY24" s="33">
        <f t="shared" si="3"/>
        <v>301</v>
      </c>
      <c r="BA24" s="16">
        <f t="shared" si="14"/>
        <v>7.8837042583349212E-2</v>
      </c>
      <c r="BB24" s="85">
        <f t="shared" si="15"/>
        <v>1.255768E-3</v>
      </c>
      <c r="BC24" s="85">
        <f t="shared" si="16"/>
        <v>8.6187699794685287E-5</v>
      </c>
      <c r="BD24" s="152">
        <f t="shared" si="17"/>
        <v>7.8923230283143894E-2</v>
      </c>
      <c r="BE24" s="156">
        <f t="shared" si="18"/>
        <v>5.4943670257532801E-2</v>
      </c>
      <c r="BF24" s="85">
        <f t="shared" si="19"/>
        <v>1.255768E-3</v>
      </c>
      <c r="BG24" s="85">
        <f t="shared" si="20"/>
        <v>6.0066542358789238E-5</v>
      </c>
      <c r="BH24" s="162">
        <f t="shared" si="21"/>
        <v>5.5003736799891588E-2</v>
      </c>
      <c r="BI24" s="16">
        <f t="shared" si="22"/>
        <v>4.302554719616658E-2</v>
      </c>
      <c r="BJ24" s="85">
        <f t="shared" si="23"/>
        <v>1.255768E-3</v>
      </c>
      <c r="BK24" s="85">
        <f t="shared" si="24"/>
        <v>4.7037189926610392E-5</v>
      </c>
      <c r="BL24" s="152">
        <f t="shared" si="25"/>
        <v>4.3072584386093189E-2</v>
      </c>
      <c r="BM24" s="156">
        <f t="shared" si="26"/>
        <v>3.3492670101514535E-2</v>
      </c>
      <c r="BN24" s="85">
        <f t="shared" si="27"/>
        <v>1.255768E-3</v>
      </c>
      <c r="BO24" s="85">
        <f t="shared" si="28"/>
        <v>3.6615480508162076E-5</v>
      </c>
      <c r="BP24" s="152">
        <f t="shared" si="29"/>
        <v>3.35292855820227E-2</v>
      </c>
    </row>
    <row r="25" spans="1:68" ht="15.75" thickBot="1" x14ac:dyDescent="0.3">
      <c r="A25" s="55" t="s">
        <v>28</v>
      </c>
      <c r="B25" s="14">
        <v>3</v>
      </c>
      <c r="C25" s="99">
        <v>41963.35833333333</v>
      </c>
      <c r="D25" s="105">
        <v>41963.414583333331</v>
      </c>
      <c r="E25" s="183">
        <f t="shared" si="4"/>
        <v>5.6250000001455192E-2</v>
      </c>
      <c r="F25" s="14">
        <v>0.01</v>
      </c>
      <c r="G25" s="14">
        <f t="shared" si="5"/>
        <v>0.98258382123999988</v>
      </c>
      <c r="H25" s="14">
        <v>15.944000000000001</v>
      </c>
      <c r="I25" s="14">
        <f>('Low STDs'!H$20*'Low Data'!H25)+'Low STDs'!H$21</f>
        <v>4.2005063333046397</v>
      </c>
      <c r="J25" s="14">
        <v>5191.1819999999998</v>
      </c>
      <c r="K25" s="34">
        <f>('Low STDs'!AE$20*'Low Data'!J25)+'Low STDs'!AE$21</f>
        <v>1649.9706509855187</v>
      </c>
      <c r="L25" s="74">
        <v>41963.525000000001</v>
      </c>
      <c r="M25" s="183">
        <f t="shared" si="0"/>
        <v>0.16666666667151731</v>
      </c>
      <c r="N25" s="14">
        <v>0</v>
      </c>
      <c r="O25" s="14">
        <f t="shared" si="6"/>
        <v>0.98190336152999991</v>
      </c>
      <c r="P25" s="14">
        <v>8.7040000000000006</v>
      </c>
      <c r="Q25" s="14">
        <f>('Low STDs'!K$20*'Low Data'!P25)+'Low STDs'!K$21</f>
        <v>2.4602259613641064</v>
      </c>
      <c r="R25" s="14">
        <v>12553.657999999999</v>
      </c>
      <c r="S25" s="28">
        <f>('Low STDs'!AB$20*'Low Data'!R25)+'Low STDs'!AB$21</f>
        <v>3981.2188373311392</v>
      </c>
      <c r="T25" s="105">
        <v>41963.637499999997</v>
      </c>
      <c r="U25" s="183">
        <f t="shared" si="1"/>
        <v>0.27916666666715173</v>
      </c>
      <c r="V25" s="14">
        <v>0.01</v>
      </c>
      <c r="W25" s="14">
        <f t="shared" si="7"/>
        <v>0.98258382123999988</v>
      </c>
      <c r="X25" s="14">
        <v>4.8380000000000001</v>
      </c>
      <c r="Y25" s="14">
        <f>('Low STDs'!N$20*'Low Data'!X25)+'Low STDs'!N$21</f>
        <v>1.4369349873522375</v>
      </c>
      <c r="Z25" s="14">
        <v>20856.618999999999</v>
      </c>
      <c r="AA25" s="34">
        <f>('Low STDs'!Y$20*'Low Data'!Z25)+'Low STDs'!Y$21</f>
        <v>6542.1743660080219</v>
      </c>
      <c r="AB25" s="74">
        <v>41963.751388888886</v>
      </c>
      <c r="AC25" s="183">
        <f t="shared" si="2"/>
        <v>0.39305555555620231</v>
      </c>
      <c r="AD25" s="14">
        <v>-0.03</v>
      </c>
      <c r="AE25" s="14">
        <f t="shared" si="8"/>
        <v>0.9798619824</v>
      </c>
      <c r="AF25" s="14">
        <v>2.9079999999999999</v>
      </c>
      <c r="AG25" s="14">
        <f>('Low STDs'!N$20*'Low Data'!AF25)+'Low STDs'!N$21</f>
        <v>0.9212682195485663</v>
      </c>
      <c r="AH25" s="14">
        <v>27671.312000000002</v>
      </c>
      <c r="AI25" s="115">
        <f>('Low STDs'!Y$20*'Low Data'!AH25)+'Low STDs'!Y$21</f>
        <v>8625.1419392103908</v>
      </c>
      <c r="AJ25" s="69"/>
      <c r="AK25" s="217">
        <v>1.1968323315951872</v>
      </c>
      <c r="AL25" s="60">
        <v>250.21</v>
      </c>
      <c r="AM25" s="60">
        <f t="shared" si="9"/>
        <v>227.47755946135013</v>
      </c>
      <c r="AN25" s="14">
        <f t="shared" si="10"/>
        <v>22.732440538649882</v>
      </c>
      <c r="AO25" s="14"/>
      <c r="AP25" s="60">
        <v>0.97840000000000005</v>
      </c>
      <c r="AQ25" s="60">
        <v>6.8616000000000001</v>
      </c>
      <c r="AR25" s="60">
        <v>7.2165999999999997</v>
      </c>
      <c r="AS25" s="14">
        <f t="shared" si="11"/>
        <v>6.2382</v>
      </c>
      <c r="AT25" s="14">
        <f t="shared" si="12"/>
        <v>9.0853445260580639</v>
      </c>
      <c r="AU25" s="14"/>
      <c r="AV25" s="14">
        <v>190.06635554218249</v>
      </c>
      <c r="AW25" s="14">
        <f t="shared" si="13"/>
        <v>412.54120391916757</v>
      </c>
      <c r="AX25" s="14">
        <v>28</v>
      </c>
      <c r="AY25" s="34">
        <f t="shared" si="3"/>
        <v>301</v>
      </c>
      <c r="BA25" s="55">
        <f t="shared" si="14"/>
        <v>7.0156993133279208E-2</v>
      </c>
      <c r="BB25" s="60">
        <f t="shared" si="15"/>
        <v>1.255768E-3</v>
      </c>
      <c r="BC25" s="60">
        <f t="shared" si="16"/>
        <v>1.1991047396988654E-4</v>
      </c>
      <c r="BD25" s="67">
        <f t="shared" si="17"/>
        <v>7.02769036072491E-2</v>
      </c>
      <c r="BE25" s="157">
        <f t="shared" si="18"/>
        <v>4.1090773869146072E-2</v>
      </c>
      <c r="BF25" s="60">
        <f t="shared" si="19"/>
        <v>1.255768E-3</v>
      </c>
      <c r="BG25" s="60">
        <f t="shared" si="20"/>
        <v>7.0231262065042693E-5</v>
      </c>
      <c r="BH25" s="163">
        <f t="shared" si="21"/>
        <v>4.1161005131211112E-2</v>
      </c>
      <c r="BI25" s="55">
        <f t="shared" si="22"/>
        <v>2.39997348037157E-2</v>
      </c>
      <c r="BJ25" s="60">
        <f t="shared" si="23"/>
        <v>1.255768E-3</v>
      </c>
      <c r="BK25" s="60">
        <f t="shared" si="24"/>
        <v>4.1019710893225662E-5</v>
      </c>
      <c r="BL25" s="67">
        <f t="shared" si="25"/>
        <v>2.4040754514608926E-2</v>
      </c>
      <c r="BM25" s="157">
        <f t="shared" si="26"/>
        <v>1.5387051708580205E-2</v>
      </c>
      <c r="BN25" s="60">
        <f t="shared" si="27"/>
        <v>1.255768E-3</v>
      </c>
      <c r="BO25" s="60">
        <f t="shared" si="28"/>
        <v>2.6299141125815871E-5</v>
      </c>
      <c r="BP25" s="67">
        <f t="shared" si="29"/>
        <v>1.5413350849706022E-2</v>
      </c>
    </row>
    <row r="26" spans="1:68" x14ac:dyDescent="0.25">
      <c r="A26" s="47" t="s">
        <v>29</v>
      </c>
      <c r="B26" s="48">
        <v>1</v>
      </c>
      <c r="C26" s="100">
        <v>41963.359027777777</v>
      </c>
      <c r="D26" s="106">
        <v>41963.416666666664</v>
      </c>
      <c r="E26" s="188">
        <f t="shared" si="4"/>
        <v>5.7638888887595385E-2</v>
      </c>
      <c r="F26" s="48">
        <v>0.21</v>
      </c>
      <c r="G26" s="48">
        <f t="shared" si="5"/>
        <v>0.99619301543999994</v>
      </c>
      <c r="H26" s="48">
        <v>20.738</v>
      </c>
      <c r="I26" s="48">
        <f>('Low STDs'!H$20*'Low Data'!H26)+'Low STDs'!H$21</f>
        <v>5.3563869521810989</v>
      </c>
      <c r="J26" s="48">
        <v>5658.4040000000005</v>
      </c>
      <c r="K26" s="49">
        <f>('Low STDs'!AE$20*'Low Data'!J26)+'Low STDs'!AE$21</f>
        <v>1794.0704182044619</v>
      </c>
      <c r="L26" s="93">
        <v>41963.527777777781</v>
      </c>
      <c r="M26" s="188">
        <f t="shared" si="0"/>
        <v>0.16875000000436557</v>
      </c>
      <c r="N26" s="48">
        <v>0.18</v>
      </c>
      <c r="O26" s="48">
        <f t="shared" si="6"/>
        <v>0.99415163630999992</v>
      </c>
      <c r="P26" s="48">
        <v>16.75</v>
      </c>
      <c r="Q26" s="48">
        <f>('Low STDs'!K$20*'Low Data'!P26)+'Low STDs'!K$21</f>
        <v>4.3912180989477427</v>
      </c>
      <c r="R26" s="48">
        <v>13135.31</v>
      </c>
      <c r="S26" s="110">
        <f>('Low STDs'!AB$20*'Low Data'!R26)+'Low STDs'!AB$21</f>
        <v>4164.4887630484864</v>
      </c>
      <c r="T26" s="106">
        <v>41963.63958333333</v>
      </c>
      <c r="U26" s="188">
        <f t="shared" si="1"/>
        <v>0.28055555555329192</v>
      </c>
      <c r="V26" s="48">
        <v>0.02</v>
      </c>
      <c r="W26" s="48">
        <f t="shared" si="7"/>
        <v>0.98326428094999996</v>
      </c>
      <c r="X26" s="48">
        <v>14.628</v>
      </c>
      <c r="Y26" s="48">
        <f>('Low STDs'!N$20*'Low Data'!X26)+'Low STDs'!N$21</f>
        <v>4.0526747059003938</v>
      </c>
      <c r="Z26" s="48">
        <v>21181.044000000002</v>
      </c>
      <c r="AA26" s="49">
        <f>('Low STDs'!Y$20*'Low Data'!Z26)+'Low STDs'!Y$21</f>
        <v>6641.3375645462665</v>
      </c>
      <c r="AB26" s="93">
        <v>41963.762499999997</v>
      </c>
      <c r="AC26" s="188">
        <f t="shared" si="2"/>
        <v>0.40347222222044365</v>
      </c>
      <c r="AD26" s="48">
        <v>0.02</v>
      </c>
      <c r="AE26" s="48">
        <f t="shared" si="8"/>
        <v>0.98326428094999996</v>
      </c>
      <c r="AF26" s="48">
        <v>12.98</v>
      </c>
      <c r="AG26" s="48">
        <f>('Low STDs'!N$20*'Low Data'!AF26)+'Low STDs'!N$21</f>
        <v>3.6123540668638907</v>
      </c>
      <c r="AH26" s="48">
        <v>30906.19</v>
      </c>
      <c r="AI26" s="116">
        <f>('Low STDs'!Y$20*'Low Data'!AH26)+'Low STDs'!Y$21</f>
        <v>9613.9092948734742</v>
      </c>
      <c r="AJ26" s="69"/>
      <c r="AK26" s="219">
        <v>0.18390894561134657</v>
      </c>
      <c r="AL26" s="4">
        <v>134.46</v>
      </c>
      <c r="AM26" s="4">
        <f t="shared" si="9"/>
        <v>26.076339913663489</v>
      </c>
      <c r="AN26" s="4">
        <f t="shared" si="10"/>
        <v>108.38366008633652</v>
      </c>
      <c r="AO26" s="4"/>
      <c r="AP26" s="4">
        <v>1.0192000000000001</v>
      </c>
      <c r="AQ26" s="4">
        <v>6.1851000000000003</v>
      </c>
      <c r="AR26" s="4">
        <v>2.2187000000000001</v>
      </c>
      <c r="AS26" s="4">
        <f t="shared" si="11"/>
        <v>1.1995</v>
      </c>
      <c r="AT26" s="4">
        <f t="shared" si="12"/>
        <v>80.606619133077871</v>
      </c>
      <c r="AU26" s="4"/>
      <c r="AV26" s="4">
        <v>141.78940468056641</v>
      </c>
      <c r="AW26" s="4">
        <f t="shared" si="13"/>
        <v>375.16693523309721</v>
      </c>
      <c r="AX26" s="4">
        <v>28</v>
      </c>
      <c r="AY26" s="35">
        <f t="shared" si="3"/>
        <v>301</v>
      </c>
      <c r="BA26" s="47">
        <f t="shared" si="14"/>
        <v>8.1357667826407451E-2</v>
      </c>
      <c r="BB26" s="48">
        <f t="shared" si="15"/>
        <v>1.255768E-3</v>
      </c>
      <c r="BC26" s="48">
        <f t="shared" si="16"/>
        <v>7.2902961093253174E-4</v>
      </c>
      <c r="BD26" s="49">
        <f t="shared" si="17"/>
        <v>8.2086697437339984E-2</v>
      </c>
      <c r="BE26" s="130">
        <f t="shared" si="18"/>
        <v>6.6697807054814137E-2</v>
      </c>
      <c r="BF26" s="48">
        <f t="shared" si="19"/>
        <v>1.255768E-3</v>
      </c>
      <c r="BG26" s="48">
        <f t="shared" si="20"/>
        <v>5.9766556277122517E-4</v>
      </c>
      <c r="BH26" s="110">
        <f t="shared" si="21"/>
        <v>6.7295472617585367E-2</v>
      </c>
      <c r="BI26" s="47">
        <f t="shared" si="22"/>
        <v>6.1555702654541911E-2</v>
      </c>
      <c r="BJ26" s="48">
        <f t="shared" si="23"/>
        <v>1.255768E-3</v>
      </c>
      <c r="BK26" s="48">
        <f t="shared" si="24"/>
        <v>5.5158820497006999E-4</v>
      </c>
      <c r="BL26" s="49">
        <f t="shared" si="25"/>
        <v>6.2107290859511978E-2</v>
      </c>
      <c r="BM26" s="130">
        <f t="shared" si="26"/>
        <v>5.486771304369871E-2</v>
      </c>
      <c r="BN26" s="48">
        <f t="shared" si="27"/>
        <v>1.255768E-3</v>
      </c>
      <c r="BO26" s="48">
        <f t="shared" si="28"/>
        <v>4.9165848237382758E-4</v>
      </c>
      <c r="BP26" s="49">
        <f t="shared" si="29"/>
        <v>5.5359371526072537E-2</v>
      </c>
    </row>
    <row r="27" spans="1:68" x14ac:dyDescent="0.25">
      <c r="A27" s="50" t="s">
        <v>29</v>
      </c>
      <c r="B27" s="51">
        <v>2</v>
      </c>
      <c r="C27" s="101">
        <v>41963.359027777777</v>
      </c>
      <c r="D27" s="107">
        <v>41963.418749999997</v>
      </c>
      <c r="E27" s="187">
        <f t="shared" si="4"/>
        <v>5.9722222220443655E-2</v>
      </c>
      <c r="F27" s="51">
        <v>0.01</v>
      </c>
      <c r="G27" s="51">
        <f t="shared" si="5"/>
        <v>0.98258382123999988</v>
      </c>
      <c r="H27" s="51">
        <v>12.1</v>
      </c>
      <c r="I27" s="51">
        <f>('Low STDs'!H$20*'Low Data'!H27)+'Low STDs'!H$21</f>
        <v>3.2736800715271865</v>
      </c>
      <c r="J27" s="51">
        <v>5411.9949999999999</v>
      </c>
      <c r="K27" s="52">
        <f>('Low STDs'!AE$20*'Low Data'!J27)+'Low STDs'!AE$21</f>
        <v>1718.0733984993697</v>
      </c>
      <c r="L27" s="94">
        <v>41963.529861111114</v>
      </c>
      <c r="M27" s="187">
        <f t="shared" si="0"/>
        <v>0.17083333333721384</v>
      </c>
      <c r="N27" s="51">
        <v>0</v>
      </c>
      <c r="O27" s="51">
        <f t="shared" si="6"/>
        <v>0.98190336152999991</v>
      </c>
      <c r="P27" s="51">
        <v>6.6779999999999999</v>
      </c>
      <c r="Q27" s="51">
        <f>('Low STDs'!K$20*'Low Data'!P27)+'Low STDs'!K$21</f>
        <v>1.9739980132228627</v>
      </c>
      <c r="R27" s="51">
        <v>10376.698</v>
      </c>
      <c r="S27" s="111">
        <f>('Low STDs'!AB$20*'Low Data'!R27)+'Low STDs'!AB$21</f>
        <v>3295.2910016327555</v>
      </c>
      <c r="T27" s="107">
        <v>41963.64166666667</v>
      </c>
      <c r="U27" s="187">
        <f t="shared" si="1"/>
        <v>0.28263888889341615</v>
      </c>
      <c r="V27" s="51">
        <v>0</v>
      </c>
      <c r="W27" s="51">
        <f t="shared" si="7"/>
        <v>0.98190336152999991</v>
      </c>
      <c r="X27" s="51">
        <v>5.3840000000000003</v>
      </c>
      <c r="Y27" s="51">
        <f>('Low STDs'!N$20*'Low Data'!X27)+'Low STDs'!N$21</f>
        <v>1.5828179175184576</v>
      </c>
      <c r="Z27" s="51">
        <v>13686.4</v>
      </c>
      <c r="AA27" s="52">
        <f>('Low STDs'!Y$20*'Low Data'!Z27)+'Low STDs'!Y$21</f>
        <v>4350.5373150418955</v>
      </c>
      <c r="AB27" s="94">
        <v>41963.76458333333</v>
      </c>
      <c r="AC27" s="187">
        <f t="shared" si="2"/>
        <v>0.40555555555329192</v>
      </c>
      <c r="AD27" s="51">
        <v>0</v>
      </c>
      <c r="AE27" s="51">
        <f t="shared" si="8"/>
        <v>0.98190336152999991</v>
      </c>
      <c r="AF27" s="51">
        <v>5.45</v>
      </c>
      <c r="AG27" s="51">
        <f>('Low STDs'!N$20*'Low Data'!AF27)+'Low STDs'!N$21</f>
        <v>1.6004521178682203</v>
      </c>
      <c r="AH27" s="51">
        <v>15113.053</v>
      </c>
      <c r="AI27" s="117">
        <f>('Low STDs'!Y$20*'Low Data'!AH27)+'Low STDs'!Y$21</f>
        <v>4786.6056657675817</v>
      </c>
      <c r="AJ27" s="69"/>
      <c r="AK27" s="216">
        <v>0.22274697757084988</v>
      </c>
      <c r="AL27" s="6">
        <v>138.36000000000001</v>
      </c>
      <c r="AM27" s="6">
        <f t="shared" si="9"/>
        <v>34.27154756685664</v>
      </c>
      <c r="AN27" s="6">
        <f t="shared" si="10"/>
        <v>104.08845243314337</v>
      </c>
      <c r="AO27" s="6"/>
      <c r="AP27" s="6">
        <v>0.97989999999999999</v>
      </c>
      <c r="AQ27" s="6">
        <v>6.6148999999999996</v>
      </c>
      <c r="AR27" s="6">
        <v>2.6183999999999998</v>
      </c>
      <c r="AS27" s="6">
        <f t="shared" si="11"/>
        <v>1.6384999999999998</v>
      </c>
      <c r="AT27" s="6">
        <f t="shared" si="12"/>
        <v>75.230162209557221</v>
      </c>
      <c r="AU27" s="6"/>
      <c r="AV27" s="6">
        <v>153.85864239597043</v>
      </c>
      <c r="AW27" s="6">
        <f t="shared" si="13"/>
        <v>367.39290517088619</v>
      </c>
      <c r="AX27" s="6">
        <v>28</v>
      </c>
      <c r="AY27" s="36">
        <f t="shared" si="3"/>
        <v>301</v>
      </c>
      <c r="BA27" s="50">
        <f t="shared" si="14"/>
        <v>4.8693275728010695E-2</v>
      </c>
      <c r="BB27" s="51">
        <f t="shared" si="15"/>
        <v>1.255768E-3</v>
      </c>
      <c r="BC27" s="51">
        <f t="shared" si="16"/>
        <v>4.2790582473070931E-4</v>
      </c>
      <c r="BD27" s="52">
        <f t="shared" si="17"/>
        <v>4.9121181552741401E-2</v>
      </c>
      <c r="BE27" s="126">
        <f t="shared" si="18"/>
        <v>2.9361583124879256E-2</v>
      </c>
      <c r="BF27" s="51">
        <f t="shared" si="19"/>
        <v>1.255768E-3</v>
      </c>
      <c r="BG27" s="51">
        <f t="shared" si="20"/>
        <v>2.5802315113549297E-4</v>
      </c>
      <c r="BH27" s="111">
        <f t="shared" si="21"/>
        <v>2.9619606276014749E-2</v>
      </c>
      <c r="BI27" s="50">
        <f t="shared" si="22"/>
        <v>2.3543103663458242E-2</v>
      </c>
      <c r="BJ27" s="51">
        <f t="shared" si="23"/>
        <v>1.255768E-3</v>
      </c>
      <c r="BK27" s="51">
        <f t="shared" si="24"/>
        <v>2.068916300908773E-4</v>
      </c>
      <c r="BL27" s="52">
        <f t="shared" si="25"/>
        <v>2.3749995293549118E-2</v>
      </c>
      <c r="BM27" s="126">
        <f t="shared" si="26"/>
        <v>2.380539776707033E-2</v>
      </c>
      <c r="BN27" s="51">
        <f t="shared" si="27"/>
        <v>1.255768E-3</v>
      </c>
      <c r="BO27" s="51">
        <f t="shared" si="28"/>
        <v>2.0919661313114477E-4</v>
      </c>
      <c r="BP27" s="52">
        <f t="shared" si="29"/>
        <v>2.4014594380201475E-2</v>
      </c>
    </row>
    <row r="28" spans="1:68" ht="15.75" thickBot="1" x14ac:dyDescent="0.3">
      <c r="A28" s="92" t="s">
        <v>29</v>
      </c>
      <c r="B28" s="53">
        <v>3</v>
      </c>
      <c r="C28" s="102">
        <v>41963.359027777777</v>
      </c>
      <c r="D28" s="108">
        <v>41963.42083333333</v>
      </c>
      <c r="E28" s="189">
        <f t="shared" si="4"/>
        <v>6.1805555553291924E-2</v>
      </c>
      <c r="F28" s="53">
        <v>0</v>
      </c>
      <c r="G28" s="53">
        <f t="shared" si="5"/>
        <v>0.98190336152999991</v>
      </c>
      <c r="H28" s="53">
        <v>14.718</v>
      </c>
      <c r="I28" s="53">
        <f>('Low STDs'!H$20*'Low Data'!H28)+'Low STDs'!H$21</f>
        <v>3.9049056577221326</v>
      </c>
      <c r="J28" s="53">
        <v>5133.7929999999997</v>
      </c>
      <c r="K28" s="54">
        <f>('Low STDs'!AE$20*'Low Data'!J28)+'Low STDs'!AE$21</f>
        <v>1632.2708390311843</v>
      </c>
      <c r="L28" s="95">
        <v>41963.532638888886</v>
      </c>
      <c r="M28" s="189">
        <f t="shared" si="0"/>
        <v>0.17361111110949423</v>
      </c>
      <c r="N28" s="53">
        <v>0.01</v>
      </c>
      <c r="O28" s="53">
        <f t="shared" si="6"/>
        <v>0.98258382123999988</v>
      </c>
      <c r="P28" s="53">
        <v>8.5540000000000003</v>
      </c>
      <c r="Q28" s="53">
        <f>('Low STDs'!K$20*'Low Data'!P28)+'Low STDs'!K$21</f>
        <v>2.4242268536537477</v>
      </c>
      <c r="R28" s="53">
        <v>10109.133</v>
      </c>
      <c r="S28" s="112">
        <f>('Low STDs'!AB$20*'Low Data'!R28)+'Low STDs'!AB$21</f>
        <v>3210.9852351700561</v>
      </c>
      <c r="T28" s="108">
        <v>41963.644444444442</v>
      </c>
      <c r="U28" s="189">
        <f t="shared" si="1"/>
        <v>0.28541666666569654</v>
      </c>
      <c r="V28" s="53">
        <v>0</v>
      </c>
      <c r="W28" s="53">
        <f t="shared" si="7"/>
        <v>0.98190336152999991</v>
      </c>
      <c r="X28" s="53">
        <v>5.73</v>
      </c>
      <c r="Y28" s="53">
        <f>('Low STDs'!N$20*'Low Data'!X28)+'Low STDs'!N$21</f>
        <v>1.6752638769278203</v>
      </c>
      <c r="Z28" s="53">
        <v>11771.804</v>
      </c>
      <c r="AA28" s="54">
        <f>('Low STDs'!Y$20*'Low Data'!Z28)+'Low STDs'!Y$21</f>
        <v>3765.3251295798414</v>
      </c>
      <c r="AB28" s="95">
        <v>41963.76666666667</v>
      </c>
      <c r="AC28" s="189">
        <f t="shared" si="2"/>
        <v>0.40763888889341615</v>
      </c>
      <c r="AD28" s="53">
        <v>0</v>
      </c>
      <c r="AE28" s="53">
        <f t="shared" si="8"/>
        <v>0.98190336152999991</v>
      </c>
      <c r="AF28" s="53">
        <v>5.5540000000000003</v>
      </c>
      <c r="AG28" s="53">
        <f>('Low STDs'!N$20*'Low Data'!AF28)+'Low STDs'!N$21</f>
        <v>1.628239342661786</v>
      </c>
      <c r="AH28" s="53">
        <v>15129.019</v>
      </c>
      <c r="AI28" s="118">
        <f>('Low STDs'!Y$20*'Low Data'!AH28)+'Low STDs'!Y$21</f>
        <v>4791.4858064098307</v>
      </c>
      <c r="AJ28" s="69"/>
      <c r="AK28" s="220">
        <v>0.95793506790880056</v>
      </c>
      <c r="AL28" s="8">
        <v>240.95</v>
      </c>
      <c r="AM28" s="8">
        <f t="shared" si="9"/>
        <v>182.07122720347883</v>
      </c>
      <c r="AN28" s="8">
        <f t="shared" si="10"/>
        <v>58.878772796521162</v>
      </c>
      <c r="AO28" s="8"/>
      <c r="AP28" s="8">
        <v>0.98</v>
      </c>
      <c r="AQ28" s="8">
        <v>6.7609000000000004</v>
      </c>
      <c r="AR28" s="8">
        <v>6.0888</v>
      </c>
      <c r="AS28" s="8">
        <f t="shared" si="11"/>
        <v>5.1088000000000005</v>
      </c>
      <c r="AT28" s="8">
        <f t="shared" si="12"/>
        <v>24.436095786063984</v>
      </c>
      <c r="AU28" s="8"/>
      <c r="AV28" s="8">
        <v>190.06635554218249</v>
      </c>
      <c r="AW28" s="8">
        <f t="shared" si="13"/>
        <v>376.39487166129641</v>
      </c>
      <c r="AX28" s="8">
        <v>28</v>
      </c>
      <c r="AY28" s="37">
        <f t="shared" si="3"/>
        <v>301</v>
      </c>
      <c r="BA28" s="92">
        <f t="shared" si="14"/>
        <v>5.9505380306274253E-2</v>
      </c>
      <c r="BB28" s="53">
        <f t="shared" si="15"/>
        <v>1.255768E-3</v>
      </c>
      <c r="BC28" s="53">
        <f t="shared" si="16"/>
        <v>2.8872122205986754E-4</v>
      </c>
      <c r="BD28" s="54">
        <f t="shared" si="17"/>
        <v>5.9794101528334122E-2</v>
      </c>
      <c r="BE28" s="131">
        <f t="shared" si="18"/>
        <v>3.6941876070700673E-2</v>
      </c>
      <c r="BF28" s="53">
        <f t="shared" si="19"/>
        <v>1.255768E-3</v>
      </c>
      <c r="BG28" s="53">
        <f t="shared" si="20"/>
        <v>1.7924267603062883E-4</v>
      </c>
      <c r="BH28" s="112">
        <f t="shared" si="21"/>
        <v>3.7121118746731303E-2</v>
      </c>
      <c r="BI28" s="92">
        <f t="shared" si="22"/>
        <v>2.5528712560012115E-2</v>
      </c>
      <c r="BJ28" s="53">
        <f t="shared" si="23"/>
        <v>1.255768E-3</v>
      </c>
      <c r="BK28" s="53">
        <f t="shared" si="24"/>
        <v>1.2386579247128387E-4</v>
      </c>
      <c r="BL28" s="54">
        <f t="shared" si="25"/>
        <v>2.5652578352483399E-2</v>
      </c>
      <c r="BM28" s="131">
        <f t="shared" si="26"/>
        <v>2.4812123469135569E-2</v>
      </c>
      <c r="BN28" s="53">
        <f t="shared" si="27"/>
        <v>1.255768E-3</v>
      </c>
      <c r="BO28" s="53">
        <f t="shared" si="28"/>
        <v>1.203888887532039E-4</v>
      </c>
      <c r="BP28" s="54">
        <f t="shared" si="29"/>
        <v>2.4932512357888775E-2</v>
      </c>
    </row>
    <row r="29" spans="1:68" x14ac:dyDescent="0.25">
      <c r="A29" s="9" t="s">
        <v>30</v>
      </c>
      <c r="B29" s="10">
        <v>1</v>
      </c>
      <c r="C29" s="97">
        <v>41963.359027777777</v>
      </c>
      <c r="D29" s="104">
        <v>41963.424305555556</v>
      </c>
      <c r="E29" s="181">
        <f t="shared" si="4"/>
        <v>6.5277777779556345E-2</v>
      </c>
      <c r="F29" s="10">
        <v>0.01</v>
      </c>
      <c r="G29" s="10">
        <f t="shared" si="5"/>
        <v>0.98258382123999988</v>
      </c>
      <c r="H29" s="10">
        <v>8.7840000000000007</v>
      </c>
      <c r="I29" s="10">
        <f>('Low STDs'!H$20*'Low Data'!H29)+'Low STDs'!H$21</f>
        <v>2.4741598103268654</v>
      </c>
      <c r="J29" s="10">
        <v>4781.0959999999995</v>
      </c>
      <c r="K29" s="32">
        <f>('Low STDs'!AE$20*'Low Data'!J29)+'Low STDs'!AE$21</f>
        <v>1523.4926659168627</v>
      </c>
      <c r="L29" s="72">
        <v>41963.535416666666</v>
      </c>
      <c r="M29" s="181">
        <f t="shared" si="0"/>
        <v>0.17638888888905058</v>
      </c>
      <c r="N29" s="10">
        <v>0</v>
      </c>
      <c r="O29" s="10">
        <f t="shared" si="6"/>
        <v>0.98190336152999991</v>
      </c>
      <c r="P29" s="10">
        <v>2.3860000000000001</v>
      </c>
      <c r="Q29" s="10">
        <f>('Low STDs'!K$20*'Low Data'!P29)+'Low STDs'!K$21</f>
        <v>0.94394354460380148</v>
      </c>
      <c r="R29" s="10">
        <v>10868.432000000001</v>
      </c>
      <c r="S29" s="26">
        <f>('Low STDs'!AB$20*'Low Data'!R29)+'Low STDs'!AB$21</f>
        <v>3450.2290980421103</v>
      </c>
      <c r="T29" s="104">
        <v>41963.65</v>
      </c>
      <c r="U29" s="181">
        <f t="shared" si="1"/>
        <v>0.29097222222480923</v>
      </c>
      <c r="V29" s="10">
        <v>0</v>
      </c>
      <c r="W29" s="10">
        <f t="shared" si="7"/>
        <v>0.98190336152999991</v>
      </c>
      <c r="X29" s="10">
        <v>2.319</v>
      </c>
      <c r="Y29" s="10">
        <f>('Low STDs'!N$20*'Low Data'!X29)+'Low STDs'!N$21</f>
        <v>0.76389634066962209</v>
      </c>
      <c r="Z29" s="10">
        <v>16421.346000000001</v>
      </c>
      <c r="AA29" s="32">
        <f>('Low STDs'!Y$20*'Low Data'!Z29)+'Low STDs'!Y$21</f>
        <v>5186.4962984413714</v>
      </c>
      <c r="AB29" s="72">
        <v>41963.768750000003</v>
      </c>
      <c r="AC29" s="181">
        <f t="shared" si="2"/>
        <v>0.40972222222626442</v>
      </c>
      <c r="AD29" s="10">
        <v>0.01</v>
      </c>
      <c r="AE29" s="10">
        <f t="shared" si="8"/>
        <v>0.98258382123999988</v>
      </c>
      <c r="AF29" s="10">
        <v>0</v>
      </c>
      <c r="AG29" s="10">
        <f>('Low STDs'!N$20*'Low Data'!AF29)+'Low STDs'!N$21</f>
        <v>0.14429466474386388</v>
      </c>
      <c r="AH29" s="10">
        <v>23315.735000000001</v>
      </c>
      <c r="AI29" s="113">
        <f>('Low STDs'!Y$20*'Low Data'!AH29)+'Low STDs'!Y$21</f>
        <v>7293.8236166408997</v>
      </c>
      <c r="AJ29" s="69"/>
      <c r="AK29" s="218">
        <v>1.1693420227225244</v>
      </c>
      <c r="AL29" s="128">
        <v>238.39</v>
      </c>
      <c r="AM29" s="128">
        <f t="shared" si="9"/>
        <v>208.13950979834465</v>
      </c>
      <c r="AN29" s="10">
        <f t="shared" si="10"/>
        <v>30.250490201655339</v>
      </c>
      <c r="AO29" s="10"/>
      <c r="AP29" s="128">
        <v>0.98070000000000002</v>
      </c>
      <c r="AQ29" s="128">
        <v>7.0317999999999996</v>
      </c>
      <c r="AR29" s="128">
        <v>7.1201999999999996</v>
      </c>
      <c r="AS29" s="10">
        <f t="shared" si="11"/>
        <v>6.1395</v>
      </c>
      <c r="AT29" s="10">
        <f t="shared" si="12"/>
        <v>12.689496288290334</v>
      </c>
      <c r="AU29" s="10"/>
      <c r="AV29" s="10">
        <v>177.99711782677846</v>
      </c>
      <c r="AW29" s="10">
        <f t="shared" si="13"/>
        <v>417.09239197156626</v>
      </c>
      <c r="AX29" s="10">
        <v>28</v>
      </c>
      <c r="AY29" s="32">
        <f t="shared" si="3"/>
        <v>301</v>
      </c>
      <c r="BA29" s="15">
        <f t="shared" si="14"/>
        <v>4.177938164559717E-2</v>
      </c>
      <c r="BB29" s="128">
        <f t="shared" si="15"/>
        <v>1.255768E-3</v>
      </c>
      <c r="BC29" s="128">
        <f t="shared" si="16"/>
        <v>9.3987387222198458E-5</v>
      </c>
      <c r="BD29" s="154">
        <f t="shared" si="17"/>
        <v>4.1873369032819366E-2</v>
      </c>
      <c r="BE29" s="158">
        <f t="shared" si="18"/>
        <v>1.5939705041401454E-2</v>
      </c>
      <c r="BF29" s="128">
        <f t="shared" si="19"/>
        <v>1.255768E-3</v>
      </c>
      <c r="BG29" s="128">
        <f t="shared" si="20"/>
        <v>3.585814751022541E-5</v>
      </c>
      <c r="BH29" s="164">
        <f t="shared" si="21"/>
        <v>1.597556318891168E-2</v>
      </c>
      <c r="BI29" s="15">
        <f t="shared" si="22"/>
        <v>1.2899375626950671E-2</v>
      </c>
      <c r="BJ29" s="128">
        <f t="shared" si="23"/>
        <v>1.255768E-3</v>
      </c>
      <c r="BK29" s="128">
        <f t="shared" si="24"/>
        <v>2.9018586781850213E-5</v>
      </c>
      <c r="BL29" s="154">
        <f t="shared" si="25"/>
        <v>1.2928394213732522E-2</v>
      </c>
      <c r="BM29" s="158">
        <f t="shared" si="26"/>
        <v>2.4366016465852077E-3</v>
      </c>
      <c r="BN29" s="128">
        <f t="shared" si="27"/>
        <v>1.255768E-3</v>
      </c>
      <c r="BO29" s="128">
        <f t="shared" si="28"/>
        <v>5.4814076571663173E-6</v>
      </c>
      <c r="BP29" s="154">
        <f t="shared" si="29"/>
        <v>2.4420830542423739E-3</v>
      </c>
    </row>
    <row r="30" spans="1:68" x14ac:dyDescent="0.25">
      <c r="A30" s="11" t="s">
        <v>30</v>
      </c>
      <c r="B30" s="12">
        <v>2</v>
      </c>
      <c r="C30" s="98">
        <v>41963.359722222223</v>
      </c>
      <c r="D30" s="82">
        <v>41963.427083333336</v>
      </c>
      <c r="E30" s="182">
        <f t="shared" si="4"/>
        <v>6.7361111112404615E-2</v>
      </c>
      <c r="F30" s="12">
        <v>0</v>
      </c>
      <c r="G30" s="12">
        <f t="shared" si="5"/>
        <v>0.98190336152999991</v>
      </c>
      <c r="H30" s="12">
        <v>11.157999999999999</v>
      </c>
      <c r="I30" s="12">
        <f>('Low STDs'!H$20*'Low Data'!H30)+'Low STDs'!H$21</f>
        <v>3.046554593224803</v>
      </c>
      <c r="J30" s="12">
        <v>5233.2610000000004</v>
      </c>
      <c r="K30" s="33">
        <f>('Low STDs'!AE$20*'Low Data'!J30)+'Low STDs'!AE$21</f>
        <v>1662.9485803313241</v>
      </c>
      <c r="L30" s="73">
        <v>41963.536805555559</v>
      </c>
      <c r="M30" s="182">
        <f t="shared" si="0"/>
        <v>0.17708333333575865</v>
      </c>
      <c r="N30" s="12">
        <v>0</v>
      </c>
      <c r="O30" s="12">
        <f t="shared" si="6"/>
        <v>0.98190336152999991</v>
      </c>
      <c r="P30" s="12">
        <v>4.1539999999999999</v>
      </c>
      <c r="Q30" s="12">
        <f>('Low STDs'!K$20*'Low Data'!P30)+'Low STDs'!K$21</f>
        <v>1.3682530274832283</v>
      </c>
      <c r="R30" s="12">
        <v>13965.37</v>
      </c>
      <c r="S30" s="27">
        <f>('Low STDs'!AB$20*'Low Data'!R30)+'Low STDs'!AB$21</f>
        <v>4426.0283684155129</v>
      </c>
      <c r="T30" s="82">
        <v>41963.652083333334</v>
      </c>
      <c r="U30" s="182">
        <f t="shared" si="1"/>
        <v>0.29236111111094942</v>
      </c>
      <c r="V30" s="12">
        <v>0.01</v>
      </c>
      <c r="W30" s="12">
        <f t="shared" si="7"/>
        <v>0.98258382123999988</v>
      </c>
      <c r="X30" s="12">
        <v>1.6639999999999999</v>
      </c>
      <c r="Y30" s="12">
        <f>('Low STDs'!N$20*'Low Data'!X30)+'Low STDs'!N$21</f>
        <v>0.58889026144091505</v>
      </c>
      <c r="Z30" s="12">
        <v>21581.7</v>
      </c>
      <c r="AA30" s="33">
        <f>('Low STDs'!Y$20*'Low Data'!Z30)+'Low STDs'!Y$21</f>
        <v>6763.8014020234596</v>
      </c>
      <c r="AB30" s="73">
        <v>41963.770833333336</v>
      </c>
      <c r="AC30" s="182">
        <f t="shared" si="2"/>
        <v>0.41111111111240461</v>
      </c>
      <c r="AD30" s="12">
        <v>0</v>
      </c>
      <c r="AE30" s="12">
        <f t="shared" si="8"/>
        <v>0.98190336152999991</v>
      </c>
      <c r="AF30" s="12">
        <v>0.92400000000000004</v>
      </c>
      <c r="AG30" s="12">
        <f>('Low STDs'!N$20*'Low Data'!AF30)+'Low STDs'!N$21</f>
        <v>0.39117346964054378</v>
      </c>
      <c r="AH30" s="12">
        <v>29806.466</v>
      </c>
      <c r="AI30" s="114">
        <f>('Low STDs'!Y$20*'Low Data'!AH30)+'Low STDs'!Y$21</f>
        <v>9277.7695111044322</v>
      </c>
      <c r="AJ30" s="69"/>
      <c r="AK30" s="214">
        <v>1.2607868756981442</v>
      </c>
      <c r="AL30" s="85">
        <v>275.58999999999997</v>
      </c>
      <c r="AM30" s="85">
        <f t="shared" si="9"/>
        <v>239.63316657936093</v>
      </c>
      <c r="AN30" s="12">
        <f t="shared" si="10"/>
        <v>35.956833420639043</v>
      </c>
      <c r="AO30" s="12"/>
      <c r="AP30" s="85">
        <v>0.99839999999999995</v>
      </c>
      <c r="AQ30" s="85">
        <v>8.0177999999999994</v>
      </c>
      <c r="AR30" s="85">
        <v>7.9701000000000004</v>
      </c>
      <c r="AS30" s="12">
        <f t="shared" si="11"/>
        <v>6.9717000000000002</v>
      </c>
      <c r="AT30" s="12">
        <f t="shared" si="12"/>
        <v>13.047219935643184</v>
      </c>
      <c r="AU30" s="12"/>
      <c r="AV30" s="12">
        <v>190.06635554218249</v>
      </c>
      <c r="AW30" s="12">
        <f t="shared" si="13"/>
        <v>399.31681103717847</v>
      </c>
      <c r="AX30" s="12">
        <v>28</v>
      </c>
      <c r="AY30" s="33">
        <f t="shared" si="3"/>
        <v>301</v>
      </c>
      <c r="BA30" s="16">
        <f t="shared" si="14"/>
        <v>4.9252530755682256E-2</v>
      </c>
      <c r="BB30" s="85">
        <f t="shared" si="15"/>
        <v>1.255768E-3</v>
      </c>
      <c r="BC30" s="85">
        <f t="shared" si="16"/>
        <v>1.3756242244163095E-4</v>
      </c>
      <c r="BD30" s="152">
        <f t="shared" si="17"/>
        <v>4.9390093178123887E-2</v>
      </c>
      <c r="BE30" s="156">
        <f t="shared" si="18"/>
        <v>2.2120044875460532E-2</v>
      </c>
      <c r="BF30" s="85">
        <f t="shared" si="19"/>
        <v>1.255768E-3</v>
      </c>
      <c r="BG30" s="85">
        <f t="shared" si="20"/>
        <v>6.1781332063528106E-5</v>
      </c>
      <c r="BH30" s="162">
        <f t="shared" si="21"/>
        <v>2.2181826207524062E-2</v>
      </c>
      <c r="BI30" s="16">
        <f t="shared" si="22"/>
        <v>9.5203728755896364E-3</v>
      </c>
      <c r="BJ30" s="85">
        <f t="shared" si="23"/>
        <v>1.255768E-3</v>
      </c>
      <c r="BK30" s="85">
        <f t="shared" si="24"/>
        <v>2.6590421552350642E-5</v>
      </c>
      <c r="BL30" s="152">
        <f t="shared" si="25"/>
        <v>9.5469632971419867E-3</v>
      </c>
      <c r="BM30" s="156">
        <f t="shared" si="26"/>
        <v>6.323958017074068E-3</v>
      </c>
      <c r="BN30" s="85">
        <f t="shared" si="27"/>
        <v>1.255768E-3</v>
      </c>
      <c r="BO30" s="85">
        <f t="shared" si="28"/>
        <v>1.7662828100412222E-5</v>
      </c>
      <c r="BP30" s="152">
        <f t="shared" si="29"/>
        <v>6.34162084517448E-3</v>
      </c>
    </row>
    <row r="31" spans="1:68" ht="15.75" thickBot="1" x14ac:dyDescent="0.3">
      <c r="A31" s="13" t="s">
        <v>30</v>
      </c>
      <c r="B31" s="14">
        <v>3</v>
      </c>
      <c r="C31" s="99">
        <v>41963.359722222223</v>
      </c>
      <c r="D31" s="105">
        <v>41963.429861111108</v>
      </c>
      <c r="E31" s="183">
        <f t="shared" si="4"/>
        <v>7.0138888884685002E-2</v>
      </c>
      <c r="F31" s="14">
        <v>0</v>
      </c>
      <c r="G31" s="14">
        <f t="shared" si="5"/>
        <v>0.98190336152999991</v>
      </c>
      <c r="H31" s="14">
        <v>12.438000000000001</v>
      </c>
      <c r="I31" s="14">
        <f>('Low STDs'!H$20*'Low Data'!H31)+'Low STDs'!H$21</f>
        <v>3.3551752006845175</v>
      </c>
      <c r="J31" s="14">
        <v>8282.4879999999994</v>
      </c>
      <c r="K31" s="34">
        <f>('Low STDs'!AE$20*'Low Data'!J31)+'Low STDs'!AE$21</f>
        <v>2603.3856763963986</v>
      </c>
      <c r="L31" s="74">
        <v>41963.539583333331</v>
      </c>
      <c r="M31" s="183">
        <f t="shared" si="0"/>
        <v>0.17986111110803904</v>
      </c>
      <c r="N31" s="14">
        <v>0.05</v>
      </c>
      <c r="O31" s="14">
        <f t="shared" si="6"/>
        <v>0.98530566007999998</v>
      </c>
      <c r="P31" s="14">
        <v>5.798</v>
      </c>
      <c r="Q31" s="14">
        <f>('Low STDs'!K$20*'Low Data'!P31)+'Low STDs'!K$21</f>
        <v>1.7628032479887588</v>
      </c>
      <c r="R31" s="14">
        <v>19863.966</v>
      </c>
      <c r="S31" s="28">
        <f>('Low STDs'!AB$20*'Low Data'!R31)+'Low STDs'!AB$21</f>
        <v>6284.5885569073289</v>
      </c>
      <c r="T31" s="105">
        <v>41963.654861111114</v>
      </c>
      <c r="U31" s="183">
        <f t="shared" si="1"/>
        <v>0.29513888889050577</v>
      </c>
      <c r="V31" s="14">
        <v>-0.05</v>
      </c>
      <c r="W31" s="14">
        <f t="shared" si="7"/>
        <v>0.97850106297999984</v>
      </c>
      <c r="X31" s="14">
        <v>4.4359999999999999</v>
      </c>
      <c r="Y31" s="14">
        <f>('Low STDs'!N$20*'Low Data'!X31)+'Low STDs'!N$21</f>
        <v>1.3295266761309548</v>
      </c>
      <c r="Z31" s="14">
        <v>31461.498</v>
      </c>
      <c r="AA31" s="34">
        <f>('Low STDs'!Y$20*'Low Data'!Z31)+'Low STDs'!Y$21</f>
        <v>9783.6438019363541</v>
      </c>
      <c r="AB31" s="74">
        <v>41963.772916666669</v>
      </c>
      <c r="AC31" s="183">
        <f t="shared" si="2"/>
        <v>0.41319444444525288</v>
      </c>
      <c r="AD31" s="14">
        <v>0</v>
      </c>
      <c r="AE31" s="14">
        <f t="shared" si="8"/>
        <v>0.98190336152999991</v>
      </c>
      <c r="AF31" s="14">
        <v>2.9910000000000001</v>
      </c>
      <c r="AG31" s="14">
        <f>('Low STDs'!N$20*'Low Data'!AF31)+'Low STDs'!N$21</f>
        <v>0.94344456241266206</v>
      </c>
      <c r="AH31" s="14">
        <v>43054.588000000003</v>
      </c>
      <c r="AI31" s="115">
        <f>('Low STDs'!Y$20*'Low Data'!AH31)+'Low STDs'!Y$21</f>
        <v>13327.168146058188</v>
      </c>
      <c r="AJ31" s="69"/>
      <c r="AK31" s="217">
        <v>1.1558050346495794</v>
      </c>
      <c r="AL31" s="60">
        <v>252.39</v>
      </c>
      <c r="AM31" s="60">
        <f t="shared" si="9"/>
        <v>219.67965065315155</v>
      </c>
      <c r="AN31" s="14">
        <f t="shared" si="10"/>
        <v>32.710349346848432</v>
      </c>
      <c r="AO31" s="14"/>
      <c r="AP31" s="60">
        <v>0.98829999999999996</v>
      </c>
      <c r="AQ31" s="60">
        <v>7.0045000000000002</v>
      </c>
      <c r="AR31" s="60">
        <v>7.085</v>
      </c>
      <c r="AS31" s="14">
        <f t="shared" si="11"/>
        <v>6.0967000000000002</v>
      </c>
      <c r="AT31" s="14">
        <f t="shared" si="12"/>
        <v>12.960239845813405</v>
      </c>
      <c r="AU31" s="14"/>
      <c r="AV31" s="14">
        <v>190.06635554218249</v>
      </c>
      <c r="AW31" s="14">
        <f t="shared" si="13"/>
        <v>402.56329511096914</v>
      </c>
      <c r="AX31" s="14">
        <v>28</v>
      </c>
      <c r="AY31" s="34">
        <f t="shared" si="3"/>
        <v>301</v>
      </c>
      <c r="BA31" s="55">
        <f t="shared" si="14"/>
        <v>5.4682878683783229E-2</v>
      </c>
      <c r="BB31" s="60">
        <f t="shared" si="15"/>
        <v>1.255768E-3</v>
      </c>
      <c r="BC31" s="60">
        <f t="shared" si="16"/>
        <v>1.3781922312836595E-4</v>
      </c>
      <c r="BD31" s="67">
        <f t="shared" si="17"/>
        <v>5.4820697906911596E-2</v>
      </c>
      <c r="BE31" s="157">
        <f t="shared" si="18"/>
        <v>2.8730289891711749E-2</v>
      </c>
      <c r="BF31" s="60">
        <f t="shared" si="19"/>
        <v>1.255768E-3</v>
      </c>
      <c r="BG31" s="60">
        <f t="shared" si="20"/>
        <v>7.2409981486631488E-5</v>
      </c>
      <c r="BH31" s="163">
        <f t="shared" si="21"/>
        <v>2.8802699873198379E-2</v>
      </c>
      <c r="BI31" s="55">
        <f t="shared" si="22"/>
        <v>2.1668718200733586E-2</v>
      </c>
      <c r="BJ31" s="60">
        <f t="shared" si="23"/>
        <v>1.255768E-3</v>
      </c>
      <c r="BK31" s="60">
        <f t="shared" si="24"/>
        <v>5.4612448731566572E-5</v>
      </c>
      <c r="BL31" s="67">
        <f t="shared" si="25"/>
        <v>2.1723330649465154E-2</v>
      </c>
      <c r="BM31" s="157">
        <f t="shared" si="26"/>
        <v>1.5376325069630102E-2</v>
      </c>
      <c r="BN31" s="60">
        <f t="shared" si="27"/>
        <v>1.255768E-3</v>
      </c>
      <c r="BO31" s="60">
        <f t="shared" si="28"/>
        <v>3.8753504326649412E-5</v>
      </c>
      <c r="BP31" s="67">
        <f t="shared" si="29"/>
        <v>1.5415078573956751E-2</v>
      </c>
    </row>
    <row r="32" spans="1:68" x14ac:dyDescent="0.25">
      <c r="A32" s="47" t="s">
        <v>31</v>
      </c>
      <c r="B32" s="48">
        <v>1</v>
      </c>
      <c r="C32" s="100">
        <v>41963.359722222223</v>
      </c>
      <c r="D32" s="106">
        <v>41963.431250000001</v>
      </c>
      <c r="E32" s="188">
        <f t="shared" si="4"/>
        <v>7.1527777778101154E-2</v>
      </c>
      <c r="F32" s="48">
        <v>0.04</v>
      </c>
      <c r="G32" s="48">
        <f t="shared" si="5"/>
        <v>0.9846252003699999</v>
      </c>
      <c r="H32" s="48">
        <v>15.102</v>
      </c>
      <c r="I32" s="48">
        <f>('Low STDs'!H$20*'Low Data'!H32)+'Low STDs'!H$21</f>
        <v>3.997491839960047</v>
      </c>
      <c r="J32" s="48">
        <v>7775.97</v>
      </c>
      <c r="K32" s="49">
        <f>('Low STDs'!AE$20*'Low Data'!J32)+'Low STDs'!AE$21</f>
        <v>2447.1663076761661</v>
      </c>
      <c r="L32" s="93">
        <v>41963.541666666664</v>
      </c>
      <c r="M32" s="188">
        <f t="shared" si="0"/>
        <v>0.18194444444088731</v>
      </c>
      <c r="N32" s="48">
        <v>0.01</v>
      </c>
      <c r="O32" s="48">
        <f t="shared" si="6"/>
        <v>0.98258382123999988</v>
      </c>
      <c r="P32" s="48">
        <v>9.3040000000000003</v>
      </c>
      <c r="Q32" s="48">
        <f>('Low STDs'!K$20*'Low Data'!P32)+'Low STDs'!K$21</f>
        <v>2.604222392205541</v>
      </c>
      <c r="R32" s="48">
        <v>17962.894</v>
      </c>
      <c r="S32" s="110">
        <f>('Low STDs'!AB$20*'Low Data'!R32)+'Low STDs'!AB$21</f>
        <v>5685.5889416333694</v>
      </c>
      <c r="T32" s="106">
        <v>41963.657638888886</v>
      </c>
      <c r="U32" s="188">
        <f t="shared" si="1"/>
        <v>0.29791666666278616</v>
      </c>
      <c r="V32" s="48">
        <v>-0.11</v>
      </c>
      <c r="W32" s="48">
        <f t="shared" si="7"/>
        <v>0.97441830472000002</v>
      </c>
      <c r="X32" s="48">
        <v>5.68</v>
      </c>
      <c r="Y32" s="48">
        <f>('Low STDs'!N$20*'Low Data'!X32)+'Low STDs'!N$21</f>
        <v>1.6619046342386059</v>
      </c>
      <c r="Z32" s="48" t="s">
        <v>60</v>
      </c>
      <c r="AA32" s="49" t="e">
        <f>('Low STDs'!Y$20*'Low Data'!Z32)+'Low STDs'!Y$21</f>
        <v>#VALUE!</v>
      </c>
      <c r="AB32" s="93">
        <v>41963.775000000001</v>
      </c>
      <c r="AC32" s="188">
        <f t="shared" si="2"/>
        <v>0.41527777777810115</v>
      </c>
      <c r="AD32" s="48">
        <v>0.04</v>
      </c>
      <c r="AE32" s="48">
        <f t="shared" si="8"/>
        <v>0.9846252003699999</v>
      </c>
      <c r="AF32" s="48">
        <v>3.6259999999999999</v>
      </c>
      <c r="AG32" s="48">
        <f>('Low STDs'!N$20*'Low Data'!AF32)+'Low STDs'!N$21</f>
        <v>1.1131069445656834</v>
      </c>
      <c r="AH32" s="48">
        <v>40261.048999999999</v>
      </c>
      <c r="AI32" s="116">
        <f>('Low STDs'!Y$20*'Low Data'!AH32)+'Low STDs'!Y$21</f>
        <v>12473.299725063114</v>
      </c>
      <c r="AJ32" s="69"/>
      <c r="AK32" s="219">
        <v>0.41259113374739692</v>
      </c>
      <c r="AL32" s="4">
        <v>159.52000000000001</v>
      </c>
      <c r="AM32" s="4">
        <f t="shared" si="9"/>
        <v>68.46037217545414</v>
      </c>
      <c r="AN32" s="4">
        <f t="shared" si="10"/>
        <v>91.059627824545871</v>
      </c>
      <c r="AO32" s="4"/>
      <c r="AP32" s="4">
        <v>0.97360000000000002</v>
      </c>
      <c r="AQ32" s="4">
        <v>7.2224000000000004</v>
      </c>
      <c r="AR32" s="4">
        <v>4.0731999999999999</v>
      </c>
      <c r="AS32" s="4">
        <f t="shared" si="11"/>
        <v>3.0995999999999997</v>
      </c>
      <c r="AT32" s="4">
        <f t="shared" si="12"/>
        <v>57.083517944173693</v>
      </c>
      <c r="AU32" s="4"/>
      <c r="AV32" s="4">
        <v>165.92788011137446</v>
      </c>
      <c r="AW32" s="4">
        <f t="shared" si="13"/>
        <v>368.35249206407974</v>
      </c>
      <c r="AX32" s="4">
        <v>28</v>
      </c>
      <c r="AY32" s="35">
        <f t="shared" si="3"/>
        <v>301</v>
      </c>
      <c r="BA32" s="47">
        <f t="shared" si="14"/>
        <v>5.9614676290466774E-2</v>
      </c>
      <c r="BB32" s="48">
        <f t="shared" si="15"/>
        <v>1.255768E-3</v>
      </c>
      <c r="BC32" s="48">
        <f t="shared" si="16"/>
        <v>4.5711225934044731E-4</v>
      </c>
      <c r="BD32" s="49">
        <f t="shared" si="17"/>
        <v>6.0071788549807222E-2</v>
      </c>
      <c r="BE32" s="130">
        <f t="shared" si="18"/>
        <v>3.8836820965535729E-2</v>
      </c>
      <c r="BF32" s="48">
        <f t="shared" si="19"/>
        <v>1.255768E-3</v>
      </c>
      <c r="BG32" s="48">
        <f t="shared" si="20"/>
        <v>2.9779222302001176E-4</v>
      </c>
      <c r="BH32" s="110">
        <f t="shared" si="21"/>
        <v>3.9134613188555739E-2</v>
      </c>
      <c r="BI32" s="47">
        <f t="shared" si="22"/>
        <v>2.4784017269376409E-2</v>
      </c>
      <c r="BJ32" s="48">
        <f t="shared" si="23"/>
        <v>1.255768E-3</v>
      </c>
      <c r="BK32" s="48">
        <f t="shared" si="24"/>
        <v>1.9003840722605739E-4</v>
      </c>
      <c r="BL32" s="49">
        <f t="shared" si="25"/>
        <v>2.4974055676602467E-2</v>
      </c>
      <c r="BM32" s="130">
        <f t="shared" si="26"/>
        <v>1.6599786274389738E-2</v>
      </c>
      <c r="BN32" s="48">
        <f t="shared" si="27"/>
        <v>1.255768E-3</v>
      </c>
      <c r="BO32" s="48">
        <f t="shared" si="28"/>
        <v>1.2728351943879063E-4</v>
      </c>
      <c r="BP32" s="49">
        <f t="shared" si="29"/>
        <v>1.6727069793828528E-2</v>
      </c>
    </row>
    <row r="33" spans="1:68" x14ac:dyDescent="0.25">
      <c r="A33" s="50" t="s">
        <v>31</v>
      </c>
      <c r="B33" s="51">
        <v>2</v>
      </c>
      <c r="C33" s="101">
        <v>41963.36041666667</v>
      </c>
      <c r="D33" s="107">
        <v>41963.433333333334</v>
      </c>
      <c r="E33" s="187">
        <f t="shared" si="4"/>
        <v>7.2916666664241347E-2</v>
      </c>
      <c r="F33" s="51">
        <v>0.06</v>
      </c>
      <c r="G33" s="51">
        <f t="shared" si="5"/>
        <v>0.98598611978999995</v>
      </c>
      <c r="H33" s="51">
        <v>16.518000000000001</v>
      </c>
      <c r="I33" s="51">
        <f>('Low STDs'!H$20*'Low Data'!H33)+'Low STDs'!H$21</f>
        <v>4.3389033869623557</v>
      </c>
      <c r="J33" s="51">
        <v>11882.206</v>
      </c>
      <c r="K33" s="52">
        <f>('Low STDs'!AE$20*'Low Data'!J33)+'Low STDs'!AE$21</f>
        <v>3713.604214594171</v>
      </c>
      <c r="L33" s="94">
        <v>41963.543749999997</v>
      </c>
      <c r="M33" s="187">
        <f t="shared" si="0"/>
        <v>0.1833333333270275</v>
      </c>
      <c r="N33" s="51">
        <v>0.01</v>
      </c>
      <c r="O33" s="51">
        <f t="shared" si="6"/>
        <v>0.98258382123999988</v>
      </c>
      <c r="P33" s="51">
        <v>13.42</v>
      </c>
      <c r="Q33" s="51">
        <f>('Low STDs'!K$20*'Low Data'!P33)+'Low STDs'!K$21</f>
        <v>3.5920379077777813</v>
      </c>
      <c r="R33" s="51">
        <v>29388.178</v>
      </c>
      <c r="S33" s="111">
        <f>('Low STDs'!AB$20*'Low Data'!R33)+'Low STDs'!AB$21</f>
        <v>9285.526619109929</v>
      </c>
      <c r="T33" s="107">
        <v>41963.659722222219</v>
      </c>
      <c r="U33" s="187">
        <f t="shared" si="1"/>
        <v>0.29930555554892635</v>
      </c>
      <c r="V33" s="51">
        <v>-0.16</v>
      </c>
      <c r="W33" s="51">
        <f t="shared" si="7"/>
        <v>0.97101600616999995</v>
      </c>
      <c r="X33" s="51">
        <v>10.192</v>
      </c>
      <c r="Y33" s="51">
        <f>('Low STDs'!N$20*'Low Data'!X33)+'Low STDs'!N$21</f>
        <v>2.8674426945133025</v>
      </c>
      <c r="Z33" s="51">
        <v>47019.756999999998</v>
      </c>
      <c r="AA33" s="52">
        <f>('Low STDs'!Y$20*'Low Data'!Z33)+'Low STDs'!Y$21</f>
        <v>14539.155017552948</v>
      </c>
      <c r="AB33" s="94">
        <v>41963.777083333334</v>
      </c>
      <c r="AC33" s="187">
        <f t="shared" si="2"/>
        <v>0.41666666666424135</v>
      </c>
      <c r="AD33" s="51">
        <v>0.09</v>
      </c>
      <c r="AE33" s="51">
        <f t="shared" si="8"/>
        <v>0.98802749891999997</v>
      </c>
      <c r="AF33" s="51">
        <v>7.7439999999999998</v>
      </c>
      <c r="AG33" s="51">
        <f>('Low STDs'!N$20*'Low Data'!AF33)+'Low STDs'!N$21</f>
        <v>2.2133741724493712</v>
      </c>
      <c r="AH33" s="51">
        <v>64313.466999999997</v>
      </c>
      <c r="AI33" s="117">
        <f>('Low STDs'!Y$20*'Low Data'!AH33)+'Low STDs'!Y$21</f>
        <v>19825.121259959691</v>
      </c>
      <c r="AJ33" s="69"/>
      <c r="AK33" s="216">
        <v>0.46547579820242191</v>
      </c>
      <c r="AL33" s="6">
        <v>137.91999999999999</v>
      </c>
      <c r="AM33" s="6">
        <f t="shared" si="9"/>
        <v>71.617474379605326</v>
      </c>
      <c r="AN33" s="6">
        <f t="shared" si="10"/>
        <v>66.302525620394661</v>
      </c>
      <c r="AO33" s="6"/>
      <c r="AP33" s="6">
        <v>0.97619999999999996</v>
      </c>
      <c r="AQ33" s="6">
        <v>7.0842000000000001</v>
      </c>
      <c r="AR33" s="6">
        <v>4.6547999999999998</v>
      </c>
      <c r="AS33" s="6">
        <f t="shared" si="11"/>
        <v>3.6785999999999999</v>
      </c>
      <c r="AT33" s="6">
        <f t="shared" si="12"/>
        <v>48.073176928940455</v>
      </c>
      <c r="AU33" s="6"/>
      <c r="AV33" s="6">
        <v>153.85864239597043</v>
      </c>
      <c r="AW33" s="6">
        <f t="shared" si="13"/>
        <v>405.17883198363489</v>
      </c>
      <c r="AX33" s="6">
        <v>28</v>
      </c>
      <c r="AY33" s="36">
        <f t="shared" si="3"/>
        <v>301</v>
      </c>
      <c r="BA33" s="50">
        <f t="shared" si="14"/>
        <v>7.1175203882874988E-2</v>
      </c>
      <c r="BB33" s="51">
        <f t="shared" si="15"/>
        <v>1.255768E-3</v>
      </c>
      <c r="BC33" s="51">
        <f t="shared" si="16"/>
        <v>3.6125965592229088E-4</v>
      </c>
      <c r="BD33" s="52">
        <f t="shared" si="17"/>
        <v>7.1536463538797279E-2</v>
      </c>
      <c r="BE33" s="126">
        <f t="shared" si="18"/>
        <v>5.8923651356083399E-2</v>
      </c>
      <c r="BF33" s="51">
        <f t="shared" si="19"/>
        <v>1.255768E-3</v>
      </c>
      <c r="BG33" s="51">
        <f t="shared" si="20"/>
        <v>2.9907519547977559E-4</v>
      </c>
      <c r="BH33" s="111">
        <f t="shared" si="21"/>
        <v>5.9222726551563173E-2</v>
      </c>
      <c r="BI33" s="50">
        <f t="shared" si="22"/>
        <v>4.7037419412864059E-2</v>
      </c>
      <c r="BJ33" s="51">
        <f t="shared" si="23"/>
        <v>1.255768E-3</v>
      </c>
      <c r="BK33" s="51">
        <f t="shared" si="24"/>
        <v>2.3874497051707449E-4</v>
      </c>
      <c r="BL33" s="52">
        <f t="shared" si="25"/>
        <v>4.7276164383381135E-2</v>
      </c>
      <c r="BM33" s="126">
        <f t="shared" si="26"/>
        <v>3.6308104593097378E-2</v>
      </c>
      <c r="BN33" s="51">
        <f t="shared" si="27"/>
        <v>1.255768E-3</v>
      </c>
      <c r="BO33" s="51">
        <f t="shared" si="28"/>
        <v>1.8428683947400428E-4</v>
      </c>
      <c r="BP33" s="52">
        <f t="shared" si="29"/>
        <v>3.6492391432571381E-2</v>
      </c>
    </row>
    <row r="34" spans="1:68" ht="15.75" thickBot="1" x14ac:dyDescent="0.3">
      <c r="A34" s="92" t="s">
        <v>31</v>
      </c>
      <c r="B34" s="53">
        <v>3</v>
      </c>
      <c r="C34" s="102">
        <v>41963.36041666667</v>
      </c>
      <c r="D34" s="108">
        <v>41963.436111111114</v>
      </c>
      <c r="E34" s="189">
        <f t="shared" si="4"/>
        <v>7.5694444443797693E-2</v>
      </c>
      <c r="F34" s="53">
        <v>0</v>
      </c>
      <c r="G34" s="53">
        <f t="shared" si="5"/>
        <v>0.98190336152999991</v>
      </c>
      <c r="H34" s="53">
        <v>15.442</v>
      </c>
      <c r="I34" s="53">
        <f>('Low STDs'!H$20*'Low Data'!H34)+'Low STDs'!H$21</f>
        <v>4.0794691888165335</v>
      </c>
      <c r="J34" s="53">
        <v>6884.97</v>
      </c>
      <c r="K34" s="54">
        <f>('Low STDs'!AE$20*'Low Data'!J34)+'Low STDs'!AE$21</f>
        <v>2172.3656934241008</v>
      </c>
      <c r="L34" s="95">
        <v>41963.54583333333</v>
      </c>
      <c r="M34" s="189">
        <f t="shared" si="0"/>
        <v>0.18541666665987577</v>
      </c>
      <c r="N34" s="53">
        <v>0</v>
      </c>
      <c r="O34" s="53">
        <f t="shared" si="6"/>
        <v>0.98190336152999991</v>
      </c>
      <c r="P34" s="53">
        <v>10.558</v>
      </c>
      <c r="Q34" s="53">
        <f>('Low STDs'!K$20*'Low Data'!P34)+'Low STDs'!K$21</f>
        <v>2.905174932664139</v>
      </c>
      <c r="R34" s="53">
        <v>14704.744000000001</v>
      </c>
      <c r="S34" s="112">
        <f>('Low STDs'!AB$20*'Low Data'!R34)+'Low STDs'!AB$21</f>
        <v>4658.9941590555136</v>
      </c>
      <c r="T34" s="108">
        <v>41963.661805555559</v>
      </c>
      <c r="U34" s="189">
        <f t="shared" si="1"/>
        <v>0.30138888888905058</v>
      </c>
      <c r="V34" s="53">
        <v>-0.16</v>
      </c>
      <c r="W34" s="53">
        <f t="shared" si="7"/>
        <v>0.97101600616999995</v>
      </c>
      <c r="X34" s="53">
        <v>7</v>
      </c>
      <c r="Y34" s="53">
        <f>('Low STDs'!N$20*'Low Data'!X34)+'Low STDs'!N$21</f>
        <v>2.0145886412338632</v>
      </c>
      <c r="Z34" s="53">
        <v>23410.92</v>
      </c>
      <c r="AA34" s="54">
        <f>('Low STDs'!Y$20*'Low Data'!Z34)+'Low STDs'!Y$21</f>
        <v>7322.917703264503</v>
      </c>
      <c r="AB34" s="95">
        <v>41963.779166666667</v>
      </c>
      <c r="AC34" s="189">
        <f t="shared" si="2"/>
        <v>0.41874999999708962</v>
      </c>
      <c r="AD34" s="53">
        <v>0.12</v>
      </c>
      <c r="AE34" s="53">
        <f t="shared" si="8"/>
        <v>0.99006887804999988</v>
      </c>
      <c r="AF34" s="53">
        <v>5.0350000000000001</v>
      </c>
      <c r="AG34" s="53">
        <f>('Low STDs'!N$20*'Low Data'!AF34)+'Low STDs'!N$21</f>
        <v>1.4895704035477417</v>
      </c>
      <c r="AH34" s="53">
        <v>31847.042000000001</v>
      </c>
      <c r="AI34" s="118">
        <f>('Low STDs'!Y$20*'Low Data'!AH34)+'Low STDs'!Y$21</f>
        <v>9901.4885309715046</v>
      </c>
      <c r="AJ34" s="69"/>
      <c r="AK34" s="220">
        <v>0.68900398182558564</v>
      </c>
      <c r="AL34" s="8">
        <v>211.69</v>
      </c>
      <c r="AM34" s="8">
        <f t="shared" si="9"/>
        <v>118.48284651437184</v>
      </c>
      <c r="AN34" s="8">
        <f t="shared" si="10"/>
        <v>93.207153485628154</v>
      </c>
      <c r="AO34" s="8"/>
      <c r="AP34" s="8">
        <v>1.028</v>
      </c>
      <c r="AQ34" s="8">
        <v>6.1021999999999998</v>
      </c>
      <c r="AR34" s="8">
        <v>4.4433999999999996</v>
      </c>
      <c r="AS34" s="8">
        <f t="shared" si="11"/>
        <v>3.4153999999999995</v>
      </c>
      <c r="AT34" s="8">
        <f t="shared" si="12"/>
        <v>44.030021959293379</v>
      </c>
      <c r="AU34" s="8"/>
      <c r="AV34" s="8">
        <v>171.96249896907648</v>
      </c>
      <c r="AW34" s="8">
        <f t="shared" si="13"/>
        <v>360.17034754529539</v>
      </c>
      <c r="AX34" s="8">
        <v>28</v>
      </c>
      <c r="AY34" s="37">
        <f t="shared" si="3"/>
        <v>301</v>
      </c>
      <c r="BA34" s="92">
        <f t="shared" si="14"/>
        <v>5.9485840744369668E-2</v>
      </c>
      <c r="BB34" s="53">
        <f t="shared" si="15"/>
        <v>1.255768E-3</v>
      </c>
      <c r="BC34" s="53">
        <f t="shared" si="16"/>
        <v>4.7748783810741286E-4</v>
      </c>
      <c r="BD34" s="54">
        <f t="shared" si="17"/>
        <v>5.9963328582477084E-2</v>
      </c>
      <c r="BE34" s="131">
        <f t="shared" si="18"/>
        <v>4.2362563701364424E-2</v>
      </c>
      <c r="BF34" s="53">
        <f t="shared" si="19"/>
        <v>1.255768E-3</v>
      </c>
      <c r="BG34" s="53">
        <f t="shared" si="20"/>
        <v>3.4004073415347332E-4</v>
      </c>
      <c r="BH34" s="112">
        <f t="shared" si="21"/>
        <v>4.2702604435517898E-2</v>
      </c>
      <c r="BI34" s="92">
        <f t="shared" si="22"/>
        <v>2.9376248117373199E-2</v>
      </c>
      <c r="BJ34" s="53">
        <f t="shared" si="23"/>
        <v>1.255768E-3</v>
      </c>
      <c r="BK34" s="53">
        <f t="shared" si="24"/>
        <v>2.3580067171865803E-4</v>
      </c>
      <c r="BL34" s="54">
        <f t="shared" si="25"/>
        <v>2.9612048789091856E-2</v>
      </c>
      <c r="BM34" s="131">
        <f t="shared" si="26"/>
        <v>2.1720558166214012E-2</v>
      </c>
      <c r="BN34" s="53">
        <f t="shared" si="27"/>
        <v>1.255768E-3</v>
      </c>
      <c r="BO34" s="53">
        <f t="shared" si="28"/>
        <v>1.7434909268309343E-4</v>
      </c>
      <c r="BP34" s="54">
        <f t="shared" si="29"/>
        <v>2.1894907258897107E-2</v>
      </c>
    </row>
    <row r="35" spans="1:68" x14ac:dyDescent="0.25">
      <c r="A35" s="15" t="s">
        <v>32</v>
      </c>
      <c r="B35" s="10">
        <v>1</v>
      </c>
      <c r="C35" s="97">
        <v>41963.36041666667</v>
      </c>
      <c r="D35" s="104">
        <v>41963.438194444447</v>
      </c>
      <c r="E35" s="181">
        <f t="shared" si="4"/>
        <v>7.7777777776645962E-2</v>
      </c>
      <c r="F35" s="10">
        <v>0.03</v>
      </c>
      <c r="G35" s="10">
        <f t="shared" si="5"/>
        <v>0.98394474065999993</v>
      </c>
      <c r="H35" s="10">
        <v>15.53</v>
      </c>
      <c r="I35" s="10">
        <f>('Low STDs'!H$20*'Low Data'!H35)+'Low STDs'!H$21</f>
        <v>4.1006868555793883</v>
      </c>
      <c r="J35" s="10">
        <v>6299.5360000000001</v>
      </c>
      <c r="K35" s="32">
        <f>('Low STDs'!AE$20*'Low Data'!J35)+'Low STDs'!AE$21</f>
        <v>1991.807194205197</v>
      </c>
      <c r="L35" s="72">
        <v>41963.551388888889</v>
      </c>
      <c r="M35" s="181">
        <f t="shared" si="0"/>
        <v>0.19097222221898846</v>
      </c>
      <c r="N35" s="10">
        <v>0</v>
      </c>
      <c r="O35" s="10">
        <f t="shared" si="6"/>
        <v>0.98190336152999991</v>
      </c>
      <c r="P35" s="10">
        <v>14.632999999999999</v>
      </c>
      <c r="Q35" s="10">
        <f>('Low STDs'!K$20*'Low Data'!P35)+'Low STDs'!K$21</f>
        <v>3.883150692128881</v>
      </c>
      <c r="R35" s="10">
        <v>14060.132</v>
      </c>
      <c r="S35" s="26">
        <f>('Low STDs'!AB$20*'Low Data'!R35)+'Low STDs'!AB$21</f>
        <v>4455.8864703404215</v>
      </c>
      <c r="T35" s="104">
        <v>41963.664583333331</v>
      </c>
      <c r="U35" s="181">
        <f t="shared" si="1"/>
        <v>0.30416666666133096</v>
      </c>
      <c r="V35" s="10">
        <v>0.06</v>
      </c>
      <c r="W35" s="10">
        <f t="shared" si="7"/>
        <v>0.98598611978999995</v>
      </c>
      <c r="X35" s="10">
        <v>12.784000000000001</v>
      </c>
      <c r="Y35" s="10">
        <f>('Low STDs'!N$20*'Low Data'!X35)+'Low STDs'!N$21</f>
        <v>3.5599858355221707</v>
      </c>
      <c r="Z35" s="10">
        <v>21479.839</v>
      </c>
      <c r="AA35" s="32">
        <f>('Low STDs'!Y$20*'Low Data'!Z35)+'Low STDs'!Y$21</f>
        <v>6732.666740495205</v>
      </c>
      <c r="AB35" s="72">
        <v>41963.78125</v>
      </c>
      <c r="AC35" s="181">
        <f t="shared" si="2"/>
        <v>0.42083333332993789</v>
      </c>
      <c r="AD35" s="10">
        <v>0.02</v>
      </c>
      <c r="AE35" s="10">
        <f t="shared" si="8"/>
        <v>0.98326428094999996</v>
      </c>
      <c r="AF35" s="10">
        <v>11.45</v>
      </c>
      <c r="AG35" s="10">
        <f>('Low STDs'!N$20*'Low Data'!AF35)+'Low STDs'!N$21</f>
        <v>3.2035612405739338</v>
      </c>
      <c r="AH35" s="10">
        <v>29606.581999999999</v>
      </c>
      <c r="AI35" s="113">
        <f>('Low STDs'!Y$20*'Low Data'!AH35)+'Low STDs'!Y$21</f>
        <v>9216.6733046572772</v>
      </c>
      <c r="AJ35" s="69"/>
      <c r="AK35" s="218">
        <v>0.49101499945820681</v>
      </c>
      <c r="AL35" s="128">
        <v>79.39</v>
      </c>
      <c r="AM35" s="128">
        <f t="shared" si="9"/>
        <v>63.694547712117718</v>
      </c>
      <c r="AN35" s="10">
        <f t="shared" si="10"/>
        <v>15.695452287882283</v>
      </c>
      <c r="AO35" s="10"/>
      <c r="AP35" s="128">
        <v>0.98880000000000001</v>
      </c>
      <c r="AQ35" s="128">
        <v>6.5235000000000003</v>
      </c>
      <c r="AR35" s="128">
        <v>6.2225999999999999</v>
      </c>
      <c r="AS35" s="10">
        <f t="shared" si="11"/>
        <v>5.2337999999999996</v>
      </c>
      <c r="AT35" s="10">
        <f t="shared" si="12"/>
        <v>19.770062083237537</v>
      </c>
      <c r="AU35" s="10"/>
      <c r="AV35" s="10">
        <v>129.72016696516241</v>
      </c>
      <c r="AW35" s="10">
        <f t="shared" si="13"/>
        <v>479.92438074695531</v>
      </c>
      <c r="AX35" s="10">
        <v>28</v>
      </c>
      <c r="AY35" s="32">
        <f t="shared" si="3"/>
        <v>301</v>
      </c>
      <c r="BA35" s="15">
        <f t="shared" si="14"/>
        <v>7.9676713327867119E-2</v>
      </c>
      <c r="BB35" s="128">
        <f t="shared" si="15"/>
        <v>1.255768E-3</v>
      </c>
      <c r="BC35" s="128">
        <f t="shared" si="16"/>
        <v>8.0823909405656826E-5</v>
      </c>
      <c r="BD35" s="154">
        <f t="shared" si="17"/>
        <v>7.9757537237272774E-2</v>
      </c>
      <c r="BE35" s="158">
        <f t="shared" si="18"/>
        <v>7.5449966164740673E-2</v>
      </c>
      <c r="BF35" s="128">
        <f t="shared" si="19"/>
        <v>1.255768E-3</v>
      </c>
      <c r="BG35" s="128">
        <f t="shared" si="20"/>
        <v>7.6536304966108912E-5</v>
      </c>
      <c r="BH35" s="164">
        <f t="shared" si="21"/>
        <v>7.5526502469706783E-2</v>
      </c>
      <c r="BI35" s="15">
        <f t="shared" si="22"/>
        <v>6.9170844021468392E-2</v>
      </c>
      <c r="BJ35" s="128">
        <f t="shared" si="23"/>
        <v>1.255768E-3</v>
      </c>
      <c r="BK35" s="128">
        <f t="shared" si="24"/>
        <v>7.0166775174304715E-5</v>
      </c>
      <c r="BL35" s="154">
        <f t="shared" si="25"/>
        <v>6.9241010796642702E-2</v>
      </c>
      <c r="BM35" s="158">
        <f t="shared" si="26"/>
        <v>6.224548217969484E-2</v>
      </c>
      <c r="BN35" s="128">
        <f t="shared" si="27"/>
        <v>1.255768E-3</v>
      </c>
      <c r="BO35" s="128">
        <f t="shared" si="28"/>
        <v>6.3141701037554041E-5</v>
      </c>
      <c r="BP35" s="154">
        <f t="shared" si="29"/>
        <v>6.2308623880732397E-2</v>
      </c>
    </row>
    <row r="36" spans="1:68" x14ac:dyDescent="0.25">
      <c r="A36" s="16" t="s">
        <v>32</v>
      </c>
      <c r="B36" s="12">
        <v>2</v>
      </c>
      <c r="C36" s="98">
        <v>41963.361111111109</v>
      </c>
      <c r="D36" s="82">
        <v>41963.440972222219</v>
      </c>
      <c r="E36" s="182">
        <f t="shared" si="4"/>
        <v>7.9861111109494232E-2</v>
      </c>
      <c r="F36" s="12">
        <v>0.02</v>
      </c>
      <c r="G36" s="12">
        <f t="shared" si="5"/>
        <v>0.98326428094999996</v>
      </c>
      <c r="H36" s="12">
        <v>17.213999999999999</v>
      </c>
      <c r="I36" s="12">
        <f>('Low STDs'!H$20*'Low Data'!H36)+'Low STDs'!H$21</f>
        <v>4.5067158422685747</v>
      </c>
      <c r="J36" s="12">
        <v>6637.2389999999996</v>
      </c>
      <c r="K36" s="33">
        <f>('Low STDs'!AE$20*'Low Data'!J36)+'Low STDs'!AE$21</f>
        <v>2095.9609448614988</v>
      </c>
      <c r="L36" s="73">
        <v>41963.553472222222</v>
      </c>
      <c r="M36" s="182">
        <f t="shared" si="0"/>
        <v>0.19236111111240461</v>
      </c>
      <c r="N36" s="12">
        <v>0.03</v>
      </c>
      <c r="O36" s="12">
        <f t="shared" si="6"/>
        <v>0.98394474065999993</v>
      </c>
      <c r="P36" s="12">
        <v>15.916</v>
      </c>
      <c r="Q36" s="12">
        <f>('Low STDs'!K$20*'Low Data'!P36)+'Low STDs'!K$21</f>
        <v>4.1910630600781484</v>
      </c>
      <c r="R36" s="12">
        <v>14602.798000000001</v>
      </c>
      <c r="S36" s="27">
        <f>('Low STDs'!AB$20*'Low Data'!R36)+'Low STDs'!AB$21</f>
        <v>4626.8724851900743</v>
      </c>
      <c r="T36" s="82">
        <v>41963.666666666664</v>
      </c>
      <c r="U36" s="182">
        <f t="shared" si="1"/>
        <v>0.30555555555474712</v>
      </c>
      <c r="V36" s="12">
        <v>0.02</v>
      </c>
      <c r="W36" s="12">
        <f t="shared" si="7"/>
        <v>0.98326428094999996</v>
      </c>
      <c r="X36" s="12">
        <v>13.7</v>
      </c>
      <c r="Y36" s="12">
        <f>('Low STDs'!N$20*'Low Data'!X36)+'Low STDs'!N$21</f>
        <v>3.804727161588576</v>
      </c>
      <c r="Z36" s="12">
        <v>21409.455999999998</v>
      </c>
      <c r="AA36" s="33">
        <f>('Low STDs'!Y$20*'Low Data'!Z36)+'Low STDs'!Y$21</f>
        <v>6711.1535913768648</v>
      </c>
      <c r="AB36" s="73">
        <v>41963.78402777778</v>
      </c>
      <c r="AC36" s="182">
        <f t="shared" si="2"/>
        <v>0.42291666667006211</v>
      </c>
      <c r="AD36" s="12">
        <v>0.02</v>
      </c>
      <c r="AE36" s="12">
        <f t="shared" si="8"/>
        <v>0.98326428094999996</v>
      </c>
      <c r="AF36" s="12">
        <v>12.467000000000001</v>
      </c>
      <c r="AG36" s="12">
        <f>('Low STDs'!N$20*'Low Data'!AF36)+'Low STDs'!N$21</f>
        <v>3.4752882368725522</v>
      </c>
      <c r="AH36" s="12">
        <v>28990.304</v>
      </c>
      <c r="AI36" s="114">
        <f>('Low STDs'!Y$20*'Low Data'!AH36)+'Low STDs'!Y$21</f>
        <v>9028.3028101862856</v>
      </c>
      <c r="AJ36" s="69"/>
      <c r="AK36" s="214">
        <v>0.80445693325413681</v>
      </c>
      <c r="AL36" s="85">
        <v>149.27000000000001</v>
      </c>
      <c r="AM36" s="85">
        <f t="shared" si="9"/>
        <v>109.20887867763366</v>
      </c>
      <c r="AN36" s="12">
        <f t="shared" si="10"/>
        <v>40.061121322366347</v>
      </c>
      <c r="AO36" s="12"/>
      <c r="AP36" s="85">
        <v>0.97560000000000002</v>
      </c>
      <c r="AQ36" s="85">
        <v>6.3220000000000001</v>
      </c>
      <c r="AR36" s="85">
        <v>5.6009000000000002</v>
      </c>
      <c r="AS36" s="12">
        <f t="shared" si="11"/>
        <v>4.6253000000000002</v>
      </c>
      <c r="AT36" s="12">
        <f t="shared" si="12"/>
        <v>26.838025941157863</v>
      </c>
      <c r="AU36" s="12"/>
      <c r="AV36" s="12">
        <v>135.75478582286439</v>
      </c>
      <c r="AW36" s="12">
        <f t="shared" si="13"/>
        <v>449.52409285476926</v>
      </c>
      <c r="AX36" s="12">
        <v>28</v>
      </c>
      <c r="AY36" s="33">
        <f t="shared" si="3"/>
        <v>301</v>
      </c>
      <c r="BA36" s="16">
        <f t="shared" si="14"/>
        <v>8.2019126704550457E-2</v>
      </c>
      <c r="BB36" s="85">
        <f t="shared" si="15"/>
        <v>1.255768E-3</v>
      </c>
      <c r="BC36" s="85">
        <f t="shared" si="16"/>
        <v>2.2672149096501665E-4</v>
      </c>
      <c r="BD36" s="152">
        <f t="shared" si="17"/>
        <v>8.2245848195515475E-2</v>
      </c>
      <c r="BE36" s="156">
        <f t="shared" si="18"/>
        <v>7.6274463308136226E-2</v>
      </c>
      <c r="BF36" s="85">
        <f t="shared" si="19"/>
        <v>1.255768E-3</v>
      </c>
      <c r="BG36" s="85">
        <f t="shared" si="20"/>
        <v>2.1084179676857828E-4</v>
      </c>
      <c r="BH36" s="162">
        <f t="shared" si="21"/>
        <v>7.648530510490481E-2</v>
      </c>
      <c r="BI36" s="16">
        <f t="shared" si="22"/>
        <v>6.9243415840811964E-2</v>
      </c>
      <c r="BJ36" s="85">
        <f t="shared" si="23"/>
        <v>1.255768E-3</v>
      </c>
      <c r="BK36" s="85">
        <f t="shared" si="24"/>
        <v>1.9140621352249236E-4</v>
      </c>
      <c r="BL36" s="152">
        <f t="shared" si="25"/>
        <v>6.9434822054334461E-2</v>
      </c>
      <c r="BM36" s="156">
        <f t="shared" si="26"/>
        <v>6.3247854138369905E-2</v>
      </c>
      <c r="BN36" s="85">
        <f t="shared" si="27"/>
        <v>1.255768E-3</v>
      </c>
      <c r="BO36" s="85">
        <f t="shared" si="28"/>
        <v>1.7483297331661969E-4</v>
      </c>
      <c r="BP36" s="152">
        <f t="shared" si="29"/>
        <v>6.3422687111686527E-2</v>
      </c>
    </row>
    <row r="37" spans="1:68" ht="15.75" thickBot="1" x14ac:dyDescent="0.3">
      <c r="A37" s="55" t="s">
        <v>32</v>
      </c>
      <c r="B37" s="14">
        <v>3</v>
      </c>
      <c r="C37" s="99">
        <v>41963.361111111109</v>
      </c>
      <c r="D37" s="105">
        <v>41963.443055555559</v>
      </c>
      <c r="E37" s="183">
        <f t="shared" si="4"/>
        <v>8.1944444449618459E-2</v>
      </c>
      <c r="F37" s="14">
        <v>0</v>
      </c>
      <c r="G37" s="14">
        <f t="shared" si="5"/>
        <v>0.98190336152999991</v>
      </c>
      <c r="H37" s="14">
        <v>6.5579999999999998</v>
      </c>
      <c r="I37" s="14">
        <f>('Low STDs'!H$20*'Low Data'!H37)+'Low STDs'!H$21</f>
        <v>1.9374492851664566</v>
      </c>
      <c r="J37" s="14">
        <v>5698.35</v>
      </c>
      <c r="K37" s="34">
        <f>('Low STDs'!AE$20*'Low Data'!J37)+'Low STDs'!AE$21</f>
        <v>1806.3904915343305</v>
      </c>
      <c r="L37" s="74">
        <v>41963.556944444441</v>
      </c>
      <c r="M37" s="183">
        <f t="shared" si="0"/>
        <v>0.19583333333139308</v>
      </c>
      <c r="N37" s="14">
        <v>0.01</v>
      </c>
      <c r="O37" s="14">
        <f t="shared" si="6"/>
        <v>0.98258382123999988</v>
      </c>
      <c r="P37" s="14">
        <v>3.4239999999999999</v>
      </c>
      <c r="Q37" s="14">
        <f>('Low STDs'!K$20*'Low Data'!P37)+'Low STDs'!K$21</f>
        <v>1.1930573699594831</v>
      </c>
      <c r="R37" s="14">
        <v>10711.977999999999</v>
      </c>
      <c r="S37" s="28">
        <f>('Low STDs'!AB$20*'Low Data'!R37)+'Low STDs'!AB$21</f>
        <v>3400.9327611290041</v>
      </c>
      <c r="T37" s="105">
        <v>41963.668749999997</v>
      </c>
      <c r="U37" s="183">
        <f t="shared" si="1"/>
        <v>0.30763888888759539</v>
      </c>
      <c r="V37" s="14">
        <v>0</v>
      </c>
      <c r="W37" s="14">
        <f t="shared" si="7"/>
        <v>0.98190336152999991</v>
      </c>
      <c r="X37" s="14">
        <v>2.9889999999999999</v>
      </c>
      <c r="Y37" s="14">
        <f>('Low STDs'!N$20*'Low Data'!X37)+'Low STDs'!N$21</f>
        <v>0.94291019270509346</v>
      </c>
      <c r="Z37" s="14">
        <v>13649.581</v>
      </c>
      <c r="AA37" s="34">
        <f>('Low STDs'!Y$20*'Low Data'!Z37)+'Low STDs'!Y$21</f>
        <v>4339.2832815765969</v>
      </c>
      <c r="AB37" s="74">
        <v>41963.786111111112</v>
      </c>
      <c r="AC37" s="183">
        <f t="shared" si="2"/>
        <v>0.42500000000291038</v>
      </c>
      <c r="AD37" s="14">
        <v>0</v>
      </c>
      <c r="AE37" s="14">
        <f t="shared" si="8"/>
        <v>0.98190336152999991</v>
      </c>
      <c r="AF37" s="14">
        <v>2.88</v>
      </c>
      <c r="AG37" s="14">
        <f>('Low STDs'!N$20*'Low Data'!AF37)+'Low STDs'!N$21</f>
        <v>0.91378704364260632</v>
      </c>
      <c r="AH37" s="14">
        <v>15430.206</v>
      </c>
      <c r="AI37" s="115">
        <f>('Low STDs'!Y$20*'Low Data'!AH37)+'Low STDs'!Y$21</f>
        <v>4883.5461170459957</v>
      </c>
      <c r="AJ37" s="69"/>
      <c r="AK37" s="217">
        <v>0.56253222149651705</v>
      </c>
      <c r="AL37" s="60">
        <v>93.64</v>
      </c>
      <c r="AM37" s="60">
        <f t="shared" si="9"/>
        <v>72.971773695811919</v>
      </c>
      <c r="AN37" s="14">
        <f t="shared" si="10"/>
        <v>20.668226304188082</v>
      </c>
      <c r="AO37" s="14"/>
      <c r="AP37" s="60">
        <v>0.94530000000000003</v>
      </c>
      <c r="AQ37" s="60">
        <v>6.8049999999999997</v>
      </c>
      <c r="AR37" s="60">
        <v>6.2483000000000004</v>
      </c>
      <c r="AS37" s="14">
        <f t="shared" si="11"/>
        <v>5.3030000000000008</v>
      </c>
      <c r="AT37" s="14">
        <f t="shared" si="12"/>
        <v>22.072005878030847</v>
      </c>
      <c r="AU37" s="14"/>
      <c r="AV37" s="14">
        <v>129.72016696516241</v>
      </c>
      <c r="AW37" s="14">
        <f t="shared" si="13"/>
        <v>474.95160673064947</v>
      </c>
      <c r="AX37" s="14">
        <v>28</v>
      </c>
      <c r="AY37" s="34">
        <f t="shared" si="3"/>
        <v>301</v>
      </c>
      <c r="BA37" s="55">
        <f t="shared" si="14"/>
        <v>3.7254753670596628E-2</v>
      </c>
      <c r="BB37" s="60">
        <f t="shared" si="15"/>
        <v>1.255768E-3</v>
      </c>
      <c r="BC37" s="60">
        <f t="shared" si="16"/>
        <v>5.0285522065512284E-5</v>
      </c>
      <c r="BD37" s="67">
        <f t="shared" si="17"/>
        <v>3.7305039192662141E-2</v>
      </c>
      <c r="BE37" s="157">
        <f t="shared" si="18"/>
        <v>2.2941017745871851E-2</v>
      </c>
      <c r="BF37" s="60">
        <f t="shared" si="19"/>
        <v>1.255768E-3</v>
      </c>
      <c r="BG37" s="60">
        <f t="shared" si="20"/>
        <v>3.0965204179455603E-5</v>
      </c>
      <c r="BH37" s="163">
        <f t="shared" si="21"/>
        <v>2.2971982950051307E-2</v>
      </c>
      <c r="BI37" s="55">
        <f t="shared" si="22"/>
        <v>1.8130996889399887E-2</v>
      </c>
      <c r="BJ37" s="60">
        <f t="shared" si="23"/>
        <v>1.255768E-3</v>
      </c>
      <c r="BK37" s="60">
        <f t="shared" si="24"/>
        <v>2.4472759965427826E-5</v>
      </c>
      <c r="BL37" s="67">
        <f t="shared" si="25"/>
        <v>1.8155469649365315E-2</v>
      </c>
      <c r="BM37" s="157">
        <f t="shared" si="26"/>
        <v>1.7570994750122308E-2</v>
      </c>
      <c r="BN37" s="60">
        <f t="shared" si="27"/>
        <v>1.255768E-3</v>
      </c>
      <c r="BO37" s="60">
        <f t="shared" si="28"/>
        <v>2.3716883274351969E-5</v>
      </c>
      <c r="BP37" s="67">
        <f t="shared" si="29"/>
        <v>1.759471163339666E-2</v>
      </c>
    </row>
    <row r="38" spans="1:68" x14ac:dyDescent="0.25">
      <c r="A38" s="47" t="s">
        <v>33</v>
      </c>
      <c r="B38" s="48">
        <v>1</v>
      </c>
      <c r="C38" s="100">
        <v>41963.361111111109</v>
      </c>
      <c r="D38" s="106">
        <v>41963.445138888892</v>
      </c>
      <c r="E38" s="188">
        <f t="shared" si="4"/>
        <v>8.4027777782466728E-2</v>
      </c>
      <c r="F38" s="48">
        <v>0.08</v>
      </c>
      <c r="G38" s="48">
        <f t="shared" si="5"/>
        <v>0.98734703920999989</v>
      </c>
      <c r="H38" s="48">
        <v>18.88</v>
      </c>
      <c r="I38" s="48">
        <f>('Low STDs'!H$20*'Low Data'!H38)+'Low STDs'!H$21</f>
        <v>4.9084048516653578</v>
      </c>
      <c r="J38" s="48">
        <v>6563.5879999999997</v>
      </c>
      <c r="K38" s="49">
        <f>('Low STDs'!AE$20*'Low Data'!J38)+'Low STDs'!AE$21</f>
        <v>2073.245636174317</v>
      </c>
      <c r="L38" s="93">
        <v>41963.55972222222</v>
      </c>
      <c r="M38" s="188">
        <f t="shared" si="0"/>
        <v>0.19861111111094942</v>
      </c>
      <c r="N38" s="48">
        <v>0.02</v>
      </c>
      <c r="O38" s="48">
        <f t="shared" si="6"/>
        <v>0.98326428094999996</v>
      </c>
      <c r="P38" s="48">
        <v>17.57</v>
      </c>
      <c r="Q38" s="48">
        <f>('Low STDs'!K$20*'Low Data'!P38)+'Low STDs'!K$21</f>
        <v>4.5880132210977029</v>
      </c>
      <c r="R38" s="48">
        <v>13457.54</v>
      </c>
      <c r="S38" s="110">
        <f>('Low STDs'!AB$20*'Low Data'!R38)+'Low STDs'!AB$21</f>
        <v>4266.0186609322745</v>
      </c>
      <c r="T38" s="106">
        <v>41963.67083333333</v>
      </c>
      <c r="U38" s="188">
        <f t="shared" si="1"/>
        <v>0.30972222222044365</v>
      </c>
      <c r="V38" s="48">
        <v>0</v>
      </c>
      <c r="W38" s="48">
        <f t="shared" si="7"/>
        <v>0.98190336152999991</v>
      </c>
      <c r="X38" s="48">
        <v>15.128</v>
      </c>
      <c r="Y38" s="48">
        <f>('Low STDs'!N$20*'Low Data'!X38)+'Low STDs'!N$21</f>
        <v>4.186267132792536</v>
      </c>
      <c r="Z38" s="48">
        <v>19150.600999999999</v>
      </c>
      <c r="AA38" s="49">
        <f>('Low STDs'!Y$20*'Low Data'!Z38)+'Low STDs'!Y$21</f>
        <v>6020.7157803755426</v>
      </c>
      <c r="AB38" s="93">
        <v>41963.788194444445</v>
      </c>
      <c r="AC38" s="188">
        <f t="shared" si="2"/>
        <v>0.42708333333575865</v>
      </c>
      <c r="AD38" s="48">
        <v>0.01</v>
      </c>
      <c r="AE38" s="48">
        <f t="shared" si="8"/>
        <v>0.98258382123999988</v>
      </c>
      <c r="AF38" s="48">
        <v>13.438000000000001</v>
      </c>
      <c r="AG38" s="48">
        <f>('Low STDs'!N$20*'Low Data'!AF38)+'Low STDs'!N$21</f>
        <v>3.7347247298970938</v>
      </c>
      <c r="AH38" s="48">
        <v>26360.149000000001</v>
      </c>
      <c r="AI38" s="116">
        <f>('Low STDs'!Y$20*'Low Data'!AH38)+'Low STDs'!Y$21</f>
        <v>8224.3740671752548</v>
      </c>
      <c r="AJ38" s="69"/>
      <c r="AK38" s="219">
        <v>0.99625511110656362</v>
      </c>
      <c r="AL38" s="4">
        <v>207.28</v>
      </c>
      <c r="AM38" s="4">
        <f t="shared" si="9"/>
        <v>144.26442905405406</v>
      </c>
      <c r="AN38" s="4">
        <f t="shared" si="10"/>
        <v>63.015570945945939</v>
      </c>
      <c r="AO38" s="4"/>
      <c r="AP38" s="4">
        <v>0.97960000000000003</v>
      </c>
      <c r="AQ38" s="4">
        <v>7.1040000000000001</v>
      </c>
      <c r="AR38" s="4">
        <v>5.9238999999999997</v>
      </c>
      <c r="AS38" s="4">
        <f t="shared" si="11"/>
        <v>4.9443000000000001</v>
      </c>
      <c r="AT38" s="4">
        <f t="shared" si="12"/>
        <v>30.401182432432432</v>
      </c>
      <c r="AU38" s="4"/>
      <c r="AV38" s="4">
        <v>144.80671410941741</v>
      </c>
      <c r="AW38" s="4">
        <f t="shared" si="13"/>
        <v>417.51771494463668</v>
      </c>
      <c r="AX38" s="4">
        <v>28</v>
      </c>
      <c r="AY38" s="35">
        <f t="shared" si="3"/>
        <v>301</v>
      </c>
      <c r="BA38" s="47">
        <f t="shared" si="14"/>
        <v>8.2969271236203013E-2</v>
      </c>
      <c r="BB38" s="48">
        <f t="shared" si="15"/>
        <v>1.255768E-3</v>
      </c>
      <c r="BC38" s="48">
        <f t="shared" si="16"/>
        <v>3.884164943301733E-4</v>
      </c>
      <c r="BD38" s="49">
        <f t="shared" si="17"/>
        <v>8.3357687730533189E-2</v>
      </c>
      <c r="BE38" s="130">
        <f t="shared" si="18"/>
        <v>7.7553528056551094E-2</v>
      </c>
      <c r="BF38" s="48">
        <f t="shared" si="19"/>
        <v>1.255768E-3</v>
      </c>
      <c r="BG38" s="48">
        <f t="shared" si="20"/>
        <v>3.630629634543341E-4</v>
      </c>
      <c r="BH38" s="110">
        <f t="shared" si="21"/>
        <v>7.7916591020005421E-2</v>
      </c>
      <c r="BI38" s="47">
        <f t="shared" si="22"/>
        <v>7.0762608974689764E-2</v>
      </c>
      <c r="BJ38" s="48">
        <f t="shared" si="23"/>
        <v>1.255768E-3</v>
      </c>
      <c r="BK38" s="48">
        <f t="shared" si="24"/>
        <v>3.3127161535935994E-4</v>
      </c>
      <c r="BL38" s="49">
        <f t="shared" si="25"/>
        <v>7.1093880590049119E-2</v>
      </c>
      <c r="BM38" s="130">
        <f t="shared" si="26"/>
        <v>6.3129957383660618E-2</v>
      </c>
      <c r="BN38" s="48">
        <f t="shared" si="27"/>
        <v>1.255768E-3</v>
      </c>
      <c r="BO38" s="48">
        <f t="shared" si="28"/>
        <v>2.9553973861439999E-4</v>
      </c>
      <c r="BP38" s="49">
        <f t="shared" si="29"/>
        <v>6.3425497122275021E-2</v>
      </c>
    </row>
    <row r="39" spans="1:68" x14ac:dyDescent="0.25">
      <c r="A39" s="50" t="s">
        <v>33</v>
      </c>
      <c r="B39" s="51">
        <v>2</v>
      </c>
      <c r="C39" s="101">
        <v>41963.361805555556</v>
      </c>
      <c r="D39" s="107">
        <v>41963.447916666664</v>
      </c>
      <c r="E39" s="187">
        <f t="shared" si="4"/>
        <v>8.611111110803904E-2</v>
      </c>
      <c r="F39" s="51">
        <v>0</v>
      </c>
      <c r="G39" s="51">
        <f t="shared" si="5"/>
        <v>0.98190336152999991</v>
      </c>
      <c r="H39" s="51">
        <v>11.08</v>
      </c>
      <c r="I39" s="51">
        <f>('Low STDs'!H$20*'Low Data'!H39)+'Low STDs'!H$21</f>
        <v>3.0277480249577269</v>
      </c>
      <c r="J39" s="51">
        <v>9844.2170000000006</v>
      </c>
      <c r="K39" s="52">
        <f>('Low STDs'!AE$20*'Low Data'!J39)+'Low STDs'!AE$21</f>
        <v>3085.0513200498931</v>
      </c>
      <c r="L39" s="94">
        <v>41963.561805555553</v>
      </c>
      <c r="M39" s="187">
        <f t="shared" si="0"/>
        <v>0.19999999999708962</v>
      </c>
      <c r="N39" s="51">
        <v>0.01</v>
      </c>
      <c r="O39" s="51">
        <f t="shared" si="6"/>
        <v>0.98258382123999988</v>
      </c>
      <c r="P39" s="51">
        <v>6.7430000000000003</v>
      </c>
      <c r="Q39" s="51">
        <f>('Low STDs'!K$20*'Low Data'!P39)+'Low STDs'!K$21</f>
        <v>1.9895976265640181</v>
      </c>
      <c r="R39" s="51">
        <v>21063.776000000002</v>
      </c>
      <c r="S39" s="111">
        <f>('Low STDs'!AB$20*'Low Data'!R39)+'Low STDs'!AB$21</f>
        <v>6662.6309079607599</v>
      </c>
      <c r="T39" s="107">
        <v>41963.67291666667</v>
      </c>
      <c r="U39" s="187">
        <f t="shared" si="1"/>
        <v>0.31111111111385981</v>
      </c>
      <c r="V39" s="51">
        <v>0.04</v>
      </c>
      <c r="W39" s="51">
        <f t="shared" si="7"/>
        <v>0.9846252003699999</v>
      </c>
      <c r="X39" s="51">
        <v>4.0259999999999998</v>
      </c>
      <c r="Y39" s="51">
        <f>('Low STDs'!N$20*'Low Data'!X39)+'Low STDs'!N$21</f>
        <v>1.2199808860793975</v>
      </c>
      <c r="Z39" s="51">
        <v>31500.864000000001</v>
      </c>
      <c r="AA39" s="52">
        <f>('Low STDs'!Y$20*'Low Data'!Z39)+'Low STDs'!Y$21</f>
        <v>9795.676347127559</v>
      </c>
      <c r="AB39" s="94">
        <v>41963.790277777778</v>
      </c>
      <c r="AC39" s="187">
        <f t="shared" si="2"/>
        <v>0.42847222222189885</v>
      </c>
      <c r="AD39" s="51">
        <v>0.03</v>
      </c>
      <c r="AE39" s="51">
        <f t="shared" si="8"/>
        <v>0.98394474065999993</v>
      </c>
      <c r="AF39" s="51">
        <v>2.93</v>
      </c>
      <c r="AG39" s="51">
        <f>('Low STDs'!N$20*'Low Data'!AF39)+'Low STDs'!N$21</f>
        <v>0.92714628633182072</v>
      </c>
      <c r="AH39" s="51">
        <v>45517.459000000003</v>
      </c>
      <c r="AI39" s="117">
        <f>('Low STDs'!Y$20*'Low Data'!AH39)+'Low STDs'!Y$21</f>
        <v>14079.965143660353</v>
      </c>
      <c r="AJ39" s="69"/>
      <c r="AK39" s="216">
        <v>0.19368165498744103</v>
      </c>
      <c r="AL39" s="6">
        <v>122.72</v>
      </c>
      <c r="AM39" s="6">
        <f t="shared" si="9"/>
        <v>30.968391460950556</v>
      </c>
      <c r="AN39" s="6">
        <f t="shared" si="10"/>
        <v>91.751608539049442</v>
      </c>
      <c r="AO39" s="6"/>
      <c r="AP39" s="6">
        <v>1.0341</v>
      </c>
      <c r="AQ39" s="6">
        <v>6.8297999999999996</v>
      </c>
      <c r="AR39" s="6">
        <v>2.7576000000000001</v>
      </c>
      <c r="AS39" s="6">
        <f t="shared" si="11"/>
        <v>1.7235</v>
      </c>
      <c r="AT39" s="6">
        <f t="shared" si="12"/>
        <v>74.765000439251509</v>
      </c>
      <c r="AU39" s="6"/>
      <c r="AV39" s="6">
        <v>159.89326125367242</v>
      </c>
      <c r="AW39" s="6">
        <f t="shared" si="13"/>
        <v>373.69513020727811</v>
      </c>
      <c r="AX39" s="6">
        <v>28</v>
      </c>
      <c r="AY39" s="36">
        <f t="shared" si="3"/>
        <v>301</v>
      </c>
      <c r="BA39" s="50">
        <f t="shared" si="14"/>
        <v>4.5807771010329811E-2</v>
      </c>
      <c r="BB39" s="51">
        <f t="shared" si="15"/>
        <v>1.255768E-3</v>
      </c>
      <c r="BC39" s="51">
        <f t="shared" si="16"/>
        <v>3.4885329416088916E-4</v>
      </c>
      <c r="BD39" s="52">
        <f t="shared" si="17"/>
        <v>4.6156624304490697E-2</v>
      </c>
      <c r="BE39" s="126">
        <f t="shared" si="18"/>
        <v>3.0101260649526049E-2</v>
      </c>
      <c r="BF39" s="51">
        <f t="shared" si="19"/>
        <v>1.255768E-3</v>
      </c>
      <c r="BG39" s="51">
        <f t="shared" si="20"/>
        <v>2.2923891960634172E-4</v>
      </c>
      <c r="BH39" s="111">
        <f t="shared" si="21"/>
        <v>3.0330499569132391E-2</v>
      </c>
      <c r="BI39" s="50">
        <f t="shared" si="22"/>
        <v>1.8457482130562884E-2</v>
      </c>
      <c r="BJ39" s="51">
        <f t="shared" si="23"/>
        <v>1.255768E-3</v>
      </c>
      <c r="BK39" s="51">
        <f t="shared" si="24"/>
        <v>1.4056465313954267E-4</v>
      </c>
      <c r="BL39" s="52">
        <f t="shared" si="25"/>
        <v>1.8598046783702426E-2</v>
      </c>
      <c r="BM39" s="126">
        <f t="shared" si="26"/>
        <v>1.4027093545196413E-2</v>
      </c>
      <c r="BN39" s="51">
        <f t="shared" si="27"/>
        <v>1.255768E-3</v>
      </c>
      <c r="BO39" s="51">
        <f t="shared" si="28"/>
        <v>1.0682462129932574E-4</v>
      </c>
      <c r="BP39" s="52">
        <f t="shared" si="29"/>
        <v>1.413391816649574E-2</v>
      </c>
    </row>
    <row r="40" spans="1:68" ht="15.75" thickBot="1" x14ac:dyDescent="0.3">
      <c r="A40" s="92" t="s">
        <v>33</v>
      </c>
      <c r="B40" s="53">
        <v>3</v>
      </c>
      <c r="C40" s="102">
        <v>41963.361805555556</v>
      </c>
      <c r="D40" s="108">
        <v>41963.45</v>
      </c>
      <c r="E40" s="189">
        <f t="shared" si="4"/>
        <v>8.819444444088731E-2</v>
      </c>
      <c r="F40" s="53">
        <v>0.02</v>
      </c>
      <c r="G40" s="53">
        <f t="shared" si="5"/>
        <v>0.98326428094999996</v>
      </c>
      <c r="H40" s="53">
        <v>38.274000000000001</v>
      </c>
      <c r="I40" s="53">
        <f>('Low STDs'!H$20*'Low Data'!H40)+'Low STDs'!H$21</f>
        <v>9.5844892743791803</v>
      </c>
      <c r="J40" s="53">
        <v>10400.516</v>
      </c>
      <c r="K40" s="54">
        <f>('Low STDs'!AE$20*'Low Data'!J40)+'Low STDs'!AE$21</f>
        <v>3256.6240550754928</v>
      </c>
      <c r="L40" s="95">
        <v>41963.563888888886</v>
      </c>
      <c r="M40" s="189">
        <f t="shared" si="0"/>
        <v>0.20208333332993789</v>
      </c>
      <c r="N40" s="53">
        <v>0.06</v>
      </c>
      <c r="O40" s="53">
        <f t="shared" si="6"/>
        <v>0.98598611978999995</v>
      </c>
      <c r="P40" s="53">
        <v>54.301000000000002</v>
      </c>
      <c r="Q40" s="53">
        <f>('Low STDs'!K$20*'Low Data'!P40)+'Low STDs'!K$21</f>
        <v>13.403234723158921</v>
      </c>
      <c r="R40" s="53">
        <v>20177.436000000002</v>
      </c>
      <c r="S40" s="112">
        <f>('Low STDs'!AB$20*'Low Data'!R40)+'Low STDs'!AB$21</f>
        <v>6383.3583086052804</v>
      </c>
      <c r="T40" s="108">
        <v>41963.675000000003</v>
      </c>
      <c r="U40" s="189">
        <f t="shared" si="1"/>
        <v>0.31319444444670808</v>
      </c>
      <c r="V40" s="53">
        <v>0.05</v>
      </c>
      <c r="W40" s="53">
        <f t="shared" si="7"/>
        <v>0.98530566007999998</v>
      </c>
      <c r="X40" s="53">
        <v>64.037000000000006</v>
      </c>
      <c r="Y40" s="53">
        <f>('Low STDs'!N$20*'Low Data'!X40)+'Low STDs'!N$21</f>
        <v>17.25401114652816</v>
      </c>
      <c r="Z40" s="53">
        <v>28103.599999999999</v>
      </c>
      <c r="AA40" s="54">
        <f>('Low STDs'!Y$20*'Low Data'!Z40)+'Low STDs'!Y$21</f>
        <v>8757.2743604778643</v>
      </c>
      <c r="AB40" s="95">
        <v>41963.792361111111</v>
      </c>
      <c r="AC40" s="189">
        <f t="shared" si="2"/>
        <v>0.43055555555474712</v>
      </c>
      <c r="AD40" s="53">
        <v>0.04</v>
      </c>
      <c r="AE40" s="53">
        <f t="shared" si="8"/>
        <v>0.9846252003699999</v>
      </c>
      <c r="AF40" s="53">
        <v>72.16</v>
      </c>
      <c r="AG40" s="53">
        <f>('Low STDs'!N$20*'Low Data'!AF40)+'Low STDs'!N$21</f>
        <v>19.424353713817911</v>
      </c>
      <c r="AH40" s="53">
        <v>36079.516000000003</v>
      </c>
      <c r="AI40" s="118">
        <f>('Low STDs'!Y$20*'Low Data'!AH40)+'Low STDs'!Y$21</f>
        <v>11195.179398105523</v>
      </c>
      <c r="AJ40" s="69"/>
      <c r="AK40" s="220">
        <v>0.81561044819818684</v>
      </c>
      <c r="AL40" s="8">
        <v>268.32</v>
      </c>
      <c r="AM40" s="8">
        <f t="shared" si="9"/>
        <v>155.0201054311554</v>
      </c>
      <c r="AN40" s="8">
        <f t="shared" si="10"/>
        <v>113.29989456884459</v>
      </c>
      <c r="AO40" s="8"/>
      <c r="AP40" s="8">
        <v>0.98440000000000005</v>
      </c>
      <c r="AQ40" s="8">
        <v>6.2031000000000001</v>
      </c>
      <c r="AR40" s="8">
        <v>4.5682</v>
      </c>
      <c r="AS40" s="8">
        <f t="shared" si="11"/>
        <v>3.5838000000000001</v>
      </c>
      <c r="AT40" s="8">
        <f t="shared" si="12"/>
        <v>42.225661362866951</v>
      </c>
      <c r="AU40" s="8"/>
      <c r="AV40" s="8">
        <v>190.06635554218249</v>
      </c>
      <c r="AW40" s="8">
        <f t="shared" si="13"/>
        <v>321.97374988897297</v>
      </c>
      <c r="AX40" s="8">
        <v>28</v>
      </c>
      <c r="AY40" s="37">
        <f t="shared" si="3"/>
        <v>301</v>
      </c>
      <c r="BA40" s="92">
        <f t="shared" si="14"/>
        <v>0.12493710349053837</v>
      </c>
      <c r="BB40" s="53">
        <f t="shared" si="15"/>
        <v>1.255768E-3</v>
      </c>
      <c r="BC40" s="53">
        <f t="shared" si="16"/>
        <v>1.3636656262830953E-3</v>
      </c>
      <c r="BD40" s="54">
        <f t="shared" si="17"/>
        <v>0.12630076911682148</v>
      </c>
      <c r="BE40" s="131">
        <f t="shared" si="18"/>
        <v>0.17471575957538438</v>
      </c>
      <c r="BF40" s="53">
        <f t="shared" si="19"/>
        <v>1.255768E-3</v>
      </c>
      <c r="BG40" s="53">
        <f t="shared" si="20"/>
        <v>1.9069905500165251E-3</v>
      </c>
      <c r="BH40" s="112">
        <f t="shared" si="21"/>
        <v>0.17662275012540091</v>
      </c>
      <c r="BI40" s="92">
        <f t="shared" si="22"/>
        <v>0.22491195039501163</v>
      </c>
      <c r="BJ40" s="53">
        <f t="shared" si="23"/>
        <v>1.255768E-3</v>
      </c>
      <c r="BK40" s="53">
        <f t="shared" si="24"/>
        <v>2.4548727889885254E-3</v>
      </c>
      <c r="BL40" s="54">
        <f t="shared" si="25"/>
        <v>0.22736682318400017</v>
      </c>
      <c r="BM40" s="131">
        <f t="shared" si="26"/>
        <v>0.25320310980652488</v>
      </c>
      <c r="BN40" s="53">
        <f t="shared" si="27"/>
        <v>1.255768E-3</v>
      </c>
      <c r="BO40" s="53">
        <f t="shared" si="28"/>
        <v>2.7636656178545941E-3</v>
      </c>
      <c r="BP40" s="54">
        <f t="shared" si="29"/>
        <v>0.25596677542437946</v>
      </c>
    </row>
    <row r="41" spans="1:68" x14ac:dyDescent="0.25">
      <c r="A41" s="9" t="s">
        <v>34</v>
      </c>
      <c r="B41" s="10">
        <v>1</v>
      </c>
      <c r="C41" s="97">
        <v>41963.361805555556</v>
      </c>
      <c r="D41" s="104">
        <v>41963.45208333333</v>
      </c>
      <c r="E41" s="181">
        <f t="shared" si="4"/>
        <v>9.0277777773735579E-2</v>
      </c>
      <c r="F41" s="10">
        <v>0.02</v>
      </c>
      <c r="G41" s="10">
        <f t="shared" si="5"/>
        <v>0.98326428094999996</v>
      </c>
      <c r="H41" s="10">
        <v>21.675999999999998</v>
      </c>
      <c r="I41" s="10">
        <f>('Low STDs'!H$20*'Low Data'!H41)+'Low STDs'!H$21</f>
        <v>5.5825479910851703</v>
      </c>
      <c r="J41" s="10">
        <v>6746.6</v>
      </c>
      <c r="K41" s="32">
        <f>('Low STDs'!AE$20*'Low Data'!J41)+'Low STDs'!AE$21</f>
        <v>2129.6898673926103</v>
      </c>
      <c r="L41" s="72">
        <v>41963.566666666666</v>
      </c>
      <c r="M41" s="181">
        <f t="shared" si="0"/>
        <v>0.20486111110949423</v>
      </c>
      <c r="N41" s="10">
        <v>0.02</v>
      </c>
      <c r="O41" s="10">
        <f t="shared" si="6"/>
        <v>0.98326428094999996</v>
      </c>
      <c r="P41" s="10">
        <v>19.896000000000001</v>
      </c>
      <c r="Q41" s="10">
        <f>('Low STDs'!K$20*'Low Data'!P41)+'Low STDs'!K$21</f>
        <v>5.1462393846596637</v>
      </c>
      <c r="R41" s="10">
        <v>13364.602000000001</v>
      </c>
      <c r="S41" s="26">
        <f>('Low STDs'!AB$20*'Low Data'!R41)+'Low STDs'!AB$21</f>
        <v>4236.7352743775664</v>
      </c>
      <c r="T41" s="104">
        <v>41963.677777777775</v>
      </c>
      <c r="U41" s="181">
        <f t="shared" si="1"/>
        <v>0.31597222221898846</v>
      </c>
      <c r="V41" s="10">
        <v>0.01</v>
      </c>
      <c r="W41" s="10">
        <f t="shared" si="7"/>
        <v>0.98258382123999988</v>
      </c>
      <c r="X41" s="10">
        <v>16.739999999999998</v>
      </c>
      <c r="Y41" s="10">
        <f>('Low STDs'!N$20*'Low Data'!X41)+'Low STDs'!N$21</f>
        <v>4.616969117092804</v>
      </c>
      <c r="Z41" s="10">
        <v>18316.776000000002</v>
      </c>
      <c r="AA41" s="32">
        <f>('Low STDs'!Y$20*'Low Data'!Z41)+'Low STDs'!Y$21</f>
        <v>5765.8502366561916</v>
      </c>
      <c r="AB41" s="72">
        <v>41963.795138888891</v>
      </c>
      <c r="AC41" s="181">
        <f t="shared" si="2"/>
        <v>0.43333333333430346</v>
      </c>
      <c r="AD41" s="10">
        <v>0.01</v>
      </c>
      <c r="AE41" s="10">
        <f t="shared" si="8"/>
        <v>0.98258382123999988</v>
      </c>
      <c r="AF41" s="10">
        <v>14.292</v>
      </c>
      <c r="AG41" s="10">
        <f>('Low STDs'!N$20*'Low Data'!AF41)+'Low STDs'!N$21</f>
        <v>3.9629005950288732</v>
      </c>
      <c r="AH41" s="10">
        <v>24286.463</v>
      </c>
      <c r="AI41" s="113">
        <f>('Low STDs'!Y$20*'Low Data'!AH41)+'Low STDs'!Y$21</f>
        <v>7590.5347005297244</v>
      </c>
      <c r="AJ41" s="69"/>
      <c r="AK41" s="218">
        <v>1.3176213477701604</v>
      </c>
      <c r="AL41" s="128">
        <v>289.10000000000002</v>
      </c>
      <c r="AM41" s="128">
        <f t="shared" si="9"/>
        <v>234.53280229012387</v>
      </c>
      <c r="AN41" s="10">
        <f t="shared" si="10"/>
        <v>54.567197709876154</v>
      </c>
      <c r="AO41" s="10"/>
      <c r="AP41" s="128">
        <v>0.98209999999999997</v>
      </c>
      <c r="AQ41" s="128">
        <v>8.0344999999999995</v>
      </c>
      <c r="AR41" s="128">
        <v>7.5000999999999998</v>
      </c>
      <c r="AS41" s="10">
        <f t="shared" si="11"/>
        <v>6.5179999999999998</v>
      </c>
      <c r="AT41" s="10">
        <f t="shared" si="12"/>
        <v>18.874852199887982</v>
      </c>
      <c r="AU41" s="10"/>
      <c r="AV41" s="10">
        <v>177.99711782677846</v>
      </c>
      <c r="AW41" s="10">
        <f t="shared" si="13"/>
        <v>392.77568446334544</v>
      </c>
      <c r="AX41" s="10">
        <v>28</v>
      </c>
      <c r="AY41" s="32">
        <f t="shared" si="3"/>
        <v>301</v>
      </c>
      <c r="BA41" s="15">
        <f t="shared" si="14"/>
        <v>8.8772622748606783E-2</v>
      </c>
      <c r="BB41" s="128">
        <f t="shared" si="15"/>
        <v>1.255768E-3</v>
      </c>
      <c r="BC41" s="128">
        <f t="shared" si="16"/>
        <v>3.8253707117475762E-4</v>
      </c>
      <c r="BD41" s="154">
        <f t="shared" si="17"/>
        <v>8.9155159819781546E-2</v>
      </c>
      <c r="BE41" s="158">
        <f t="shared" si="18"/>
        <v>8.1834525775318995E-2</v>
      </c>
      <c r="BF41" s="128">
        <f t="shared" si="19"/>
        <v>1.255768E-3</v>
      </c>
      <c r="BG41" s="128">
        <f t="shared" si="20"/>
        <v>3.5263957334815858E-4</v>
      </c>
      <c r="BH41" s="164">
        <f t="shared" si="21"/>
        <v>8.2187165348667157E-2</v>
      </c>
      <c r="BI41" s="15">
        <f t="shared" si="22"/>
        <v>7.34181700413786E-2</v>
      </c>
      <c r="BJ41" s="128">
        <f t="shared" si="23"/>
        <v>1.255768E-3</v>
      </c>
      <c r="BK41" s="128">
        <f t="shared" si="24"/>
        <v>3.1637199475533217E-4</v>
      </c>
      <c r="BL41" s="154">
        <f t="shared" si="25"/>
        <v>7.3734542036133929E-2</v>
      </c>
      <c r="BM41" s="158">
        <f t="shared" si="26"/>
        <v>6.301729605809317E-2</v>
      </c>
      <c r="BN41" s="128">
        <f t="shared" si="27"/>
        <v>1.255768E-3</v>
      </c>
      <c r="BO41" s="128">
        <f t="shared" si="28"/>
        <v>2.7155277292732565E-4</v>
      </c>
      <c r="BP41" s="154">
        <f t="shared" si="29"/>
        <v>6.3288848831020497E-2</v>
      </c>
    </row>
    <row r="42" spans="1:68" x14ac:dyDescent="0.25">
      <c r="A42" s="11" t="s">
        <v>34</v>
      </c>
      <c r="B42" s="12">
        <v>2</v>
      </c>
      <c r="C42" s="98">
        <v>41963.362500000003</v>
      </c>
      <c r="D42" s="82">
        <v>41963.454861111109</v>
      </c>
      <c r="E42" s="182">
        <f t="shared" si="4"/>
        <v>9.2361111106583849E-2</v>
      </c>
      <c r="F42" s="12">
        <v>0.01</v>
      </c>
      <c r="G42" s="12">
        <f t="shared" si="5"/>
        <v>0.98258382123999988</v>
      </c>
      <c r="H42" s="12">
        <v>9.2270000000000003</v>
      </c>
      <c r="I42" s="12">
        <f>('Low STDs'!H$20*'Low Data'!H42)+'Low STDs'!H$21</f>
        <v>2.5809714736898757</v>
      </c>
      <c r="J42" s="12">
        <v>8140.1840000000002</v>
      </c>
      <c r="K42" s="33">
        <f>('Low STDs'!AE$20*'Low Data'!J42)+'Low STDs'!AE$21</f>
        <v>2559.4965331747089</v>
      </c>
      <c r="L42" s="73">
        <v>41963.569444444445</v>
      </c>
      <c r="M42" s="182">
        <f t="shared" si="0"/>
        <v>0.2069444444423425</v>
      </c>
      <c r="N42" s="12">
        <v>0</v>
      </c>
      <c r="O42" s="12">
        <f t="shared" si="6"/>
        <v>0.98190336152999991</v>
      </c>
      <c r="P42" s="12">
        <v>6.8230000000000004</v>
      </c>
      <c r="Q42" s="12">
        <f>('Low STDs'!K$20*'Low Data'!P42)+'Low STDs'!K$21</f>
        <v>2.0087971506762097</v>
      </c>
      <c r="R42" s="12">
        <v>16340.072</v>
      </c>
      <c r="S42" s="27">
        <f>('Low STDs'!AB$20*'Low Data'!R42)+'Low STDs'!AB$21</f>
        <v>5174.2617779814318</v>
      </c>
      <c r="T42" s="82">
        <v>41963.683333333334</v>
      </c>
      <c r="U42" s="182">
        <f t="shared" si="1"/>
        <v>0.32083333333139308</v>
      </c>
      <c r="V42" s="12">
        <v>0</v>
      </c>
      <c r="W42" s="12">
        <f t="shared" si="7"/>
        <v>0.98190336152999991</v>
      </c>
      <c r="X42" s="12">
        <v>3.8820000000000001</v>
      </c>
      <c r="Y42" s="12">
        <f>('Low STDs'!N$20*'Low Data'!X42)+'Low STDs'!N$21</f>
        <v>1.1815062671344605</v>
      </c>
      <c r="Z42" s="12">
        <v>21884.62</v>
      </c>
      <c r="AA42" s="33">
        <f>('Low STDs'!Y$20*'Low Data'!Z42)+'Low STDs'!Y$21</f>
        <v>6856.3914185178864</v>
      </c>
      <c r="AB42" s="73">
        <v>41963.797222222223</v>
      </c>
      <c r="AC42" s="182">
        <f t="shared" si="2"/>
        <v>0.43472222222044365</v>
      </c>
      <c r="AD42" s="12">
        <v>0</v>
      </c>
      <c r="AE42" s="12">
        <f t="shared" si="8"/>
        <v>0.98190336152999991</v>
      </c>
      <c r="AF42" s="12">
        <v>3.24</v>
      </c>
      <c r="AG42" s="12">
        <f>('Low STDs'!N$20*'Low Data'!AF42)+'Low STDs'!N$21</f>
        <v>1.0099735910049492</v>
      </c>
      <c r="AH42" s="12">
        <v>28642.754000000001</v>
      </c>
      <c r="AI42" s="114">
        <f>('Low STDs'!Y$20*'Low Data'!AH42)+'Low STDs'!Y$21</f>
        <v>8922.0712631354527</v>
      </c>
      <c r="AJ42" s="69"/>
      <c r="AK42" s="214">
        <v>0.3158960470717731</v>
      </c>
      <c r="AL42" s="85">
        <v>73.459999999999994</v>
      </c>
      <c r="AM42" s="85">
        <f t="shared" si="9"/>
        <v>45.743868576617302</v>
      </c>
      <c r="AN42" s="12">
        <f t="shared" si="10"/>
        <v>27.716131423382691</v>
      </c>
      <c r="AO42" s="12"/>
      <c r="AP42" s="85">
        <v>0.98809999999999998</v>
      </c>
      <c r="AQ42" s="85">
        <v>5.3963000000000001</v>
      </c>
      <c r="AR42" s="85">
        <v>4.3483999999999998</v>
      </c>
      <c r="AS42" s="12">
        <f t="shared" si="11"/>
        <v>3.3602999999999996</v>
      </c>
      <c r="AT42" s="12">
        <f t="shared" si="12"/>
        <v>37.729555436132173</v>
      </c>
      <c r="AU42" s="12"/>
      <c r="AV42" s="12">
        <v>144.80671410941741</v>
      </c>
      <c r="AW42" s="12">
        <f t="shared" si="13"/>
        <v>452.8171544672</v>
      </c>
      <c r="AX42" s="12">
        <v>28</v>
      </c>
      <c r="AY42" s="33">
        <f t="shared" si="3"/>
        <v>301</v>
      </c>
      <c r="BA42" s="16">
        <f t="shared" si="14"/>
        <v>4.7316004838743923E-2</v>
      </c>
      <c r="BB42" s="85">
        <f t="shared" si="15"/>
        <v>1.255768E-3</v>
      </c>
      <c r="BC42" s="85">
        <f t="shared" si="16"/>
        <v>8.9830791959037601E-5</v>
      </c>
      <c r="BD42" s="152">
        <f t="shared" si="17"/>
        <v>4.7405835630702962E-2</v>
      </c>
      <c r="BE42" s="156">
        <f t="shared" si="18"/>
        <v>3.6826542513298373E-2</v>
      </c>
      <c r="BF42" s="85">
        <f t="shared" si="19"/>
        <v>1.255768E-3</v>
      </c>
      <c r="BG42" s="85">
        <f t="shared" si="20"/>
        <v>6.9916246951896689E-5</v>
      </c>
      <c r="BH42" s="162">
        <f t="shared" si="21"/>
        <v>3.6896458760250272E-2</v>
      </c>
      <c r="BI42" s="16">
        <f t="shared" si="22"/>
        <v>2.1660121710999486E-2</v>
      </c>
      <c r="BJ42" s="85">
        <f t="shared" si="23"/>
        <v>1.255768E-3</v>
      </c>
      <c r="BK42" s="85">
        <f t="shared" si="24"/>
        <v>4.112236216602518E-5</v>
      </c>
      <c r="BL42" s="152">
        <f t="shared" si="25"/>
        <v>2.170124407316551E-2</v>
      </c>
      <c r="BM42" s="156">
        <f t="shared" si="26"/>
        <v>1.8515475977219521E-2</v>
      </c>
      <c r="BN42" s="85">
        <f t="shared" si="27"/>
        <v>1.255768E-3</v>
      </c>
      <c r="BO42" s="85">
        <f t="shared" si="28"/>
        <v>3.5152162068641776E-5</v>
      </c>
      <c r="BP42" s="152">
        <f t="shared" si="29"/>
        <v>1.8550628139288164E-2</v>
      </c>
    </row>
    <row r="43" spans="1:68" ht="15.75" thickBot="1" x14ac:dyDescent="0.3">
      <c r="A43" s="13" t="s">
        <v>34</v>
      </c>
      <c r="B43" s="14">
        <v>3</v>
      </c>
      <c r="C43" s="99">
        <v>41963.362500000003</v>
      </c>
      <c r="D43" s="105">
        <v>41963.457638888889</v>
      </c>
      <c r="E43" s="183">
        <f t="shared" si="4"/>
        <v>9.5138888886140194E-2</v>
      </c>
      <c r="F43" s="14">
        <v>0</v>
      </c>
      <c r="G43" s="14">
        <f t="shared" si="5"/>
        <v>0.98190336152999991</v>
      </c>
      <c r="H43" s="14">
        <v>13.738</v>
      </c>
      <c r="I43" s="14">
        <f>('Low STDs'!H$20*'Low Data'!H43)+'Low STDs'!H$21</f>
        <v>3.6686180051357891</v>
      </c>
      <c r="J43" s="14">
        <v>7989.4679999999998</v>
      </c>
      <c r="K43" s="34">
        <f>('Low STDs'!AE$20*'Low Data'!J43)+'Low STDs'!AE$21</f>
        <v>2513.0129760730092</v>
      </c>
      <c r="L43" s="74">
        <v>41963.572916666664</v>
      </c>
      <c r="M43" s="183">
        <f t="shared" si="0"/>
        <v>0.21041666666133096</v>
      </c>
      <c r="N43" s="14">
        <v>-0.03</v>
      </c>
      <c r="O43" s="14">
        <f t="shared" si="6"/>
        <v>0.9798619824</v>
      </c>
      <c r="P43" s="14">
        <v>10.802</v>
      </c>
      <c r="Q43" s="14">
        <f>('Low STDs'!K$20*'Low Data'!P43)+'Low STDs'!K$21</f>
        <v>2.9637334812063223</v>
      </c>
      <c r="R43" s="14">
        <v>16250.145</v>
      </c>
      <c r="S43" s="28">
        <f>('Low STDs'!AB$20*'Low Data'!R43)+'Low STDs'!AB$21</f>
        <v>5145.9271129068102</v>
      </c>
      <c r="T43" s="105">
        <v>41963.685416666667</v>
      </c>
      <c r="U43" s="183">
        <f t="shared" si="1"/>
        <v>0.32291666666424135</v>
      </c>
      <c r="V43" s="14">
        <v>-0.05</v>
      </c>
      <c r="W43" s="14">
        <f t="shared" si="7"/>
        <v>0.97850106297999984</v>
      </c>
      <c r="X43" s="14">
        <v>8.35</v>
      </c>
      <c r="Y43" s="14">
        <f>('Low STDs'!N$20*'Low Data'!X43)+'Low STDs'!N$21</f>
        <v>2.3752881938426484</v>
      </c>
      <c r="Z43" s="14">
        <v>24213.68</v>
      </c>
      <c r="AA43" s="34">
        <f>('Low STDs'!Y$20*'Low Data'!Z43)+'Low STDs'!Y$21</f>
        <v>7568.2879714576466</v>
      </c>
      <c r="AB43" s="74">
        <v>41963.799305555556</v>
      </c>
      <c r="AC43" s="183">
        <f t="shared" si="2"/>
        <v>0.43680555555329192</v>
      </c>
      <c r="AD43" s="14">
        <v>0.03</v>
      </c>
      <c r="AE43" s="14">
        <f t="shared" si="8"/>
        <v>0.98394474065999993</v>
      </c>
      <c r="AF43" s="14">
        <v>7.2969999999999997</v>
      </c>
      <c r="AG43" s="14">
        <f>('Low STDs'!N$20*'Low Data'!AF43)+'Low STDs'!N$21</f>
        <v>2.0939425428077958</v>
      </c>
      <c r="AH43" s="14">
        <v>32601.064999999999</v>
      </c>
      <c r="AI43" s="115">
        <f>('Low STDs'!Y$20*'Low Data'!AH43)+'Low STDs'!Y$21</f>
        <v>10131.961929912406</v>
      </c>
      <c r="AJ43" s="69"/>
      <c r="AK43" s="217">
        <v>0.32608396140995022</v>
      </c>
      <c r="AL43" s="60">
        <v>58.22</v>
      </c>
      <c r="AM43" s="60">
        <f t="shared" si="9"/>
        <v>50.170835609634963</v>
      </c>
      <c r="AN43" s="14">
        <f t="shared" si="10"/>
        <v>8.0491643903650356</v>
      </c>
      <c r="AO43" s="14"/>
      <c r="AP43" s="60">
        <v>0.99260000000000004</v>
      </c>
      <c r="AQ43" s="60">
        <v>6.4432</v>
      </c>
      <c r="AR43" s="60">
        <v>6.5449999999999999</v>
      </c>
      <c r="AS43" s="14">
        <f t="shared" si="11"/>
        <v>5.5523999999999996</v>
      </c>
      <c r="AT43" s="14">
        <f t="shared" si="12"/>
        <v>13.825428358579595</v>
      </c>
      <c r="AU43" s="14"/>
      <c r="AV43" s="14">
        <v>153.85864239597043</v>
      </c>
      <c r="AW43" s="14">
        <f t="shared" si="13"/>
        <v>463.4321932136645</v>
      </c>
      <c r="AX43" s="14">
        <v>28</v>
      </c>
      <c r="AY43" s="34">
        <f t="shared" si="3"/>
        <v>301</v>
      </c>
      <c r="BA43" s="55">
        <f t="shared" si="14"/>
        <v>6.8832046893133769E-2</v>
      </c>
      <c r="BB43" s="60">
        <f t="shared" si="15"/>
        <v>1.255768E-3</v>
      </c>
      <c r="BC43" s="60">
        <f t="shared" si="16"/>
        <v>3.7081961817658666E-5</v>
      </c>
      <c r="BD43" s="67">
        <f t="shared" si="17"/>
        <v>6.8869128854951431E-2</v>
      </c>
      <c r="BE43" s="157">
        <f t="shared" si="18"/>
        <v>5.5606727566500452E-2</v>
      </c>
      <c r="BF43" s="60">
        <f t="shared" si="19"/>
        <v>1.255768E-3</v>
      </c>
      <c r="BG43" s="60">
        <f t="shared" si="20"/>
        <v>2.9957071473224042E-5</v>
      </c>
      <c r="BH43" s="163">
        <f t="shared" si="21"/>
        <v>5.563668463797368E-2</v>
      </c>
      <c r="BI43" s="55">
        <f t="shared" si="22"/>
        <v>4.4566086770114026E-2</v>
      </c>
      <c r="BJ43" s="60">
        <f t="shared" si="23"/>
        <v>1.255768E-3</v>
      </c>
      <c r="BK43" s="60">
        <f t="shared" si="24"/>
        <v>2.4009135316542266E-5</v>
      </c>
      <c r="BL43" s="67">
        <f t="shared" si="25"/>
        <v>4.4590095905430567E-2</v>
      </c>
      <c r="BM43" s="157">
        <f t="shared" si="26"/>
        <v>3.92873695479612E-2</v>
      </c>
      <c r="BN43" s="60">
        <f t="shared" si="27"/>
        <v>1.255768E-3</v>
      </c>
      <c r="BO43" s="60">
        <f t="shared" si="28"/>
        <v>2.116532637414665E-5</v>
      </c>
      <c r="BP43" s="67">
        <f t="shared" si="29"/>
        <v>3.9308534874335346E-2</v>
      </c>
    </row>
    <row r="44" spans="1:68" x14ac:dyDescent="0.25">
      <c r="A44" s="47" t="s">
        <v>35</v>
      </c>
      <c r="B44" s="48">
        <v>1</v>
      </c>
      <c r="C44" s="100">
        <v>41963.362500000003</v>
      </c>
      <c r="D44" s="106">
        <v>41963.459722222222</v>
      </c>
      <c r="E44" s="188">
        <f t="shared" si="4"/>
        <v>9.7222222218988463E-2</v>
      </c>
      <c r="F44" s="48">
        <v>0.01</v>
      </c>
      <c r="G44" s="48">
        <f t="shared" si="5"/>
        <v>0.98258382123999988</v>
      </c>
      <c r="H44" s="48">
        <v>14.496</v>
      </c>
      <c r="I44" s="48">
        <f>('Low STDs'!H$20*'Low Data'!H44)+'Low STDs'!H$21</f>
        <v>3.8513792711158383</v>
      </c>
      <c r="J44" s="48">
        <v>8814.5560000000005</v>
      </c>
      <c r="K44" s="49">
        <f>('Low STDs'!AE$20*'Low Data'!J44)+'Low STDs'!AE$21</f>
        <v>2767.4851300707737</v>
      </c>
      <c r="L44" s="93">
        <v>41963.576388888891</v>
      </c>
      <c r="M44" s="188">
        <f t="shared" si="0"/>
        <v>0.21388888888759539</v>
      </c>
      <c r="N44" s="48">
        <v>0.01</v>
      </c>
      <c r="O44" s="48">
        <f t="shared" si="6"/>
        <v>0.98258382123999988</v>
      </c>
      <c r="P44" s="48">
        <v>8.8789999999999996</v>
      </c>
      <c r="Q44" s="48">
        <f>('Low STDs'!K$20*'Low Data'!P44)+'Low STDs'!K$21</f>
        <v>2.5022249203595246</v>
      </c>
      <c r="R44" s="48">
        <v>16427.080000000002</v>
      </c>
      <c r="S44" s="110">
        <f>('Low STDs'!AB$20*'Low Data'!R44)+'Low STDs'!AB$21</f>
        <v>5201.6767094126226</v>
      </c>
      <c r="T44" s="106">
        <v>41963.6875</v>
      </c>
      <c r="U44" s="188">
        <f t="shared" si="1"/>
        <v>0.32499999999708962</v>
      </c>
      <c r="V44" s="48">
        <v>-0.02</v>
      </c>
      <c r="W44" s="48">
        <f t="shared" si="7"/>
        <v>0.98054244210999997</v>
      </c>
      <c r="X44" s="48">
        <v>5.3369999999999997</v>
      </c>
      <c r="Y44" s="48">
        <f>('Low STDs'!N$20*'Low Data'!X44)+'Low STDs'!N$21</f>
        <v>1.5702602293905961</v>
      </c>
      <c r="Z44" s="48">
        <v>23392.81</v>
      </c>
      <c r="AA44" s="49">
        <f>('Low STDs'!Y$20*'Low Data'!Z44)+'Low STDs'!Y$21</f>
        <v>7317.3822311969152</v>
      </c>
      <c r="AB44" s="93">
        <v>41963.801388888889</v>
      </c>
      <c r="AC44" s="188">
        <f t="shared" si="2"/>
        <v>0.43888888888614019</v>
      </c>
      <c r="AD44" s="48">
        <v>0.01</v>
      </c>
      <c r="AE44" s="48">
        <f t="shared" si="8"/>
        <v>0.98258382123999988</v>
      </c>
      <c r="AF44" s="48">
        <v>3.6960000000000002</v>
      </c>
      <c r="AG44" s="48">
        <f>('Low STDs'!N$20*'Low Data'!AF44)+'Low STDs'!N$21</f>
        <v>1.1318098843305835</v>
      </c>
      <c r="AH44" s="48">
        <v>32694.948</v>
      </c>
      <c r="AI44" s="116">
        <f>('Low STDs'!Y$20*'Low Data'!AH44)+'Low STDs'!Y$21</f>
        <v>10160.658049411108</v>
      </c>
      <c r="AJ44" s="69"/>
      <c r="AK44" s="219">
        <v>0.41096234287016414</v>
      </c>
      <c r="AL44" s="4">
        <v>176.29</v>
      </c>
      <c r="AM44" s="4">
        <f t="shared" si="9"/>
        <v>78.110114774408927</v>
      </c>
      <c r="AN44" s="4">
        <f t="shared" si="10"/>
        <v>98.179885225591065</v>
      </c>
      <c r="AO44" s="4"/>
      <c r="AP44" s="4">
        <v>0.99339999999999995</v>
      </c>
      <c r="AQ44" s="221">
        <v>5.8113999999999999</v>
      </c>
      <c r="AR44" s="4">
        <v>3.5682999999999998</v>
      </c>
      <c r="AS44" s="4">
        <f t="shared" si="11"/>
        <v>2.5749</v>
      </c>
      <c r="AT44" s="4">
        <f t="shared" si="12"/>
        <v>55.692260040609831</v>
      </c>
      <c r="AU44" s="4"/>
      <c r="AV44" s="4">
        <v>190.06635554218249</v>
      </c>
      <c r="AW44" s="4">
        <f t="shared" si="13"/>
        <v>337.09375923222649</v>
      </c>
      <c r="AX44" s="4">
        <v>28</v>
      </c>
      <c r="AY44" s="35">
        <f t="shared" si="3"/>
        <v>301</v>
      </c>
      <c r="BA44" s="47">
        <f t="shared" si="14"/>
        <v>5.2561650325121091E-2</v>
      </c>
      <c r="BB44" s="48">
        <f t="shared" si="15"/>
        <v>1.255768E-3</v>
      </c>
      <c r="BC44" s="48">
        <f t="shared" si="16"/>
        <v>4.7484101065660401E-4</v>
      </c>
      <c r="BD44" s="49">
        <f t="shared" si="17"/>
        <v>5.3036491335777695E-2</v>
      </c>
      <c r="BE44" s="130">
        <f t="shared" si="18"/>
        <v>3.4149083234961811E-2</v>
      </c>
      <c r="BF44" s="48">
        <f t="shared" si="19"/>
        <v>1.255768E-3</v>
      </c>
      <c r="BG44" s="48">
        <f t="shared" si="20"/>
        <v>3.085022082827534E-4</v>
      </c>
      <c r="BH44" s="110">
        <f t="shared" si="21"/>
        <v>3.4457585443244565E-2</v>
      </c>
      <c r="BI44" s="47">
        <f t="shared" si="22"/>
        <v>2.1430106797235893E-2</v>
      </c>
      <c r="BJ44" s="48">
        <f t="shared" si="23"/>
        <v>1.255768E-3</v>
      </c>
      <c r="BK44" s="48">
        <f t="shared" si="24"/>
        <v>1.9359920221559383E-4</v>
      </c>
      <c r="BL44" s="49">
        <f t="shared" si="25"/>
        <v>2.1623705999451487E-2</v>
      </c>
      <c r="BM44" s="130">
        <f t="shared" si="26"/>
        <v>1.5446361209049202E-2</v>
      </c>
      <c r="BN44" s="48">
        <f t="shared" si="27"/>
        <v>1.255768E-3</v>
      </c>
      <c r="BO44" s="48">
        <f t="shared" si="28"/>
        <v>1.395421513994289E-4</v>
      </c>
      <c r="BP44" s="49">
        <f t="shared" si="29"/>
        <v>1.5585903360448631E-2</v>
      </c>
    </row>
    <row r="45" spans="1:68" x14ac:dyDescent="0.25">
      <c r="A45" s="50" t="s">
        <v>35</v>
      </c>
      <c r="B45" s="51">
        <v>2</v>
      </c>
      <c r="C45" s="101">
        <v>41963.363194444442</v>
      </c>
      <c r="D45" s="107">
        <v>41963.461805555555</v>
      </c>
      <c r="E45" s="187">
        <f t="shared" si="4"/>
        <v>9.8611111112404615E-2</v>
      </c>
      <c r="F45" s="51">
        <v>0</v>
      </c>
      <c r="G45" s="51">
        <f t="shared" si="5"/>
        <v>0.98190336152999991</v>
      </c>
      <c r="H45" s="51">
        <v>3.843</v>
      </c>
      <c r="I45" s="51">
        <f>('Low STDs'!H$20*'Low Data'!H45)+'Low STDs'!H$21</f>
        <v>1.2828360435624542</v>
      </c>
      <c r="J45" s="51">
        <v>6894.5910000000003</v>
      </c>
      <c r="K45" s="52">
        <f>('Low STDs'!AE$20*'Low Data'!J45)+'Low STDs'!AE$21</f>
        <v>2175.332984905267</v>
      </c>
      <c r="L45" s="94">
        <v>41963.57916666667</v>
      </c>
      <c r="M45" s="187">
        <f t="shared" si="0"/>
        <v>0.21597222222771961</v>
      </c>
      <c r="N45" s="51">
        <v>0</v>
      </c>
      <c r="O45" s="51">
        <f t="shared" si="6"/>
        <v>0.98190336152999991</v>
      </c>
      <c r="P45" s="51">
        <v>2.6880000000000002</v>
      </c>
      <c r="Q45" s="51">
        <f>('Low STDs'!K$20*'Low Data'!P45)+'Low STDs'!K$21</f>
        <v>1.0164217481273234</v>
      </c>
      <c r="R45" s="51">
        <v>10244.846</v>
      </c>
      <c r="S45" s="111">
        <f>('Low STDs'!AB$20*'Low Data'!R45)+'Low STDs'!AB$21</f>
        <v>3253.7463903433868</v>
      </c>
      <c r="T45" s="107">
        <v>41963.69027777778</v>
      </c>
      <c r="U45" s="187">
        <f t="shared" si="1"/>
        <v>0.32708333333721384</v>
      </c>
      <c r="V45" s="51">
        <v>0</v>
      </c>
      <c r="W45" s="51">
        <f t="shared" si="7"/>
        <v>0.98190336152999991</v>
      </c>
      <c r="X45" s="51">
        <v>2.3940000000000001</v>
      </c>
      <c r="Y45" s="51">
        <f>('Low STDs'!N$20*'Low Data'!X45)+'Low STDs'!N$21</f>
        <v>0.78393520470344358</v>
      </c>
      <c r="Z45" s="51">
        <v>13006.888999999999</v>
      </c>
      <c r="AA45" s="52">
        <f>('Low STDs'!Y$20*'Low Data'!Z45)+'Low STDs'!Y$21</f>
        <v>4142.8391283980782</v>
      </c>
      <c r="AB45" s="94">
        <v>41963.803472222222</v>
      </c>
      <c r="AC45" s="187">
        <f t="shared" si="2"/>
        <v>0.44027777777955635</v>
      </c>
      <c r="AD45" s="51">
        <v>0</v>
      </c>
      <c r="AE45" s="51">
        <f t="shared" si="8"/>
        <v>0.98190336152999991</v>
      </c>
      <c r="AF45" s="51">
        <v>2.1640000000000001</v>
      </c>
      <c r="AG45" s="51">
        <f>('Low STDs'!N$20*'Low Data'!AF45)+'Low STDs'!N$21</f>
        <v>0.72248268833305795</v>
      </c>
      <c r="AH45" s="51">
        <v>15277.083000000001</v>
      </c>
      <c r="AI45" s="117">
        <f>('Low STDs'!Y$20*'Low Data'!AH45)+'Low STDs'!Y$21</f>
        <v>4836.7427990225033</v>
      </c>
      <c r="AJ45" s="69"/>
      <c r="AK45" s="216">
        <v>0.2146272532490337</v>
      </c>
      <c r="AL45" s="6">
        <v>98.34</v>
      </c>
      <c r="AM45" s="6">
        <f t="shared" si="9"/>
        <v>40.793419825072881</v>
      </c>
      <c r="AN45" s="6">
        <f t="shared" si="10"/>
        <v>57.546580174927122</v>
      </c>
      <c r="AO45" s="6"/>
      <c r="AP45" s="6">
        <v>1.0318000000000001</v>
      </c>
      <c r="AQ45" s="6">
        <v>6.1740000000000004</v>
      </c>
      <c r="AR45" s="6">
        <v>3.5929000000000002</v>
      </c>
      <c r="AS45" s="6">
        <f t="shared" si="11"/>
        <v>2.5611000000000002</v>
      </c>
      <c r="AT45" s="6">
        <f t="shared" si="12"/>
        <v>58.517978620019441</v>
      </c>
      <c r="AU45" s="6"/>
      <c r="AV45" s="6">
        <v>190.06635554218249</v>
      </c>
      <c r="AW45" s="6">
        <f t="shared" si="13"/>
        <v>377.72706428289041</v>
      </c>
      <c r="AX45" s="6">
        <v>28</v>
      </c>
      <c r="AY45" s="36">
        <f t="shared" si="3"/>
        <v>301</v>
      </c>
      <c r="BA45" s="50">
        <f t="shared" si="14"/>
        <v>1.9617842737674484E-2</v>
      </c>
      <c r="BB45" s="51">
        <f t="shared" si="15"/>
        <v>1.255768E-3</v>
      </c>
      <c r="BC45" s="51">
        <f t="shared" si="16"/>
        <v>9.2704344107666405E-5</v>
      </c>
      <c r="BD45" s="52">
        <f t="shared" si="17"/>
        <v>1.9710547081782149E-2</v>
      </c>
      <c r="BE45" s="126">
        <f t="shared" si="18"/>
        <v>1.554368705960299E-2</v>
      </c>
      <c r="BF45" s="51">
        <f t="shared" si="19"/>
        <v>1.255768E-3</v>
      </c>
      <c r="BG45" s="51">
        <f t="shared" si="20"/>
        <v>7.3451874048722761E-5</v>
      </c>
      <c r="BH45" s="111">
        <f t="shared" si="21"/>
        <v>1.5617138933651712E-2</v>
      </c>
      <c r="BI45" s="50">
        <f t="shared" si="22"/>
        <v>1.1988373447701688E-2</v>
      </c>
      <c r="BJ45" s="51">
        <f t="shared" si="23"/>
        <v>1.255768E-3</v>
      </c>
      <c r="BK45" s="51">
        <f t="shared" si="24"/>
        <v>5.6651198210119382E-5</v>
      </c>
      <c r="BL45" s="52">
        <f t="shared" si="25"/>
        <v>1.2045024645911808E-2</v>
      </c>
      <c r="BM45" s="126">
        <f t="shared" si="26"/>
        <v>1.1048607366105852E-2</v>
      </c>
      <c r="BN45" s="51">
        <f t="shared" si="27"/>
        <v>1.255768E-3</v>
      </c>
      <c r="BO45" s="51">
        <f t="shared" si="28"/>
        <v>5.2210322657494727E-5</v>
      </c>
      <c r="BP45" s="52">
        <f t="shared" si="29"/>
        <v>1.1100817688763347E-2</v>
      </c>
    </row>
    <row r="46" spans="1:68" ht="15.75" thickBot="1" x14ac:dyDescent="0.3">
      <c r="A46" s="92" t="s">
        <v>35</v>
      </c>
      <c r="B46" s="53">
        <v>3</v>
      </c>
      <c r="C46" s="102">
        <v>41963.363194444442</v>
      </c>
      <c r="D46" s="108">
        <v>41963.464583333334</v>
      </c>
      <c r="E46" s="189">
        <f t="shared" si="4"/>
        <v>0.10138888889196096</v>
      </c>
      <c r="F46" s="53">
        <v>0.03</v>
      </c>
      <c r="G46" s="53">
        <f t="shared" si="5"/>
        <v>0.98394474065999993</v>
      </c>
      <c r="H46" s="53">
        <v>14.348000000000001</v>
      </c>
      <c r="I46" s="53">
        <f>('Low STDs'!H$20*'Low Data'!H46)+'Low STDs'!H$21</f>
        <v>3.815695013378309</v>
      </c>
      <c r="J46" s="53">
        <v>8525.0030000000006</v>
      </c>
      <c r="K46" s="54">
        <f>('Low STDs'!AE$20*'Low Data'!J46)+'Low STDs'!AE$21</f>
        <v>2678.1817156392044</v>
      </c>
      <c r="L46" s="95">
        <v>41963.581250000003</v>
      </c>
      <c r="M46" s="189">
        <f t="shared" si="0"/>
        <v>0.21805555556056788</v>
      </c>
      <c r="N46" s="53">
        <v>0.02</v>
      </c>
      <c r="O46" s="53">
        <f t="shared" si="6"/>
        <v>0.98326428094999996</v>
      </c>
      <c r="P46" s="53">
        <v>10.574999999999999</v>
      </c>
      <c r="Q46" s="53">
        <f>('Low STDs'!K$20*'Low Data'!P46)+'Low STDs'!K$21</f>
        <v>2.9092548315379791</v>
      </c>
      <c r="R46" s="53">
        <v>16865.044000000002</v>
      </c>
      <c r="S46" s="112">
        <f>('Low STDs'!AB$20*'Low Data'!R46)+'Low STDs'!AB$21</f>
        <v>5339.6726756379121</v>
      </c>
      <c r="T46" s="108">
        <v>41963.692361111112</v>
      </c>
      <c r="U46" s="189">
        <f t="shared" si="1"/>
        <v>0.32916666667006211</v>
      </c>
      <c r="V46" s="53">
        <v>0.02</v>
      </c>
      <c r="W46" s="53">
        <f t="shared" si="7"/>
        <v>0.98326428094999996</v>
      </c>
      <c r="X46" s="53">
        <v>8.7260000000000009</v>
      </c>
      <c r="Y46" s="53">
        <f>('Low STDs'!N$20*'Low Data'!X46)+'Low STDs'!N$21</f>
        <v>2.4757496988655401</v>
      </c>
      <c r="Z46" s="53">
        <v>24314.05</v>
      </c>
      <c r="AA46" s="54">
        <f>('Low STDs'!Y$20*'Low Data'!Z46)+'Low STDs'!Y$21</f>
        <v>7598.9668964396405</v>
      </c>
      <c r="AB46" s="95">
        <v>41963.806250000001</v>
      </c>
      <c r="AC46" s="189">
        <f t="shared" si="2"/>
        <v>0.44305555555911269</v>
      </c>
      <c r="AD46" s="53">
        <v>0.03</v>
      </c>
      <c r="AE46" s="53">
        <f t="shared" si="8"/>
        <v>0.98394474065999993</v>
      </c>
      <c r="AF46" s="53">
        <v>6.8540000000000001</v>
      </c>
      <c r="AG46" s="53">
        <f>('Low STDs'!N$20*'Low Data'!AF46)+'Low STDs'!N$21</f>
        <v>1.9755796525813574</v>
      </c>
      <c r="AH46" s="53">
        <v>32615.363000000001</v>
      </c>
      <c r="AI46" s="118">
        <f>('Low STDs'!Y$20*'Low Data'!AH46)+'Low STDs'!Y$21</f>
        <v>10136.332232486808</v>
      </c>
      <c r="AJ46" s="69"/>
      <c r="AK46" s="220">
        <v>0.2739171538743323</v>
      </c>
      <c r="AL46" s="8">
        <v>66.05</v>
      </c>
      <c r="AM46" s="8">
        <f t="shared" si="9"/>
        <v>35.532578935200476</v>
      </c>
      <c r="AN46" s="8">
        <f t="shared" si="10"/>
        <v>30.517421064799521</v>
      </c>
      <c r="AO46" s="8"/>
      <c r="AP46" s="8">
        <v>1.0011000000000001</v>
      </c>
      <c r="AQ46" s="8">
        <v>6.0556000000000001</v>
      </c>
      <c r="AR46" s="8">
        <v>4.2587999999999999</v>
      </c>
      <c r="AS46" s="8">
        <f t="shared" si="11"/>
        <v>3.2576999999999998</v>
      </c>
      <c r="AT46" s="8">
        <f t="shared" si="12"/>
        <v>46.203514102648789</v>
      </c>
      <c r="AU46" s="8"/>
      <c r="AV46" s="8">
        <v>129.72016696516241</v>
      </c>
      <c r="AW46" s="8">
        <f t="shared" si="13"/>
        <v>465.10241197003802</v>
      </c>
      <c r="AX46" s="8">
        <v>28</v>
      </c>
      <c r="AY46" s="37">
        <f t="shared" si="3"/>
        <v>301</v>
      </c>
      <c r="BA46" s="92">
        <f t="shared" si="14"/>
        <v>7.1849580691880841E-2</v>
      </c>
      <c r="BB46" s="53">
        <f t="shared" si="15"/>
        <v>1.255768E-3</v>
      </c>
      <c r="BC46" s="53">
        <f t="shared" si="16"/>
        <v>1.4622811997116111E-4</v>
      </c>
      <c r="BD46" s="54">
        <f t="shared" si="17"/>
        <v>7.1995808811851997E-2</v>
      </c>
      <c r="BE46" s="131">
        <f t="shared" si="18"/>
        <v>5.4781301712781304E-2</v>
      </c>
      <c r="BF46" s="53">
        <f t="shared" si="19"/>
        <v>1.255768E-3</v>
      </c>
      <c r="BG46" s="53">
        <f t="shared" si="20"/>
        <v>1.1149079343114623E-4</v>
      </c>
      <c r="BH46" s="112">
        <f t="shared" si="21"/>
        <v>5.489279250621245E-2</v>
      </c>
      <c r="BI46" s="92">
        <f t="shared" si="22"/>
        <v>4.6618395112257148E-2</v>
      </c>
      <c r="BJ46" s="53">
        <f t="shared" si="23"/>
        <v>1.255768E-3</v>
      </c>
      <c r="BK46" s="53">
        <f t="shared" si="24"/>
        <v>9.487766257915622E-5</v>
      </c>
      <c r="BL46" s="54">
        <f t="shared" si="25"/>
        <v>4.6713272774836306E-2</v>
      </c>
      <c r="BM46" s="131">
        <f t="shared" si="26"/>
        <v>3.720018742685318E-2</v>
      </c>
      <c r="BN46" s="53">
        <f t="shared" si="27"/>
        <v>1.255768E-3</v>
      </c>
      <c r="BO46" s="53">
        <f t="shared" si="28"/>
        <v>7.5709745521427473E-5</v>
      </c>
      <c r="BP46" s="54">
        <f t="shared" si="29"/>
        <v>3.727589717237461E-2</v>
      </c>
    </row>
    <row r="47" spans="1:68" x14ac:dyDescent="0.25">
      <c r="A47" s="15" t="s">
        <v>36</v>
      </c>
      <c r="B47" s="10">
        <v>1</v>
      </c>
      <c r="C47" s="97">
        <v>41963.363194444442</v>
      </c>
      <c r="D47" s="104">
        <v>41963.467361111114</v>
      </c>
      <c r="E47" s="181">
        <f t="shared" si="4"/>
        <v>0.10416666667151731</v>
      </c>
      <c r="F47" s="10">
        <v>0</v>
      </c>
      <c r="G47" s="10">
        <f t="shared" si="5"/>
        <v>0.98190336152999991</v>
      </c>
      <c r="H47" s="10">
        <v>30.733000000000001</v>
      </c>
      <c r="I47" s="10">
        <f>('Low STDs'!H$20*'Low Data'!H47)+'Low STDs'!H$21</f>
        <v>7.7662798987122246</v>
      </c>
      <c r="J47" s="10">
        <v>10639.868</v>
      </c>
      <c r="K47" s="32">
        <f>('Low STDs'!AE$20*'Low Data'!J47)+'Low STDs'!AE$21</f>
        <v>3330.4445675586135</v>
      </c>
      <c r="L47" s="72">
        <v>41963.583333333336</v>
      </c>
      <c r="M47" s="181">
        <f t="shared" si="0"/>
        <v>0.22013888889341615</v>
      </c>
      <c r="N47" s="10">
        <v>0</v>
      </c>
      <c r="O47" s="10">
        <f t="shared" si="6"/>
        <v>0.98190336152999991</v>
      </c>
      <c r="P47" s="10">
        <v>25.617999999999999</v>
      </c>
      <c r="Q47" s="10">
        <f>('Low STDs'!K$20*'Low Data'!P47)+'Low STDs'!K$21</f>
        <v>6.5194853467841432</v>
      </c>
      <c r="R47" s="10">
        <v>19853.587</v>
      </c>
      <c r="S47" s="26">
        <f>('Low STDs'!AB$20*'Low Data'!R47)+'Low STDs'!AB$21</f>
        <v>6281.3182878134021</v>
      </c>
      <c r="T47" s="104">
        <v>41963.695138888892</v>
      </c>
      <c r="U47" s="181">
        <f t="shared" si="1"/>
        <v>0.33194444444961846</v>
      </c>
      <c r="V47" s="10">
        <v>0</v>
      </c>
      <c r="W47" s="10">
        <f t="shared" si="7"/>
        <v>0.98190336152999991</v>
      </c>
      <c r="X47" s="10">
        <v>20.238</v>
      </c>
      <c r="Y47" s="10">
        <f>('Low STDs'!N$20*'Low Data'!X47)+'Low STDs'!N$21</f>
        <v>5.5515817356302355</v>
      </c>
      <c r="Z47" s="10">
        <v>27147.9</v>
      </c>
      <c r="AA47" s="32">
        <f>('Low STDs'!Y$20*'Low Data'!Z47)+'Low STDs'!Y$21</f>
        <v>8465.1567097327024</v>
      </c>
      <c r="AB47" s="72">
        <v>41963.808333333334</v>
      </c>
      <c r="AC47" s="181">
        <f t="shared" si="2"/>
        <v>0.44513888889196096</v>
      </c>
      <c r="AD47" s="10">
        <v>0</v>
      </c>
      <c r="AE47" s="10">
        <f t="shared" si="8"/>
        <v>0.98190336152999991</v>
      </c>
      <c r="AF47" s="10">
        <v>16.8</v>
      </c>
      <c r="AG47" s="10">
        <f>('Low STDs'!N$20*'Low Data'!AF47)+'Low STDs'!N$21</f>
        <v>4.6330002083198618</v>
      </c>
      <c r="AH47" s="10">
        <v>34260.661999999997</v>
      </c>
      <c r="AI47" s="113">
        <f>('Low STDs'!Y$20*'Low Data'!AH47)+'Low STDs'!Y$21</f>
        <v>10639.231550948001</v>
      </c>
      <c r="AJ47" s="69"/>
      <c r="AK47" s="218">
        <v>1.133263899171618</v>
      </c>
      <c r="AL47" s="128">
        <v>289.95</v>
      </c>
      <c r="AM47" s="128">
        <f t="shared" si="9"/>
        <v>215.39533918307276</v>
      </c>
      <c r="AN47" s="10">
        <f t="shared" si="10"/>
        <v>74.554660816927225</v>
      </c>
      <c r="AO47" s="10"/>
      <c r="AP47" s="128">
        <v>0.99199999999999999</v>
      </c>
      <c r="AQ47" s="128">
        <v>7.2026000000000003</v>
      </c>
      <c r="AR47" s="128">
        <v>6.3426</v>
      </c>
      <c r="AS47" s="10">
        <f t="shared" si="11"/>
        <v>5.3506</v>
      </c>
      <c r="AT47" s="10">
        <f t="shared" si="12"/>
        <v>25.71293699497404</v>
      </c>
      <c r="AU47" s="10"/>
      <c r="AV47" s="10">
        <v>190.06635554218249</v>
      </c>
      <c r="AW47" s="10">
        <f t="shared" si="13"/>
        <v>360.71898364089031</v>
      </c>
      <c r="AX47" s="10">
        <v>28</v>
      </c>
      <c r="AY47" s="32">
        <f t="shared" si="3"/>
        <v>301</v>
      </c>
      <c r="BA47" s="15">
        <f t="shared" si="14"/>
        <v>0.11341853387134083</v>
      </c>
      <c r="BB47" s="128">
        <f t="shared" si="15"/>
        <v>1.255768E-3</v>
      </c>
      <c r="BC47" s="128">
        <f t="shared" si="16"/>
        <v>7.2710519788584055E-4</v>
      </c>
      <c r="BD47" s="154">
        <f t="shared" si="17"/>
        <v>0.11414563906922667</v>
      </c>
      <c r="BE47" s="158">
        <f t="shared" si="18"/>
        <v>9.5210381195578217E-2</v>
      </c>
      <c r="BF47" s="128">
        <f t="shared" si="19"/>
        <v>1.255768E-3</v>
      </c>
      <c r="BG47" s="128">
        <f t="shared" si="20"/>
        <v>6.1037610606506074E-4</v>
      </c>
      <c r="BH47" s="164">
        <f t="shared" si="21"/>
        <v>9.5820757301643272E-2</v>
      </c>
      <c r="BI47" s="15">
        <f t="shared" si="22"/>
        <v>8.107514399867323E-2</v>
      </c>
      <c r="BJ47" s="128">
        <f t="shared" si="23"/>
        <v>1.255768E-3</v>
      </c>
      <c r="BK47" s="128">
        <f t="shared" si="24"/>
        <v>5.1975772044143961E-4</v>
      </c>
      <c r="BL47" s="154">
        <f t="shared" si="25"/>
        <v>8.1594901719114668E-2</v>
      </c>
      <c r="BM47" s="158">
        <f t="shared" si="26"/>
        <v>6.7660205131209142E-2</v>
      </c>
      <c r="BN47" s="128">
        <f t="shared" si="27"/>
        <v>1.255768E-3</v>
      </c>
      <c r="BO47" s="128">
        <f t="shared" si="28"/>
        <v>4.3375703389651656E-4</v>
      </c>
      <c r="BP47" s="154">
        <f t="shared" si="29"/>
        <v>6.8093962165105659E-2</v>
      </c>
    </row>
    <row r="48" spans="1:68" x14ac:dyDescent="0.25">
      <c r="A48" s="16" t="s">
        <v>36</v>
      </c>
      <c r="B48" s="12">
        <v>2</v>
      </c>
      <c r="C48" s="98">
        <v>41963.363888888889</v>
      </c>
      <c r="D48" s="82">
        <v>41963.470138888886</v>
      </c>
      <c r="E48" s="182">
        <f t="shared" si="4"/>
        <v>0.10624999999708962</v>
      </c>
      <c r="F48" s="12">
        <v>-0.02</v>
      </c>
      <c r="G48" s="12">
        <f t="shared" si="5"/>
        <v>0.98054244210999997</v>
      </c>
      <c r="H48" s="12">
        <v>568.84799999999996</v>
      </c>
      <c r="I48" s="12">
        <f>('Low STDs'!H$20*'Low Data'!H48)+'Low STDs'!H$21</f>
        <v>137.51110660432465</v>
      </c>
      <c r="J48" s="12">
        <v>11478.936</v>
      </c>
      <c r="K48" s="33">
        <f>('Low STDs'!AE$20*'Low Data'!J48)+'Low STDs'!AE$21</f>
        <v>3589.2284079618139</v>
      </c>
      <c r="L48" s="73">
        <v>41963.585416666669</v>
      </c>
      <c r="M48" s="182">
        <f t="shared" si="0"/>
        <v>0.22152777777955635</v>
      </c>
      <c r="N48" s="12">
        <v>-0.04</v>
      </c>
      <c r="O48" s="12">
        <f t="shared" si="6"/>
        <v>0.97918152269000003</v>
      </c>
      <c r="P48" s="12">
        <v>641.08799999999997</v>
      </c>
      <c r="Q48" s="12">
        <f>('Low STDs'!K$20*'Low Data'!P48)+'Low STDs'!K$21</f>
        <v>154.22862416341357</v>
      </c>
      <c r="R48" s="12">
        <v>21434.135999999999</v>
      </c>
      <c r="S48" s="27">
        <f>('Low STDs'!AB$20*'Low Data'!R48)+'Low STDs'!AB$21</f>
        <v>6779.3258556075943</v>
      </c>
      <c r="T48" s="82">
        <v>41963.697222222225</v>
      </c>
      <c r="U48" s="182">
        <f t="shared" si="1"/>
        <v>0.33333333333575865</v>
      </c>
      <c r="V48" s="12">
        <v>-0.04</v>
      </c>
      <c r="W48" s="12">
        <f t="shared" si="7"/>
        <v>0.97918152269000003</v>
      </c>
      <c r="X48" s="12">
        <v>532.00400000000002</v>
      </c>
      <c r="Y48" s="12">
        <f>('Low STDs'!N$20*'Low Data'!X48)+'Low STDs'!N$21</f>
        <v>142.28770561739893</v>
      </c>
      <c r="Z48" s="12">
        <v>30075.094000000001</v>
      </c>
      <c r="AA48" s="33">
        <f>('Low STDs'!Y$20*'Low Data'!Z48)+'Low STDs'!Y$21</f>
        <v>9359.8778926931864</v>
      </c>
      <c r="AB48" s="73">
        <v>41963.810416666667</v>
      </c>
      <c r="AC48" s="182">
        <f t="shared" si="2"/>
        <v>0.44652777777810115</v>
      </c>
      <c r="AD48" s="12">
        <v>0</v>
      </c>
      <c r="AE48" s="12">
        <f t="shared" si="8"/>
        <v>0.98190336152999991</v>
      </c>
      <c r="AF48" s="12">
        <v>410.18599999999998</v>
      </c>
      <c r="AG48" s="12">
        <f>('Low STDs'!N$20*'Low Data'!AF48)+'Low STDs'!N$21</f>
        <v>109.73978109910483</v>
      </c>
      <c r="AH48" s="12">
        <v>38598.877999999997</v>
      </c>
      <c r="AI48" s="114">
        <f>('Low STDs'!Y$20*'Low Data'!AH48)+'Low STDs'!Y$21</f>
        <v>11965.243339527133</v>
      </c>
      <c r="AJ48" s="69"/>
      <c r="AK48" s="214">
        <v>1.2589537066613132</v>
      </c>
      <c r="AL48" s="85">
        <v>291.31</v>
      </c>
      <c r="AM48" s="85">
        <f t="shared" si="9"/>
        <v>239.2847428214377</v>
      </c>
      <c r="AN48" s="12">
        <f t="shared" si="10"/>
        <v>52.025257178562299</v>
      </c>
      <c r="AO48" s="12"/>
      <c r="AP48" s="85">
        <v>0.99050000000000005</v>
      </c>
      <c r="AQ48" s="85">
        <v>7.0418000000000003</v>
      </c>
      <c r="AR48" s="85">
        <v>6.7747000000000002</v>
      </c>
      <c r="AS48" s="12">
        <f t="shared" si="11"/>
        <v>5.7842000000000002</v>
      </c>
      <c r="AT48" s="12">
        <f t="shared" si="12"/>
        <v>17.859070124115995</v>
      </c>
      <c r="AU48" s="12"/>
      <c r="AV48" s="12">
        <v>190.06635554218249</v>
      </c>
      <c r="AW48" s="12">
        <f t="shared" si="13"/>
        <v>383.24838727925516</v>
      </c>
      <c r="AX48" s="12">
        <v>28</v>
      </c>
      <c r="AY48" s="33">
        <f t="shared" si="3"/>
        <v>301</v>
      </c>
      <c r="BA48" s="16">
        <f t="shared" si="14"/>
        <v>2.1336348915384482</v>
      </c>
      <c r="BB48" s="85">
        <f t="shared" si="15"/>
        <v>1.255768E-3</v>
      </c>
      <c r="BC48" s="85">
        <f t="shared" si="16"/>
        <v>8.9838279218551996E-3</v>
      </c>
      <c r="BD48" s="152">
        <f t="shared" si="17"/>
        <v>2.1426187194603035</v>
      </c>
      <c r="BE48" s="156">
        <f t="shared" si="18"/>
        <v>2.3930254211093667</v>
      </c>
      <c r="BF48" s="85">
        <f t="shared" si="19"/>
        <v>1.255768E-3</v>
      </c>
      <c r="BG48" s="85">
        <f t="shared" si="20"/>
        <v>1.0076010980665113E-2</v>
      </c>
      <c r="BH48" s="162">
        <f t="shared" si="21"/>
        <v>2.4031014320900317</v>
      </c>
      <c r="BI48" s="16">
        <f t="shared" si="22"/>
        <v>2.2077490381615901</v>
      </c>
      <c r="BJ48" s="85">
        <f t="shared" si="23"/>
        <v>1.255768E-3</v>
      </c>
      <c r="BK48" s="85">
        <f t="shared" si="24"/>
        <v>9.2958910318455684E-3</v>
      </c>
      <c r="BL48" s="152">
        <f t="shared" si="25"/>
        <v>2.2170449291934355</v>
      </c>
      <c r="BM48" s="156">
        <f t="shared" si="26"/>
        <v>1.7027324681239808</v>
      </c>
      <c r="BN48" s="85">
        <f t="shared" si="27"/>
        <v>1.255768E-3</v>
      </c>
      <c r="BO48" s="85">
        <f t="shared" si="28"/>
        <v>7.1694813162488944E-3</v>
      </c>
      <c r="BP48" s="152">
        <f t="shared" si="29"/>
        <v>1.7099019494402297</v>
      </c>
    </row>
    <row r="49" spans="1:68" ht="15.75" thickBot="1" x14ac:dyDescent="0.3">
      <c r="A49" s="17" t="s">
        <v>36</v>
      </c>
      <c r="B49" s="18">
        <v>3</v>
      </c>
      <c r="C49" s="103">
        <v>41963.363888888889</v>
      </c>
      <c r="D49" s="83">
        <v>41963.472222222219</v>
      </c>
      <c r="E49" s="184">
        <f t="shared" si="4"/>
        <v>0.10833333332993789</v>
      </c>
      <c r="F49" s="18">
        <v>0</v>
      </c>
      <c r="G49" s="18">
        <f t="shared" si="5"/>
        <v>0.98190336152999991</v>
      </c>
      <c r="H49" s="18">
        <v>13.28</v>
      </c>
      <c r="I49" s="18">
        <f>('Low STDs'!H$20*'Low Data'!H49)+'Low STDs'!H$21</f>
        <v>3.5581896940291102</v>
      </c>
      <c r="J49" s="18">
        <v>13091.331</v>
      </c>
      <c r="K49" s="38">
        <f>('Low STDs'!AE$20*'Low Data'!J49)+'Low STDs'!AE$21</f>
        <v>4086.5203680257405</v>
      </c>
      <c r="L49" s="75">
        <v>41963.588194444441</v>
      </c>
      <c r="M49" s="184">
        <f t="shared" si="0"/>
        <v>0.22430555555183673</v>
      </c>
      <c r="N49" s="18">
        <v>0</v>
      </c>
      <c r="O49" s="18">
        <f t="shared" si="6"/>
        <v>0.98190336152999991</v>
      </c>
      <c r="P49" s="18">
        <v>9.64</v>
      </c>
      <c r="Q49" s="18">
        <f>('Low STDs'!K$20*'Low Data'!P49)+'Low STDs'!K$21</f>
        <v>2.6848603934767441</v>
      </c>
      <c r="R49" s="18">
        <v>17700.805</v>
      </c>
      <c r="S49" s="29">
        <f>('Low STDs'!AB$20*'Low Data'!R49)+'Low STDs'!AB$21</f>
        <v>5603.0085816219989</v>
      </c>
      <c r="T49" s="83">
        <v>41963.7</v>
      </c>
      <c r="U49" s="184">
        <f t="shared" si="1"/>
        <v>0.33611111110803904</v>
      </c>
      <c r="V49" s="18">
        <v>0</v>
      </c>
      <c r="W49" s="18">
        <f t="shared" si="7"/>
        <v>0.98190336152999991</v>
      </c>
      <c r="X49" s="18">
        <v>8.8849999999999998</v>
      </c>
      <c r="Y49" s="18">
        <f>('Low STDs'!N$20*'Low Data'!X49)+'Low STDs'!N$21</f>
        <v>2.5182320906172411</v>
      </c>
      <c r="Z49" s="18">
        <v>17888.66</v>
      </c>
      <c r="AA49" s="38">
        <f>('Low STDs'!Y$20*'Low Data'!Z49)+'Low STDs'!Y$21</f>
        <v>5634.9930218749669</v>
      </c>
      <c r="AB49" s="75">
        <v>41963.8125</v>
      </c>
      <c r="AC49" s="184">
        <f t="shared" si="2"/>
        <v>0.44861111111094942</v>
      </c>
      <c r="AD49" s="18">
        <v>0</v>
      </c>
      <c r="AE49" s="18">
        <f t="shared" si="8"/>
        <v>0.98190336152999991</v>
      </c>
      <c r="AF49" s="18">
        <v>4.1920000000000002</v>
      </c>
      <c r="AG49" s="18">
        <f>('Low STDs'!N$20*'Low Data'!AF49)+'Low STDs'!N$21</f>
        <v>1.264333571807589</v>
      </c>
      <c r="AH49" s="18">
        <v>18309.743999999999</v>
      </c>
      <c r="AI49" s="119">
        <f>('Low STDs'!Y$20*'Low Data'!AH49)+'Low STDs'!Y$21</f>
        <v>5763.7008473917349</v>
      </c>
      <c r="AJ49" s="69"/>
      <c r="AK49" s="215">
        <v>0.50434738325729234</v>
      </c>
      <c r="AL49" s="123">
        <v>200.33</v>
      </c>
      <c r="AM49" s="123">
        <f t="shared" si="9"/>
        <v>95.859469062949898</v>
      </c>
      <c r="AN49" s="18">
        <f t="shared" si="10"/>
        <v>104.47053093705011</v>
      </c>
      <c r="AO49" s="18"/>
      <c r="AP49" s="123">
        <v>0.97330000000000005</v>
      </c>
      <c r="AQ49" s="123">
        <v>6.3209</v>
      </c>
      <c r="AR49" s="123">
        <v>3.9979</v>
      </c>
      <c r="AS49" s="18">
        <f t="shared" si="11"/>
        <v>3.0246</v>
      </c>
      <c r="AT49" s="18">
        <f t="shared" si="12"/>
        <v>52.149219256751408</v>
      </c>
      <c r="AU49" s="18"/>
      <c r="AV49" s="18">
        <v>190.06635554218249</v>
      </c>
      <c r="AW49" s="18">
        <f t="shared" si="13"/>
        <v>330.80311352076751</v>
      </c>
      <c r="AX49" s="18">
        <v>28</v>
      </c>
      <c r="AY49" s="38">
        <f t="shared" si="3"/>
        <v>301</v>
      </c>
      <c r="BA49" s="17">
        <f t="shared" si="14"/>
        <v>4.7654144535775905E-2</v>
      </c>
      <c r="BB49" s="123">
        <f t="shared" si="15"/>
        <v>1.255768E-3</v>
      </c>
      <c r="BC49" s="123">
        <f>BB49*AN49*I49*10^(-3)</f>
        <v>4.6680157351228078E-4</v>
      </c>
      <c r="BD49" s="153">
        <f t="shared" si="17"/>
        <v>4.8120946109288187E-2</v>
      </c>
      <c r="BE49" s="159">
        <f t="shared" si="18"/>
        <v>3.5957814577401839E-2</v>
      </c>
      <c r="BF49" s="123">
        <f t="shared" si="19"/>
        <v>1.255768E-3</v>
      </c>
      <c r="BG49" s="123">
        <f t="shared" si="20"/>
        <v>3.5222884784329097E-4</v>
      </c>
      <c r="BH49" s="165">
        <f t="shared" si="21"/>
        <v>3.6310043425245131E-2</v>
      </c>
      <c r="BI49" s="17">
        <f t="shared" si="22"/>
        <v>3.3726194031273408E-2</v>
      </c>
      <c r="BJ49" s="123">
        <f t="shared" si="23"/>
        <v>1.255768E-3</v>
      </c>
      <c r="BK49" s="123">
        <f t="shared" si="24"/>
        <v>3.3036875587095425E-4</v>
      </c>
      <c r="BL49" s="153">
        <f t="shared" si="25"/>
        <v>3.4056562787144362E-2</v>
      </c>
      <c r="BM49" s="159">
        <f t="shared" si="26"/>
        <v>1.6932974336207416E-2</v>
      </c>
      <c r="BN49" s="123">
        <f t="shared" si="27"/>
        <v>1.255768E-3</v>
      </c>
      <c r="BO49" s="123">
        <f t="shared" si="28"/>
        <v>1.6586886914842384E-4</v>
      </c>
      <c r="BP49" s="153">
        <f t="shared" si="29"/>
        <v>1.7098843205355839E-2</v>
      </c>
    </row>
  </sheetData>
  <mergeCells count="9">
    <mergeCell ref="BA3:BD3"/>
    <mergeCell ref="BE3:BH3"/>
    <mergeCell ref="BI3:BL3"/>
    <mergeCell ref="BM3:BP3"/>
    <mergeCell ref="D3:K3"/>
    <mergeCell ref="L3:S3"/>
    <mergeCell ref="T3:AA3"/>
    <mergeCell ref="AB3:AI3"/>
    <mergeCell ref="AP3:AT3"/>
  </mergeCells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Y49"/>
  <sheetViews>
    <sheetView zoomScale="70" zoomScaleNormal="70" workbookViewId="0">
      <selection activeCell="O11" sqref="O11"/>
    </sheetView>
  </sheetViews>
  <sheetFormatPr defaultRowHeight="15" x14ac:dyDescent="0.25"/>
  <sheetData>
    <row r="3" spans="1:25" ht="15.75" thickBot="1" x14ac:dyDescent="0.3">
      <c r="H3" s="166" t="s">
        <v>118</v>
      </c>
      <c r="I3" s="166" t="s">
        <v>119</v>
      </c>
      <c r="J3" s="166" t="s">
        <v>120</v>
      </c>
      <c r="K3" s="166" t="s">
        <v>121</v>
      </c>
      <c r="M3" s="166" t="s">
        <v>118</v>
      </c>
      <c r="N3" s="166" t="s">
        <v>119</v>
      </c>
      <c r="O3" s="166" t="s">
        <v>120</v>
      </c>
      <c r="P3" s="166" t="s">
        <v>121</v>
      </c>
    </row>
    <row r="4" spans="1:25" ht="45.75" thickBot="1" x14ac:dyDescent="0.3">
      <c r="A4" s="19" t="s">
        <v>0</v>
      </c>
      <c r="B4" s="20" t="s">
        <v>50</v>
      </c>
      <c r="C4" s="20" t="s">
        <v>122</v>
      </c>
      <c r="D4" s="20" t="s">
        <v>123</v>
      </c>
      <c r="E4" s="20" t="s">
        <v>124</v>
      </c>
      <c r="F4" s="20" t="s">
        <v>138</v>
      </c>
      <c r="G4" s="20"/>
      <c r="H4" s="20" t="s">
        <v>116</v>
      </c>
      <c r="I4" s="20" t="s">
        <v>116</v>
      </c>
      <c r="J4" s="20" t="s">
        <v>116</v>
      </c>
      <c r="K4" s="20" t="s">
        <v>116</v>
      </c>
      <c r="L4" s="222"/>
      <c r="M4" s="133" t="s">
        <v>157</v>
      </c>
      <c r="N4" s="133" t="s">
        <v>157</v>
      </c>
      <c r="O4" s="133" t="s">
        <v>157</v>
      </c>
      <c r="P4" s="133" t="s">
        <v>157</v>
      </c>
      <c r="Q4" s="133"/>
      <c r="R4" s="133" t="s">
        <v>142</v>
      </c>
      <c r="S4" s="133" t="s">
        <v>68</v>
      </c>
      <c r="T4" s="133"/>
      <c r="U4" s="133" t="s">
        <v>142</v>
      </c>
      <c r="V4" s="230" t="s">
        <v>68</v>
      </c>
      <c r="W4" s="231"/>
      <c r="X4" s="133" t="s">
        <v>148</v>
      </c>
      <c r="Y4" s="91" t="s">
        <v>68</v>
      </c>
    </row>
    <row r="5" spans="1:25" x14ac:dyDescent="0.25">
      <c r="A5" s="9" t="s">
        <v>21</v>
      </c>
      <c r="B5" s="10">
        <v>1</v>
      </c>
      <c r="C5" s="181">
        <v>1.2499999997089617E-2</v>
      </c>
      <c r="D5" s="181">
        <v>0.12083333333430346</v>
      </c>
      <c r="E5" s="181">
        <v>0.23680555555620231</v>
      </c>
      <c r="F5" s="181">
        <v>0.34861111110512866</v>
      </c>
      <c r="G5" s="10"/>
      <c r="H5" s="10">
        <v>0.12383654080485701</v>
      </c>
      <c r="I5" s="10">
        <v>4.5372396413131323E-2</v>
      </c>
      <c r="J5" s="10">
        <v>3.6275779846876299E-2</v>
      </c>
      <c r="K5" s="10">
        <v>3.0049365836901883E-2</v>
      </c>
      <c r="L5" s="10"/>
      <c r="M5" s="10">
        <f>LN(H5/$H$5)</f>
        <v>0</v>
      </c>
      <c r="N5" s="10">
        <f>LN(I5/$H$5)</f>
        <v>-1.0040585650601432</v>
      </c>
      <c r="O5" s="10">
        <f>LN(J5/$H$5)</f>
        <v>-1.2278121799438648</v>
      </c>
      <c r="P5" s="10">
        <f>LN(K5/$H$5)</f>
        <v>-1.4161209195127149</v>
      </c>
      <c r="Q5" s="10"/>
      <c r="R5" s="10">
        <f>SLOPE(M5:P5,C5:F5)</f>
        <v>-3.9588842814591851</v>
      </c>
      <c r="S5" s="10">
        <f>RSQ(M5:P5,C5:F5)</f>
        <v>0.82968722041628851</v>
      </c>
      <c r="T5" s="10"/>
      <c r="U5" s="10">
        <f>SLOPE(N5:P5,D5:F5)</f>
        <v>-1.8098012240415982</v>
      </c>
      <c r="V5" s="26">
        <f>RSQ(N5:P5,D5:F5)</f>
        <v>0.99847501503137759</v>
      </c>
      <c r="W5" s="15"/>
      <c r="X5" s="128">
        <f>SLOPE(N5:P5,D5:F5)</f>
        <v>-1.8098012240415982</v>
      </c>
      <c r="Y5" s="154">
        <f t="shared" ref="Y5:Y10" si="0">RSQ(N5:P5,D5:F5)</f>
        <v>0.99847501503137759</v>
      </c>
    </row>
    <row r="6" spans="1:25" x14ac:dyDescent="0.25">
      <c r="A6" s="11" t="s">
        <v>21</v>
      </c>
      <c r="B6" s="12">
        <v>2</v>
      </c>
      <c r="C6" s="182">
        <v>1.4583333329937886E-2</v>
      </c>
      <c r="D6" s="182">
        <v>0.12361111110658385</v>
      </c>
      <c r="E6" s="182">
        <v>0.23958333332848269</v>
      </c>
      <c r="F6" s="182">
        <v>0.35069444444525288</v>
      </c>
      <c r="G6" s="12"/>
      <c r="H6" s="12">
        <v>4.3155817030709399E-2</v>
      </c>
      <c r="I6" s="12">
        <v>3.3220545177898797E-2</v>
      </c>
      <c r="J6" s="12">
        <v>3.4800247470981281E-2</v>
      </c>
      <c r="K6" s="12">
        <v>3.4736358479763994E-2</v>
      </c>
      <c r="L6" s="12"/>
      <c r="M6" s="12">
        <f>LN(H6/$H$6)</f>
        <v>0</v>
      </c>
      <c r="N6" s="12">
        <f>LN(I6/$H$6)</f>
        <v>-0.26164870277631891</v>
      </c>
      <c r="O6" s="12">
        <f>LN(J6/$H$6)</f>
        <v>-0.21519271997139061</v>
      </c>
      <c r="P6" s="12">
        <f>LN(K6/$H$6)</f>
        <v>-0.21703028475676639</v>
      </c>
      <c r="Q6" s="12"/>
      <c r="R6" s="12">
        <f t="shared" ref="R6:R49" si="1">SLOPE(M6:P6,C6:F6)</f>
        <v>-0.53224782217066346</v>
      </c>
      <c r="S6" s="12">
        <f t="shared" ref="S6:S49" si="2">RSQ(M6:P6,C6:F6)</f>
        <v>0.43143468501421323</v>
      </c>
      <c r="T6" s="12"/>
      <c r="U6" s="12">
        <f t="shared" ref="U6:U49" si="3">SLOPE(N6:P6,D6:F6)</f>
        <v>0.19797205110639801</v>
      </c>
      <c r="V6" s="27">
        <f t="shared" ref="V6:V49" si="4">RSQ(N6:P6,D6:F6)</f>
        <v>0.73020223672181905</v>
      </c>
      <c r="W6" s="16"/>
      <c r="X6" s="85">
        <f>SLOPE(N6:P6,D6:F6)</f>
        <v>0.19797205110639801</v>
      </c>
      <c r="Y6" s="152">
        <f t="shared" si="0"/>
        <v>0.73020223672181905</v>
      </c>
    </row>
    <row r="7" spans="1:25" ht="15.75" thickBot="1" x14ac:dyDescent="0.3">
      <c r="A7" s="13" t="s">
        <v>21</v>
      </c>
      <c r="B7" s="14">
        <v>3</v>
      </c>
      <c r="C7" s="183">
        <v>1.5972222223354038E-2</v>
      </c>
      <c r="D7" s="183">
        <v>0.125</v>
      </c>
      <c r="E7" s="183">
        <v>0.24097222222189885</v>
      </c>
      <c r="F7" s="183">
        <v>0.35277777777810115</v>
      </c>
      <c r="G7" s="14"/>
      <c r="H7" s="14">
        <v>5.7704144559097281E-2</v>
      </c>
      <c r="I7" s="14">
        <v>4.9722972974971705E-2</v>
      </c>
      <c r="J7" s="14">
        <v>5.1528624701957633E-2</v>
      </c>
      <c r="K7" s="14">
        <v>5.405364258357475E-2</v>
      </c>
      <c r="L7" s="14"/>
      <c r="M7" s="14">
        <f>LN(H7/H7)</f>
        <v>0</v>
      </c>
      <c r="N7" s="14">
        <f>LN(I7/H7)</f>
        <v>-0.14886194117885462</v>
      </c>
      <c r="O7" s="14">
        <f>LN(J7/H7)</f>
        <v>-0.11319152766677747</v>
      </c>
      <c r="P7" s="14">
        <f>LN(K7/H7)</f>
        <v>-6.5352065716518137E-2</v>
      </c>
      <c r="Q7" s="14"/>
      <c r="R7" s="14">
        <f t="shared" si="1"/>
        <v>-0.13870889402538952</v>
      </c>
      <c r="S7" s="14">
        <f t="shared" si="2"/>
        <v>9.8091977335034983E-2</v>
      </c>
      <c r="T7" s="14"/>
      <c r="U7" s="14">
        <f t="shared" si="3"/>
        <v>0.36626210564354739</v>
      </c>
      <c r="V7" s="28">
        <f t="shared" si="4"/>
        <v>0.99109730797497575</v>
      </c>
      <c r="W7" s="55"/>
      <c r="X7" s="60">
        <f t="shared" ref="X7:X10" si="5">SLOPE(N7:P7,D7:F7)</f>
        <v>0.36626210564354739</v>
      </c>
      <c r="Y7" s="67">
        <f t="shared" si="0"/>
        <v>0.99109730797497575</v>
      </c>
    </row>
    <row r="8" spans="1:25" x14ac:dyDescent="0.25">
      <c r="A8" s="47" t="s">
        <v>22</v>
      </c>
      <c r="B8" s="48">
        <v>1</v>
      </c>
      <c r="C8" s="188">
        <v>1.8055555556202307E-2</v>
      </c>
      <c r="D8" s="188">
        <v>0.12708333333284827</v>
      </c>
      <c r="E8" s="188">
        <v>0.24305555555474712</v>
      </c>
      <c r="F8" s="188">
        <v>0.3555555555576575</v>
      </c>
      <c r="G8" s="48"/>
      <c r="H8" s="48">
        <v>0.39814834942958205</v>
      </c>
      <c r="I8" s="48">
        <v>9.8232972182158013E-2</v>
      </c>
      <c r="J8" s="48">
        <v>9.1700987132487047E-2</v>
      </c>
      <c r="K8" s="48">
        <v>8.4074989514116141E-2</v>
      </c>
      <c r="L8" s="48"/>
      <c r="M8" s="48">
        <f>LN(H8/H8)</f>
        <v>0</v>
      </c>
      <c r="N8" s="48">
        <f>LN(I8/H8)</f>
        <v>-1.3994827484892298</v>
      </c>
      <c r="O8" s="48">
        <f>LN(J8/H8)</f>
        <v>-1.468291529087373</v>
      </c>
      <c r="P8" s="48">
        <f>LN(K8/H8)</f>
        <v>-1.5551155401896861</v>
      </c>
      <c r="Q8" s="48"/>
      <c r="R8" s="48">
        <f t="shared" si="1"/>
        <v>-4.1657101022962566</v>
      </c>
      <c r="S8" s="48">
        <f t="shared" si="2"/>
        <v>0.67286442885617448</v>
      </c>
      <c r="T8" s="48"/>
      <c r="U8" s="48">
        <f t="shared" si="3"/>
        <v>-0.68073726251138023</v>
      </c>
      <c r="V8" s="110">
        <f t="shared" si="4"/>
        <v>0.99430968774004402</v>
      </c>
      <c r="W8" s="3"/>
      <c r="X8" s="4">
        <f t="shared" si="5"/>
        <v>-0.68073726251138023</v>
      </c>
      <c r="Y8" s="35">
        <f t="shared" si="0"/>
        <v>0.99430968774004402</v>
      </c>
    </row>
    <row r="9" spans="1:25" x14ac:dyDescent="0.25">
      <c r="A9" s="50" t="s">
        <v>22</v>
      </c>
      <c r="B9" s="51">
        <v>2</v>
      </c>
      <c r="C9" s="187">
        <v>1.9444444442342501E-2</v>
      </c>
      <c r="D9" s="187">
        <v>0.12847222221898846</v>
      </c>
      <c r="E9" s="187">
        <v>0.24444444444816327</v>
      </c>
      <c r="F9" s="187">
        <v>0.35763888889050577</v>
      </c>
      <c r="G9" s="51"/>
      <c r="H9" s="51">
        <v>0.26583658064471799</v>
      </c>
      <c r="I9" s="51">
        <v>5.0550801498509816E-2</v>
      </c>
      <c r="J9" s="51">
        <v>3.6640291830234463E-2</v>
      </c>
      <c r="K9" s="51">
        <v>3.5204487784944567E-2</v>
      </c>
      <c r="L9" s="51"/>
      <c r="M9" s="51">
        <f t="shared" ref="M9:M49" si="6">LN(H9/H9)</f>
        <v>0</v>
      </c>
      <c r="N9" s="51">
        <f t="shared" ref="N9:N49" si="7">LN(I9/H9)</f>
        <v>-1.6599029606078668</v>
      </c>
      <c r="O9" s="51">
        <f t="shared" ref="O9:O49" si="8">LN(J9/H9)</f>
        <v>-1.9817332569345096</v>
      </c>
      <c r="P9" s="51">
        <f t="shared" ref="P9:P49" si="9">LN(K9/H9)</f>
        <v>-2.0217081931398293</v>
      </c>
      <c r="Q9" s="51"/>
      <c r="R9" s="51">
        <f t="shared" si="1"/>
        <v>-5.6141604002405412</v>
      </c>
      <c r="S9" s="51">
        <f t="shared" si="2"/>
        <v>0.73218112830067572</v>
      </c>
      <c r="T9" s="51"/>
      <c r="U9" s="51">
        <f t="shared" si="3"/>
        <v>-1.5836782599138282</v>
      </c>
      <c r="V9" s="111">
        <f t="shared" si="4"/>
        <v>0.83694695618368797</v>
      </c>
      <c r="W9" s="5"/>
      <c r="X9" s="6">
        <f t="shared" si="5"/>
        <v>-1.5836782599138282</v>
      </c>
      <c r="Y9" s="36">
        <f t="shared" si="0"/>
        <v>0.83694695618368797</v>
      </c>
    </row>
    <row r="10" spans="1:25" ht="15.75" thickBot="1" x14ac:dyDescent="0.3">
      <c r="A10" s="92" t="s">
        <v>22</v>
      </c>
      <c r="B10" s="53">
        <v>3</v>
      </c>
      <c r="C10" s="189">
        <v>2.2222222221898846E-2</v>
      </c>
      <c r="D10" s="189">
        <v>0.13124999999854481</v>
      </c>
      <c r="E10" s="189">
        <v>0.24652777778101154</v>
      </c>
      <c r="F10" s="189">
        <v>0.35972222222335404</v>
      </c>
      <c r="G10" s="53"/>
      <c r="H10" s="53">
        <v>0.27661842700910272</v>
      </c>
      <c r="I10" s="53">
        <v>4.4850192116837051E-2</v>
      </c>
      <c r="J10" s="53">
        <v>3.3526127544315949E-2</v>
      </c>
      <c r="K10" s="53">
        <v>3.220997397335678E-2</v>
      </c>
      <c r="L10" s="53"/>
      <c r="M10" s="53">
        <f t="shared" si="6"/>
        <v>0</v>
      </c>
      <c r="N10" s="53">
        <f t="shared" si="7"/>
        <v>-1.8193111646748152</v>
      </c>
      <c r="O10" s="53">
        <f t="shared" si="8"/>
        <v>-2.1103139751697224</v>
      </c>
      <c r="P10" s="53">
        <f t="shared" si="9"/>
        <v>-2.1503628813990865</v>
      </c>
      <c r="Q10" s="53"/>
      <c r="R10" s="53">
        <f t="shared" si="1"/>
        <v>-5.9399660983747138</v>
      </c>
      <c r="S10" s="53">
        <f t="shared" si="2"/>
        <v>0.71335409057665156</v>
      </c>
      <c r="T10" s="53"/>
      <c r="U10" s="53">
        <f t="shared" si="3"/>
        <v>-1.452278509079475</v>
      </c>
      <c r="V10" s="112">
        <f t="shared" si="4"/>
        <v>0.84309374141235871</v>
      </c>
      <c r="W10" s="7"/>
      <c r="X10" s="8">
        <f t="shared" si="5"/>
        <v>-1.452278509079475</v>
      </c>
      <c r="Y10" s="37">
        <f t="shared" si="0"/>
        <v>0.84309374141235871</v>
      </c>
    </row>
    <row r="11" spans="1:25" x14ac:dyDescent="0.25">
      <c r="A11" s="9" t="s">
        <v>23</v>
      </c>
      <c r="B11" s="10">
        <v>1</v>
      </c>
      <c r="C11" s="181">
        <v>2.4305555554747116E-2</v>
      </c>
      <c r="D11" s="181">
        <v>0.13333333333139308</v>
      </c>
      <c r="E11" s="181">
        <v>0.25</v>
      </c>
      <c r="F11" s="181">
        <v>0.36180555555620231</v>
      </c>
      <c r="G11" s="10"/>
      <c r="H11" s="10">
        <v>0.11317440858473343</v>
      </c>
      <c r="I11" s="10">
        <v>7.5218619554717744E-2</v>
      </c>
      <c r="J11" s="10">
        <v>6.179288181061466E-2</v>
      </c>
      <c r="K11" s="10">
        <v>5.1687807250080105E-2</v>
      </c>
      <c r="L11" s="10"/>
      <c r="M11" s="10">
        <f t="shared" si="6"/>
        <v>0</v>
      </c>
      <c r="N11" s="10">
        <f t="shared" si="7"/>
        <v>-0.40853126686826924</v>
      </c>
      <c r="O11" s="10">
        <f t="shared" si="8"/>
        <v>-0.60514189086601766</v>
      </c>
      <c r="P11" s="10">
        <f t="shared" si="9"/>
        <v>-0.78370815049274078</v>
      </c>
      <c r="Q11" s="10"/>
      <c r="R11" s="10">
        <f t="shared" si="1"/>
        <v>-2.2515469427349917</v>
      </c>
      <c r="S11" s="10">
        <f t="shared" si="2"/>
        <v>0.95166766143404036</v>
      </c>
      <c r="T11" s="10"/>
      <c r="U11" s="10">
        <f t="shared" si="3"/>
        <v>-1.6424238799669131</v>
      </c>
      <c r="V11" s="26">
        <f t="shared" si="4"/>
        <v>0.99976046753523906</v>
      </c>
      <c r="W11" s="15"/>
      <c r="X11" s="128">
        <f>SLOPE(M11:P11,C11:F11)</f>
        <v>-2.2515469427349917</v>
      </c>
      <c r="Y11" s="154">
        <f>RSQ(M11:P11,C11:F11)</f>
        <v>0.95166766143404036</v>
      </c>
    </row>
    <row r="12" spans="1:25" x14ac:dyDescent="0.25">
      <c r="A12" s="11" t="s">
        <v>23</v>
      </c>
      <c r="B12" s="12">
        <v>2</v>
      </c>
      <c r="C12" s="182">
        <v>2.569444444088731E-2</v>
      </c>
      <c r="D12" s="182">
        <v>0.13541666666424135</v>
      </c>
      <c r="E12" s="182">
        <v>0.25138888888614019</v>
      </c>
      <c r="F12" s="182">
        <v>0.3631944444423425</v>
      </c>
      <c r="G12" s="12"/>
      <c r="H12" s="12">
        <v>0.1080809964556541</v>
      </c>
      <c r="I12" s="12">
        <v>8.0604228393220206E-2</v>
      </c>
      <c r="J12" s="12">
        <v>6.1463388650405765E-2</v>
      </c>
      <c r="K12" s="12">
        <v>6.0288894552472543E-2</v>
      </c>
      <c r="L12" s="12"/>
      <c r="M12" s="12">
        <f t="shared" si="6"/>
        <v>0</v>
      </c>
      <c r="N12" s="12">
        <f t="shared" si="7"/>
        <v>-0.29332980363046895</v>
      </c>
      <c r="O12" s="12">
        <f t="shared" si="8"/>
        <v>-0.56443922217160558</v>
      </c>
      <c r="P12" s="12">
        <f t="shared" si="9"/>
        <v>-0.58373299639198128</v>
      </c>
      <c r="Q12" s="12"/>
      <c r="R12" s="12">
        <f t="shared" si="1"/>
        <v>-1.7915296721019267</v>
      </c>
      <c r="S12" s="12">
        <f t="shared" si="2"/>
        <v>0.90476384935212151</v>
      </c>
      <c r="T12" s="12"/>
      <c r="U12" s="12">
        <f t="shared" si="3"/>
        <v>-1.2815389518235145</v>
      </c>
      <c r="V12" s="27">
        <f t="shared" si="4"/>
        <v>0.80798161357648257</v>
      </c>
      <c r="W12" s="16"/>
      <c r="X12" s="85">
        <f t="shared" ref="X12:X19" si="10">SLOPE(M12:P12,C12:F12)</f>
        <v>-1.7915296721019267</v>
      </c>
      <c r="Y12" s="152">
        <f t="shared" ref="Y12:Y19" si="11">RSQ(M12:P12,C12:F12)</f>
        <v>0.90476384935212151</v>
      </c>
    </row>
    <row r="13" spans="1:25" ht="15.75" thickBot="1" x14ac:dyDescent="0.3">
      <c r="A13" s="13" t="s">
        <v>23</v>
      </c>
      <c r="B13" s="14">
        <v>3</v>
      </c>
      <c r="C13" s="183">
        <v>2.7777777773735579E-2</v>
      </c>
      <c r="D13" s="183">
        <v>0.14097222222335404</v>
      </c>
      <c r="E13" s="183">
        <v>0.25347222221898846</v>
      </c>
      <c r="F13" s="183">
        <v>0.36597222222189885</v>
      </c>
      <c r="G13" s="14"/>
      <c r="H13" s="14">
        <v>0.10526522324226222</v>
      </c>
      <c r="I13" s="14">
        <v>7.1677840627534739E-2</v>
      </c>
      <c r="J13" s="14">
        <v>5.4466999047291464E-2</v>
      </c>
      <c r="K13" s="14">
        <v>4.5791107986266767E-2</v>
      </c>
      <c r="L13" s="14"/>
      <c r="M13" s="14">
        <f t="shared" si="6"/>
        <v>0</v>
      </c>
      <c r="N13" s="14">
        <f t="shared" si="7"/>
        <v>-0.38430145794564619</v>
      </c>
      <c r="O13" s="14">
        <f t="shared" si="8"/>
        <v>-0.65888810478602311</v>
      </c>
      <c r="P13" s="14">
        <f t="shared" si="9"/>
        <v>-0.83239317748528863</v>
      </c>
      <c r="Q13" s="14"/>
      <c r="R13" s="14">
        <f t="shared" si="1"/>
        <v>-2.4598133120579759</v>
      </c>
      <c r="S13" s="14">
        <f t="shared" si="2"/>
        <v>0.97234162765632082</v>
      </c>
      <c r="T13" s="14"/>
      <c r="U13" s="14">
        <f t="shared" si="3"/>
        <v>-1.9915187535175596</v>
      </c>
      <c r="V13" s="28">
        <f t="shared" si="4"/>
        <v>0.98332046347458701</v>
      </c>
      <c r="W13" s="55"/>
      <c r="X13" s="60">
        <f t="shared" si="10"/>
        <v>-2.4598133120579759</v>
      </c>
      <c r="Y13" s="67">
        <f t="shared" si="11"/>
        <v>0.97234162765632082</v>
      </c>
    </row>
    <row r="14" spans="1:25" x14ac:dyDescent="0.25">
      <c r="A14" s="47" t="s">
        <v>24</v>
      </c>
      <c r="B14" s="48">
        <v>1</v>
      </c>
      <c r="C14" s="188">
        <v>2.9861111106583849E-2</v>
      </c>
      <c r="D14" s="188">
        <v>0.14305555555620231</v>
      </c>
      <c r="E14" s="188">
        <v>0.25555555555183673</v>
      </c>
      <c r="F14" s="188">
        <v>0.36805555555474712</v>
      </c>
      <c r="G14" s="48"/>
      <c r="H14" s="48">
        <v>2.2462375017660633E-2</v>
      </c>
      <c r="I14" s="48">
        <v>1.0601324122191164E-2</v>
      </c>
      <c r="J14" s="48">
        <v>5.8905410055487637E-3</v>
      </c>
      <c r="K14" s="48">
        <v>5.8905410055487637E-3</v>
      </c>
      <c r="L14" s="48"/>
      <c r="M14" s="48">
        <f t="shared" si="6"/>
        <v>0</v>
      </c>
      <c r="N14" s="48">
        <f t="shared" si="7"/>
        <v>-0.7508627775457879</v>
      </c>
      <c r="O14" s="48">
        <f t="shared" si="8"/>
        <v>-1.338493843068459</v>
      </c>
      <c r="P14" s="48">
        <f t="shared" si="9"/>
        <v>-1.338493843068459</v>
      </c>
      <c r="Q14" s="48"/>
      <c r="R14" s="48">
        <f t="shared" si="1"/>
        <v>-4.0859035638863306</v>
      </c>
      <c r="S14" s="48">
        <f t="shared" si="2"/>
        <v>0.87678693239384253</v>
      </c>
      <c r="T14" s="48"/>
      <c r="U14" s="48">
        <f t="shared" si="3"/>
        <v>-2.6116936245339435</v>
      </c>
      <c r="V14" s="110">
        <f t="shared" si="4"/>
        <v>0.74999999998383104</v>
      </c>
      <c r="W14" s="3"/>
      <c r="X14" s="4">
        <f t="shared" si="10"/>
        <v>-4.0859035638863306</v>
      </c>
      <c r="Y14" s="35">
        <f t="shared" si="11"/>
        <v>0.87678693239384253</v>
      </c>
    </row>
    <row r="15" spans="1:25" x14ac:dyDescent="0.25">
      <c r="A15" s="50" t="s">
        <v>24</v>
      </c>
      <c r="B15" s="51">
        <v>2</v>
      </c>
      <c r="C15" s="187">
        <v>3.125E-2</v>
      </c>
      <c r="D15" s="187">
        <v>0.14513888888905058</v>
      </c>
      <c r="E15" s="187">
        <v>0.25694444444525288</v>
      </c>
      <c r="F15" s="187">
        <v>0.37013888889487134</v>
      </c>
      <c r="G15" s="51"/>
      <c r="H15" s="51">
        <v>6.4073840711505625E-2</v>
      </c>
      <c r="I15" s="51">
        <v>3.8764777140157795E-2</v>
      </c>
      <c r="J15" s="51">
        <v>2.5145615368983843E-2</v>
      </c>
      <c r="K15" s="51">
        <v>2.3271280255653382E-2</v>
      </c>
      <c r="L15" s="51"/>
      <c r="M15" s="51">
        <f t="shared" si="6"/>
        <v>0</v>
      </c>
      <c r="N15" s="51">
        <f t="shared" si="7"/>
        <v>-0.50252415074801504</v>
      </c>
      <c r="O15" s="51">
        <f t="shared" si="8"/>
        <v>-0.93535263726460682</v>
      </c>
      <c r="P15" s="51">
        <f t="shared" si="9"/>
        <v>-1.0128161861728369</v>
      </c>
      <c r="Q15" s="51"/>
      <c r="R15" s="51">
        <f t="shared" si="1"/>
        <v>-3.076430621489274</v>
      </c>
      <c r="S15" s="51">
        <f t="shared" si="2"/>
        <v>0.92465154070448907</v>
      </c>
      <c r="T15" s="51"/>
      <c r="U15" s="51">
        <f t="shared" si="3"/>
        <v>-2.2646860436579432</v>
      </c>
      <c r="V15" s="111">
        <f t="shared" si="4"/>
        <v>0.85836430713844569</v>
      </c>
      <c r="W15" s="5"/>
      <c r="X15" s="6">
        <f t="shared" si="10"/>
        <v>-3.076430621489274</v>
      </c>
      <c r="Y15" s="36">
        <f t="shared" si="11"/>
        <v>0.92465154070448907</v>
      </c>
    </row>
    <row r="16" spans="1:25" ht="15.75" thickBot="1" x14ac:dyDescent="0.3">
      <c r="A16" s="92" t="s">
        <v>24</v>
      </c>
      <c r="B16" s="53">
        <v>3</v>
      </c>
      <c r="C16" s="189">
        <v>3.3333333332848269E-2</v>
      </c>
      <c r="D16" s="189">
        <v>0.14791666666860692</v>
      </c>
      <c r="E16" s="189">
        <v>0.25902777777810115</v>
      </c>
      <c r="F16" s="189">
        <v>0.37222222222771961</v>
      </c>
      <c r="G16" s="53"/>
      <c r="H16" s="53">
        <v>3.7330851670960181E-2</v>
      </c>
      <c r="I16" s="53">
        <v>2.3263930702119108E-2</v>
      </c>
      <c r="J16" s="53">
        <v>1.3634631770531726E-2</v>
      </c>
      <c r="K16" s="53">
        <v>1.0173671026999532E-2</v>
      </c>
      <c r="L16" s="53"/>
      <c r="M16" s="53">
        <f t="shared" si="6"/>
        <v>0</v>
      </c>
      <c r="N16" s="53">
        <f t="shared" si="7"/>
        <v>-0.47291598473195207</v>
      </c>
      <c r="O16" s="53">
        <f t="shared" si="8"/>
        <v>-1.0072070975803513</v>
      </c>
      <c r="P16" s="53">
        <f t="shared" si="9"/>
        <v>-1.3000169961171459</v>
      </c>
      <c r="Q16" s="53"/>
      <c r="R16" s="53">
        <f t="shared" si="1"/>
        <v>-3.9314642446124681</v>
      </c>
      <c r="S16" s="53">
        <f t="shared" si="2"/>
        <v>0.98704972350017262</v>
      </c>
      <c r="T16" s="53"/>
      <c r="U16" s="53">
        <f t="shared" si="3"/>
        <v>-3.6839463391823961</v>
      </c>
      <c r="V16" s="112">
        <f t="shared" si="4"/>
        <v>0.97058632304648806</v>
      </c>
      <c r="W16" s="7"/>
      <c r="X16" s="8">
        <f t="shared" si="10"/>
        <v>-3.9314642446124681</v>
      </c>
      <c r="Y16" s="37">
        <f t="shared" si="11"/>
        <v>0.98704972350017262</v>
      </c>
    </row>
    <row r="17" spans="1:25" x14ac:dyDescent="0.25">
      <c r="A17" s="9" t="s">
        <v>26</v>
      </c>
      <c r="B17" s="10">
        <v>1</v>
      </c>
      <c r="C17" s="181">
        <v>3.680555555911269E-2</v>
      </c>
      <c r="D17" s="181">
        <v>0.15000000000145519</v>
      </c>
      <c r="E17" s="181">
        <v>0.26319444444379769</v>
      </c>
      <c r="F17" s="181">
        <v>0.37430555556056788</v>
      </c>
      <c r="G17" s="10"/>
      <c r="H17" s="10">
        <v>8.4902163944078901E-2</v>
      </c>
      <c r="I17" s="10">
        <v>3.7755230689466068E-2</v>
      </c>
      <c r="J17" s="10">
        <v>2.5506465288456844E-2</v>
      </c>
      <c r="K17" s="10">
        <v>2.2564033777008486E-2</v>
      </c>
      <c r="L17" s="10"/>
      <c r="M17" s="10">
        <f t="shared" si="6"/>
        <v>0</v>
      </c>
      <c r="N17" s="10">
        <f t="shared" si="7"/>
        <v>-0.8103755537375178</v>
      </c>
      <c r="O17" s="10">
        <f t="shared" si="8"/>
        <v>-1.2025676203920184</v>
      </c>
      <c r="P17" s="10">
        <f t="shared" si="9"/>
        <v>-1.3251423683251622</v>
      </c>
      <c r="Q17" s="10"/>
      <c r="R17" s="10">
        <f t="shared" si="1"/>
        <v>-3.8852629649452033</v>
      </c>
      <c r="S17" s="10">
        <f t="shared" si="2"/>
        <v>0.89123017538666793</v>
      </c>
      <c r="T17" s="10"/>
      <c r="U17" s="10">
        <f t="shared" si="3"/>
        <v>-2.2985909379170333</v>
      </c>
      <c r="V17" s="26">
        <f t="shared" si="4"/>
        <v>0.91916515920985364</v>
      </c>
      <c r="W17" s="15"/>
      <c r="X17" s="128">
        <f t="shared" si="10"/>
        <v>-3.8852629649452033</v>
      </c>
      <c r="Y17" s="154">
        <f t="shared" si="11"/>
        <v>0.89123017538666793</v>
      </c>
    </row>
    <row r="18" spans="1:25" x14ac:dyDescent="0.25">
      <c r="A18" s="11" t="s">
        <v>26</v>
      </c>
      <c r="B18" s="12">
        <v>2</v>
      </c>
      <c r="C18" s="182">
        <v>3.8194444445252884E-2</v>
      </c>
      <c r="D18" s="182">
        <v>0.15138888888759539</v>
      </c>
      <c r="E18" s="182">
        <v>0.26527777777664596</v>
      </c>
      <c r="F18" s="182">
        <v>0.37569444444670808</v>
      </c>
      <c r="G18" s="12"/>
      <c r="H18" s="12">
        <v>7.4706930278586103E-2</v>
      </c>
      <c r="I18" s="12">
        <v>2.7613965117965135E-2</v>
      </c>
      <c r="J18" s="12">
        <v>1.0543898932635855E-2</v>
      </c>
      <c r="K18" s="12">
        <v>7.221066442257615E-3</v>
      </c>
      <c r="L18" s="12"/>
      <c r="M18" s="12">
        <f t="shared" si="6"/>
        <v>0</v>
      </c>
      <c r="N18" s="12">
        <f t="shared" si="7"/>
        <v>-0.99525123535711713</v>
      </c>
      <c r="O18" s="12">
        <f t="shared" si="8"/>
        <v>-1.9580254702312749</v>
      </c>
      <c r="P18" s="12">
        <f t="shared" si="9"/>
        <v>-2.3365702139681344</v>
      </c>
      <c r="Q18" s="12"/>
      <c r="R18" s="12">
        <f t="shared" si="1"/>
        <v>-7.0861656272759985</v>
      </c>
      <c r="S18" s="12">
        <f t="shared" si="2"/>
        <v>0.96875331367334394</v>
      </c>
      <c r="T18" s="12"/>
      <c r="U18" s="12">
        <f t="shared" si="3"/>
        <v>-5.9928351063135263</v>
      </c>
      <c r="V18" s="27">
        <f t="shared" si="4"/>
        <v>0.94467967588309854</v>
      </c>
      <c r="W18" s="16"/>
      <c r="X18" s="85">
        <f t="shared" si="10"/>
        <v>-7.0861656272759985</v>
      </c>
      <c r="Y18" s="152">
        <f t="shared" si="11"/>
        <v>0.96875331367334394</v>
      </c>
    </row>
    <row r="19" spans="1:25" ht="15.75" thickBot="1" x14ac:dyDescent="0.3">
      <c r="A19" s="13" t="s">
        <v>26</v>
      </c>
      <c r="B19" s="14">
        <v>3</v>
      </c>
      <c r="C19" s="183">
        <v>4.1666666664241347E-2</v>
      </c>
      <c r="D19" s="183">
        <v>0.15347222222044365</v>
      </c>
      <c r="E19" s="183">
        <v>0.26736111110949423</v>
      </c>
      <c r="F19" s="183">
        <v>0.37777777777955635</v>
      </c>
      <c r="G19" s="14"/>
      <c r="H19" s="14">
        <v>4.8849150650177343E-2</v>
      </c>
      <c r="I19" s="14">
        <v>1.3491894424479244E-2</v>
      </c>
      <c r="J19" s="14">
        <v>5.0748908290692944E-3</v>
      </c>
      <c r="K19" s="14">
        <v>2.2066025749517462E-3</v>
      </c>
      <c r="L19" s="14"/>
      <c r="M19" s="14">
        <f t="shared" si="6"/>
        <v>0</v>
      </c>
      <c r="N19" s="14">
        <f t="shared" si="7"/>
        <v>-1.28664789931982</v>
      </c>
      <c r="O19" s="14">
        <f t="shared" si="8"/>
        <v>-2.2644319782595632</v>
      </c>
      <c r="P19" s="14">
        <f t="shared" si="9"/>
        <v>-3.0972829551673948</v>
      </c>
      <c r="Q19" s="14"/>
      <c r="R19" s="14">
        <f t="shared" si="1"/>
        <v>-9.1526428239886233</v>
      </c>
      <c r="S19" s="14">
        <f t="shared" si="2"/>
        <v>0.99043471548125639</v>
      </c>
      <c r="T19" s="14"/>
      <c r="U19" s="14">
        <f t="shared" si="3"/>
        <v>-8.0748701322039178</v>
      </c>
      <c r="V19" s="28">
        <f t="shared" si="4"/>
        <v>0.99861350100150759</v>
      </c>
      <c r="W19" s="55"/>
      <c r="X19" s="60">
        <f t="shared" si="10"/>
        <v>-9.1526428239886233</v>
      </c>
      <c r="Y19" s="67">
        <f t="shared" si="11"/>
        <v>0.99043471548125639</v>
      </c>
    </row>
    <row r="20" spans="1:25" x14ac:dyDescent="0.25">
      <c r="A20" s="47" t="s">
        <v>27</v>
      </c>
      <c r="B20" s="48">
        <v>1</v>
      </c>
      <c r="C20" s="188">
        <v>4.3749999997089617E-2</v>
      </c>
      <c r="D20" s="188">
        <v>0.15625</v>
      </c>
      <c r="E20" s="188">
        <v>0.2694444444423425</v>
      </c>
      <c r="F20" s="188">
        <v>0.38055555555911269</v>
      </c>
      <c r="G20" s="48"/>
      <c r="H20" s="48">
        <v>9.4306304015933512E-2</v>
      </c>
      <c r="I20" s="48">
        <v>1.7954435037410177E-2</v>
      </c>
      <c r="J20" s="48">
        <v>1.2926568328437716E-2</v>
      </c>
      <c r="K20" s="48">
        <v>1.3575410004991692E-2</v>
      </c>
      <c r="L20" s="48"/>
      <c r="M20" s="48">
        <f t="shared" si="6"/>
        <v>0</v>
      </c>
      <c r="N20" s="48">
        <f t="shared" si="7"/>
        <v>-1.6587108763424072</v>
      </c>
      <c r="O20" s="48">
        <f t="shared" si="8"/>
        <v>-1.9872632843263609</v>
      </c>
      <c r="P20" s="48">
        <f t="shared" si="9"/>
        <v>-1.9382879697412931</v>
      </c>
      <c r="Q20" s="48"/>
      <c r="R20" s="48">
        <f t="shared" si="1"/>
        <v>-5.4747865030784713</v>
      </c>
      <c r="S20" s="48">
        <f t="shared" si="2"/>
        <v>0.7109117416517412</v>
      </c>
      <c r="T20" s="48"/>
      <c r="U20" s="48">
        <f t="shared" si="3"/>
        <v>-1.2515866426227109</v>
      </c>
      <c r="V20" s="110">
        <f t="shared" si="4"/>
        <v>0.62715434950899163</v>
      </c>
      <c r="W20" s="3"/>
      <c r="X20" s="4">
        <f>SLOPE(M20:P20,C20:F20)</f>
        <v>-5.4747865030784713</v>
      </c>
      <c r="Y20" s="35">
        <f>RSQ(M20:P20,C20:F20)</f>
        <v>0.7109117416517412</v>
      </c>
    </row>
    <row r="21" spans="1:25" x14ac:dyDescent="0.25">
      <c r="A21" s="50" t="s">
        <v>27</v>
      </c>
      <c r="B21" s="51">
        <v>2</v>
      </c>
      <c r="C21" s="187">
        <v>4.5833333329937886E-2</v>
      </c>
      <c r="D21" s="187">
        <v>0.15763888888614019</v>
      </c>
      <c r="E21" s="187">
        <v>0.27083333332848269</v>
      </c>
      <c r="F21" s="187">
        <v>0.38194444444525288</v>
      </c>
      <c r="G21" s="51"/>
      <c r="H21" s="51">
        <v>0.13760072279007049</v>
      </c>
      <c r="I21" s="51">
        <v>2.7024452737491485E-2</v>
      </c>
      <c r="J21" s="51">
        <v>1.5835713064003287E-2</v>
      </c>
      <c r="K21" s="51">
        <v>1.3695929049090807E-2</v>
      </c>
      <c r="L21" s="51"/>
      <c r="M21" s="51">
        <f t="shared" si="6"/>
        <v>0</v>
      </c>
      <c r="N21" s="51">
        <f t="shared" si="7"/>
        <v>-1.6276140652316109</v>
      </c>
      <c r="O21" s="51">
        <f t="shared" si="8"/>
        <v>-2.1620884684623509</v>
      </c>
      <c r="P21" s="51">
        <f t="shared" si="9"/>
        <v>-2.3072575393453039</v>
      </c>
      <c r="Q21" s="51"/>
      <c r="R21" s="51">
        <f t="shared" si="1"/>
        <v>-6.6503674177642615</v>
      </c>
      <c r="S21" s="51">
        <f t="shared" si="2"/>
        <v>0.82933186336762099</v>
      </c>
      <c r="T21" s="51"/>
      <c r="U21" s="51">
        <f t="shared" si="3"/>
        <v>-3.0352755851636175</v>
      </c>
      <c r="V21" s="111">
        <f t="shared" si="4"/>
        <v>0.9045866850580585</v>
      </c>
      <c r="W21" s="5"/>
      <c r="X21" s="6">
        <f t="shared" ref="X21:X46" si="12">SLOPE(M21:P21,C21:F21)</f>
        <v>-6.6503674177642615</v>
      </c>
      <c r="Y21" s="36">
        <f t="shared" ref="Y21:Y46" si="13">RSQ(M21:P21,C21:F21)</f>
        <v>0.82933186336762099</v>
      </c>
    </row>
    <row r="22" spans="1:25" ht="15.75" thickBot="1" x14ac:dyDescent="0.3">
      <c r="A22" s="92" t="s">
        <v>27</v>
      </c>
      <c r="B22" s="53">
        <v>3</v>
      </c>
      <c r="C22" s="189">
        <v>4.7916666662786156E-2</v>
      </c>
      <c r="D22" s="189">
        <v>0.16041666666569654</v>
      </c>
      <c r="E22" s="189">
        <v>0.27361111110803904</v>
      </c>
      <c r="F22" s="189">
        <v>0.38611111111094942</v>
      </c>
      <c r="G22" s="53"/>
      <c r="H22" s="53">
        <v>1.6808467010529474E-2</v>
      </c>
      <c r="I22" s="53">
        <v>5.5853283434531605E-3</v>
      </c>
      <c r="J22" s="53">
        <v>2.3251361113918274E-3</v>
      </c>
      <c r="K22" s="53">
        <v>2.0831061241069829E-3</v>
      </c>
      <c r="L22" s="53"/>
      <c r="M22" s="53">
        <f t="shared" si="6"/>
        <v>0</v>
      </c>
      <c r="N22" s="53">
        <f t="shared" si="7"/>
        <v>-1.1017395271451274</v>
      </c>
      <c r="O22" s="53">
        <f t="shared" si="8"/>
        <v>-1.9781041683116538</v>
      </c>
      <c r="P22" s="53">
        <f t="shared" si="9"/>
        <v>-2.0880226394675141</v>
      </c>
      <c r="Q22" s="53"/>
      <c r="R22" s="53">
        <f t="shared" si="1"/>
        <v>-6.3319992764254236</v>
      </c>
      <c r="S22" s="53">
        <f t="shared" si="2"/>
        <v>0.90743533166073975</v>
      </c>
      <c r="T22" s="53"/>
      <c r="U22" s="53">
        <f t="shared" si="3"/>
        <v>-4.3734620866603189</v>
      </c>
      <c r="V22" s="112">
        <f t="shared" si="4"/>
        <v>0.83375795680805176</v>
      </c>
      <c r="W22" s="7"/>
      <c r="X22" s="8">
        <f t="shared" si="12"/>
        <v>-6.3319992764254236</v>
      </c>
      <c r="Y22" s="37">
        <f t="shared" si="13"/>
        <v>0.90743533166073975</v>
      </c>
    </row>
    <row r="23" spans="1:25" x14ac:dyDescent="0.25">
      <c r="A23" s="15" t="s">
        <v>28</v>
      </c>
      <c r="B23" s="10">
        <v>1</v>
      </c>
      <c r="C23" s="181">
        <v>5.0694444442342501E-2</v>
      </c>
      <c r="D23" s="181">
        <v>0.16249999999854481</v>
      </c>
      <c r="E23" s="181">
        <v>0.27638888888759539</v>
      </c>
      <c r="F23" s="181">
        <v>0.38888888889050577</v>
      </c>
      <c r="G23" s="10"/>
      <c r="H23" s="10">
        <v>7.3633760647246055E-2</v>
      </c>
      <c r="I23" s="10">
        <v>4.9631529401064162E-2</v>
      </c>
      <c r="J23" s="10">
        <v>4.2777232297711805E-2</v>
      </c>
      <c r="K23" s="10">
        <v>3.3125127208376542E-2</v>
      </c>
      <c r="L23" s="10"/>
      <c r="M23" s="10">
        <f t="shared" si="6"/>
        <v>0</v>
      </c>
      <c r="N23" s="10">
        <f t="shared" si="7"/>
        <v>-0.3944773198237122</v>
      </c>
      <c r="O23" s="10">
        <f t="shared" si="8"/>
        <v>-0.54309761962018266</v>
      </c>
      <c r="P23" s="10">
        <f t="shared" si="9"/>
        <v>-0.79881150045649552</v>
      </c>
      <c r="Q23" s="10"/>
      <c r="R23" s="10">
        <f t="shared" si="1"/>
        <v>-2.2539437728818905</v>
      </c>
      <c r="S23" s="10">
        <f t="shared" si="2"/>
        <v>0.96586776835937849</v>
      </c>
      <c r="T23" s="10"/>
      <c r="U23" s="10">
        <f t="shared" si="3"/>
        <v>-1.785026232461882</v>
      </c>
      <c r="V23" s="26">
        <f t="shared" si="4"/>
        <v>0.97607951851476549</v>
      </c>
      <c r="W23" s="15"/>
      <c r="X23" s="128">
        <f t="shared" si="12"/>
        <v>-2.2539437728818905</v>
      </c>
      <c r="Y23" s="154">
        <f t="shared" si="13"/>
        <v>0.96586776835937849</v>
      </c>
    </row>
    <row r="24" spans="1:25" x14ac:dyDescent="0.25">
      <c r="A24" s="16" t="s">
        <v>28</v>
      </c>
      <c r="B24" s="12">
        <v>2</v>
      </c>
      <c r="C24" s="182">
        <v>5.3472222229174804E-2</v>
      </c>
      <c r="D24" s="182">
        <v>0.16458333333866904</v>
      </c>
      <c r="E24" s="182">
        <v>0.27777777778101154</v>
      </c>
      <c r="F24" s="182">
        <v>0.39027777778392192</v>
      </c>
      <c r="G24" s="12"/>
      <c r="H24" s="12">
        <v>6.0621696627373496E-2</v>
      </c>
      <c r="I24" s="12">
        <v>4.2248902302812613E-2</v>
      </c>
      <c r="J24" s="12">
        <v>3.3084468720337733E-2</v>
      </c>
      <c r="K24" s="12">
        <v>2.57541685938831E-2</v>
      </c>
      <c r="L24" s="12"/>
      <c r="M24" s="12">
        <f t="shared" si="6"/>
        <v>0</v>
      </c>
      <c r="N24" s="12">
        <f t="shared" si="7"/>
        <v>-0.36107448668529224</v>
      </c>
      <c r="O24" s="12">
        <f t="shared" si="8"/>
        <v>-0.60558890983948654</v>
      </c>
      <c r="P24" s="12">
        <f t="shared" si="9"/>
        <v>-0.85605635800391788</v>
      </c>
      <c r="Q24" s="12"/>
      <c r="R24" s="12">
        <f t="shared" si="1"/>
        <v>-2.5023411805354585</v>
      </c>
      <c r="S24" s="12">
        <f t="shared" si="2"/>
        <v>0.98975431069091302</v>
      </c>
      <c r="T24" s="12"/>
      <c r="U24" s="12">
        <f t="shared" si="3"/>
        <v>-2.1931164713419129</v>
      </c>
      <c r="V24" s="27">
        <f t="shared" si="4"/>
        <v>0.99992396355636248</v>
      </c>
      <c r="W24" s="16"/>
      <c r="X24" s="85">
        <f t="shared" si="12"/>
        <v>-2.5023411805354585</v>
      </c>
      <c r="Y24" s="152">
        <f t="shared" si="13"/>
        <v>0.98975431069091302</v>
      </c>
    </row>
    <row r="25" spans="1:25" ht="15.75" thickBot="1" x14ac:dyDescent="0.3">
      <c r="A25" s="55" t="s">
        <v>28</v>
      </c>
      <c r="B25" s="14">
        <v>3</v>
      </c>
      <c r="C25" s="183">
        <v>5.6250000001455192E-2</v>
      </c>
      <c r="D25" s="183">
        <v>0.16666666667151731</v>
      </c>
      <c r="E25" s="183">
        <v>0.27916666666715173</v>
      </c>
      <c r="F25" s="183">
        <v>0.39305555555620231</v>
      </c>
      <c r="G25" s="14"/>
      <c r="H25" s="14">
        <v>5.6300281227309089E-2</v>
      </c>
      <c r="I25" s="14">
        <v>3.2974932666880612E-2</v>
      </c>
      <c r="J25" s="14">
        <v>1.9259545748534782E-2</v>
      </c>
      <c r="K25" s="14">
        <v>1.2347954206168542E-2</v>
      </c>
      <c r="L25" s="14"/>
      <c r="M25" s="14">
        <f t="shared" si="6"/>
        <v>0</v>
      </c>
      <c r="N25" s="14">
        <f t="shared" si="7"/>
        <v>-0.53495187363282726</v>
      </c>
      <c r="O25" s="14">
        <f t="shared" si="8"/>
        <v>-1.0726927094244392</v>
      </c>
      <c r="P25" s="14">
        <f t="shared" si="9"/>
        <v>-1.5172091322597308</v>
      </c>
      <c r="Q25" s="14"/>
      <c r="R25" s="14">
        <f t="shared" si="1"/>
        <v>-4.5308653672559416</v>
      </c>
      <c r="S25" s="14">
        <f t="shared" si="2"/>
        <v>0.99749594838201572</v>
      </c>
      <c r="T25" s="14"/>
      <c r="U25" s="14">
        <f t="shared" si="3"/>
        <v>-4.3379085417549534</v>
      </c>
      <c r="V25" s="28">
        <f t="shared" si="4"/>
        <v>0.99660697973936885</v>
      </c>
      <c r="W25" s="55"/>
      <c r="X25" s="60">
        <f t="shared" si="12"/>
        <v>-4.5308653672559416</v>
      </c>
      <c r="Y25" s="67">
        <f t="shared" si="13"/>
        <v>0.99749594838201572</v>
      </c>
    </row>
    <row r="26" spans="1:25" x14ac:dyDescent="0.25">
      <c r="A26" s="47" t="s">
        <v>29</v>
      </c>
      <c r="B26" s="48">
        <v>1</v>
      </c>
      <c r="C26" s="188">
        <v>5.7638888887595385E-2</v>
      </c>
      <c r="D26" s="188">
        <v>0.16875000000436557</v>
      </c>
      <c r="E26" s="188">
        <v>0.28055555555329192</v>
      </c>
      <c r="F26" s="188">
        <v>0.40347222222044365</v>
      </c>
      <c r="G26" s="48"/>
      <c r="H26" s="48">
        <v>0.11179478079027028</v>
      </c>
      <c r="I26" s="48">
        <v>9.165044817649548E-2</v>
      </c>
      <c r="J26" s="48">
        <v>8.4584606079648572E-2</v>
      </c>
      <c r="K26" s="48">
        <v>7.5394540134455207E-2</v>
      </c>
      <c r="L26" s="48"/>
      <c r="M26" s="48">
        <f t="shared" si="6"/>
        <v>0</v>
      </c>
      <c r="N26" s="48">
        <f t="shared" si="7"/>
        <v>-0.19868301182011927</v>
      </c>
      <c r="O26" s="48">
        <f t="shared" si="8"/>
        <v>-0.27891258735936081</v>
      </c>
      <c r="P26" s="48">
        <f t="shared" si="9"/>
        <v>-0.39393001579895986</v>
      </c>
      <c r="Q26" s="48"/>
      <c r="R26" s="48">
        <f t="shared" si="1"/>
        <v>-1.0948735666880329</v>
      </c>
      <c r="S26" s="48">
        <f t="shared" si="2"/>
        <v>0.95955589722786072</v>
      </c>
      <c r="T26" s="48"/>
      <c r="U26" s="48">
        <f t="shared" si="3"/>
        <v>-0.83353755078399672</v>
      </c>
      <c r="V26" s="110">
        <f t="shared" si="4"/>
        <v>0.99435791921488181</v>
      </c>
      <c r="W26" s="3"/>
      <c r="X26" s="4">
        <f t="shared" si="12"/>
        <v>-1.0948735666880329</v>
      </c>
      <c r="Y26" s="35">
        <f t="shared" si="13"/>
        <v>0.95955589722786072</v>
      </c>
    </row>
    <row r="27" spans="1:25" x14ac:dyDescent="0.25">
      <c r="A27" s="50" t="s">
        <v>29</v>
      </c>
      <c r="B27" s="51">
        <v>2</v>
      </c>
      <c r="C27" s="187">
        <v>5.9722222220443655E-2</v>
      </c>
      <c r="D27" s="187">
        <v>0.17083333333721384</v>
      </c>
      <c r="E27" s="187">
        <v>0.28263888889341615</v>
      </c>
      <c r="F27" s="187">
        <v>0.40555555555329192</v>
      </c>
      <c r="G27" s="51"/>
      <c r="H27" s="51">
        <v>6.8501421062786325E-2</v>
      </c>
      <c r="I27" s="51">
        <v>4.1305706766208664E-2</v>
      </c>
      <c r="J27" s="51">
        <v>3.3120303225926892E-2</v>
      </c>
      <c r="K27" s="51">
        <v>3.3489297066763971E-2</v>
      </c>
      <c r="L27" s="51"/>
      <c r="M27" s="51">
        <f t="shared" si="6"/>
        <v>0</v>
      </c>
      <c r="N27" s="51">
        <f t="shared" si="7"/>
        <v>-0.50585382171533178</v>
      </c>
      <c r="O27" s="51">
        <f t="shared" si="8"/>
        <v>-0.72670800564779447</v>
      </c>
      <c r="P27" s="51">
        <f t="shared" si="9"/>
        <v>-0.71562859325644745</v>
      </c>
      <c r="Q27" s="51"/>
      <c r="R27" s="51">
        <f t="shared" si="1"/>
        <v>-2.0362249284257303</v>
      </c>
      <c r="S27" s="51">
        <f t="shared" si="2"/>
        <v>0.78905667062164797</v>
      </c>
      <c r="T27" s="51"/>
      <c r="U27" s="51">
        <f t="shared" si="3"/>
        <v>-0.87746795912912134</v>
      </c>
      <c r="V27" s="111">
        <f t="shared" si="4"/>
        <v>0.68540682854058854</v>
      </c>
      <c r="W27" s="5"/>
      <c r="X27" s="6">
        <f t="shared" si="12"/>
        <v>-2.0362249284257303</v>
      </c>
      <c r="Y27" s="36">
        <f t="shared" si="13"/>
        <v>0.78905667062164797</v>
      </c>
    </row>
    <row r="28" spans="1:25" ht="15.75" thickBot="1" x14ac:dyDescent="0.3">
      <c r="A28" s="92" t="s">
        <v>29</v>
      </c>
      <c r="B28" s="53">
        <v>3</v>
      </c>
      <c r="C28" s="189">
        <v>6.1805555553291924E-2</v>
      </c>
      <c r="D28" s="189">
        <v>0.17361111110949423</v>
      </c>
      <c r="E28" s="189">
        <v>0.28541666666569654</v>
      </c>
      <c r="F28" s="189">
        <v>0.40763888889341615</v>
      </c>
      <c r="G28" s="53"/>
      <c r="H28" s="53">
        <v>6.2268879616104493E-2</v>
      </c>
      <c r="I28" s="53">
        <v>3.8657499910087365E-2</v>
      </c>
      <c r="J28" s="53">
        <v>2.6714295765721149E-2</v>
      </c>
      <c r="K28" s="53">
        <v>2.5964427441137052E-2</v>
      </c>
      <c r="L28" s="53"/>
      <c r="M28" s="53">
        <f t="shared" si="6"/>
        <v>0</v>
      </c>
      <c r="N28" s="53">
        <f t="shared" si="7"/>
        <v>-0.47672097332673447</v>
      </c>
      <c r="O28" s="53">
        <f t="shared" si="8"/>
        <v>-0.84626293231216076</v>
      </c>
      <c r="P28" s="53">
        <f t="shared" si="9"/>
        <v>-0.87473435049416137</v>
      </c>
      <c r="Q28" s="53"/>
      <c r="R28" s="53">
        <f t="shared" si="1"/>
        <v>-2.584036892711167</v>
      </c>
      <c r="S28" s="53">
        <f t="shared" si="2"/>
        <v>0.88051024788321763</v>
      </c>
      <c r="T28" s="53"/>
      <c r="U28" s="53">
        <f t="shared" si="3"/>
        <v>-1.6779788090161223</v>
      </c>
      <c r="V28" s="112">
        <f t="shared" si="4"/>
        <v>0.78254142761823386</v>
      </c>
      <c r="W28" s="7"/>
      <c r="X28" s="8">
        <f t="shared" si="12"/>
        <v>-2.584036892711167</v>
      </c>
      <c r="Y28" s="37">
        <f t="shared" si="13"/>
        <v>0.88051024788321763</v>
      </c>
    </row>
    <row r="29" spans="1:25" x14ac:dyDescent="0.25">
      <c r="A29" s="9" t="s">
        <v>30</v>
      </c>
      <c r="B29" s="10">
        <v>1</v>
      </c>
      <c r="C29" s="181">
        <v>6.5277777779556345E-2</v>
      </c>
      <c r="D29" s="181">
        <v>0.17638888888905058</v>
      </c>
      <c r="E29" s="181">
        <v>0.29097222222480923</v>
      </c>
      <c r="F29" s="181">
        <v>0.40972222222626442</v>
      </c>
      <c r="G29" s="10"/>
      <c r="H29" s="10">
        <v>3.532345677798783E-2</v>
      </c>
      <c r="I29" s="10">
        <v>1.3476635122558218E-2</v>
      </c>
      <c r="J29" s="10">
        <v>1.0906110130752482E-2</v>
      </c>
      <c r="K29" s="10">
        <v>2.0600877647837749E-3</v>
      </c>
      <c r="L29" s="10"/>
      <c r="M29" s="10">
        <f t="shared" si="6"/>
        <v>0</v>
      </c>
      <c r="N29" s="10">
        <f t="shared" si="7"/>
        <v>-0.96358978688258956</v>
      </c>
      <c r="O29" s="10">
        <f t="shared" si="8"/>
        <v>-1.1752240465852208</v>
      </c>
      <c r="P29" s="10">
        <f t="shared" si="9"/>
        <v>-2.8417986550603107</v>
      </c>
      <c r="Q29" s="10"/>
      <c r="R29" s="10">
        <f t="shared" si="1"/>
        <v>-7.6310529260374897</v>
      </c>
      <c r="S29" s="10">
        <f t="shared" si="2"/>
        <v>0.91723312829308923</v>
      </c>
      <c r="T29" s="10"/>
      <c r="U29" s="10">
        <f t="shared" si="3"/>
        <v>-8.0857229511406938</v>
      </c>
      <c r="V29" s="26">
        <f t="shared" si="4"/>
        <v>0.84093003635364016</v>
      </c>
      <c r="W29" s="15"/>
      <c r="X29" s="128">
        <f t="shared" si="12"/>
        <v>-7.6310529260374897</v>
      </c>
      <c r="Y29" s="154">
        <f t="shared" si="13"/>
        <v>0.91723312829308923</v>
      </c>
    </row>
    <row r="30" spans="1:25" x14ac:dyDescent="0.25">
      <c r="A30" s="11" t="s">
        <v>30</v>
      </c>
      <c r="B30" s="12">
        <v>2</v>
      </c>
      <c r="C30" s="182">
        <v>6.7361111112404615E-2</v>
      </c>
      <c r="D30" s="182">
        <v>0.17708333333575865</v>
      </c>
      <c r="E30" s="182">
        <v>0.29236111111094942</v>
      </c>
      <c r="F30" s="182">
        <v>0.41111111111240461</v>
      </c>
      <c r="G30" s="12"/>
      <c r="H30" s="12">
        <v>3.556839010884523E-2</v>
      </c>
      <c r="I30" s="12">
        <v>1.597429356997606E-2</v>
      </c>
      <c r="J30" s="12">
        <v>6.8752677522377617E-3</v>
      </c>
      <c r="K30" s="12">
        <v>4.5669329541467123E-3</v>
      </c>
      <c r="L30" s="12"/>
      <c r="M30" s="12">
        <f t="shared" si="6"/>
        <v>0</v>
      </c>
      <c r="N30" s="12">
        <f t="shared" si="7"/>
        <v>-0.80047654682011682</v>
      </c>
      <c r="O30" s="12">
        <f t="shared" si="8"/>
        <v>-1.6435267365598687</v>
      </c>
      <c r="P30" s="12">
        <f t="shared" si="9"/>
        <v>-2.0526154715412157</v>
      </c>
      <c r="Q30" s="12"/>
      <c r="R30" s="12">
        <f t="shared" si="1"/>
        <v>-6.0915797398424134</v>
      </c>
      <c r="S30" s="12">
        <f t="shared" si="2"/>
        <v>0.97576844442514798</v>
      </c>
      <c r="T30" s="12"/>
      <c r="U30" s="12">
        <f t="shared" si="3"/>
        <v>-5.3408233147944433</v>
      </c>
      <c r="V30" s="27">
        <f t="shared" si="4"/>
        <v>0.95813945517574917</v>
      </c>
      <c r="W30" s="16"/>
      <c r="X30" s="85">
        <f t="shared" si="12"/>
        <v>-6.0915797398424134</v>
      </c>
      <c r="Y30" s="152">
        <f t="shared" si="13"/>
        <v>0.97576844442514798</v>
      </c>
    </row>
    <row r="31" spans="1:25" ht="15.75" thickBot="1" x14ac:dyDescent="0.3">
      <c r="A31" s="13" t="s">
        <v>30</v>
      </c>
      <c r="B31" s="14">
        <v>3</v>
      </c>
      <c r="C31" s="183">
        <v>7.0138888884685002E-2</v>
      </c>
      <c r="D31" s="183">
        <v>0.17986111110803904</v>
      </c>
      <c r="E31" s="183">
        <v>0.29513888889050577</v>
      </c>
      <c r="F31" s="183">
        <v>0.41319444444525288</v>
      </c>
      <c r="G31" s="14"/>
      <c r="H31" s="14">
        <v>4.6148814876182824E-2</v>
      </c>
      <c r="I31" s="14">
        <v>2.4246507526036156E-2</v>
      </c>
      <c r="J31" s="14">
        <v>1.8286997482932141E-2</v>
      </c>
      <c r="K31" s="14">
        <v>1.2976624424215023E-2</v>
      </c>
      <c r="L31" s="14"/>
      <c r="M31" s="14">
        <f t="shared" si="6"/>
        <v>0</v>
      </c>
      <c r="N31" s="14">
        <f t="shared" si="7"/>
        <v>-0.64359869332965725</v>
      </c>
      <c r="O31" s="14">
        <f t="shared" si="8"/>
        <v>-0.9256809935464223</v>
      </c>
      <c r="P31" s="14">
        <f t="shared" si="9"/>
        <v>-1.2687216631096172</v>
      </c>
      <c r="Q31" s="14"/>
      <c r="R31" s="14">
        <f t="shared" si="1"/>
        <v>-3.5608324031576091</v>
      </c>
      <c r="S31" s="14">
        <f t="shared" si="2"/>
        <v>0.95777335342305026</v>
      </c>
      <c r="T31" s="14"/>
      <c r="U31" s="14">
        <f t="shared" si="3"/>
        <v>-2.6800085422280731</v>
      </c>
      <c r="V31" s="28">
        <f t="shared" si="4"/>
        <v>0.9975648418171349</v>
      </c>
      <c r="W31" s="55"/>
      <c r="X31" s="60">
        <f t="shared" si="12"/>
        <v>-3.5608324031576091</v>
      </c>
      <c r="Y31" s="67">
        <f t="shared" si="13"/>
        <v>0.95777335342305026</v>
      </c>
    </row>
    <row r="32" spans="1:25" x14ac:dyDescent="0.25">
      <c r="A32" s="47" t="s">
        <v>31</v>
      </c>
      <c r="B32" s="48">
        <v>1</v>
      </c>
      <c r="C32" s="188">
        <v>7.1527777778101154E-2</v>
      </c>
      <c r="D32" s="188">
        <v>0.18194444444088731</v>
      </c>
      <c r="E32" s="188">
        <v>0.29791666666278616</v>
      </c>
      <c r="F32" s="188">
        <v>0.41527777777810115</v>
      </c>
      <c r="G32" s="48"/>
      <c r="H32" s="48">
        <v>8.235439119622244E-2</v>
      </c>
      <c r="I32" s="48">
        <v>5.36509286912768E-2</v>
      </c>
      <c r="J32" s="48">
        <v>3.4237754536671924E-2</v>
      </c>
      <c r="K32" s="48">
        <v>2.293169027629844E-2</v>
      </c>
      <c r="L32" s="48"/>
      <c r="M32" s="48">
        <f t="shared" si="6"/>
        <v>0</v>
      </c>
      <c r="N32" s="48">
        <f t="shared" si="7"/>
        <v>-0.42853299966570574</v>
      </c>
      <c r="O32" s="48">
        <f t="shared" si="8"/>
        <v>-0.87770280977231852</v>
      </c>
      <c r="P32" s="48">
        <f t="shared" si="9"/>
        <v>-1.2785119699991061</v>
      </c>
      <c r="Q32" s="48"/>
      <c r="R32" s="48">
        <f t="shared" si="1"/>
        <v>-3.733606177025004</v>
      </c>
      <c r="S32" s="48">
        <f t="shared" si="2"/>
        <v>0.99906080607236558</v>
      </c>
      <c r="T32" s="48"/>
      <c r="U32" s="48">
        <f t="shared" si="3"/>
        <v>-3.6423127689039632</v>
      </c>
      <c r="V32" s="110">
        <f t="shared" si="4"/>
        <v>0.99868478294250873</v>
      </c>
      <c r="W32" s="3"/>
      <c r="X32" s="4">
        <f t="shared" si="12"/>
        <v>-3.733606177025004</v>
      </c>
      <c r="Y32" s="35">
        <f t="shared" si="13"/>
        <v>0.99906080607236558</v>
      </c>
    </row>
    <row r="33" spans="1:25" x14ac:dyDescent="0.25">
      <c r="A33" s="50" t="s">
        <v>31</v>
      </c>
      <c r="B33" s="51">
        <v>2</v>
      </c>
      <c r="C33" s="187">
        <v>7.2916666664241347E-2</v>
      </c>
      <c r="D33" s="187">
        <v>0.1833333333270275</v>
      </c>
      <c r="E33" s="187">
        <v>0.29930555554892635</v>
      </c>
      <c r="F33" s="187">
        <v>0.41666666666424135</v>
      </c>
      <c r="G33" s="51"/>
      <c r="H33" s="51">
        <v>9.2707878869445953E-2</v>
      </c>
      <c r="I33" s="51">
        <v>7.6749857175745825E-2</v>
      </c>
      <c r="J33" s="51">
        <v>6.1267676709927006E-2</v>
      </c>
      <c r="K33" s="51">
        <v>4.7292416164134501E-2</v>
      </c>
      <c r="L33" s="51"/>
      <c r="M33" s="51">
        <f t="shared" si="6"/>
        <v>0</v>
      </c>
      <c r="N33" s="51">
        <f t="shared" si="7"/>
        <v>-0.18890193659475846</v>
      </c>
      <c r="O33" s="51">
        <f t="shared" si="8"/>
        <v>-0.41420105502419613</v>
      </c>
      <c r="P33" s="51">
        <f t="shared" si="9"/>
        <v>-0.67310351431142013</v>
      </c>
      <c r="Q33" s="51"/>
      <c r="R33" s="51">
        <f t="shared" si="1"/>
        <v>-1.9580315380965596</v>
      </c>
      <c r="S33" s="51">
        <f t="shared" si="2"/>
        <v>0.99685189499607285</v>
      </c>
      <c r="T33" s="51"/>
      <c r="U33" s="51">
        <f t="shared" si="3"/>
        <v>-2.0754108502637467</v>
      </c>
      <c r="V33" s="111">
        <f t="shared" si="4"/>
        <v>0.99866032154000584</v>
      </c>
      <c r="W33" s="5"/>
      <c r="X33" s="6">
        <f t="shared" si="12"/>
        <v>-1.9580315380965596</v>
      </c>
      <c r="Y33" s="36">
        <f t="shared" si="13"/>
        <v>0.99685189499607285</v>
      </c>
    </row>
    <row r="34" spans="1:25" ht="15.75" thickBot="1" x14ac:dyDescent="0.3">
      <c r="A34" s="92" t="s">
        <v>31</v>
      </c>
      <c r="B34" s="53">
        <v>3</v>
      </c>
      <c r="C34" s="189">
        <v>7.5694444443797693E-2</v>
      </c>
      <c r="D34" s="189">
        <v>0.18541666665987577</v>
      </c>
      <c r="E34" s="189">
        <v>0.30138888888905058</v>
      </c>
      <c r="F34" s="189">
        <v>0.41874999999708962</v>
      </c>
      <c r="G34" s="53"/>
      <c r="H34" s="53">
        <v>7.488181965823118E-2</v>
      </c>
      <c r="I34" s="53">
        <v>5.3326738189308484E-2</v>
      </c>
      <c r="J34" s="53">
        <v>3.6979336363650514E-2</v>
      </c>
      <c r="K34" s="53">
        <v>2.7342219579076961E-2</v>
      </c>
      <c r="L34" s="53"/>
      <c r="M34" s="53">
        <f t="shared" si="6"/>
        <v>0</v>
      </c>
      <c r="N34" s="53">
        <f t="shared" si="7"/>
        <v>-0.33947327289655455</v>
      </c>
      <c r="O34" s="53">
        <f t="shared" si="8"/>
        <v>-0.70555185288545275</v>
      </c>
      <c r="P34" s="53">
        <f t="shared" si="9"/>
        <v>-1.0074791205533518</v>
      </c>
      <c r="Q34" s="53"/>
      <c r="R34" s="53">
        <f t="shared" si="1"/>
        <v>-2.957575163937312</v>
      </c>
      <c r="S34" s="53">
        <f t="shared" si="2"/>
        <v>0.99791952394252448</v>
      </c>
      <c r="T34" s="53"/>
      <c r="U34" s="53">
        <f t="shared" si="3"/>
        <v>-2.8623028952460925</v>
      </c>
      <c r="V34" s="112">
        <f t="shared" si="4"/>
        <v>0.99654358867018089</v>
      </c>
      <c r="W34" s="7"/>
      <c r="X34" s="8">
        <f t="shared" si="12"/>
        <v>-2.957575163937312</v>
      </c>
      <c r="Y34" s="37">
        <f t="shared" si="13"/>
        <v>0.99791952394252448</v>
      </c>
    </row>
    <row r="35" spans="1:25" x14ac:dyDescent="0.25">
      <c r="A35" s="15" t="s">
        <v>32</v>
      </c>
      <c r="B35" s="10">
        <v>1</v>
      </c>
      <c r="C35" s="181">
        <v>7.7777777776645962E-2</v>
      </c>
      <c r="D35" s="181">
        <v>0.19097222221898846</v>
      </c>
      <c r="E35" s="181">
        <v>0.30416666666133096</v>
      </c>
      <c r="F35" s="181">
        <v>0.42083333332993789</v>
      </c>
      <c r="G35" s="10"/>
      <c r="H35" s="10">
        <v>9.6101339281146239E-2</v>
      </c>
      <c r="I35" s="10">
        <v>9.1003286836290054E-2</v>
      </c>
      <c r="J35" s="10">
        <v>8.3429781074383619E-2</v>
      </c>
      <c r="K35" s="10">
        <v>7.5076819208821713E-2</v>
      </c>
      <c r="L35" s="10"/>
      <c r="M35" s="10">
        <f t="shared" si="6"/>
        <v>0</v>
      </c>
      <c r="N35" s="10">
        <f t="shared" si="7"/>
        <v>-5.4507627262719516E-2</v>
      </c>
      <c r="O35" s="10">
        <f t="shared" si="8"/>
        <v>-0.14139791936034446</v>
      </c>
      <c r="P35" s="10">
        <f t="shared" si="9"/>
        <v>-0.24689140674585813</v>
      </c>
      <c r="Q35" s="10"/>
      <c r="R35" s="10">
        <f t="shared" si="1"/>
        <v>-0.72503481689852156</v>
      </c>
      <c r="S35" s="10">
        <f t="shared" si="2"/>
        <v>0.98279210761329716</v>
      </c>
      <c r="T35" s="10"/>
      <c r="U35" s="10">
        <f t="shared" si="3"/>
        <v>-0.83730045196619263</v>
      </c>
      <c r="V35" s="26">
        <f t="shared" si="4"/>
        <v>0.99778794509204671</v>
      </c>
      <c r="W35" s="15"/>
      <c r="X35" s="128">
        <f t="shared" si="12"/>
        <v>-0.72503481689852156</v>
      </c>
      <c r="Y35" s="154">
        <f t="shared" si="13"/>
        <v>0.98279210761329716</v>
      </c>
    </row>
    <row r="36" spans="1:25" x14ac:dyDescent="0.25">
      <c r="A36" s="16" t="s">
        <v>32</v>
      </c>
      <c r="B36" s="12">
        <v>2</v>
      </c>
      <c r="C36" s="182">
        <v>7.9861111109494232E-2</v>
      </c>
      <c r="D36" s="182">
        <v>0.19236111111240461</v>
      </c>
      <c r="E36" s="182">
        <v>0.30555555555474712</v>
      </c>
      <c r="F36" s="182">
        <v>0.42291666667006211</v>
      </c>
      <c r="G36" s="12"/>
      <c r="H36" s="12">
        <v>9.0985744094107382E-2</v>
      </c>
      <c r="I36" s="12">
        <v>8.4613054031510912E-2</v>
      </c>
      <c r="J36" s="12">
        <v>7.681334789857551E-2</v>
      </c>
      <c r="K36" s="12">
        <v>7.0162330450854266E-2</v>
      </c>
      <c r="L36" s="12"/>
      <c r="M36" s="12">
        <f t="shared" si="6"/>
        <v>0</v>
      </c>
      <c r="N36" s="12">
        <f t="shared" si="7"/>
        <v>-7.2614278256502934E-2</v>
      </c>
      <c r="O36" s="12">
        <f t="shared" si="8"/>
        <v>-0.16932441012341798</v>
      </c>
      <c r="P36" s="12">
        <f t="shared" si="9"/>
        <v>-0.25989127219361841</v>
      </c>
      <c r="Q36" s="12"/>
      <c r="R36" s="12">
        <f t="shared" si="1"/>
        <v>-0.76734627436940395</v>
      </c>
      <c r="S36" s="12">
        <f t="shared" si="2"/>
        <v>0.99728245684003647</v>
      </c>
      <c r="T36" s="12"/>
      <c r="U36" s="12">
        <f t="shared" si="3"/>
        <v>-0.81203683591176745</v>
      </c>
      <c r="V36" s="27">
        <f t="shared" si="4"/>
        <v>0.99913763413042733</v>
      </c>
      <c r="W36" s="16"/>
      <c r="X36" s="85">
        <f t="shared" si="12"/>
        <v>-0.76734627436940395</v>
      </c>
      <c r="Y36" s="152">
        <f t="shared" si="13"/>
        <v>0.99728245684003647</v>
      </c>
    </row>
    <row r="37" spans="1:25" ht="15.75" thickBot="1" x14ac:dyDescent="0.3">
      <c r="A37" s="55" t="s">
        <v>32</v>
      </c>
      <c r="B37" s="14">
        <v>3</v>
      </c>
      <c r="C37" s="183">
        <v>8.1944444449618459E-2</v>
      </c>
      <c r="D37" s="183">
        <v>0.19583333333139308</v>
      </c>
      <c r="E37" s="183">
        <v>0.30763888888759539</v>
      </c>
      <c r="F37" s="183">
        <v>0.42500000000291038</v>
      </c>
      <c r="G37" s="14"/>
      <c r="H37" s="14">
        <v>4.4260323491390349E-2</v>
      </c>
      <c r="I37" s="14">
        <v>2.7254961222717797E-2</v>
      </c>
      <c r="J37" s="14">
        <v>2.1540440037309726E-2</v>
      </c>
      <c r="K37" s="14">
        <v>2.0875132300760164E-2</v>
      </c>
      <c r="L37" s="14"/>
      <c r="M37" s="14">
        <f t="shared" si="6"/>
        <v>0</v>
      </c>
      <c r="N37" s="14">
        <f t="shared" si="7"/>
        <v>-0.48485307572760428</v>
      </c>
      <c r="O37" s="14">
        <f t="shared" si="8"/>
        <v>-0.7201565431203234</v>
      </c>
      <c r="P37" s="14">
        <f t="shared" si="9"/>
        <v>-0.7515300350065609</v>
      </c>
      <c r="Q37" s="14"/>
      <c r="R37" s="14">
        <f t="shared" si="1"/>
        <v>-2.1762778205627362</v>
      </c>
      <c r="S37" s="14">
        <f t="shared" si="2"/>
        <v>0.8528799651510186</v>
      </c>
      <c r="T37" s="14"/>
      <c r="U37" s="14">
        <f t="shared" si="3"/>
        <v>-1.156263847365997</v>
      </c>
      <c r="V37" s="28">
        <f t="shared" si="4"/>
        <v>0.82639910678883455</v>
      </c>
      <c r="W37" s="55"/>
      <c r="X37" s="60">
        <f t="shared" si="12"/>
        <v>-2.1762778205627362</v>
      </c>
      <c r="Y37" s="67">
        <f t="shared" si="13"/>
        <v>0.8528799651510186</v>
      </c>
    </row>
    <row r="38" spans="1:25" x14ac:dyDescent="0.25">
      <c r="A38" s="47" t="s">
        <v>33</v>
      </c>
      <c r="B38" s="48">
        <v>1</v>
      </c>
      <c r="C38" s="188">
        <v>8.4027777782466728E-2</v>
      </c>
      <c r="D38" s="188">
        <v>0.19861111111094942</v>
      </c>
      <c r="E38" s="188">
        <v>0.30972222222044365</v>
      </c>
      <c r="F38" s="188">
        <v>0.42708333333575865</v>
      </c>
      <c r="G38" s="48"/>
      <c r="H38" s="48">
        <v>8.3572810334212544E-2</v>
      </c>
      <c r="I38" s="48">
        <v>7.8117671692783025E-2</v>
      </c>
      <c r="J38" s="48">
        <v>7.1277353777880817E-2</v>
      </c>
      <c r="K38" s="48">
        <v>6.3589180382356655E-2</v>
      </c>
      <c r="L38" s="48"/>
      <c r="M38" s="48">
        <f t="shared" si="6"/>
        <v>0</v>
      </c>
      <c r="N38" s="48">
        <f t="shared" si="7"/>
        <v>-6.7501930629039517E-2</v>
      </c>
      <c r="O38" s="48">
        <f t="shared" si="8"/>
        <v>-0.15913957380835633</v>
      </c>
      <c r="P38" s="48">
        <f t="shared" si="9"/>
        <v>-0.27327489585371395</v>
      </c>
      <c r="Q38" s="48"/>
      <c r="R38" s="48">
        <f t="shared" si="1"/>
        <v>-0.79973760614836242</v>
      </c>
      <c r="S38" s="48">
        <f t="shared" si="2"/>
        <v>0.98817676259087062</v>
      </c>
      <c r="T38" s="48"/>
      <c r="U38" s="48">
        <f t="shared" si="3"/>
        <v>-0.90132070396130659</v>
      </c>
      <c r="V38" s="110">
        <f t="shared" si="4"/>
        <v>0.997769375550979</v>
      </c>
      <c r="W38" s="3"/>
      <c r="X38" s="4">
        <f t="shared" si="12"/>
        <v>-0.79973760614836242</v>
      </c>
      <c r="Y38" s="35">
        <f t="shared" si="13"/>
        <v>0.98817676259087062</v>
      </c>
    </row>
    <row r="39" spans="1:25" x14ac:dyDescent="0.25">
      <c r="A39" s="50" t="s">
        <v>33</v>
      </c>
      <c r="B39" s="51">
        <v>2</v>
      </c>
      <c r="C39" s="187">
        <v>8.611111110803904E-2</v>
      </c>
      <c r="D39" s="187">
        <v>0.19999999999708962</v>
      </c>
      <c r="E39" s="187">
        <v>0.31111111111385981</v>
      </c>
      <c r="F39" s="187">
        <v>0.42847222222189885</v>
      </c>
      <c r="G39" s="51"/>
      <c r="H39" s="51">
        <v>6.5021195691015513E-2</v>
      </c>
      <c r="I39" s="51">
        <v>4.2726810671441261E-2</v>
      </c>
      <c r="J39" s="51">
        <v>2.61992131707111E-2</v>
      </c>
      <c r="K39" s="51">
        <v>1.9910560463042924E-2</v>
      </c>
      <c r="L39" s="51"/>
      <c r="M39" s="51">
        <f t="shared" si="6"/>
        <v>0</v>
      </c>
      <c r="N39" s="51">
        <f t="shared" si="7"/>
        <v>-0.41988669652012073</v>
      </c>
      <c r="O39" s="51">
        <f t="shared" si="8"/>
        <v>-0.90898392563088659</v>
      </c>
      <c r="P39" s="51">
        <f t="shared" si="9"/>
        <v>-1.1834630367884598</v>
      </c>
      <c r="Q39" s="51"/>
      <c r="R39" s="51">
        <f t="shared" si="1"/>
        <v>-3.5447156118262422</v>
      </c>
      <c r="S39" s="51">
        <f t="shared" si="2"/>
        <v>0.98641861092419325</v>
      </c>
      <c r="T39" s="51"/>
      <c r="U39" s="51">
        <f t="shared" si="3"/>
        <v>-3.3327001209354936</v>
      </c>
      <c r="V39" s="111">
        <f t="shared" si="4"/>
        <v>0.96911256620107944</v>
      </c>
      <c r="W39" s="5"/>
      <c r="X39" s="6">
        <f t="shared" si="12"/>
        <v>-3.5447156118262422</v>
      </c>
      <c r="Y39" s="36">
        <f t="shared" si="13"/>
        <v>0.98641861092419325</v>
      </c>
    </row>
    <row r="40" spans="1:25" ht="15.75" thickBot="1" x14ac:dyDescent="0.3">
      <c r="A40" s="92" t="s">
        <v>33</v>
      </c>
      <c r="B40" s="53">
        <v>3</v>
      </c>
      <c r="C40" s="189">
        <v>8.819444444088731E-2</v>
      </c>
      <c r="D40" s="189">
        <v>0.20208333332993789</v>
      </c>
      <c r="E40" s="189">
        <v>0.31319444444670808</v>
      </c>
      <c r="F40" s="189">
        <v>0.43055555555474712</v>
      </c>
      <c r="G40" s="53"/>
      <c r="H40" s="53">
        <v>0.15099157111717645</v>
      </c>
      <c r="I40" s="53">
        <v>0.21115110163584028</v>
      </c>
      <c r="J40" s="53">
        <v>0.27181523986381739</v>
      </c>
      <c r="K40" s="53">
        <v>0.30600625669489334</v>
      </c>
      <c r="L40" s="53"/>
      <c r="M40" s="53">
        <f t="shared" si="6"/>
        <v>0</v>
      </c>
      <c r="N40" s="53">
        <f t="shared" si="7"/>
        <v>0.33534998383943426</v>
      </c>
      <c r="O40" s="53">
        <f t="shared" si="8"/>
        <v>0.58789855544345171</v>
      </c>
      <c r="P40" s="53">
        <f t="shared" si="9"/>
        <v>0.70638153361783018</v>
      </c>
      <c r="Q40" s="53"/>
      <c r="R40" s="53">
        <f t="shared" si="1"/>
        <v>2.0802416722059678</v>
      </c>
      <c r="S40" s="53">
        <f t="shared" si="2"/>
        <v>0.95633356744600817</v>
      </c>
      <c r="T40" s="53"/>
      <c r="U40" s="53">
        <f t="shared" si="3"/>
        <v>1.6182135410125953</v>
      </c>
      <c r="V40" s="112">
        <f t="shared" si="4"/>
        <v>0.95175291449527388</v>
      </c>
      <c r="W40" s="7"/>
      <c r="X40" s="8">
        <f t="shared" si="12"/>
        <v>2.0802416722059678</v>
      </c>
      <c r="Y40" s="37">
        <f t="shared" si="13"/>
        <v>0.95633356744600817</v>
      </c>
    </row>
    <row r="41" spans="1:25" x14ac:dyDescent="0.25">
      <c r="A41" s="9" t="s">
        <v>34</v>
      </c>
      <c r="B41" s="10">
        <v>1</v>
      </c>
      <c r="C41" s="181">
        <v>9.0277777773735579E-2</v>
      </c>
      <c r="D41" s="181">
        <v>0.20486111110949423</v>
      </c>
      <c r="E41" s="181">
        <v>0.31597222221898846</v>
      </c>
      <c r="F41" s="181">
        <v>0.43333333333430346</v>
      </c>
      <c r="G41" s="10"/>
      <c r="H41" s="10">
        <v>5.9540987853057219E-2</v>
      </c>
      <c r="I41" s="10">
        <v>5.4887513225190095E-2</v>
      </c>
      <c r="J41" s="10">
        <v>4.9242550634182085E-2</v>
      </c>
      <c r="K41" s="10">
        <v>4.2266545055821544E-2</v>
      </c>
      <c r="L41" s="10"/>
      <c r="M41" s="10">
        <f t="shared" si="6"/>
        <v>0</v>
      </c>
      <c r="N41" s="10">
        <f t="shared" si="7"/>
        <v>-8.1379070029827111E-2</v>
      </c>
      <c r="O41" s="10">
        <f t="shared" si="8"/>
        <v>-0.18990684684949766</v>
      </c>
      <c r="P41" s="10">
        <f t="shared" si="9"/>
        <v>-0.34266907076580988</v>
      </c>
      <c r="Q41" s="10"/>
      <c r="R41" s="10">
        <f t="shared" si="1"/>
        <v>-0.99750579816113349</v>
      </c>
      <c r="S41" s="10">
        <f t="shared" si="2"/>
        <v>0.98209187089908068</v>
      </c>
      <c r="T41" s="10"/>
      <c r="U41" s="10">
        <f t="shared" si="3"/>
        <v>-1.1451199205568752</v>
      </c>
      <c r="V41" s="26">
        <f t="shared" si="4"/>
        <v>0.99334984326776721</v>
      </c>
      <c r="W41" s="15"/>
      <c r="X41" s="128">
        <f t="shared" si="12"/>
        <v>-0.99750579816113349</v>
      </c>
      <c r="Y41" s="154">
        <f t="shared" si="13"/>
        <v>0.98209187089908068</v>
      </c>
    </row>
    <row r="42" spans="1:25" x14ac:dyDescent="0.25">
      <c r="A42" s="11" t="s">
        <v>34</v>
      </c>
      <c r="B42" s="12">
        <v>2</v>
      </c>
      <c r="C42" s="182">
        <v>9.2361111106583849E-2</v>
      </c>
      <c r="D42" s="182">
        <v>0.2069444444423425</v>
      </c>
      <c r="E42" s="182">
        <v>0.32083333333139308</v>
      </c>
      <c r="F42" s="182">
        <v>0.43472222222044365</v>
      </c>
      <c r="G42" s="12"/>
      <c r="H42" s="12">
        <v>6.102710487005529E-2</v>
      </c>
      <c r="I42" s="12">
        <v>4.7498035381895745E-2</v>
      </c>
      <c r="J42" s="12">
        <v>2.7936731422280776E-2</v>
      </c>
      <c r="K42" s="12">
        <v>2.3880839010641232E-2</v>
      </c>
      <c r="L42" s="12"/>
      <c r="M42" s="12">
        <f t="shared" si="6"/>
        <v>0</v>
      </c>
      <c r="N42" s="12">
        <f t="shared" si="7"/>
        <v>-0.25062975781054481</v>
      </c>
      <c r="O42" s="12">
        <f t="shared" si="8"/>
        <v>-0.78137574623114392</v>
      </c>
      <c r="P42" s="12">
        <f t="shared" si="9"/>
        <v>-0.93824168525847007</v>
      </c>
      <c r="Q42" s="12"/>
      <c r="R42" s="12">
        <f t="shared" si="1"/>
        <v>-2.9320178323687371</v>
      </c>
      <c r="S42" s="12">
        <f t="shared" si="2"/>
        <v>0.95949463128018198</v>
      </c>
      <c r="T42" s="12"/>
      <c r="U42" s="12">
        <f t="shared" si="3"/>
        <v>-3.0187840717183123</v>
      </c>
      <c r="V42" s="27">
        <f t="shared" si="4"/>
        <v>0.9102908573692885</v>
      </c>
      <c r="W42" s="16"/>
      <c r="X42" s="85">
        <f t="shared" si="12"/>
        <v>-2.9320178323687371</v>
      </c>
      <c r="Y42" s="152">
        <f t="shared" si="13"/>
        <v>0.95949463128018198</v>
      </c>
    </row>
    <row r="43" spans="1:25" ht="15.75" thickBot="1" x14ac:dyDescent="0.3">
      <c r="A43" s="13" t="s">
        <v>34</v>
      </c>
      <c r="B43" s="14">
        <v>3</v>
      </c>
      <c r="C43" s="183">
        <v>9.5138888886140194E-2</v>
      </c>
      <c r="D43" s="183">
        <v>0.21041666666133096</v>
      </c>
      <c r="E43" s="183">
        <v>0.32291666666424135</v>
      </c>
      <c r="F43" s="183">
        <v>0.43680555555329192</v>
      </c>
      <c r="G43" s="14"/>
      <c r="H43" s="14">
        <v>8.9291360393831815E-2</v>
      </c>
      <c r="I43" s="14">
        <v>7.2135009426216978E-2</v>
      </c>
      <c r="J43" s="14">
        <v>5.7812700547918573E-2</v>
      </c>
      <c r="K43" s="14">
        <v>5.0964962275189783E-2</v>
      </c>
      <c r="L43" s="14"/>
      <c r="M43" s="14">
        <f t="shared" si="6"/>
        <v>0</v>
      </c>
      <c r="N43" s="14">
        <f t="shared" si="7"/>
        <v>-0.2133652410202746</v>
      </c>
      <c r="O43" s="14">
        <f t="shared" si="8"/>
        <v>-0.43469625088906994</v>
      </c>
      <c r="P43" s="14">
        <f t="shared" si="9"/>
        <v>-0.56076635268271324</v>
      </c>
      <c r="Q43" s="14"/>
      <c r="R43" s="14">
        <f t="shared" si="1"/>
        <v>-1.673622110728519</v>
      </c>
      <c r="S43" s="14">
        <f t="shared" si="2"/>
        <v>0.9868636390463047</v>
      </c>
      <c r="T43" s="14"/>
      <c r="U43" s="14">
        <f t="shared" si="3"/>
        <v>-1.5336527768703421</v>
      </c>
      <c r="V43" s="28">
        <f t="shared" si="4"/>
        <v>0.97444308658370216</v>
      </c>
      <c r="W43" s="55"/>
      <c r="X43" s="60">
        <f t="shared" si="12"/>
        <v>-1.673622110728519</v>
      </c>
      <c r="Y43" s="67">
        <f t="shared" si="13"/>
        <v>0.9868636390463047</v>
      </c>
    </row>
    <row r="44" spans="1:25" x14ac:dyDescent="0.25">
      <c r="A44" s="47" t="s">
        <v>35</v>
      </c>
      <c r="B44" s="48">
        <v>1</v>
      </c>
      <c r="C44" s="188">
        <v>9.7222222218988463E-2</v>
      </c>
      <c r="D44" s="188">
        <v>0.21388888888759539</v>
      </c>
      <c r="E44" s="188">
        <v>0.32499999999708962</v>
      </c>
      <c r="F44" s="188">
        <v>0.43888888888614019</v>
      </c>
      <c r="G44" s="48"/>
      <c r="H44" s="48">
        <v>7.7667489443498189E-2</v>
      </c>
      <c r="I44" s="48">
        <v>5.0460241359448349E-2</v>
      </c>
      <c r="J44" s="48">
        <v>3.1666102246638753E-2</v>
      </c>
      <c r="K44" s="48">
        <v>2.2824247121687485E-2</v>
      </c>
      <c r="L44" s="48"/>
      <c r="M44" s="48">
        <f t="shared" si="6"/>
        <v>0</v>
      </c>
      <c r="N44" s="48">
        <f t="shared" si="7"/>
        <v>-0.43125103214943844</v>
      </c>
      <c r="O44" s="48">
        <f t="shared" si="8"/>
        <v>-0.8971899795513576</v>
      </c>
      <c r="P44" s="48">
        <f t="shared" si="9"/>
        <v>-1.2246133174086296</v>
      </c>
      <c r="Q44" s="48"/>
      <c r="R44" s="48">
        <f t="shared" si="1"/>
        <v>-3.6435092215796336</v>
      </c>
      <c r="S44" s="48">
        <f t="shared" si="2"/>
        <v>0.99504437521150157</v>
      </c>
      <c r="T44" s="48"/>
      <c r="U44" s="48">
        <f t="shared" si="3"/>
        <v>-3.5233421609149409</v>
      </c>
      <c r="V44" s="110">
        <f t="shared" si="4"/>
        <v>0.98846904997706786</v>
      </c>
      <c r="W44" s="3"/>
      <c r="X44" s="4">
        <f t="shared" si="12"/>
        <v>-3.6435092215796336</v>
      </c>
      <c r="Y44" s="35">
        <f t="shared" si="13"/>
        <v>0.99504437521150157</v>
      </c>
    </row>
    <row r="45" spans="1:25" x14ac:dyDescent="0.25">
      <c r="A45" s="50" t="s">
        <v>35</v>
      </c>
      <c r="B45" s="51">
        <v>2</v>
      </c>
      <c r="C45" s="187">
        <v>9.8611111112404615E-2</v>
      </c>
      <c r="D45" s="187">
        <v>0.21597222222771961</v>
      </c>
      <c r="E45" s="187">
        <v>0.32708333333721384</v>
      </c>
      <c r="F45" s="187">
        <v>0.44027777777955635</v>
      </c>
      <c r="G45" s="51"/>
      <c r="H45" s="51">
        <v>2.9127214691939293E-2</v>
      </c>
      <c r="I45" s="51">
        <v>2.3078190407751411E-2</v>
      </c>
      <c r="J45" s="51">
        <v>1.7799506902344789E-2</v>
      </c>
      <c r="K45" s="51">
        <v>1.6404207287353111E-2</v>
      </c>
      <c r="L45" s="51"/>
      <c r="M45" s="51">
        <f t="shared" si="6"/>
        <v>0</v>
      </c>
      <c r="N45" s="51">
        <f t="shared" si="7"/>
        <v>-0.2327849165638822</v>
      </c>
      <c r="O45" s="51">
        <f t="shared" si="8"/>
        <v>-0.49250219512098686</v>
      </c>
      <c r="P45" s="51">
        <f t="shared" si="9"/>
        <v>-0.57413510607917584</v>
      </c>
      <c r="Q45" s="51"/>
      <c r="R45" s="51">
        <f t="shared" si="1"/>
        <v>-1.7455603200792307</v>
      </c>
      <c r="S45" s="51">
        <f t="shared" si="2"/>
        <v>0.96286125947959322</v>
      </c>
      <c r="T45" s="51"/>
      <c r="U45" s="51">
        <f t="shared" si="3"/>
        <v>-1.5193071987568183</v>
      </c>
      <c r="V45" s="111">
        <f t="shared" si="4"/>
        <v>0.91383527940217024</v>
      </c>
      <c r="W45" s="5"/>
      <c r="X45" s="6">
        <f t="shared" si="12"/>
        <v>-1.7455603200792307</v>
      </c>
      <c r="Y45" s="36">
        <f t="shared" si="13"/>
        <v>0.96286125947959322</v>
      </c>
    </row>
    <row r="46" spans="1:25" ht="15.75" thickBot="1" x14ac:dyDescent="0.3">
      <c r="A46" s="92" t="s">
        <v>35</v>
      </c>
      <c r="B46" s="53">
        <v>3</v>
      </c>
      <c r="C46" s="189">
        <v>0.10138888889196096</v>
      </c>
      <c r="D46" s="189">
        <v>0.21805555556056788</v>
      </c>
      <c r="E46" s="189">
        <v>0.32916666667006211</v>
      </c>
      <c r="F46" s="189">
        <v>0.44305555555911269</v>
      </c>
      <c r="G46" s="53"/>
      <c r="H46" s="53">
        <v>9.0531573499801885E-2</v>
      </c>
      <c r="I46" s="53">
        <v>6.9025280240583367E-2</v>
      </c>
      <c r="J46" s="53">
        <v>5.8739892744078759E-2</v>
      </c>
      <c r="K46" s="53">
        <v>4.6872806630326412E-2</v>
      </c>
      <c r="L46" s="53"/>
      <c r="M46" s="53">
        <f t="shared" si="6"/>
        <v>0</v>
      </c>
      <c r="N46" s="53">
        <f t="shared" si="7"/>
        <v>-0.27122585051809761</v>
      </c>
      <c r="O46" s="53">
        <f t="shared" si="8"/>
        <v>-0.43257956848748813</v>
      </c>
      <c r="P46" s="53">
        <f t="shared" si="9"/>
        <v>-0.65826097700336383</v>
      </c>
      <c r="Q46" s="53"/>
      <c r="R46" s="53">
        <f t="shared" si="1"/>
        <v>-1.8816753399711279</v>
      </c>
      <c r="S46" s="53">
        <f t="shared" si="2"/>
        <v>0.99277583088129584</v>
      </c>
      <c r="T46" s="53"/>
      <c r="U46" s="53">
        <f t="shared" si="3"/>
        <v>-1.721245216102403</v>
      </c>
      <c r="V46" s="112">
        <f t="shared" si="4"/>
        <v>0.99218136233162346</v>
      </c>
      <c r="W46" s="7"/>
      <c r="X46" s="8">
        <f t="shared" si="12"/>
        <v>-1.8816753399711279</v>
      </c>
      <c r="Y46" s="37">
        <f t="shared" si="13"/>
        <v>0.99277583088129584</v>
      </c>
    </row>
    <row r="47" spans="1:25" x14ac:dyDescent="0.25">
      <c r="A47" s="15" t="s">
        <v>36</v>
      </c>
      <c r="B47" s="10">
        <v>1</v>
      </c>
      <c r="C47" s="181">
        <v>0.10416666667151731</v>
      </c>
      <c r="D47" s="181">
        <v>0.22013888889341615</v>
      </c>
      <c r="E47" s="181">
        <v>0.33194444444961846</v>
      </c>
      <c r="F47" s="181">
        <v>0.44513888889196096</v>
      </c>
      <c r="G47" s="10"/>
      <c r="H47" s="10">
        <v>9.7156265034793798E-2</v>
      </c>
      <c r="I47" s="10">
        <v>8.1558848574031464E-2</v>
      </c>
      <c r="J47" s="10">
        <v>6.9450361499158453E-2</v>
      </c>
      <c r="K47" s="10">
        <v>5.7958894350487865E-2</v>
      </c>
      <c r="L47" s="10"/>
      <c r="M47" s="10">
        <f t="shared" si="6"/>
        <v>0</v>
      </c>
      <c r="N47" s="10">
        <f t="shared" si="7"/>
        <v>-0.17499583393373419</v>
      </c>
      <c r="O47" s="10">
        <f t="shared" si="8"/>
        <v>-0.33570838764934269</v>
      </c>
      <c r="P47" s="10">
        <f t="shared" si="9"/>
        <v>-0.51658662081562501</v>
      </c>
      <c r="Q47" s="10"/>
      <c r="R47" s="10">
        <f t="shared" si="1"/>
        <v>-1.507396957142952</v>
      </c>
      <c r="S47" s="10">
        <f t="shared" si="2"/>
        <v>0.99959452131556714</v>
      </c>
      <c r="T47" s="10"/>
      <c r="U47" s="10">
        <f t="shared" si="3"/>
        <v>-1.5183464041210957</v>
      </c>
      <c r="V47" s="26">
        <f t="shared" si="4"/>
        <v>0.99906963697652573</v>
      </c>
      <c r="W47" s="15"/>
      <c r="X47" s="128">
        <f>SLOPE(N47:P47,D47:F47)</f>
        <v>-1.5183464041210957</v>
      </c>
      <c r="Y47" s="154">
        <f>RSQ(N47:P47,D47:F47)</f>
        <v>0.99906963697652573</v>
      </c>
    </row>
    <row r="48" spans="1:25" x14ac:dyDescent="0.25">
      <c r="A48" s="16" t="s">
        <v>36</v>
      </c>
      <c r="B48" s="12">
        <v>2</v>
      </c>
      <c r="C48" s="182">
        <v>0.10624999999708962</v>
      </c>
      <c r="D48" s="182">
        <v>0.22152777777955635</v>
      </c>
      <c r="E48" s="182">
        <v>0.33333333333575865</v>
      </c>
      <c r="F48" s="182">
        <v>0.44652777777810115</v>
      </c>
      <c r="G48" s="12"/>
      <c r="H48" s="12">
        <v>1.5236417662694732</v>
      </c>
      <c r="I48" s="12">
        <v>1.7088741348421663</v>
      </c>
      <c r="J48" s="12">
        <v>1.5765671330762634</v>
      </c>
      <c r="K48" s="12">
        <v>1.2159317020477454</v>
      </c>
      <c r="L48" s="12"/>
      <c r="M48" s="12">
        <f t="shared" si="6"/>
        <v>0</v>
      </c>
      <c r="N48" s="12">
        <f t="shared" si="7"/>
        <v>0.11473138486636388</v>
      </c>
      <c r="O48" s="12">
        <f t="shared" si="8"/>
        <v>3.414641458569994E-2</v>
      </c>
      <c r="P48" s="12">
        <f t="shared" si="9"/>
        <v>-0.22559275224275377</v>
      </c>
      <c r="Q48" s="12"/>
      <c r="R48" s="12">
        <f t="shared" si="1"/>
        <v>-0.66554600629046201</v>
      </c>
      <c r="S48" s="12">
        <f t="shared" si="2"/>
        <v>0.44570123665851508</v>
      </c>
      <c r="T48" s="12"/>
      <c r="U48" s="12">
        <f t="shared" si="3"/>
        <v>-1.5141708442363355</v>
      </c>
      <c r="V48" s="27">
        <f t="shared" si="4"/>
        <v>0.91741041658756128</v>
      </c>
      <c r="W48" s="16"/>
      <c r="X48" s="85">
        <f>SLOPE(N48:P48,D48:F48)</f>
        <v>-1.5141708442363355</v>
      </c>
      <c r="Y48" s="152">
        <f>RSQ(N48:P48,D48:F48)</f>
        <v>0.91741041658756128</v>
      </c>
    </row>
    <row r="49" spans="1:25" ht="15.75" thickBot="1" x14ac:dyDescent="0.3">
      <c r="A49" s="17" t="s">
        <v>36</v>
      </c>
      <c r="B49" s="18">
        <v>3</v>
      </c>
      <c r="C49" s="184">
        <v>0.10833333332993789</v>
      </c>
      <c r="D49" s="184">
        <v>0.22430555555183673</v>
      </c>
      <c r="E49" s="184">
        <v>0.33611111110803904</v>
      </c>
      <c r="F49" s="184">
        <v>0.44861111111094942</v>
      </c>
      <c r="G49" s="18"/>
      <c r="H49" s="18">
        <v>6.8536533265691424E-2</v>
      </c>
      <c r="I49" s="18">
        <v>5.1714787432508021E-2</v>
      </c>
      <c r="J49" s="18">
        <v>4.8505254719538898E-2</v>
      </c>
      <c r="K49" s="18">
        <v>2.4353125424575055E-2</v>
      </c>
      <c r="L49" s="18"/>
      <c r="M49" s="18">
        <f t="shared" si="6"/>
        <v>0</v>
      </c>
      <c r="N49" s="18">
        <f t="shared" si="7"/>
        <v>-0.28162317098591488</v>
      </c>
      <c r="O49" s="18">
        <f t="shared" si="8"/>
        <v>-0.34569479863556002</v>
      </c>
      <c r="P49" s="18">
        <f t="shared" si="9"/>
        <v>-1.0347067399589933</v>
      </c>
      <c r="Q49" s="18"/>
      <c r="R49" s="18">
        <f t="shared" si="1"/>
        <v>-2.7946737621051789</v>
      </c>
      <c r="S49" s="18">
        <f t="shared" si="2"/>
        <v>0.86551637507948931</v>
      </c>
      <c r="T49" s="18"/>
      <c r="U49" s="18">
        <f t="shared" si="3"/>
        <v>-3.3602649393592841</v>
      </c>
      <c r="V49" s="29">
        <f t="shared" si="4"/>
        <v>0.81469942477162149</v>
      </c>
      <c r="W49" s="17"/>
      <c r="X49" s="123">
        <f>SLOPE(N49:P49,D49:F49)</f>
        <v>-3.3602649393592841</v>
      </c>
      <c r="Y49" s="153">
        <f>RSQ(N49:P49,D49:F49)</f>
        <v>0.81469942477162149</v>
      </c>
    </row>
  </sheetData>
  <pageMargins left="0.7" right="0.7" top="0.75" bottom="0.75" header="0.3" footer="0.3"/>
  <pageSetup orientation="portrait" verticalDpi="3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A49"/>
  <sheetViews>
    <sheetView topLeftCell="D1" zoomScale="80" zoomScaleNormal="80" workbookViewId="0">
      <selection activeCell="U47" sqref="U47"/>
    </sheetView>
  </sheetViews>
  <sheetFormatPr defaultRowHeight="15" x14ac:dyDescent="0.25"/>
  <cols>
    <col min="3" max="3" width="29.28515625" bestFit="1" customWidth="1"/>
  </cols>
  <sheetData>
    <row r="2" spans="1:27" x14ac:dyDescent="0.25">
      <c r="A2" t="s">
        <v>126</v>
      </c>
    </row>
    <row r="3" spans="1:27" ht="15.75" thickBot="1" x14ac:dyDescent="0.3"/>
    <row r="4" spans="1:27" ht="30.75" thickBot="1" x14ac:dyDescent="0.3">
      <c r="A4" s="120" t="s">
        <v>0</v>
      </c>
      <c r="B4" s="57" t="s">
        <v>50</v>
      </c>
      <c r="C4" s="57" t="s">
        <v>128</v>
      </c>
      <c r="D4" s="207"/>
      <c r="E4" s="19" t="s">
        <v>0</v>
      </c>
      <c r="F4" s="25" t="s">
        <v>50</v>
      </c>
      <c r="G4" s="19" t="s">
        <v>142</v>
      </c>
      <c r="H4" s="20" t="s">
        <v>68</v>
      </c>
      <c r="I4" s="20" t="s">
        <v>145</v>
      </c>
      <c r="J4" s="20" t="s">
        <v>146</v>
      </c>
      <c r="K4" s="22" t="s">
        <v>147</v>
      </c>
      <c r="L4" s="232" t="s">
        <v>142</v>
      </c>
      <c r="M4" s="20" t="s">
        <v>68</v>
      </c>
      <c r="N4" s="20" t="s">
        <v>145</v>
      </c>
      <c r="O4" s="20" t="s">
        <v>146</v>
      </c>
      <c r="P4" s="25" t="s">
        <v>147</v>
      </c>
      <c r="Q4" s="231" t="s">
        <v>148</v>
      </c>
      <c r="R4" s="133" t="s">
        <v>68</v>
      </c>
      <c r="S4" s="133" t="s">
        <v>145</v>
      </c>
      <c r="T4" s="133" t="s">
        <v>146</v>
      </c>
      <c r="U4" s="91" t="s">
        <v>147</v>
      </c>
      <c r="Z4" t="s">
        <v>136</v>
      </c>
      <c r="AA4" t="s">
        <v>127</v>
      </c>
    </row>
    <row r="5" spans="1:27" x14ac:dyDescent="0.25">
      <c r="A5" s="65" t="s">
        <v>21</v>
      </c>
      <c r="B5" s="66">
        <v>1</v>
      </c>
      <c r="C5" s="66" t="s">
        <v>3</v>
      </c>
      <c r="D5" s="209"/>
      <c r="E5" s="9" t="s">
        <v>21</v>
      </c>
      <c r="F5" s="26">
        <v>1</v>
      </c>
      <c r="G5" s="15">
        <v>-3.9588842814591851</v>
      </c>
      <c r="H5" s="128">
        <v>0.82968722041628873</v>
      </c>
      <c r="I5" s="128">
        <f>AVERAGE(G5:G7)</f>
        <v>-1.5432803325517457</v>
      </c>
      <c r="J5" s="128">
        <f>STDEV(G5:G7)</f>
        <v>2.1012079979084279</v>
      </c>
      <c r="K5" s="32">
        <f>J5/SQRT(3)</f>
        <v>1.2131330032158256</v>
      </c>
      <c r="L5" s="129">
        <v>-1.809801224041597</v>
      </c>
      <c r="M5" s="10">
        <v>0.99847501503137759</v>
      </c>
      <c r="N5" s="10">
        <f>AVERAGE(L5:L7)</f>
        <v>-0.41518902243055017</v>
      </c>
      <c r="O5" s="10">
        <f>STDEV(L5:L7)</f>
        <v>1.2106972289866023</v>
      </c>
      <c r="P5" s="26">
        <f>O5/SQRT(3)</f>
        <v>0.69899637106254886</v>
      </c>
      <c r="Q5" s="9">
        <v>-1.809801224041597</v>
      </c>
      <c r="R5" s="10">
        <v>0.99847501503137759</v>
      </c>
      <c r="S5" s="10">
        <f>AVERAGE(Q5:Q7)</f>
        <v>-0.41518902243055017</v>
      </c>
      <c r="T5" s="10">
        <f>STDEV(Q5:Q7)</f>
        <v>1.2106972289866023</v>
      </c>
      <c r="U5" s="32">
        <f>T5/SQRT(3)</f>
        <v>0.69899637106254886</v>
      </c>
    </row>
    <row r="6" spans="1:27" x14ac:dyDescent="0.25">
      <c r="A6" s="16" t="s">
        <v>21</v>
      </c>
      <c r="B6" s="85">
        <v>2</v>
      </c>
      <c r="C6" s="85" t="s">
        <v>3</v>
      </c>
      <c r="D6" s="61"/>
      <c r="E6" s="11" t="s">
        <v>21</v>
      </c>
      <c r="F6" s="27">
        <v>2</v>
      </c>
      <c r="G6" s="16">
        <v>-0.53224782217066346</v>
      </c>
      <c r="H6" s="85">
        <v>0.43143468501421295</v>
      </c>
      <c r="I6" s="85"/>
      <c r="J6" s="85"/>
      <c r="K6" s="33"/>
      <c r="L6" s="124">
        <v>0.19797205110639823</v>
      </c>
      <c r="M6" s="12">
        <v>0.73020223672181717</v>
      </c>
      <c r="N6" s="12"/>
      <c r="O6" s="12"/>
      <c r="P6" s="27"/>
      <c r="Q6" s="11">
        <v>0.19797205110639823</v>
      </c>
      <c r="R6" s="12">
        <v>0.73020223672181717</v>
      </c>
      <c r="S6" s="12"/>
      <c r="T6" s="12"/>
      <c r="U6" s="33"/>
    </row>
    <row r="7" spans="1:27" ht="15.75" thickBot="1" x14ac:dyDescent="0.3">
      <c r="A7" s="17" t="s">
        <v>21</v>
      </c>
      <c r="B7" s="123">
        <v>3</v>
      </c>
      <c r="C7" s="123" t="s">
        <v>3</v>
      </c>
      <c r="D7" s="61"/>
      <c r="E7" s="13" t="s">
        <v>21</v>
      </c>
      <c r="F7" s="28">
        <v>3</v>
      </c>
      <c r="G7" s="55">
        <v>-0.13870889402538877</v>
      </c>
      <c r="H7" s="60">
        <v>9.8091977335034011E-2</v>
      </c>
      <c r="I7" s="60"/>
      <c r="J7" s="60"/>
      <c r="K7" s="34"/>
      <c r="L7" s="127">
        <v>0.36626210564354827</v>
      </c>
      <c r="M7" s="14">
        <v>0.99109730797497575</v>
      </c>
      <c r="N7" s="14"/>
      <c r="O7" s="14"/>
      <c r="P7" s="28"/>
      <c r="Q7" s="13">
        <v>0.36626210564354827</v>
      </c>
      <c r="R7" s="14">
        <v>0.99109730797497575</v>
      </c>
      <c r="S7" s="14"/>
      <c r="T7" s="14"/>
      <c r="U7" s="34"/>
    </row>
    <row r="8" spans="1:27" x14ac:dyDescent="0.25">
      <c r="A8" s="3" t="s">
        <v>22</v>
      </c>
      <c r="B8" s="4">
        <v>1</v>
      </c>
      <c r="C8" s="4" t="s">
        <v>4</v>
      </c>
      <c r="D8" s="209"/>
      <c r="E8" s="47" t="s">
        <v>24</v>
      </c>
      <c r="F8" s="110">
        <v>1</v>
      </c>
      <c r="G8" s="47">
        <v>-4.0859035638863306</v>
      </c>
      <c r="H8" s="48">
        <v>0.8767869323938432</v>
      </c>
      <c r="I8" s="48">
        <f>AVERAGE(G8:G10)</f>
        <v>-3.6979328099960243</v>
      </c>
      <c r="J8" s="48">
        <f>STDEV(G8:G10)</f>
        <v>0.54374773891341688</v>
      </c>
      <c r="K8" s="49">
        <f>J8/SQRT(3)</f>
        <v>0.31393290343291158</v>
      </c>
      <c r="L8" s="130">
        <v>-2.6116936245339426</v>
      </c>
      <c r="M8" s="48">
        <v>0.74999999998383082</v>
      </c>
      <c r="N8" s="48">
        <f>AVERAGE(L8:L10)</f>
        <v>-2.8534420024580935</v>
      </c>
      <c r="O8" s="48">
        <f>STDEV(L8:L10)</f>
        <v>0.73986935014552302</v>
      </c>
      <c r="P8" s="110">
        <f>O8/SQRT(3)</f>
        <v>0.4271637684716712</v>
      </c>
      <c r="Q8" s="47">
        <v>-4.0859035638863306</v>
      </c>
      <c r="R8" s="48">
        <v>0.8767869323938432</v>
      </c>
      <c r="S8" s="48">
        <f>AVERAGE(Q8:Q10)</f>
        <v>-3.6979328099960243</v>
      </c>
      <c r="T8" s="48">
        <f>STDEV(Q8:Q10)</f>
        <v>0.54374773891341688</v>
      </c>
      <c r="U8" s="49">
        <f>T8/SQRT(3)</f>
        <v>0.31393290343291158</v>
      </c>
    </row>
    <row r="9" spans="1:27" x14ac:dyDescent="0.25">
      <c r="A9" s="5" t="s">
        <v>22</v>
      </c>
      <c r="B9" s="6">
        <v>2</v>
      </c>
      <c r="C9" s="6" t="s">
        <v>4</v>
      </c>
      <c r="D9" s="61"/>
      <c r="E9" s="50" t="s">
        <v>24</v>
      </c>
      <c r="F9" s="111">
        <v>2</v>
      </c>
      <c r="G9" s="50">
        <v>-3.076430621489274</v>
      </c>
      <c r="H9" s="51">
        <v>0.92465154070448996</v>
      </c>
      <c r="I9" s="51"/>
      <c r="J9" s="51"/>
      <c r="K9" s="52"/>
      <c r="L9" s="126">
        <v>-2.2646860436579415</v>
      </c>
      <c r="M9" s="51">
        <v>0.85836430713844503</v>
      </c>
      <c r="N9" s="51"/>
      <c r="O9" s="51"/>
      <c r="P9" s="111"/>
      <c r="Q9" s="50">
        <v>-3.076430621489274</v>
      </c>
      <c r="R9" s="51">
        <v>0.92465154070448996</v>
      </c>
      <c r="S9" s="51"/>
      <c r="T9" s="51"/>
      <c r="U9" s="52"/>
    </row>
    <row r="10" spans="1:27" ht="15.75" thickBot="1" x14ac:dyDescent="0.3">
      <c r="A10" s="7" t="s">
        <v>22</v>
      </c>
      <c r="B10" s="8">
        <v>3</v>
      </c>
      <c r="C10" s="8" t="s">
        <v>4</v>
      </c>
      <c r="D10" s="61"/>
      <c r="E10" s="92" t="s">
        <v>24</v>
      </c>
      <c r="F10" s="112">
        <v>3</v>
      </c>
      <c r="G10" s="92">
        <v>-3.9314642446124681</v>
      </c>
      <c r="H10" s="53">
        <v>0.98704972350017306</v>
      </c>
      <c r="I10" s="53"/>
      <c r="J10" s="53"/>
      <c r="K10" s="54"/>
      <c r="L10" s="131">
        <v>-3.6839463391823966</v>
      </c>
      <c r="M10" s="53">
        <v>0.97058632304648829</v>
      </c>
      <c r="N10" s="53"/>
      <c r="O10" s="53"/>
      <c r="P10" s="112"/>
      <c r="Q10" s="92">
        <v>-3.9314642446124681</v>
      </c>
      <c r="R10" s="53">
        <v>0.98704972350017306</v>
      </c>
      <c r="S10" s="53"/>
      <c r="T10" s="53"/>
      <c r="U10" s="54"/>
    </row>
    <row r="11" spans="1:27" x14ac:dyDescent="0.25">
      <c r="A11" s="15" t="s">
        <v>23</v>
      </c>
      <c r="B11" s="128">
        <v>1</v>
      </c>
      <c r="C11" s="128" t="s">
        <v>129</v>
      </c>
      <c r="D11" s="209"/>
      <c r="E11" s="9" t="s">
        <v>26</v>
      </c>
      <c r="F11" s="26">
        <v>1</v>
      </c>
      <c r="G11" s="15">
        <v>-3.8852629649452033</v>
      </c>
      <c r="H11" s="128">
        <v>0.89123017538666749</v>
      </c>
      <c r="I11" s="128">
        <f>AVERAGE(G11:G13)</f>
        <v>-6.7080238054032746</v>
      </c>
      <c r="J11" s="128">
        <f>STDEV(G11:G13)</f>
        <v>2.6539717543619377</v>
      </c>
      <c r="K11" s="32">
        <f>J11/SQRT(3)</f>
        <v>1.5322713068025282</v>
      </c>
      <c r="L11" s="129">
        <v>-2.2985909379170346</v>
      </c>
      <c r="M11" s="10">
        <v>0.9191651592098532</v>
      </c>
      <c r="N11" s="10">
        <f>AVERAGE(L11:L13)</f>
        <v>-5.4554320588114917</v>
      </c>
      <c r="O11" s="10">
        <f>STDEV(L11:L13)</f>
        <v>2.9253977266666218</v>
      </c>
      <c r="P11" s="26">
        <f>O11/SQRT(3)</f>
        <v>1.6889791649776935</v>
      </c>
      <c r="Q11" s="9">
        <v>-3.8852629649452033</v>
      </c>
      <c r="R11" s="128">
        <v>0.89123017538666749</v>
      </c>
      <c r="S11" s="10">
        <f>AVERAGE(Q11:Q13)</f>
        <v>-6.7080238054032746</v>
      </c>
      <c r="T11" s="10">
        <f>STDEV(Q11:Q13)</f>
        <v>2.6539717543619377</v>
      </c>
      <c r="U11" s="32">
        <f>T11/SQRT(3)</f>
        <v>1.5322713068025282</v>
      </c>
    </row>
    <row r="12" spans="1:27" x14ac:dyDescent="0.25">
      <c r="A12" s="16" t="s">
        <v>23</v>
      </c>
      <c r="B12" s="85">
        <v>2</v>
      </c>
      <c r="C12" s="85" t="s">
        <v>129</v>
      </c>
      <c r="D12" s="61"/>
      <c r="E12" s="11" t="s">
        <v>26</v>
      </c>
      <c r="F12" s="27">
        <v>2</v>
      </c>
      <c r="G12" s="16">
        <v>-7.0861656272759985</v>
      </c>
      <c r="H12" s="85">
        <v>0.96875331367334439</v>
      </c>
      <c r="I12" s="85"/>
      <c r="J12" s="85"/>
      <c r="K12" s="33"/>
      <c r="L12" s="124">
        <v>-5.9928351063135246</v>
      </c>
      <c r="M12" s="12">
        <v>0.94467967588309854</v>
      </c>
      <c r="N12" s="12"/>
      <c r="O12" s="12"/>
      <c r="P12" s="27"/>
      <c r="Q12" s="11">
        <v>-7.0861656272759985</v>
      </c>
      <c r="R12" s="85">
        <v>0.96875331367334439</v>
      </c>
      <c r="S12" s="12"/>
      <c r="T12" s="12"/>
      <c r="U12" s="33"/>
    </row>
    <row r="13" spans="1:27" ht="15.75" thickBot="1" x14ac:dyDescent="0.3">
      <c r="A13" s="17" t="s">
        <v>23</v>
      </c>
      <c r="B13" s="123">
        <v>3</v>
      </c>
      <c r="C13" s="123" t="s">
        <v>129</v>
      </c>
      <c r="D13" s="61"/>
      <c r="E13" s="13" t="s">
        <v>26</v>
      </c>
      <c r="F13" s="28">
        <v>3</v>
      </c>
      <c r="G13" s="55">
        <v>-9.1526428239886215</v>
      </c>
      <c r="H13" s="60">
        <v>0.99043471548125595</v>
      </c>
      <c r="I13" s="60"/>
      <c r="J13" s="60"/>
      <c r="K13" s="34"/>
      <c r="L13" s="127">
        <v>-8.074870132203916</v>
      </c>
      <c r="M13" s="14">
        <v>0.99861350100150781</v>
      </c>
      <c r="N13" s="14"/>
      <c r="O13" s="14"/>
      <c r="P13" s="28"/>
      <c r="Q13" s="13">
        <v>-9.1526428239886215</v>
      </c>
      <c r="R13" s="60">
        <v>0.99043471548125595</v>
      </c>
      <c r="S13" s="14"/>
      <c r="T13" s="14"/>
      <c r="U13" s="34"/>
    </row>
    <row r="14" spans="1:27" x14ac:dyDescent="0.25">
      <c r="A14" s="3" t="s">
        <v>24</v>
      </c>
      <c r="B14" s="4">
        <v>1</v>
      </c>
      <c r="C14" s="4" t="s">
        <v>6</v>
      </c>
      <c r="D14" s="209"/>
      <c r="E14" s="47" t="s">
        <v>27</v>
      </c>
      <c r="F14" s="110">
        <v>1</v>
      </c>
      <c r="G14" s="47">
        <v>-5.4747865030784721</v>
      </c>
      <c r="H14" s="48">
        <v>0.71091174165174142</v>
      </c>
      <c r="I14" s="48">
        <f>AVERAGE(G14:G16)</f>
        <v>-6.1523843990893861</v>
      </c>
      <c r="J14" s="48">
        <f>STDEV(G14:G16)</f>
        <v>0.6080244648562253</v>
      </c>
      <c r="K14" s="49">
        <f>J14/SQRT(3)</f>
        <v>0.35104308845861987</v>
      </c>
      <c r="L14" s="130">
        <v>-1.251586642622714</v>
      </c>
      <c r="M14" s="48">
        <v>0.62715434950899207</v>
      </c>
      <c r="N14" s="48">
        <f>AVERAGE(L14:L16)</f>
        <v>-2.8867747714822172</v>
      </c>
      <c r="O14" s="48">
        <f>STDEV(L14:L16)</f>
        <v>1.5662266568952528</v>
      </c>
      <c r="P14" s="110">
        <f>O14/SQRT(3)</f>
        <v>0.90426138197044181</v>
      </c>
      <c r="Q14" s="47">
        <v>-5.4747865030784721</v>
      </c>
      <c r="R14" s="48">
        <v>0.71091174165174142</v>
      </c>
      <c r="S14" s="48">
        <f>AVERAGE(Q14:Q16)</f>
        <v>-6.1523843990893861</v>
      </c>
      <c r="T14" s="48">
        <f>STDEV(Q14:Q16)</f>
        <v>0.6080244648562253</v>
      </c>
      <c r="U14" s="49">
        <f>T14/SQRT(3)</f>
        <v>0.35104308845861987</v>
      </c>
    </row>
    <row r="15" spans="1:27" x14ac:dyDescent="0.25">
      <c r="A15" s="5" t="s">
        <v>24</v>
      </c>
      <c r="B15" s="6">
        <v>2</v>
      </c>
      <c r="C15" s="6" t="s">
        <v>6</v>
      </c>
      <c r="D15" s="61"/>
      <c r="E15" s="50" t="s">
        <v>27</v>
      </c>
      <c r="F15" s="111">
        <v>2</v>
      </c>
      <c r="G15" s="50">
        <v>-6.6503674177642607</v>
      </c>
      <c r="H15" s="51">
        <v>0.82933186336762055</v>
      </c>
      <c r="I15" s="51"/>
      <c r="J15" s="51"/>
      <c r="K15" s="52"/>
      <c r="L15" s="126">
        <v>-3.0352755851636166</v>
      </c>
      <c r="M15" s="51">
        <v>0.90458668505805806</v>
      </c>
      <c r="N15" s="51"/>
      <c r="O15" s="51"/>
      <c r="P15" s="111"/>
      <c r="Q15" s="50">
        <v>-6.6503674177642607</v>
      </c>
      <c r="R15" s="51">
        <v>0.82933186336762055</v>
      </c>
      <c r="S15" s="51"/>
      <c r="T15" s="51"/>
      <c r="U15" s="52"/>
    </row>
    <row r="16" spans="1:27" ht="15.75" thickBot="1" x14ac:dyDescent="0.3">
      <c r="A16" s="7" t="s">
        <v>24</v>
      </c>
      <c r="B16" s="8">
        <v>3</v>
      </c>
      <c r="C16" s="8" t="s">
        <v>6</v>
      </c>
      <c r="D16" s="61"/>
      <c r="E16" s="92" t="s">
        <v>27</v>
      </c>
      <c r="F16" s="112">
        <v>3</v>
      </c>
      <c r="G16" s="92">
        <v>-6.3319992764254254</v>
      </c>
      <c r="H16" s="53">
        <v>0.9074353316607392</v>
      </c>
      <c r="I16" s="53"/>
      <c r="J16" s="53"/>
      <c r="K16" s="54"/>
      <c r="L16" s="131">
        <v>-4.3734620866603207</v>
      </c>
      <c r="M16" s="53">
        <v>0.83375795680805154</v>
      </c>
      <c r="N16" s="53"/>
      <c r="O16" s="53"/>
      <c r="P16" s="112"/>
      <c r="Q16" s="92">
        <v>-6.3319992764254254</v>
      </c>
      <c r="R16" s="53">
        <v>0.9074353316607392</v>
      </c>
      <c r="S16" s="53"/>
      <c r="T16" s="53"/>
      <c r="U16" s="54"/>
    </row>
    <row r="17" spans="1:21" x14ac:dyDescent="0.25">
      <c r="A17" s="15" t="s">
        <v>26</v>
      </c>
      <c r="B17" s="128">
        <v>1</v>
      </c>
      <c r="C17" s="128" t="s">
        <v>8</v>
      </c>
      <c r="D17" s="209"/>
      <c r="E17" s="15" t="s">
        <v>28</v>
      </c>
      <c r="F17" s="26">
        <v>1</v>
      </c>
      <c r="G17" s="15">
        <v>-2.2539437728818905</v>
      </c>
      <c r="H17" s="128">
        <v>0.96586776835937849</v>
      </c>
      <c r="I17" s="128">
        <f>AVERAGE(G17:G19)</f>
        <v>-3.0957167735577635</v>
      </c>
      <c r="J17" s="128">
        <f>STDEV(G17:G19)</f>
        <v>1.2490652234882054</v>
      </c>
      <c r="K17" s="32">
        <f>J17/SQRT(3)</f>
        <v>0.72114814301631547</v>
      </c>
      <c r="L17" s="129">
        <v>-1.7850262324618822</v>
      </c>
      <c r="M17" s="10">
        <v>0.97607951851476549</v>
      </c>
      <c r="N17" s="10">
        <f>AVERAGE(L17:L19)</f>
        <v>-2.7720170818529155</v>
      </c>
      <c r="O17" s="10">
        <f>STDEV(L17:L19)</f>
        <v>1.3713666391278783</v>
      </c>
      <c r="P17" s="26">
        <f>O17/SQRT(3)</f>
        <v>0.79175889825815293</v>
      </c>
      <c r="Q17" s="9">
        <v>-2.2539437728818905</v>
      </c>
      <c r="R17" s="128">
        <v>0.96586776835937849</v>
      </c>
      <c r="S17" s="10">
        <f>AVERAGE(Q17:Q19)</f>
        <v>-3.0957167735577635</v>
      </c>
      <c r="T17" s="10">
        <f>STDEV(Q17:Q19)</f>
        <v>1.2490652234882054</v>
      </c>
      <c r="U17" s="32">
        <f>T17/SQRT(3)</f>
        <v>0.72114814301631547</v>
      </c>
    </row>
    <row r="18" spans="1:21" x14ac:dyDescent="0.25">
      <c r="A18" s="16" t="s">
        <v>26</v>
      </c>
      <c r="B18" s="85">
        <v>2</v>
      </c>
      <c r="C18" s="85" t="s">
        <v>8</v>
      </c>
      <c r="D18" s="61"/>
      <c r="E18" s="16" t="s">
        <v>28</v>
      </c>
      <c r="F18" s="27">
        <v>2</v>
      </c>
      <c r="G18" s="16">
        <v>-2.5023411805354585</v>
      </c>
      <c r="H18" s="85">
        <v>0.98975431069091302</v>
      </c>
      <c r="I18" s="85"/>
      <c r="J18" s="85"/>
      <c r="K18" s="33"/>
      <c r="L18" s="124">
        <v>-2.1931164713419116</v>
      </c>
      <c r="M18" s="12">
        <v>0.99992396355636248</v>
      </c>
      <c r="N18" s="12"/>
      <c r="O18" s="12"/>
      <c r="P18" s="27"/>
      <c r="Q18" s="11">
        <v>-2.5023411805354585</v>
      </c>
      <c r="R18" s="85">
        <v>0.98975431069091302</v>
      </c>
      <c r="S18" s="12"/>
      <c r="T18" s="12"/>
      <c r="U18" s="33"/>
    </row>
    <row r="19" spans="1:21" ht="15.75" thickBot="1" x14ac:dyDescent="0.3">
      <c r="A19" s="17" t="s">
        <v>26</v>
      </c>
      <c r="B19" s="123">
        <v>3</v>
      </c>
      <c r="C19" s="123" t="s">
        <v>8</v>
      </c>
      <c r="D19" s="61"/>
      <c r="E19" s="55" t="s">
        <v>28</v>
      </c>
      <c r="F19" s="28">
        <v>3</v>
      </c>
      <c r="G19" s="55">
        <v>-4.5308653672559407</v>
      </c>
      <c r="H19" s="60">
        <v>0.99749594838201527</v>
      </c>
      <c r="I19" s="60"/>
      <c r="J19" s="60"/>
      <c r="K19" s="34"/>
      <c r="L19" s="127">
        <v>-4.3379085417549534</v>
      </c>
      <c r="M19" s="14">
        <v>0.99660697973936885</v>
      </c>
      <c r="N19" s="14"/>
      <c r="O19" s="14"/>
      <c r="P19" s="28"/>
      <c r="Q19" s="13">
        <v>-4.5308653672559407</v>
      </c>
      <c r="R19" s="60">
        <v>0.99749594838201527</v>
      </c>
      <c r="S19" s="14"/>
      <c r="T19" s="14"/>
      <c r="U19" s="34"/>
    </row>
    <row r="20" spans="1:21" x14ac:dyDescent="0.25">
      <c r="A20" s="3" t="s">
        <v>27</v>
      </c>
      <c r="B20" s="4">
        <v>1</v>
      </c>
      <c r="C20" s="4" t="s">
        <v>130</v>
      </c>
      <c r="D20" s="209"/>
      <c r="E20" s="47" t="s">
        <v>30</v>
      </c>
      <c r="F20" s="110">
        <v>1</v>
      </c>
      <c r="G20" s="47">
        <v>-7.631052926037488</v>
      </c>
      <c r="H20" s="48">
        <v>0.91723312829308878</v>
      </c>
      <c r="I20" s="48">
        <f>AVERAGE(G20:G22)</f>
        <v>-5.7611550230125026</v>
      </c>
      <c r="J20" s="48">
        <f>STDEV(G20:G22)</f>
        <v>2.0551299585031706</v>
      </c>
      <c r="K20" s="49">
        <f>J20/SQRT(3)</f>
        <v>1.1865298347614701</v>
      </c>
      <c r="L20" s="130">
        <v>-8.0857229511406938</v>
      </c>
      <c r="M20" s="48">
        <v>0.84093003635364039</v>
      </c>
      <c r="N20" s="48">
        <f>AVERAGE(L20:L22)</f>
        <v>-5.3688516027210689</v>
      </c>
      <c r="O20" s="48">
        <f>STDEV(L20:L22)</f>
        <v>2.7029661959363183</v>
      </c>
      <c r="P20" s="110">
        <f>O20/SQRT(3)</f>
        <v>1.5605582608342923</v>
      </c>
      <c r="Q20" s="47">
        <v>-7.631052926037488</v>
      </c>
      <c r="R20" s="48">
        <v>0.91723312829308878</v>
      </c>
      <c r="S20" s="48">
        <f>AVERAGE(Q20:Q22)</f>
        <v>-5.7611550230125026</v>
      </c>
      <c r="T20" s="48">
        <f>STDEV(Q20:Q22)</f>
        <v>2.0551299585031706</v>
      </c>
      <c r="U20" s="49">
        <f>T20/SQRT(3)</f>
        <v>1.1865298347614701</v>
      </c>
    </row>
    <row r="21" spans="1:21" x14ac:dyDescent="0.25">
      <c r="A21" s="5" t="s">
        <v>27</v>
      </c>
      <c r="B21" s="6">
        <v>2</v>
      </c>
      <c r="C21" s="6" t="s">
        <v>130</v>
      </c>
      <c r="D21" s="61"/>
      <c r="E21" s="50" t="s">
        <v>30</v>
      </c>
      <c r="F21" s="111">
        <v>2</v>
      </c>
      <c r="G21" s="50">
        <v>-6.0915797398424116</v>
      </c>
      <c r="H21" s="51">
        <v>0.97576844442514754</v>
      </c>
      <c r="I21" s="51"/>
      <c r="J21" s="51"/>
      <c r="K21" s="52"/>
      <c r="L21" s="126">
        <v>-5.3408233147944406</v>
      </c>
      <c r="M21" s="51">
        <v>0.95813945517574961</v>
      </c>
      <c r="N21" s="51"/>
      <c r="O21" s="51"/>
      <c r="P21" s="111"/>
      <c r="Q21" s="50">
        <v>-6.0915797398424116</v>
      </c>
      <c r="R21" s="51">
        <v>0.97576844442514754</v>
      </c>
      <c r="S21" s="51"/>
      <c r="T21" s="51"/>
      <c r="U21" s="52"/>
    </row>
    <row r="22" spans="1:21" ht="15.75" thickBot="1" x14ac:dyDescent="0.3">
      <c r="A22" s="7" t="s">
        <v>27</v>
      </c>
      <c r="B22" s="8">
        <v>3</v>
      </c>
      <c r="C22" s="8" t="s">
        <v>130</v>
      </c>
      <c r="D22" s="61"/>
      <c r="E22" s="92" t="s">
        <v>30</v>
      </c>
      <c r="F22" s="112">
        <v>3</v>
      </c>
      <c r="G22" s="92">
        <v>-3.5608324031576091</v>
      </c>
      <c r="H22" s="53">
        <v>0.95777335342305048</v>
      </c>
      <c r="I22" s="53"/>
      <c r="J22" s="53"/>
      <c r="K22" s="54"/>
      <c r="L22" s="131">
        <v>-2.6800085422280717</v>
      </c>
      <c r="M22" s="53">
        <v>0.9975648418171349</v>
      </c>
      <c r="N22" s="53"/>
      <c r="O22" s="53"/>
      <c r="P22" s="112"/>
      <c r="Q22" s="92">
        <v>-3.5608324031576091</v>
      </c>
      <c r="R22" s="53">
        <v>0.95777335342305048</v>
      </c>
      <c r="S22" s="53"/>
      <c r="T22" s="53"/>
      <c r="U22" s="54"/>
    </row>
    <row r="23" spans="1:21" x14ac:dyDescent="0.25">
      <c r="A23" s="15" t="s">
        <v>28</v>
      </c>
      <c r="B23" s="128">
        <v>1</v>
      </c>
      <c r="C23" s="128" t="s">
        <v>131</v>
      </c>
      <c r="D23" s="209"/>
      <c r="E23" s="15" t="s">
        <v>32</v>
      </c>
      <c r="F23" s="26">
        <v>1</v>
      </c>
      <c r="G23" s="9">
        <v>-0.72503481689852112</v>
      </c>
      <c r="H23" s="10">
        <v>0.98279210761329716</v>
      </c>
      <c r="I23" s="128">
        <f>AVERAGE(G23:G25)</f>
        <v>-1.2228863039435536</v>
      </c>
      <c r="J23" s="128">
        <f>STDEV(G23:G25)</f>
        <v>0.82593226285779331</v>
      </c>
      <c r="K23" s="32">
        <f>J23/SQRT(3)</f>
        <v>0.47685221429334373</v>
      </c>
      <c r="L23" s="129">
        <v>-0.83730045196619196</v>
      </c>
      <c r="M23" s="10">
        <v>0.99778794509204671</v>
      </c>
      <c r="N23" s="10">
        <f>AVERAGE(L23:L25)</f>
        <v>-0.9352003784146522</v>
      </c>
      <c r="O23" s="10">
        <f>STDEV(L23:L25)</f>
        <v>0.19186285610466061</v>
      </c>
      <c r="P23" s="26">
        <f>O23/SQRT(3)</f>
        <v>0.11077207161951624</v>
      </c>
      <c r="Q23" s="9">
        <v>-0.72503481689852112</v>
      </c>
      <c r="R23" s="10">
        <v>0.98279210761329716</v>
      </c>
      <c r="S23" s="10">
        <f>AVERAGE(Q23:Q25)</f>
        <v>-1.2228863039435536</v>
      </c>
      <c r="T23" s="10">
        <f>STDEV(Q23:Q25)</f>
        <v>0.82593226285779331</v>
      </c>
      <c r="U23" s="32">
        <f>T23/SQRT(3)</f>
        <v>0.47685221429334373</v>
      </c>
    </row>
    <row r="24" spans="1:21" x14ac:dyDescent="0.25">
      <c r="A24" s="16" t="s">
        <v>28</v>
      </c>
      <c r="B24" s="85">
        <v>2</v>
      </c>
      <c r="C24" s="85" t="s">
        <v>131</v>
      </c>
      <c r="E24" s="16" t="s">
        <v>32</v>
      </c>
      <c r="F24" s="27">
        <v>2</v>
      </c>
      <c r="G24" s="11">
        <v>-0.76734627436940395</v>
      </c>
      <c r="H24" s="12">
        <v>0.99728245684003691</v>
      </c>
      <c r="I24" s="12"/>
      <c r="J24" s="12"/>
      <c r="K24" s="33"/>
      <c r="L24" s="124">
        <v>-0.81203683591176767</v>
      </c>
      <c r="M24" s="12">
        <v>0.99913763413042755</v>
      </c>
      <c r="N24" s="12"/>
      <c r="O24" s="12"/>
      <c r="P24" s="27"/>
      <c r="Q24" s="11">
        <v>-0.76734627436940395</v>
      </c>
      <c r="R24" s="12">
        <v>0.99728245684003691</v>
      </c>
      <c r="S24" s="12"/>
      <c r="T24" s="12"/>
      <c r="U24" s="33"/>
    </row>
    <row r="25" spans="1:21" ht="15.75" thickBot="1" x14ac:dyDescent="0.3">
      <c r="A25" s="17" t="s">
        <v>28</v>
      </c>
      <c r="B25" s="123">
        <v>3</v>
      </c>
      <c r="C25" s="123" t="s">
        <v>131</v>
      </c>
      <c r="E25" s="55" t="s">
        <v>32</v>
      </c>
      <c r="F25" s="28">
        <v>3</v>
      </c>
      <c r="G25" s="13">
        <v>-2.1762778205627353</v>
      </c>
      <c r="H25" s="14">
        <v>0.85287996515101883</v>
      </c>
      <c r="I25" s="14"/>
      <c r="J25" s="14"/>
      <c r="K25" s="34"/>
      <c r="L25" s="127">
        <v>-1.1562638473659967</v>
      </c>
      <c r="M25" s="14">
        <v>0.8263991067888341</v>
      </c>
      <c r="N25" s="14"/>
      <c r="O25" s="14"/>
      <c r="P25" s="28"/>
      <c r="Q25" s="13">
        <v>-2.1762778205627353</v>
      </c>
      <c r="R25" s="14">
        <v>0.85287996515101883</v>
      </c>
      <c r="S25" s="14"/>
      <c r="T25" s="14"/>
      <c r="U25" s="34"/>
    </row>
    <row r="26" spans="1:21" x14ac:dyDescent="0.25">
      <c r="A26" s="3" t="s">
        <v>29</v>
      </c>
      <c r="B26" s="4">
        <v>1</v>
      </c>
      <c r="C26" s="4" t="s">
        <v>143</v>
      </c>
      <c r="D26" s="209"/>
      <c r="E26" s="47" t="s">
        <v>34</v>
      </c>
      <c r="F26" s="110">
        <v>1</v>
      </c>
      <c r="G26" s="47">
        <v>-0.99750579816113349</v>
      </c>
      <c r="H26" s="48">
        <v>0.98209187089908023</v>
      </c>
      <c r="I26" s="48">
        <f>AVERAGE(G26:G28)</f>
        <v>-1.8677152470861298</v>
      </c>
      <c r="J26" s="48">
        <f>STDEV(G26:G28)</f>
        <v>0.98175267344141282</v>
      </c>
      <c r="K26" s="49">
        <f>J26/SQRT(3)</f>
        <v>0.5668151702890345</v>
      </c>
      <c r="L26" s="130">
        <v>-1.1451199205568747</v>
      </c>
      <c r="M26" s="48">
        <v>0.99334984326776743</v>
      </c>
      <c r="N26" s="48">
        <f>AVERAGE(L26:L28)</f>
        <v>-1.8991855897151766</v>
      </c>
      <c r="O26" s="48">
        <f>STDEV(L26:L28)</f>
        <v>0.98887057585235538</v>
      </c>
      <c r="P26" s="110">
        <f>O26/SQRT(3)</f>
        <v>0.57092469316205763</v>
      </c>
      <c r="Q26" s="47">
        <v>-0.99750579816113349</v>
      </c>
      <c r="R26" s="48">
        <v>0.98209187089908023</v>
      </c>
      <c r="S26" s="48">
        <f>AVERAGE(Q26:Q28)</f>
        <v>-1.8677152470861298</v>
      </c>
      <c r="T26" s="48">
        <f>STDEV(Q26:Q28)</f>
        <v>0.98175267344141282</v>
      </c>
      <c r="U26" s="49">
        <f>T26/SQRT(3)</f>
        <v>0.5668151702890345</v>
      </c>
    </row>
    <row r="27" spans="1:21" x14ac:dyDescent="0.25">
      <c r="A27" s="5" t="s">
        <v>29</v>
      </c>
      <c r="B27" s="6">
        <v>2</v>
      </c>
      <c r="C27" s="6" t="s">
        <v>143</v>
      </c>
      <c r="E27" s="50" t="s">
        <v>34</v>
      </c>
      <c r="F27" s="111">
        <v>2</v>
      </c>
      <c r="G27" s="50">
        <v>-2.9320178323687371</v>
      </c>
      <c r="H27" s="51">
        <v>0.95949463128018198</v>
      </c>
      <c r="I27" s="51"/>
      <c r="J27" s="51"/>
      <c r="K27" s="52"/>
      <c r="L27" s="126">
        <v>-3.0187840717183119</v>
      </c>
      <c r="M27" s="51">
        <v>0.91029085736928872</v>
      </c>
      <c r="N27" s="51"/>
      <c r="O27" s="51"/>
      <c r="P27" s="111"/>
      <c r="Q27" s="50">
        <v>-2.9320178323687371</v>
      </c>
      <c r="R27" s="51">
        <v>0.95949463128018198</v>
      </c>
      <c r="S27" s="51"/>
      <c r="T27" s="51"/>
      <c r="U27" s="52"/>
    </row>
    <row r="28" spans="1:21" ht="15.75" thickBot="1" x14ac:dyDescent="0.3">
      <c r="A28" s="7" t="s">
        <v>29</v>
      </c>
      <c r="B28" s="8">
        <v>3</v>
      </c>
      <c r="C28" s="8" t="s">
        <v>143</v>
      </c>
      <c r="E28" s="92" t="s">
        <v>34</v>
      </c>
      <c r="F28" s="112">
        <v>3</v>
      </c>
      <c r="G28" s="92">
        <v>-1.6736221107285192</v>
      </c>
      <c r="H28" s="53">
        <v>0.9868636390463047</v>
      </c>
      <c r="I28" s="53"/>
      <c r="J28" s="53"/>
      <c r="K28" s="54"/>
      <c r="L28" s="131">
        <v>-1.5336527768703434</v>
      </c>
      <c r="M28" s="53">
        <v>0.9744430865837026</v>
      </c>
      <c r="N28" s="53"/>
      <c r="O28" s="53"/>
      <c r="P28" s="112"/>
      <c r="Q28" s="92">
        <v>-1.6736221107285192</v>
      </c>
      <c r="R28" s="53">
        <v>0.9868636390463047</v>
      </c>
      <c r="S28" s="53"/>
      <c r="T28" s="53"/>
      <c r="U28" s="54"/>
    </row>
    <row r="29" spans="1:21" x14ac:dyDescent="0.25">
      <c r="A29" s="15" t="s">
        <v>30</v>
      </c>
      <c r="B29" s="128">
        <v>1</v>
      </c>
      <c r="C29" s="128" t="s">
        <v>132</v>
      </c>
      <c r="D29" s="209"/>
      <c r="E29" s="15" t="s">
        <v>35</v>
      </c>
      <c r="F29" s="164">
        <v>1</v>
      </c>
      <c r="G29" s="15">
        <v>-3.6435092215796328</v>
      </c>
      <c r="H29" s="128">
        <v>0.99504437521150202</v>
      </c>
      <c r="I29" s="128">
        <f>AVERAGE(G29:G31)</f>
        <v>-2.4235816272099968</v>
      </c>
      <c r="J29" s="128">
        <f>STDEV(G29:G31)</f>
        <v>1.0586781032440453</v>
      </c>
      <c r="K29" s="32">
        <f>J29/SQRT(3)</f>
        <v>0.611228087893112</v>
      </c>
      <c r="L29" s="158">
        <v>-3.5233421609149409</v>
      </c>
      <c r="M29" s="128">
        <v>0.98846904997706786</v>
      </c>
      <c r="N29" s="10">
        <f>AVERAGE(L29:L31)</f>
        <v>-2.2546315252580538</v>
      </c>
      <c r="O29" s="10">
        <f>STDEV(L29:L31)</f>
        <v>1.1033651927100312</v>
      </c>
      <c r="P29" s="26">
        <f>O29/SQRT(3)</f>
        <v>0.63702819102559982</v>
      </c>
      <c r="Q29" s="9">
        <v>-3.6435092215796328</v>
      </c>
      <c r="R29" s="128">
        <v>0.99504437521150202</v>
      </c>
      <c r="S29" s="10">
        <f>AVERAGE(Q29:Q31)</f>
        <v>-2.4235816272099968</v>
      </c>
      <c r="T29" s="10">
        <f>STDEV(Q29:Q31)</f>
        <v>1.0586781032440453</v>
      </c>
      <c r="U29" s="32">
        <f>T29/SQRT(3)</f>
        <v>0.611228087893112</v>
      </c>
    </row>
    <row r="30" spans="1:21" x14ac:dyDescent="0.25">
      <c r="A30" s="16" t="s">
        <v>30</v>
      </c>
      <c r="B30" s="85">
        <v>2</v>
      </c>
      <c r="C30" s="85" t="s">
        <v>132</v>
      </c>
      <c r="E30" s="16" t="s">
        <v>35</v>
      </c>
      <c r="F30" s="162">
        <v>2</v>
      </c>
      <c r="G30" s="16">
        <v>-1.7455603200792302</v>
      </c>
      <c r="H30" s="85">
        <v>0.96286125947959278</v>
      </c>
      <c r="I30" s="85"/>
      <c r="J30" s="85"/>
      <c r="K30" s="152"/>
      <c r="L30" s="156">
        <v>-1.5193071987568176</v>
      </c>
      <c r="M30" s="85">
        <v>0.91383527940217002</v>
      </c>
      <c r="N30" s="85"/>
      <c r="O30" s="85"/>
      <c r="P30" s="162"/>
      <c r="Q30" s="11">
        <v>-1.7455603200792302</v>
      </c>
      <c r="R30" s="85">
        <v>0.96286125947959278</v>
      </c>
      <c r="S30" s="12"/>
      <c r="T30" s="12"/>
      <c r="U30" s="33"/>
    </row>
    <row r="31" spans="1:21" ht="15.75" thickBot="1" x14ac:dyDescent="0.3">
      <c r="A31" s="17" t="s">
        <v>30</v>
      </c>
      <c r="B31" s="123">
        <v>3</v>
      </c>
      <c r="C31" s="123" t="s">
        <v>132</v>
      </c>
      <c r="E31" s="55" t="s">
        <v>35</v>
      </c>
      <c r="F31" s="163">
        <v>3</v>
      </c>
      <c r="G31" s="55">
        <v>-1.8816753399711277</v>
      </c>
      <c r="H31" s="60">
        <v>0.9927758308812954</v>
      </c>
      <c r="I31" s="60"/>
      <c r="J31" s="60"/>
      <c r="K31" s="67"/>
      <c r="L31" s="157">
        <v>-1.7212452161024032</v>
      </c>
      <c r="M31" s="60">
        <v>0.99218136233162346</v>
      </c>
      <c r="N31" s="60"/>
      <c r="O31" s="60"/>
      <c r="P31" s="163"/>
      <c r="Q31" s="13">
        <v>-1.8816753399711277</v>
      </c>
      <c r="R31" s="60">
        <v>0.9927758308812954</v>
      </c>
      <c r="S31" s="14"/>
      <c r="T31" s="14"/>
      <c r="U31" s="34"/>
    </row>
    <row r="32" spans="1:21" x14ac:dyDescent="0.25">
      <c r="A32" s="3" t="s">
        <v>31</v>
      </c>
      <c r="B32" s="4">
        <v>1</v>
      </c>
      <c r="C32" s="4" t="s">
        <v>13</v>
      </c>
      <c r="D32" s="209"/>
      <c r="E32" s="47" t="s">
        <v>22</v>
      </c>
      <c r="F32" s="110">
        <v>1</v>
      </c>
      <c r="G32" s="47">
        <v>-4.1657101022962566</v>
      </c>
      <c r="H32" s="48">
        <v>0.67286442885617448</v>
      </c>
      <c r="I32" s="48">
        <f>AVERAGE(G32:G34)</f>
        <v>-5.2399455336371696</v>
      </c>
      <c r="J32" s="48">
        <f>STDEV(G32:G34)</f>
        <v>0.94447004171404669</v>
      </c>
      <c r="K32" s="49">
        <f>J32/SQRT(3)</f>
        <v>0.54529003282514199</v>
      </c>
      <c r="L32" s="130">
        <v>-0.68073726251137912</v>
      </c>
      <c r="M32" s="48">
        <v>0.99430968774004358</v>
      </c>
      <c r="N32" s="48">
        <f>AVERAGE(L32:L34)</f>
        <v>-1.2388980105015603</v>
      </c>
      <c r="O32" s="48">
        <f>STDEV(L32:L34)</f>
        <v>0.48782582862897994</v>
      </c>
      <c r="P32" s="110">
        <f>O32/SQRT(3)</f>
        <v>0.28164637347659383</v>
      </c>
      <c r="Q32" s="47">
        <v>-0.68073726251137912</v>
      </c>
      <c r="R32" s="48">
        <v>0.99430968774004358</v>
      </c>
      <c r="S32" s="48">
        <f>AVERAGE(Q32:Q34)</f>
        <v>-1.2388980105015603</v>
      </c>
      <c r="T32" s="48">
        <f>STDEV(Q32:Q34)</f>
        <v>0.48782582862897994</v>
      </c>
      <c r="U32" s="49">
        <f>T32/SQRT(3)</f>
        <v>0.28164637347659383</v>
      </c>
    </row>
    <row r="33" spans="1:21" x14ac:dyDescent="0.25">
      <c r="A33" s="5" t="s">
        <v>31</v>
      </c>
      <c r="B33" s="6">
        <v>2</v>
      </c>
      <c r="C33" s="6" t="s">
        <v>13</v>
      </c>
      <c r="E33" s="50" t="s">
        <v>22</v>
      </c>
      <c r="F33" s="111">
        <v>2</v>
      </c>
      <c r="G33" s="50">
        <v>-5.6141604002405394</v>
      </c>
      <c r="H33" s="51">
        <v>0.7321811283006755</v>
      </c>
      <c r="I33" s="51"/>
      <c r="J33" s="51"/>
      <c r="K33" s="52"/>
      <c r="L33" s="126">
        <v>-1.5836782599138259</v>
      </c>
      <c r="M33" s="51">
        <v>0.83694695618368742</v>
      </c>
      <c r="N33" s="51"/>
      <c r="O33" s="51"/>
      <c r="P33" s="111"/>
      <c r="Q33" s="50">
        <v>-1.5836782599138259</v>
      </c>
      <c r="R33" s="51">
        <v>0.83694695618368742</v>
      </c>
      <c r="S33" s="51"/>
      <c r="T33" s="51"/>
      <c r="U33" s="52"/>
    </row>
    <row r="34" spans="1:21" ht="15.75" thickBot="1" x14ac:dyDescent="0.3">
      <c r="A34" s="7" t="s">
        <v>31</v>
      </c>
      <c r="B34" s="8">
        <v>3</v>
      </c>
      <c r="C34" s="8" t="s">
        <v>13</v>
      </c>
      <c r="E34" s="92" t="s">
        <v>22</v>
      </c>
      <c r="F34" s="112">
        <v>3</v>
      </c>
      <c r="G34" s="92">
        <v>-5.9399660983747156</v>
      </c>
      <c r="H34" s="53">
        <v>0.71335409057665189</v>
      </c>
      <c r="I34" s="53"/>
      <c r="J34" s="53"/>
      <c r="K34" s="54"/>
      <c r="L34" s="131">
        <v>-1.4522785090794759</v>
      </c>
      <c r="M34" s="53">
        <v>0.84309374141235871</v>
      </c>
      <c r="N34" s="53"/>
      <c r="O34" s="53"/>
      <c r="P34" s="112"/>
      <c r="Q34" s="92">
        <v>-1.4522785090794759</v>
      </c>
      <c r="R34" s="53">
        <v>0.84309374141235871</v>
      </c>
      <c r="S34" s="53"/>
      <c r="T34" s="53"/>
      <c r="U34" s="54"/>
    </row>
    <row r="35" spans="1:21" x14ac:dyDescent="0.25">
      <c r="A35" s="15" t="s">
        <v>32</v>
      </c>
      <c r="B35" s="128">
        <v>1</v>
      </c>
      <c r="C35" s="128" t="s">
        <v>14</v>
      </c>
      <c r="D35" s="209"/>
      <c r="E35" s="15" t="s">
        <v>23</v>
      </c>
      <c r="F35" s="164">
        <v>1</v>
      </c>
      <c r="G35" s="15">
        <v>-2.2515469427349917</v>
      </c>
      <c r="H35" s="128">
        <v>0.95166766143404058</v>
      </c>
      <c r="I35" s="128">
        <f>AVERAGE(G35:G37)</f>
        <v>-2.1676299756316317</v>
      </c>
      <c r="J35" s="128">
        <f>STDEV(G35:G37)</f>
        <v>0.34195365019852808</v>
      </c>
      <c r="K35" s="32">
        <f>J35/SQRT(3)</f>
        <v>0.19742703199249531</v>
      </c>
      <c r="L35" s="158">
        <v>-1.6424238799669131</v>
      </c>
      <c r="M35" s="128">
        <v>0.99976046753523906</v>
      </c>
      <c r="N35" s="10">
        <f>AVERAGE(L35:L37)</f>
        <v>-1.638493861769329</v>
      </c>
      <c r="O35" s="10">
        <f>STDEV(L35:L37)</f>
        <v>0.35500621612255545</v>
      </c>
      <c r="P35" s="26">
        <f>O35/SQRT(3)</f>
        <v>0.20496293444234787</v>
      </c>
      <c r="Q35" s="9">
        <v>-2.2515469427349917</v>
      </c>
      <c r="R35" s="128">
        <v>0.95166766143404058</v>
      </c>
      <c r="S35" s="10">
        <f>AVERAGE(Q35:Q37)</f>
        <v>-2.1676299756316317</v>
      </c>
      <c r="T35" s="10">
        <f>STDEV(Q35:Q37)</f>
        <v>0.34195365019852808</v>
      </c>
      <c r="U35" s="32">
        <f>T35/SQRT(3)</f>
        <v>0.19742703199249531</v>
      </c>
    </row>
    <row r="36" spans="1:21" x14ac:dyDescent="0.25">
      <c r="A36" s="16" t="s">
        <v>32</v>
      </c>
      <c r="B36" s="85">
        <v>2</v>
      </c>
      <c r="C36" s="85" t="s">
        <v>14</v>
      </c>
      <c r="E36" s="16" t="s">
        <v>23</v>
      </c>
      <c r="F36" s="162">
        <v>2</v>
      </c>
      <c r="G36" s="16">
        <v>-1.7915296721019278</v>
      </c>
      <c r="H36" s="85">
        <v>0.90476384935212206</v>
      </c>
      <c r="I36" s="85"/>
      <c r="J36" s="85"/>
      <c r="K36" s="152"/>
      <c r="L36" s="156">
        <v>-1.2815389518235152</v>
      </c>
      <c r="M36" s="85">
        <v>0.80798161357648357</v>
      </c>
      <c r="N36" s="85"/>
      <c r="O36" s="85"/>
      <c r="P36" s="162"/>
      <c r="Q36" s="11">
        <v>-1.7915296721019278</v>
      </c>
      <c r="R36" s="85">
        <v>0.90476384935212206</v>
      </c>
      <c r="S36" s="12"/>
      <c r="T36" s="12"/>
      <c r="U36" s="33"/>
    </row>
    <row r="37" spans="1:21" ht="15.75" thickBot="1" x14ac:dyDescent="0.3">
      <c r="A37" s="17" t="s">
        <v>32</v>
      </c>
      <c r="B37" s="123">
        <v>3</v>
      </c>
      <c r="C37" s="123" t="s">
        <v>14</v>
      </c>
      <c r="E37" s="55" t="s">
        <v>23</v>
      </c>
      <c r="F37" s="163">
        <v>3</v>
      </c>
      <c r="G37" s="55">
        <v>-2.4598133120579759</v>
      </c>
      <c r="H37" s="60">
        <v>0.97234162765632037</v>
      </c>
      <c r="I37" s="60"/>
      <c r="J37" s="60"/>
      <c r="K37" s="67"/>
      <c r="L37" s="157">
        <v>-1.9915187535175591</v>
      </c>
      <c r="M37" s="60">
        <v>0.98332046347458701</v>
      </c>
      <c r="N37" s="60"/>
      <c r="O37" s="60"/>
      <c r="P37" s="163"/>
      <c r="Q37" s="13">
        <v>-2.4598133120579759</v>
      </c>
      <c r="R37" s="60">
        <v>0.97234162765632037</v>
      </c>
      <c r="S37" s="14"/>
      <c r="T37" s="14"/>
      <c r="U37" s="34"/>
    </row>
    <row r="38" spans="1:21" x14ac:dyDescent="0.25">
      <c r="A38" s="3" t="s">
        <v>33</v>
      </c>
      <c r="B38" s="4">
        <v>1</v>
      </c>
      <c r="C38" s="4" t="s">
        <v>15</v>
      </c>
      <c r="D38" s="209"/>
      <c r="E38" s="47" t="s">
        <v>29</v>
      </c>
      <c r="F38" s="110">
        <v>1</v>
      </c>
      <c r="G38" s="47">
        <v>-1.0948735666880325</v>
      </c>
      <c r="H38" s="48">
        <v>0.95955589722786094</v>
      </c>
      <c r="I38" s="48">
        <f>AVERAGE(G38:G40)</f>
        <v>-1.9050451292749768</v>
      </c>
      <c r="J38" s="48">
        <f>STDEV(G38:G40)</f>
        <v>0.75319848491084762</v>
      </c>
      <c r="K38" s="49">
        <f>J38/SQRT(3)</f>
        <v>0.43485934801649617</v>
      </c>
      <c r="L38" s="130">
        <v>-0.83353755078399649</v>
      </c>
      <c r="M38" s="48">
        <v>0.99435791921488204</v>
      </c>
      <c r="N38" s="48">
        <f>AVERAGE(L38:L40)</f>
        <v>-1.12966143964308</v>
      </c>
      <c r="O38" s="48">
        <f>STDEV(L38:L40)</f>
        <v>0.47536451630456367</v>
      </c>
      <c r="P38" s="110">
        <f>O38/SQRT(3)</f>
        <v>0.2744518314516361</v>
      </c>
      <c r="Q38" s="47">
        <v>-1.0948735666880325</v>
      </c>
      <c r="R38" s="48">
        <v>0.95955589722786094</v>
      </c>
      <c r="S38" s="48">
        <f>AVERAGE(Q38:Q40)</f>
        <v>-1.9050451292749768</v>
      </c>
      <c r="T38" s="48">
        <f>STDEV(Q38:Q40)</f>
        <v>0.75319848491084762</v>
      </c>
      <c r="U38" s="49">
        <f>T38/SQRT(3)</f>
        <v>0.43485934801649617</v>
      </c>
    </row>
    <row r="39" spans="1:21" x14ac:dyDescent="0.25">
      <c r="A39" s="5" t="s">
        <v>33</v>
      </c>
      <c r="B39" s="6">
        <v>2</v>
      </c>
      <c r="C39" s="6" t="s">
        <v>15</v>
      </c>
      <c r="E39" s="50" t="s">
        <v>29</v>
      </c>
      <c r="F39" s="111">
        <v>2</v>
      </c>
      <c r="G39" s="50">
        <v>-2.0362249284257308</v>
      </c>
      <c r="H39" s="51">
        <v>0.78905667062164797</v>
      </c>
      <c r="I39" s="51"/>
      <c r="J39" s="51"/>
      <c r="K39" s="52"/>
      <c r="L39" s="126">
        <v>-0.87746795912912179</v>
      </c>
      <c r="M39" s="51">
        <v>0.6854068285405891</v>
      </c>
      <c r="N39" s="51"/>
      <c r="O39" s="51"/>
      <c r="P39" s="111"/>
      <c r="Q39" s="50">
        <v>-2.0362249284257308</v>
      </c>
      <c r="R39" s="51">
        <v>0.78905667062164797</v>
      </c>
      <c r="S39" s="51"/>
      <c r="T39" s="51"/>
      <c r="U39" s="52"/>
    </row>
    <row r="40" spans="1:21" ht="15.75" thickBot="1" x14ac:dyDescent="0.3">
      <c r="A40" s="7" t="s">
        <v>33</v>
      </c>
      <c r="B40" s="8">
        <v>3</v>
      </c>
      <c r="C40" s="8" t="s">
        <v>15</v>
      </c>
      <c r="E40" s="92" t="s">
        <v>29</v>
      </c>
      <c r="F40" s="112">
        <v>3</v>
      </c>
      <c r="G40" s="92">
        <v>-2.5840368927111674</v>
      </c>
      <c r="H40" s="53">
        <v>0.88051024788321741</v>
      </c>
      <c r="I40" s="53"/>
      <c r="J40" s="53"/>
      <c r="K40" s="54"/>
      <c r="L40" s="131">
        <v>-1.6779788090161218</v>
      </c>
      <c r="M40" s="53">
        <v>0.78254142761823342</v>
      </c>
      <c r="N40" s="53"/>
      <c r="O40" s="53"/>
      <c r="P40" s="112"/>
      <c r="Q40" s="92">
        <v>-2.5840368927111674</v>
      </c>
      <c r="R40" s="53">
        <v>0.88051024788321741</v>
      </c>
      <c r="S40" s="53"/>
      <c r="T40" s="53"/>
      <c r="U40" s="54"/>
    </row>
    <row r="41" spans="1:21" x14ac:dyDescent="0.25">
      <c r="A41" s="9" t="s">
        <v>34</v>
      </c>
      <c r="B41" s="10">
        <v>1</v>
      </c>
      <c r="C41" s="10" t="s">
        <v>16</v>
      </c>
      <c r="D41" s="209"/>
      <c r="E41" s="15" t="s">
        <v>31</v>
      </c>
      <c r="F41" s="164">
        <v>1</v>
      </c>
      <c r="G41" s="15">
        <v>-3.7336061770250049</v>
      </c>
      <c r="H41" s="128">
        <v>0.99906080607236558</v>
      </c>
      <c r="I41" s="128">
        <f>AVERAGE(G41:G43)</f>
        <v>-2.8830709596862918</v>
      </c>
      <c r="J41" s="128">
        <f>STDEV(G41:G43)</f>
        <v>0.89012891310179199</v>
      </c>
      <c r="K41" s="32">
        <f>J41/SQRT(3)</f>
        <v>0.51391616759278869</v>
      </c>
      <c r="L41" s="158">
        <v>-3.6423127689039632</v>
      </c>
      <c r="M41" s="128">
        <v>0.99868478294250873</v>
      </c>
      <c r="N41" s="10">
        <f>AVERAGE(L41:L43)</f>
        <v>-2.8600088381379334</v>
      </c>
      <c r="O41" s="10">
        <f>STDEV(L41:L43)</f>
        <v>0.78345347831451451</v>
      </c>
      <c r="P41" s="26">
        <f>O41/SQRT(3)</f>
        <v>0.4523270766024336</v>
      </c>
      <c r="Q41" s="9">
        <v>-3.7336061770250049</v>
      </c>
      <c r="R41" s="128">
        <v>0.99906080607236558</v>
      </c>
      <c r="S41" s="10">
        <f>AVERAGE(Q41:Q43)</f>
        <v>-2.8830709596862918</v>
      </c>
      <c r="T41" s="10">
        <f>STDEV(Q41:Q43)</f>
        <v>0.89012891310179199</v>
      </c>
      <c r="U41" s="32">
        <f>T41/SQRT(3)</f>
        <v>0.51391616759278869</v>
      </c>
    </row>
    <row r="42" spans="1:21" x14ac:dyDescent="0.25">
      <c r="A42" s="11" t="s">
        <v>34</v>
      </c>
      <c r="B42" s="12">
        <v>2</v>
      </c>
      <c r="C42" s="12" t="s">
        <v>16</v>
      </c>
      <c r="E42" s="16" t="s">
        <v>31</v>
      </c>
      <c r="F42" s="162">
        <v>2</v>
      </c>
      <c r="G42" s="16">
        <v>-1.9580315380965592</v>
      </c>
      <c r="H42" s="85">
        <v>0.99685189499607352</v>
      </c>
      <c r="I42" s="85"/>
      <c r="J42" s="85"/>
      <c r="K42" s="152"/>
      <c r="L42" s="156">
        <v>-2.0754108502637449</v>
      </c>
      <c r="M42" s="85">
        <v>0.99866032154000584</v>
      </c>
      <c r="N42" s="85"/>
      <c r="O42" s="85"/>
      <c r="P42" s="162"/>
      <c r="Q42" s="11">
        <v>-1.9580315380965592</v>
      </c>
      <c r="R42" s="85">
        <v>0.99685189499607352</v>
      </c>
      <c r="S42" s="12"/>
      <c r="T42" s="12"/>
      <c r="U42" s="33"/>
    </row>
    <row r="43" spans="1:21" ht="15.75" thickBot="1" x14ac:dyDescent="0.3">
      <c r="A43" s="13" t="s">
        <v>34</v>
      </c>
      <c r="B43" s="14">
        <v>3</v>
      </c>
      <c r="C43" s="14" t="s">
        <v>16</v>
      </c>
      <c r="E43" s="55" t="s">
        <v>31</v>
      </c>
      <c r="F43" s="163">
        <v>3</v>
      </c>
      <c r="G43" s="55">
        <v>-2.957575163937312</v>
      </c>
      <c r="H43" s="60">
        <v>0.99791952394252448</v>
      </c>
      <c r="I43" s="60"/>
      <c r="J43" s="60"/>
      <c r="K43" s="67"/>
      <c r="L43" s="157">
        <v>-2.8623028952460925</v>
      </c>
      <c r="M43" s="60">
        <v>0.99654358867018089</v>
      </c>
      <c r="N43" s="60"/>
      <c r="O43" s="60"/>
      <c r="P43" s="163"/>
      <c r="Q43" s="13">
        <v>-2.957575163937312</v>
      </c>
      <c r="R43" s="60">
        <v>0.99791952394252448</v>
      </c>
      <c r="S43" s="14"/>
      <c r="T43" s="14"/>
      <c r="U43" s="34"/>
    </row>
    <row r="44" spans="1:21" x14ac:dyDescent="0.25">
      <c r="A44" s="3" t="s">
        <v>35</v>
      </c>
      <c r="B44" s="4">
        <v>1</v>
      </c>
      <c r="C44" s="4" t="s">
        <v>17</v>
      </c>
      <c r="D44" s="209"/>
      <c r="E44" s="47" t="s">
        <v>33</v>
      </c>
      <c r="F44" s="110">
        <v>1</v>
      </c>
      <c r="G44" s="47">
        <v>-0.79973760614836187</v>
      </c>
      <c r="H44" s="48">
        <v>0.98817676259087106</v>
      </c>
      <c r="I44" s="48">
        <f>AVERAGE(G44:G46)</f>
        <v>-0.75473718192287909</v>
      </c>
      <c r="J44" s="48">
        <f>STDEV(G44:G46)</f>
        <v>2.8127486361977159</v>
      </c>
      <c r="K44" s="49">
        <f>J44/SQRT(3)</f>
        <v>1.6239411822715042</v>
      </c>
      <c r="L44" s="130">
        <v>-0.90132070396130681</v>
      </c>
      <c r="M44" s="48">
        <v>0.99776937555097855</v>
      </c>
      <c r="N44" s="48">
        <f>AVERAGE(L44:L46)</f>
        <v>-0.87193576129473527</v>
      </c>
      <c r="O44" s="48">
        <f>STDEV(L44:L46)</f>
        <v>2.4755876328980357</v>
      </c>
      <c r="P44" s="110">
        <f>O44/SQRT(3)</f>
        <v>1.4292811862561894</v>
      </c>
      <c r="Q44" s="47">
        <v>-0.79973760614836187</v>
      </c>
      <c r="R44" s="48">
        <v>0.98817676259087106</v>
      </c>
      <c r="S44" s="48">
        <f>AVERAGE(Q44:Q46)</f>
        <v>-0.75473718192287909</v>
      </c>
      <c r="T44" s="48">
        <f>STDEV(Q44:Q46)</f>
        <v>2.8127486361977159</v>
      </c>
      <c r="U44" s="49">
        <f>T44/SQRT(3)</f>
        <v>1.6239411822715042</v>
      </c>
    </row>
    <row r="45" spans="1:21" x14ac:dyDescent="0.25">
      <c r="A45" s="5" t="s">
        <v>35</v>
      </c>
      <c r="B45" s="6">
        <v>2</v>
      </c>
      <c r="C45" s="6" t="s">
        <v>17</v>
      </c>
      <c r="E45" s="50" t="s">
        <v>33</v>
      </c>
      <c r="F45" s="111">
        <v>2</v>
      </c>
      <c r="G45" s="50">
        <v>-3.5447156118262431</v>
      </c>
      <c r="H45" s="51">
        <v>0.98641861092419303</v>
      </c>
      <c r="I45" s="51"/>
      <c r="J45" s="51"/>
      <c r="K45" s="52"/>
      <c r="L45" s="126">
        <v>-3.3327001209354945</v>
      </c>
      <c r="M45" s="51">
        <v>0.96911256620107922</v>
      </c>
      <c r="N45" s="51"/>
      <c r="O45" s="51"/>
      <c r="P45" s="111"/>
      <c r="Q45" s="50">
        <v>-3.5447156118262431</v>
      </c>
      <c r="R45" s="51">
        <v>0.98641861092419303</v>
      </c>
      <c r="S45" s="51"/>
      <c r="T45" s="51"/>
      <c r="U45" s="52"/>
    </row>
    <row r="46" spans="1:21" ht="15.75" thickBot="1" x14ac:dyDescent="0.3">
      <c r="A46" s="7" t="s">
        <v>35</v>
      </c>
      <c r="B46" s="8">
        <v>3</v>
      </c>
      <c r="C46" s="8" t="s">
        <v>17</v>
      </c>
      <c r="E46" s="92" t="s">
        <v>33</v>
      </c>
      <c r="F46" s="112">
        <v>3</v>
      </c>
      <c r="G46" s="92">
        <v>2.0802416722059678</v>
      </c>
      <c r="H46" s="53">
        <v>0.95633356744600817</v>
      </c>
      <c r="I46" s="53"/>
      <c r="J46" s="53"/>
      <c r="K46" s="54"/>
      <c r="L46" s="131">
        <v>1.618213541012596</v>
      </c>
      <c r="M46" s="53">
        <v>0.95175291449527388</v>
      </c>
      <c r="N46" s="53"/>
      <c r="O46" s="53"/>
      <c r="P46" s="112"/>
      <c r="Q46" s="92">
        <v>2.0802416722059678</v>
      </c>
      <c r="R46" s="53">
        <v>0.95633356744600817</v>
      </c>
      <c r="S46" s="53"/>
      <c r="T46" s="53"/>
      <c r="U46" s="54"/>
    </row>
    <row r="47" spans="1:21" x14ac:dyDescent="0.25">
      <c r="A47" s="15" t="s">
        <v>36</v>
      </c>
      <c r="B47" s="10">
        <v>1</v>
      </c>
      <c r="C47" s="10" t="s">
        <v>18</v>
      </c>
      <c r="D47" s="209"/>
      <c r="E47" s="15" t="s">
        <v>36</v>
      </c>
      <c r="F47" s="164">
        <v>1</v>
      </c>
      <c r="G47" s="15">
        <v>-1.507396957142952</v>
      </c>
      <c r="H47" s="128">
        <v>0.99959452131556714</v>
      </c>
      <c r="I47" s="128">
        <f>AVERAGE(G47:G49)</f>
        <v>-1.6558722418461977</v>
      </c>
      <c r="J47" s="128">
        <f>STDEV(G47:G49)</f>
        <v>1.0723012322901324</v>
      </c>
      <c r="K47" s="32">
        <f>J47/SQRT(3)</f>
        <v>0.61909340511507538</v>
      </c>
      <c r="L47" s="158">
        <v>-1.5183464041210957</v>
      </c>
      <c r="M47" s="128">
        <v>0.99906963697652573</v>
      </c>
      <c r="N47" s="10">
        <f>AVERAGE(L47:L49)</f>
        <v>-2.1309273959055721</v>
      </c>
      <c r="O47" s="10">
        <f>STDEV(L47:L49)</f>
        <v>1.0646395895483567</v>
      </c>
      <c r="P47" s="26">
        <f>O47/SQRT(3)</f>
        <v>0.61466995361567645</v>
      </c>
      <c r="Q47" s="9">
        <v>-1.5183464041210957</v>
      </c>
      <c r="R47" s="128">
        <v>0.99906963697652573</v>
      </c>
      <c r="S47" s="10">
        <f>AVERAGE(Q47:Q49)</f>
        <v>-2.1309273959055721</v>
      </c>
      <c r="T47" s="10">
        <f>STDEV(Q47:Q49)</f>
        <v>1.0646395895483567</v>
      </c>
      <c r="U47" s="32">
        <f>T47/SQRT(3)</f>
        <v>0.61466995361567645</v>
      </c>
    </row>
    <row r="48" spans="1:21" x14ac:dyDescent="0.25">
      <c r="A48" s="16" t="s">
        <v>36</v>
      </c>
      <c r="B48" s="12">
        <v>2</v>
      </c>
      <c r="C48" s="12" t="s">
        <v>18</v>
      </c>
      <c r="E48" s="16" t="s">
        <v>36</v>
      </c>
      <c r="F48" s="162">
        <v>2</v>
      </c>
      <c r="G48" s="16">
        <v>-0.66554600629046201</v>
      </c>
      <c r="H48" s="85">
        <v>0.44570123665851474</v>
      </c>
      <c r="I48" s="85"/>
      <c r="J48" s="85"/>
      <c r="K48" s="152"/>
      <c r="L48" s="156">
        <v>-1.514170844236336</v>
      </c>
      <c r="M48" s="85">
        <v>0.91741041658756128</v>
      </c>
      <c r="N48" s="85"/>
      <c r="O48" s="85"/>
      <c r="P48" s="162"/>
      <c r="Q48" s="11">
        <v>-1.514170844236336</v>
      </c>
      <c r="R48" s="85">
        <v>0.91741041658756128</v>
      </c>
      <c r="S48" s="12"/>
      <c r="T48" s="12"/>
      <c r="U48" s="33"/>
    </row>
    <row r="49" spans="1:21" ht="15.75" thickBot="1" x14ac:dyDescent="0.3">
      <c r="A49" s="17" t="s">
        <v>36</v>
      </c>
      <c r="B49" s="18">
        <v>3</v>
      </c>
      <c r="C49" s="18" t="s">
        <v>18</v>
      </c>
      <c r="E49" s="17" t="s">
        <v>36</v>
      </c>
      <c r="F49" s="165">
        <v>3</v>
      </c>
      <c r="G49" s="17">
        <v>-2.7946737621051794</v>
      </c>
      <c r="H49" s="123">
        <v>0.86551637507948975</v>
      </c>
      <c r="I49" s="123"/>
      <c r="J49" s="123"/>
      <c r="K49" s="153"/>
      <c r="L49" s="159">
        <v>-3.3602649393592845</v>
      </c>
      <c r="M49" s="123">
        <v>0.81469942477162149</v>
      </c>
      <c r="N49" s="123"/>
      <c r="O49" s="123"/>
      <c r="P49" s="165"/>
      <c r="Q49" s="42">
        <v>-3.3602649393592845</v>
      </c>
      <c r="R49" s="123">
        <v>0.81469942477162149</v>
      </c>
      <c r="S49" s="18"/>
      <c r="T49" s="18"/>
      <c r="U49" s="38"/>
    </row>
  </sheetData>
  <pageMargins left="0.7" right="0.7" top="0.75" bottom="0.75" header="0.3" footer="0.3"/>
  <pageSetup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G69"/>
  <sheetViews>
    <sheetView topLeftCell="A49" zoomScale="80" zoomScaleNormal="80" workbookViewId="0">
      <selection activeCell="K69" sqref="K69"/>
    </sheetView>
  </sheetViews>
  <sheetFormatPr defaultRowHeight="15" x14ac:dyDescent="0.25"/>
  <cols>
    <col min="1" max="1" width="11.5703125" bestFit="1" customWidth="1"/>
    <col min="18" max="18" width="11.5703125" bestFit="1" customWidth="1"/>
  </cols>
  <sheetData>
    <row r="2" spans="1:33" ht="15.75" thickBot="1" x14ac:dyDescent="0.3"/>
    <row r="3" spans="1:33" ht="15.75" thickBot="1" x14ac:dyDescent="0.3">
      <c r="A3" s="56">
        <v>41964</v>
      </c>
      <c r="D3" t="s">
        <v>75</v>
      </c>
      <c r="R3" s="56">
        <v>41964</v>
      </c>
      <c r="T3" t="s">
        <v>76</v>
      </c>
    </row>
    <row r="4" spans="1:33" ht="15.75" thickBot="1" x14ac:dyDescent="0.3"/>
    <row r="5" spans="1:33" ht="45.75" thickBot="1" x14ac:dyDescent="0.3">
      <c r="A5" s="43" t="s">
        <v>61</v>
      </c>
      <c r="B5" s="44" t="s">
        <v>62</v>
      </c>
      <c r="C5" s="57" t="s">
        <v>63</v>
      </c>
      <c r="D5" s="57" t="s">
        <v>64</v>
      </c>
      <c r="E5" s="58" t="s">
        <v>65</v>
      </c>
      <c r="R5" s="43" t="s">
        <v>61</v>
      </c>
      <c r="S5" s="44" t="s">
        <v>62</v>
      </c>
      <c r="T5" s="57" t="s">
        <v>63</v>
      </c>
      <c r="U5" s="57" t="s">
        <v>64</v>
      </c>
      <c r="V5" s="58" t="s">
        <v>65</v>
      </c>
    </row>
    <row r="6" spans="1:33" x14ac:dyDescent="0.25">
      <c r="A6" s="39">
        <v>99.7</v>
      </c>
      <c r="B6" s="40">
        <f>99.7*0.1</f>
        <v>9.9700000000000006</v>
      </c>
      <c r="C6" s="40">
        <v>40.792000000000002</v>
      </c>
      <c r="D6" s="40"/>
      <c r="E6" s="41"/>
      <c r="R6" s="47">
        <v>10000</v>
      </c>
      <c r="S6" s="48">
        <f>10000*0.1</f>
        <v>1000</v>
      </c>
      <c r="T6" s="48">
        <v>2981.076</v>
      </c>
      <c r="U6" s="48"/>
      <c r="V6" s="49"/>
    </row>
    <row r="7" spans="1:33" x14ac:dyDescent="0.25">
      <c r="A7" s="11">
        <v>99.7</v>
      </c>
      <c r="B7" s="12">
        <f>99.7*0.3</f>
        <v>29.91</v>
      </c>
      <c r="C7" s="12">
        <v>92.91</v>
      </c>
      <c r="D7" s="12">
        <f>AVERAGE(C7:C8)</f>
        <v>120.261</v>
      </c>
      <c r="E7" s="33">
        <f>STDEV(C7:C8)</f>
        <v>38.680155144466525</v>
      </c>
      <c r="R7" s="50">
        <v>10000</v>
      </c>
      <c r="S7" s="51">
        <f>10000*0.3</f>
        <v>3000</v>
      </c>
      <c r="T7" s="51">
        <v>9801.2219999999998</v>
      </c>
      <c r="U7" s="51"/>
      <c r="V7" s="52"/>
    </row>
    <row r="8" spans="1:33" ht="15.75" thickBot="1" x14ac:dyDescent="0.3">
      <c r="A8" s="84">
        <v>99.7</v>
      </c>
      <c r="B8" s="86">
        <f>99.7*0.5</f>
        <v>49.85</v>
      </c>
      <c r="C8" s="86">
        <v>147.61199999999999</v>
      </c>
      <c r="D8" s="86"/>
      <c r="E8" s="88"/>
      <c r="O8" s="59"/>
      <c r="R8" s="9">
        <v>10000</v>
      </c>
      <c r="S8" s="10">
        <f>10000*0.5</f>
        <v>5000</v>
      </c>
      <c r="T8" s="10">
        <v>16373.286</v>
      </c>
      <c r="U8" s="10">
        <f>AVERAGE(T8:T9)</f>
        <v>19581.665999999997</v>
      </c>
      <c r="V8" s="32">
        <f>STDEV(T8:T9)</f>
        <v>4537.3345092466006</v>
      </c>
      <c r="AF8" s="59"/>
    </row>
    <row r="9" spans="1:33" ht="15.75" thickBot="1" x14ac:dyDescent="0.3">
      <c r="A9" s="50">
        <v>99.7</v>
      </c>
      <c r="B9" s="51">
        <v>99.7</v>
      </c>
      <c r="C9" s="51">
        <v>295.452</v>
      </c>
      <c r="D9" s="51"/>
      <c r="E9" s="52"/>
      <c r="O9" t="s">
        <v>66</v>
      </c>
      <c r="P9">
        <f>SLOPE(B8:B19,C8:C19)</f>
        <v>0.3040832904723334</v>
      </c>
      <c r="R9" s="11">
        <v>10000</v>
      </c>
      <c r="S9" s="12">
        <v>7000</v>
      </c>
      <c r="T9" s="12">
        <v>22790.045999999998</v>
      </c>
      <c r="U9" s="12"/>
      <c r="V9" s="33"/>
      <c r="AF9" t="s">
        <v>66</v>
      </c>
      <c r="AG9">
        <f>SLOPE(S8:S19,T8:T19)</f>
        <v>0.32599424967531038</v>
      </c>
    </row>
    <row r="10" spans="1:33" x14ac:dyDescent="0.25">
      <c r="A10" s="47">
        <v>99.7</v>
      </c>
      <c r="B10" s="48">
        <f>99.7*2</f>
        <v>199.4</v>
      </c>
      <c r="C10">
        <v>623.17999999999995</v>
      </c>
      <c r="D10" s="48">
        <f>AVERAGE(C10:C11)</f>
        <v>778.39400000000001</v>
      </c>
      <c r="E10" s="49">
        <f>STDEV(C10:C11)</f>
        <v>219.50574387017764</v>
      </c>
      <c r="O10" t="s">
        <v>67</v>
      </c>
      <c r="P10">
        <f>INTERCEPT(B8:B19,C8:C19)</f>
        <v>3.629428182943343</v>
      </c>
      <c r="R10" s="47">
        <v>10000</v>
      </c>
      <c r="S10" s="48">
        <v>10000</v>
      </c>
      <c r="T10">
        <v>31624.064999999999</v>
      </c>
      <c r="U10" s="48">
        <f>AVERAGE(T10:T11)</f>
        <v>16530.4365</v>
      </c>
      <c r="V10" s="49">
        <f>STDEV(T10:T11)</f>
        <v>21345.61413012107</v>
      </c>
      <c r="AF10" t="s">
        <v>67</v>
      </c>
      <c r="AG10">
        <f>INTERCEPT(S8:S19,T8:T19)</f>
        <v>-187.14704372049346</v>
      </c>
    </row>
    <row r="11" spans="1:33" ht="15.75" thickBot="1" x14ac:dyDescent="0.3">
      <c r="A11" s="50">
        <v>99.7</v>
      </c>
      <c r="B11" s="51">
        <f>99.7*3</f>
        <v>299.10000000000002</v>
      </c>
      <c r="C11" s="51">
        <v>933.60799999999995</v>
      </c>
      <c r="D11" s="51"/>
      <c r="E11" s="52"/>
      <c r="O11" t="s">
        <v>68</v>
      </c>
      <c r="P11">
        <f>RSQ(B8:B19,C8:C19)</f>
        <v>0.99776615118035805</v>
      </c>
      <c r="R11" s="50">
        <v>10000</v>
      </c>
      <c r="S11" s="51">
        <v>500</v>
      </c>
      <c r="T11" s="51">
        <v>1436.808</v>
      </c>
      <c r="U11" s="51"/>
      <c r="V11" s="52"/>
      <c r="AF11" t="s">
        <v>68</v>
      </c>
      <c r="AG11">
        <f>RSQ(S8:S19,T8:T19)</f>
        <v>0.99915715255067838</v>
      </c>
    </row>
    <row r="12" spans="1:33" x14ac:dyDescent="0.25">
      <c r="A12" s="47">
        <v>99.7</v>
      </c>
      <c r="B12" s="48">
        <f>99.7*5</f>
        <v>498.5</v>
      </c>
      <c r="C12" s="48">
        <v>1588.16</v>
      </c>
      <c r="D12" s="48"/>
      <c r="E12" s="49"/>
      <c r="R12" s="39">
        <v>10000</v>
      </c>
      <c r="S12" s="40">
        <v>20000</v>
      </c>
      <c r="T12" s="40">
        <v>61091.296000000002</v>
      </c>
      <c r="U12" s="40">
        <f>AVERAGE(T12:T13)</f>
        <v>39945.438000000002</v>
      </c>
      <c r="V12" s="41">
        <f>STDEV(T12:T13)</f>
        <v>29904.759171615613</v>
      </c>
    </row>
    <row r="13" spans="1:33" ht="15.75" thickBot="1" x14ac:dyDescent="0.3">
      <c r="A13" s="13">
        <v>99.7</v>
      </c>
      <c r="B13" s="60">
        <f>99.7*6</f>
        <v>598.20000000000005</v>
      </c>
      <c r="C13" s="14">
        <v>2001.26</v>
      </c>
      <c r="D13" s="14"/>
      <c r="E13" s="34"/>
      <c r="R13" s="13">
        <v>10000</v>
      </c>
      <c r="S13" s="60">
        <v>6000</v>
      </c>
      <c r="T13" s="14">
        <v>18799.580000000002</v>
      </c>
      <c r="U13" s="14"/>
      <c r="V13" s="34"/>
    </row>
    <row r="14" spans="1:33" x14ac:dyDescent="0.25">
      <c r="A14" s="65">
        <v>99.7</v>
      </c>
      <c r="B14" s="66">
        <f>99.7*8</f>
        <v>797.6</v>
      </c>
      <c r="C14" s="66">
        <v>2689.2539999999999</v>
      </c>
      <c r="D14" s="40">
        <f>AVERAGE(C14:C15)</f>
        <v>3062.8</v>
      </c>
      <c r="E14" s="41">
        <f>STDEV(C14:C15)</f>
        <v>528.27381937021664</v>
      </c>
      <c r="F14" s="61"/>
      <c r="R14" s="47">
        <v>10000</v>
      </c>
      <c r="S14" s="48">
        <v>15000</v>
      </c>
      <c r="T14" s="48">
        <v>47036.074999999997</v>
      </c>
      <c r="U14" s="48">
        <f>AVERAGE(T14:T15)</f>
        <v>26700.677499999998</v>
      </c>
      <c r="V14" s="49">
        <f>STDEV(T14:T15)</f>
        <v>28758.594940747935</v>
      </c>
      <c r="W14" s="61"/>
    </row>
    <row r="15" spans="1:33" ht="15.75" thickBot="1" x14ac:dyDescent="0.3">
      <c r="A15" s="13">
        <v>10100</v>
      </c>
      <c r="B15" s="14">
        <f>10100*0.1</f>
        <v>1010</v>
      </c>
      <c r="C15" s="14">
        <v>3436.346</v>
      </c>
      <c r="D15" s="14">
        <f>AVERAGE(C15:C16)</f>
        <v>4139.201</v>
      </c>
      <c r="E15" s="34">
        <f>STDEV(C15:C16)</f>
        <v>993.98707338173892</v>
      </c>
      <c r="R15" s="62">
        <v>10000</v>
      </c>
      <c r="S15" s="63">
        <v>2000</v>
      </c>
      <c r="T15" s="63">
        <v>6365.28</v>
      </c>
      <c r="U15" s="63"/>
      <c r="V15" s="64"/>
    </row>
    <row r="16" spans="1:33" x14ac:dyDescent="0.25">
      <c r="A16" s="47">
        <v>10100</v>
      </c>
      <c r="B16" s="48">
        <f>10100*0.15</f>
        <v>1515</v>
      </c>
      <c r="C16" s="48">
        <v>4842.0559999999996</v>
      </c>
      <c r="D16" s="48">
        <f>AVERAGE(C16:C17)</f>
        <v>4842.0559999999996</v>
      </c>
      <c r="E16" s="49" t="e">
        <f>STDEV(C16:C17)</f>
        <v>#DIV/0!</v>
      </c>
      <c r="R16" s="65"/>
      <c r="S16" s="66"/>
      <c r="T16" s="66"/>
      <c r="U16" s="40" t="e">
        <f>AVERAGE(T16:T17)</f>
        <v>#DIV/0!</v>
      </c>
      <c r="V16" s="41" t="e">
        <f>STDEV(T16:T17)</f>
        <v>#DIV/0!</v>
      </c>
    </row>
    <row r="17" spans="1:33" ht="15.75" thickBot="1" x14ac:dyDescent="0.3">
      <c r="A17" s="55"/>
      <c r="B17" s="60"/>
      <c r="C17" s="60"/>
      <c r="D17" s="60"/>
      <c r="E17" s="67"/>
      <c r="R17" s="55"/>
      <c r="S17" s="60"/>
      <c r="T17" s="60"/>
      <c r="U17" s="60"/>
      <c r="V17" s="67"/>
    </row>
    <row r="18" spans="1:33" x14ac:dyDescent="0.25">
      <c r="A18" s="47"/>
      <c r="B18" s="48"/>
      <c r="C18" s="48"/>
      <c r="D18" s="48" t="e">
        <f>AVERAGE(C18:C19)</f>
        <v>#DIV/0!</v>
      </c>
      <c r="E18" s="49" t="e">
        <f>STDEV(C18:C19)</f>
        <v>#DIV/0!</v>
      </c>
      <c r="R18" s="47"/>
      <c r="S18" s="48"/>
      <c r="T18" s="48"/>
      <c r="U18" s="48" t="e">
        <f>AVERAGE(T18:T19)</f>
        <v>#DIV/0!</v>
      </c>
      <c r="V18" s="49" t="e">
        <f>STDEV(T18:T19)</f>
        <v>#DIV/0!</v>
      </c>
    </row>
    <row r="19" spans="1:33" ht="15.75" thickBot="1" x14ac:dyDescent="0.3">
      <c r="A19" s="62"/>
      <c r="B19" s="63"/>
      <c r="C19" s="63"/>
      <c r="D19" s="63"/>
      <c r="E19" s="64"/>
      <c r="G19" t="s">
        <v>72</v>
      </c>
      <c r="J19" t="s">
        <v>73</v>
      </c>
      <c r="M19" t="s">
        <v>71</v>
      </c>
      <c r="R19" s="62"/>
      <c r="S19" s="63"/>
      <c r="T19" s="63"/>
      <c r="U19" s="63"/>
      <c r="V19" s="64"/>
    </row>
    <row r="20" spans="1:33" x14ac:dyDescent="0.25">
      <c r="A20" s="65"/>
      <c r="B20" s="66"/>
      <c r="C20" s="66"/>
      <c r="D20" s="40" t="e">
        <f>AVERAGE(C20:C21)</f>
        <v>#DIV/0!</v>
      </c>
      <c r="E20" s="41" t="e">
        <f>STDEV(C20:C21)</f>
        <v>#DIV/0!</v>
      </c>
      <c r="G20" t="s">
        <v>66</v>
      </c>
      <c r="H20">
        <f>SLOPE(B12:B16,C12:C16)</f>
        <v>0.31271278724058671</v>
      </c>
      <c r="J20" t="s">
        <v>66</v>
      </c>
      <c r="K20">
        <f>SLOPE(B7:B16,C7:C16)</f>
        <v>0.30422003135234876</v>
      </c>
      <c r="M20" t="s">
        <v>74</v>
      </c>
      <c r="N20">
        <f>SLOPE(B6:B14,C6:C14)</f>
        <v>0.2973814451737965</v>
      </c>
      <c r="R20" s="65"/>
      <c r="S20" s="66"/>
      <c r="T20" s="66"/>
      <c r="U20" s="40" t="e">
        <f>AVERAGE(T20:T21)</f>
        <v>#DIV/0!</v>
      </c>
      <c r="V20" s="41" t="e">
        <f>STDEV(T20:T21)</f>
        <v>#DIV/0!</v>
      </c>
    </row>
    <row r="21" spans="1:33" ht="15.75" thickBot="1" x14ac:dyDescent="0.3">
      <c r="A21" s="55"/>
      <c r="B21" s="60"/>
      <c r="C21" s="60"/>
      <c r="D21" s="60"/>
      <c r="E21" s="67"/>
      <c r="G21" t="s">
        <v>67</v>
      </c>
      <c r="H21">
        <f>INTERCEPT(B12:B16,C12:C16)</f>
        <v>-26.576762006610352</v>
      </c>
      <c r="J21" t="s">
        <v>67</v>
      </c>
      <c r="K21">
        <f>INTERCEPT(B7:B16,C7:C16)</f>
        <v>3.2045761628472178</v>
      </c>
      <c r="M21" t="s">
        <v>67</v>
      </c>
      <c r="N21">
        <f>INTERCEPT(B6:B14,C6:C14)</f>
        <v>8.9543866920582786</v>
      </c>
      <c r="R21" s="55"/>
      <c r="S21" s="60"/>
      <c r="T21" s="60"/>
      <c r="U21" s="60"/>
      <c r="V21" s="67"/>
    </row>
    <row r="22" spans="1:33" x14ac:dyDescent="0.25">
      <c r="A22" s="3"/>
      <c r="B22" s="4"/>
      <c r="C22" s="4"/>
      <c r="D22" s="48" t="e">
        <f>AVERAGE(C22:C23)</f>
        <v>#DIV/0!</v>
      </c>
      <c r="E22" s="49" t="e">
        <f>STDEV(C22:C23)</f>
        <v>#DIV/0!</v>
      </c>
      <c r="G22" t="s">
        <v>68</v>
      </c>
      <c r="H22">
        <f>RSQ(B12:B16,C12:C16)</f>
        <v>0.99495607219226556</v>
      </c>
      <c r="J22" t="s">
        <v>68</v>
      </c>
      <c r="K22">
        <f>RSQ(B7:B16,C7:C16)</f>
        <v>0.9980365152724624</v>
      </c>
      <c r="M22" t="s">
        <v>68</v>
      </c>
      <c r="N22">
        <f>RSQ(B6:B14,C6:C14)</f>
        <v>0.9987217125183192</v>
      </c>
      <c r="R22" s="3"/>
      <c r="S22" s="4"/>
      <c r="T22" s="4"/>
      <c r="U22" s="48" t="e">
        <f>AVERAGE(T22:T23)</f>
        <v>#DIV/0!</v>
      </c>
      <c r="V22" s="49" t="e">
        <f>STDEV(T22:T23)</f>
        <v>#DIV/0!</v>
      </c>
    </row>
    <row r="23" spans="1:33" ht="15.75" thickBot="1" x14ac:dyDescent="0.3">
      <c r="A23" s="7"/>
      <c r="B23" s="8"/>
      <c r="C23" s="8"/>
      <c r="D23" s="53"/>
      <c r="E23" s="54"/>
      <c r="R23" s="7"/>
      <c r="S23" s="8"/>
      <c r="T23" s="8"/>
      <c r="U23" s="53"/>
      <c r="V23" s="54"/>
    </row>
    <row r="25" spans="1:33" ht="15.75" thickBot="1" x14ac:dyDescent="0.3"/>
    <row r="26" spans="1:33" ht="15.75" thickBot="1" x14ac:dyDescent="0.3">
      <c r="A26" s="56">
        <v>41965</v>
      </c>
      <c r="D26" s="70" t="s">
        <v>77</v>
      </c>
      <c r="R26" s="56">
        <v>41965</v>
      </c>
      <c r="T26" t="s">
        <v>78</v>
      </c>
    </row>
    <row r="27" spans="1:33" ht="15.75" thickBot="1" x14ac:dyDescent="0.3"/>
    <row r="28" spans="1:33" ht="45.75" thickBot="1" x14ac:dyDescent="0.3">
      <c r="A28" s="43" t="s">
        <v>61</v>
      </c>
      <c r="B28" s="44" t="s">
        <v>62</v>
      </c>
      <c r="C28" s="57" t="s">
        <v>63</v>
      </c>
      <c r="D28" s="57" t="s">
        <v>64</v>
      </c>
      <c r="E28" s="58" t="s">
        <v>65</v>
      </c>
      <c r="R28" s="43" t="s">
        <v>61</v>
      </c>
      <c r="S28" s="44" t="s">
        <v>62</v>
      </c>
      <c r="T28" s="57" t="s">
        <v>63</v>
      </c>
      <c r="U28" s="57" t="s">
        <v>64</v>
      </c>
      <c r="V28" s="58" t="s">
        <v>65</v>
      </c>
    </row>
    <row r="29" spans="1:33" x14ac:dyDescent="0.25">
      <c r="A29" s="65"/>
      <c r="B29" s="66">
        <f>10.3*0.5</f>
        <v>5.15</v>
      </c>
      <c r="C29" s="66">
        <v>0.752</v>
      </c>
      <c r="D29" s="66"/>
      <c r="E29" s="151"/>
      <c r="R29" s="47">
        <v>10000</v>
      </c>
      <c r="S29" s="48"/>
      <c r="T29" s="48"/>
      <c r="U29" s="48"/>
      <c r="V29" s="49"/>
    </row>
    <row r="30" spans="1:33" x14ac:dyDescent="0.25">
      <c r="A30" s="11">
        <v>99.7</v>
      </c>
      <c r="B30" s="12">
        <f>99.7*0.1</f>
        <v>9.9700000000000006</v>
      </c>
      <c r="C30" s="12">
        <v>27.63</v>
      </c>
      <c r="D30" s="12"/>
      <c r="E30" s="33"/>
      <c r="R30" s="50">
        <v>10000</v>
      </c>
      <c r="S30" s="51">
        <f>10000*0.3</f>
        <v>3000</v>
      </c>
      <c r="T30" s="51">
        <v>9982.232</v>
      </c>
      <c r="U30" s="51"/>
      <c r="V30" s="52"/>
    </row>
    <row r="31" spans="1:33" ht="15.75" thickBot="1" x14ac:dyDescent="0.3">
      <c r="A31" s="9">
        <v>99.7</v>
      </c>
      <c r="B31" s="10">
        <f>99.7*0.3</f>
        <v>29.91</v>
      </c>
      <c r="C31" s="10">
        <v>93.191999999999993</v>
      </c>
      <c r="D31" s="10">
        <f>AVERAGE(C31:C32)</f>
        <v>118.60499999999999</v>
      </c>
      <c r="E31" s="32">
        <f>STDEV(C31:C32)</f>
        <v>35.939409260587553</v>
      </c>
      <c r="O31" s="59"/>
      <c r="R31" s="9">
        <v>10000</v>
      </c>
      <c r="S31" s="10">
        <f>10000*0.5</f>
        <v>5000</v>
      </c>
      <c r="T31" s="10">
        <v>16304.433999999999</v>
      </c>
      <c r="U31" s="10">
        <f>AVERAGE(T31:T32)</f>
        <v>19533.074499999999</v>
      </c>
      <c r="V31" s="32">
        <f>STDEV(T31:T32)</f>
        <v>4565.9871831270639</v>
      </c>
      <c r="AF31" s="59"/>
    </row>
    <row r="32" spans="1:33" ht="15.75" thickBot="1" x14ac:dyDescent="0.3">
      <c r="A32" s="50">
        <v>99.7</v>
      </c>
      <c r="B32" s="51">
        <f>99.7*0.5</f>
        <v>49.85</v>
      </c>
      <c r="C32" s="51">
        <v>144.018</v>
      </c>
      <c r="D32" s="51"/>
      <c r="E32" s="52"/>
      <c r="O32" t="s">
        <v>66</v>
      </c>
      <c r="P32">
        <f>SLOPE(B31:B42,C31:C42)</f>
        <v>0.30872588089613129</v>
      </c>
      <c r="R32" s="11">
        <v>10000</v>
      </c>
      <c r="S32" s="12">
        <v>7000</v>
      </c>
      <c r="T32" s="12">
        <v>22761.715</v>
      </c>
      <c r="U32" s="12"/>
      <c r="V32" s="33"/>
      <c r="AF32" t="s">
        <v>66</v>
      </c>
      <c r="AG32">
        <f>SLOPE(S31:S42,T31:T42)</f>
        <v>0.31141886442207362</v>
      </c>
    </row>
    <row r="33" spans="1:33" x14ac:dyDescent="0.25">
      <c r="A33" s="47">
        <v>99.7</v>
      </c>
      <c r="B33" s="48">
        <v>99.7</v>
      </c>
      <c r="C33" s="195">
        <v>310.142</v>
      </c>
      <c r="D33" s="48"/>
      <c r="E33" s="49"/>
      <c r="O33" t="s">
        <v>67</v>
      </c>
      <c r="P33">
        <f>INTERCEPT(B31:B42,C31:C42)</f>
        <v>3.1303577715257234</v>
      </c>
      <c r="R33" s="47">
        <v>10000</v>
      </c>
      <c r="S33" s="48">
        <v>10000</v>
      </c>
      <c r="T33">
        <v>32524.853999999999</v>
      </c>
      <c r="U33" s="48">
        <f>AVERAGE(T33:T34)</f>
        <v>32524.853999999999</v>
      </c>
      <c r="V33" s="49" t="e">
        <f>STDEV(T33:T34)</f>
        <v>#DIV/0!</v>
      </c>
      <c r="AF33" t="s">
        <v>67</v>
      </c>
      <c r="AG33">
        <f>INTERCEPT(S31:S42,T31:T42)</f>
        <v>-34.671861378306858</v>
      </c>
    </row>
    <row r="34" spans="1:33" ht="15.75" thickBot="1" x14ac:dyDescent="0.3">
      <c r="A34" s="50">
        <v>99.7</v>
      </c>
      <c r="B34" s="51">
        <f>99.7*2</f>
        <v>199.4</v>
      </c>
      <c r="C34" s="12">
        <v>637.56799999999998</v>
      </c>
      <c r="D34" s="51">
        <f>AVERAGE(C34:C35)</f>
        <v>798.63200000000006</v>
      </c>
      <c r="E34" s="52">
        <f>STDEV(C34:C35)</f>
        <v>227.77889321005966</v>
      </c>
      <c r="O34" t="s">
        <v>68</v>
      </c>
      <c r="P34">
        <f>RSQ(B31:B42,C31:C42)</f>
        <v>0.99953320097474196</v>
      </c>
      <c r="R34" s="50">
        <v>10000</v>
      </c>
      <c r="S34" s="51"/>
      <c r="T34" s="51"/>
      <c r="U34" s="51"/>
      <c r="V34" s="52"/>
      <c r="AF34" t="s">
        <v>68</v>
      </c>
      <c r="AG34">
        <f>RSQ(S31:S42,T31:T42)</f>
        <v>0.99968110913158048</v>
      </c>
    </row>
    <row r="35" spans="1:33" x14ac:dyDescent="0.25">
      <c r="A35" s="47">
        <v>99.7</v>
      </c>
      <c r="B35" s="48">
        <f>99.7*3</f>
        <v>299.10000000000002</v>
      </c>
      <c r="C35" s="48">
        <v>959.69600000000003</v>
      </c>
      <c r="D35" s="48"/>
      <c r="E35" s="49"/>
      <c r="R35" s="39">
        <v>10000</v>
      </c>
      <c r="S35" s="40">
        <v>20000</v>
      </c>
      <c r="T35" s="40">
        <v>64736.76</v>
      </c>
      <c r="U35" s="40">
        <f>AVERAGE(T35:T36)</f>
        <v>42268.17</v>
      </c>
      <c r="V35" s="41">
        <f>STDEV(T35:T36)</f>
        <v>31775.384705400505</v>
      </c>
    </row>
    <row r="36" spans="1:33" ht="15.75" thickBot="1" x14ac:dyDescent="0.3">
      <c r="A36" s="62">
        <v>99.7</v>
      </c>
      <c r="B36" s="63">
        <f>99.7*5</f>
        <v>498.5</v>
      </c>
      <c r="C36" s="63">
        <v>1626.174</v>
      </c>
      <c r="D36" s="63"/>
      <c r="E36" s="64"/>
      <c r="R36" s="13">
        <v>10000</v>
      </c>
      <c r="S36" s="60">
        <v>6000</v>
      </c>
      <c r="T36" s="14">
        <v>19799.580000000002</v>
      </c>
      <c r="U36" s="14"/>
      <c r="V36" s="34"/>
    </row>
    <row r="37" spans="1:33" x14ac:dyDescent="0.25">
      <c r="A37" s="39">
        <v>99.7</v>
      </c>
      <c r="B37" s="66">
        <f>99.7*6</f>
        <v>598.20000000000005</v>
      </c>
      <c r="C37" s="40">
        <v>1934.9860000000001</v>
      </c>
      <c r="D37" s="40"/>
      <c r="E37" s="41"/>
      <c r="F37" s="61"/>
      <c r="R37" s="47">
        <v>10000</v>
      </c>
      <c r="S37" s="48">
        <v>15000</v>
      </c>
      <c r="T37" s="48">
        <v>47088.233999999997</v>
      </c>
      <c r="U37" s="48">
        <f>AVERAGE(T37:T38)</f>
        <v>26647.743999999999</v>
      </c>
      <c r="V37" s="49">
        <f>STDEV(T37:T38)</f>
        <v>28907.21817955163</v>
      </c>
      <c r="W37" s="61"/>
    </row>
    <row r="38" spans="1:33" ht="15.75" thickBot="1" x14ac:dyDescent="0.3">
      <c r="A38" s="55">
        <v>99.7</v>
      </c>
      <c r="B38" s="60">
        <f>99.7*8</f>
        <v>797.6</v>
      </c>
      <c r="C38" s="60">
        <v>2516.2449999999999</v>
      </c>
      <c r="D38" s="14">
        <f>AVERAGE(C38:C39)</f>
        <v>2882.1134999999999</v>
      </c>
      <c r="E38" s="34">
        <f>STDEV(C38:C39)</f>
        <v>517.41619474509992</v>
      </c>
      <c r="R38" s="62">
        <v>10000</v>
      </c>
      <c r="S38" s="63">
        <v>2000</v>
      </c>
      <c r="T38" s="63">
        <v>6207.2539999999999</v>
      </c>
      <c r="U38" s="63"/>
      <c r="V38" s="64"/>
    </row>
    <row r="39" spans="1:33" x14ac:dyDescent="0.25">
      <c r="A39" s="39">
        <v>99.7</v>
      </c>
      <c r="B39" s="40">
        <f>99.7*10</f>
        <v>997</v>
      </c>
      <c r="C39" s="40">
        <v>3247.982</v>
      </c>
      <c r="D39" s="40">
        <f>AVERAGE(C39:C40)</f>
        <v>3247.982</v>
      </c>
      <c r="E39" s="41" t="e">
        <f>STDEV(C39:C40)</f>
        <v>#DIV/0!</v>
      </c>
      <c r="R39" s="65">
        <v>10000</v>
      </c>
      <c r="S39" s="66">
        <v>30000</v>
      </c>
      <c r="T39" s="66">
        <v>96523.23</v>
      </c>
      <c r="U39" s="40">
        <f>AVERAGE(T39:T40)</f>
        <v>96523.23</v>
      </c>
      <c r="V39" s="41" t="e">
        <f>STDEV(T39:T40)</f>
        <v>#DIV/0!</v>
      </c>
    </row>
    <row r="40" spans="1:33" ht="15.75" thickBot="1" x14ac:dyDescent="0.3">
      <c r="A40" s="62">
        <v>10100</v>
      </c>
      <c r="B40" s="63"/>
      <c r="C40" s="63"/>
      <c r="D40" s="63" t="e">
        <f>AVERAGE(C40:C41)</f>
        <v>#DIV/0!</v>
      </c>
      <c r="E40" s="64" t="e">
        <f>STDEV(C40:C41)</f>
        <v>#DIV/0!</v>
      </c>
      <c r="R40" s="55"/>
      <c r="S40" s="60"/>
      <c r="T40" s="60"/>
      <c r="U40" s="60"/>
      <c r="V40" s="67"/>
    </row>
    <row r="41" spans="1:33" x14ac:dyDescent="0.25">
      <c r="A41" s="47"/>
      <c r="B41" s="48"/>
      <c r="C41" s="48"/>
      <c r="D41" s="48" t="e">
        <f>AVERAGE(C41:C42)</f>
        <v>#DIV/0!</v>
      </c>
      <c r="E41" s="49" t="e">
        <f>STDEV(C41:C42)</f>
        <v>#DIV/0!</v>
      </c>
      <c r="R41" s="47"/>
      <c r="S41" s="48"/>
      <c r="T41" s="48"/>
      <c r="U41" s="48" t="e">
        <f>AVERAGE(T41:T42)</f>
        <v>#DIV/0!</v>
      </c>
      <c r="V41" s="49" t="e">
        <f>STDEV(T41:T42)</f>
        <v>#DIV/0!</v>
      </c>
    </row>
    <row r="42" spans="1:33" ht="15.75" thickBot="1" x14ac:dyDescent="0.3">
      <c r="A42" s="62"/>
      <c r="B42" s="63"/>
      <c r="C42" s="63"/>
      <c r="D42" s="63"/>
      <c r="E42" s="64"/>
      <c r="G42" t="s">
        <v>72</v>
      </c>
      <c r="J42" t="s">
        <v>73</v>
      </c>
      <c r="M42" t="s">
        <v>71</v>
      </c>
      <c r="R42" s="62"/>
      <c r="S42" s="63"/>
      <c r="T42" s="63"/>
      <c r="U42" s="63"/>
      <c r="V42" s="64"/>
    </row>
    <row r="43" spans="1:33" x14ac:dyDescent="0.25">
      <c r="A43" s="65"/>
      <c r="B43" s="66"/>
      <c r="C43" s="66"/>
      <c r="D43" s="40" t="e">
        <f>AVERAGE(C43:C44)</f>
        <v>#DIV/0!</v>
      </c>
      <c r="E43" s="41" t="e">
        <f>STDEV(C43:C44)</f>
        <v>#DIV/0!</v>
      </c>
      <c r="G43" t="s">
        <v>66</v>
      </c>
      <c r="H43">
        <f>SLOPE(B29:B42,C29:C42)</f>
        <v>0.30871432663620085</v>
      </c>
      <c r="J43" t="s">
        <v>66</v>
      </c>
      <c r="K43">
        <f>SLOPE(B29:B37,C29:C37)</f>
        <v>0.30631362834044407</v>
      </c>
      <c r="M43" t="s">
        <v>74</v>
      </c>
      <c r="N43">
        <f>SLOPE(B29:B36,C29:C36)</f>
        <v>0.30517809579291494</v>
      </c>
      <c r="R43" s="65"/>
      <c r="S43" s="66"/>
      <c r="T43" s="66"/>
      <c r="U43" s="40" t="e">
        <f>AVERAGE(T43:T44)</f>
        <v>#DIV/0!</v>
      </c>
      <c r="V43" s="41" t="e">
        <f>STDEV(T43:T44)</f>
        <v>#DIV/0!</v>
      </c>
    </row>
    <row r="44" spans="1:33" ht="15.75" thickBot="1" x14ac:dyDescent="0.3">
      <c r="A44" s="55"/>
      <c r="B44" s="60"/>
      <c r="C44" s="60"/>
      <c r="D44" s="60"/>
      <c r="E44" s="67"/>
      <c r="G44" t="s">
        <v>67</v>
      </c>
      <c r="H44">
        <f>INTERCEPT(B29:B42,C29:C42)</f>
        <v>3.1512561201097924</v>
      </c>
      <c r="J44" t="s">
        <v>67</v>
      </c>
      <c r="K44">
        <f>INTERCEPT(B29:B37,C29:C37)</f>
        <v>3.7032508380684135</v>
      </c>
      <c r="M44" t="s">
        <v>67</v>
      </c>
      <c r="N44">
        <f>INTERCEPT(B29:B36,C29:C36)</f>
        <v>4.0194904312799622</v>
      </c>
      <c r="R44" s="55"/>
      <c r="S44" s="60"/>
      <c r="T44" s="60"/>
      <c r="U44" s="60"/>
      <c r="V44" s="67"/>
    </row>
    <row r="45" spans="1:33" x14ac:dyDescent="0.25">
      <c r="A45" s="3"/>
      <c r="B45" s="4"/>
      <c r="C45" s="4"/>
      <c r="D45" s="48" t="e">
        <f>AVERAGE(C45:C46)</f>
        <v>#DIV/0!</v>
      </c>
      <c r="E45" s="49" t="e">
        <f>STDEV(C45:C46)</f>
        <v>#DIV/0!</v>
      </c>
      <c r="G45" t="s">
        <v>68</v>
      </c>
      <c r="H45">
        <f>RSQ(B29:B42,C29:C42)</f>
        <v>0.99962365352957561</v>
      </c>
      <c r="J45" t="s">
        <v>68</v>
      </c>
      <c r="K45">
        <f>RSQ(B29:B37,C29:C37)</f>
        <v>0.99991522770764807</v>
      </c>
      <c r="M45" t="s">
        <v>68</v>
      </c>
      <c r="N45">
        <f>RSQ(B29:B36,C29:C36)</f>
        <v>0.99987465844119383</v>
      </c>
      <c r="R45" s="3"/>
      <c r="S45" s="4"/>
      <c r="T45" s="4"/>
      <c r="U45" s="48" t="e">
        <f>AVERAGE(T45:T46)</f>
        <v>#DIV/0!</v>
      </c>
      <c r="V45" s="49" t="e">
        <f>STDEV(T45:T46)</f>
        <v>#DIV/0!</v>
      </c>
    </row>
    <row r="46" spans="1:33" ht="15.75" thickBot="1" x14ac:dyDescent="0.3">
      <c r="A46" s="7"/>
      <c r="B46" s="8"/>
      <c r="C46" s="8"/>
      <c r="D46" s="53"/>
      <c r="E46" s="54"/>
      <c r="R46" s="7"/>
      <c r="S46" s="8"/>
      <c r="T46" s="8"/>
      <c r="U46" s="53"/>
      <c r="V46" s="54"/>
    </row>
    <row r="48" spans="1:33" ht="15.75" thickBot="1" x14ac:dyDescent="0.3"/>
    <row r="49" spans="1:33" ht="15.75" thickBot="1" x14ac:dyDescent="0.3">
      <c r="A49" s="56">
        <v>41966</v>
      </c>
      <c r="D49" s="70" t="s">
        <v>82</v>
      </c>
      <c r="R49" s="56">
        <v>41966</v>
      </c>
      <c r="T49" t="s">
        <v>83</v>
      </c>
    </row>
    <row r="50" spans="1:33" ht="15.75" thickBot="1" x14ac:dyDescent="0.3"/>
    <row r="51" spans="1:33" ht="45.75" thickBot="1" x14ac:dyDescent="0.3">
      <c r="A51" s="43" t="s">
        <v>61</v>
      </c>
      <c r="B51" s="44" t="s">
        <v>62</v>
      </c>
      <c r="C51" s="57" t="s">
        <v>63</v>
      </c>
      <c r="D51" s="57" t="s">
        <v>64</v>
      </c>
      <c r="E51" s="58" t="s">
        <v>65</v>
      </c>
      <c r="R51" s="43" t="s">
        <v>61</v>
      </c>
      <c r="S51" s="44" t="s">
        <v>62</v>
      </c>
      <c r="T51" s="57" t="s">
        <v>63</v>
      </c>
      <c r="U51" s="57" t="s">
        <v>64</v>
      </c>
      <c r="V51" s="58" t="s">
        <v>65</v>
      </c>
    </row>
    <row r="52" spans="1:33" x14ac:dyDescent="0.25">
      <c r="A52" s="47">
        <v>10.3</v>
      </c>
      <c r="B52" s="48">
        <f>10.3*0.1</f>
        <v>1.03</v>
      </c>
      <c r="C52" s="48">
        <v>0.72599999999999998</v>
      </c>
      <c r="D52" s="48">
        <f>AVERAGE(C52:C53)</f>
        <v>2.9809999999999999</v>
      </c>
      <c r="E52" s="49">
        <f>STDEV(C52:C53)</f>
        <v>3.1890515831513295</v>
      </c>
      <c r="R52" s="47">
        <v>10000</v>
      </c>
      <c r="S52" s="48"/>
      <c r="T52" s="48"/>
      <c r="U52" s="48"/>
      <c r="V52" s="49"/>
    </row>
    <row r="53" spans="1:33" x14ac:dyDescent="0.25">
      <c r="A53" s="16">
        <v>10.3</v>
      </c>
      <c r="B53" s="85">
        <f>10.3*0.5</f>
        <v>5.15</v>
      </c>
      <c r="C53" s="85">
        <v>5.2359999999999998</v>
      </c>
      <c r="D53" s="85"/>
      <c r="E53" s="152"/>
      <c r="R53" s="50">
        <v>10000</v>
      </c>
      <c r="S53" s="51">
        <f>10000*0.3</f>
        <v>3000</v>
      </c>
      <c r="T53" s="51">
        <v>10086.848</v>
      </c>
      <c r="U53" s="51"/>
      <c r="V53" s="52"/>
    </row>
    <row r="54" spans="1:33" ht="15.75" thickBot="1" x14ac:dyDescent="0.3">
      <c r="A54" s="9">
        <v>99.7</v>
      </c>
      <c r="B54" s="10">
        <f>99.7*0.1</f>
        <v>9.9700000000000006</v>
      </c>
      <c r="C54" s="10">
        <v>32.697000000000003</v>
      </c>
      <c r="D54" s="10"/>
      <c r="E54" s="32"/>
      <c r="O54" s="59"/>
      <c r="R54" s="9">
        <v>10000</v>
      </c>
      <c r="S54" s="10">
        <f>10000*0.5</f>
        <v>5000</v>
      </c>
      <c r="T54" s="10">
        <v>16420.343000000001</v>
      </c>
      <c r="U54" s="10">
        <f>AVERAGE(T54:T55)</f>
        <v>19459.932500000003</v>
      </c>
      <c r="V54" s="32">
        <f>STDEV(T54:T55)</f>
        <v>4298.6286949468486</v>
      </c>
      <c r="AF54" s="59"/>
    </row>
    <row r="55" spans="1:33" ht="15.75" thickBot="1" x14ac:dyDescent="0.3">
      <c r="A55" s="11">
        <v>99.7</v>
      </c>
      <c r="B55" s="12">
        <f>99.7*0.3</f>
        <v>29.91</v>
      </c>
      <c r="C55" s="12">
        <v>93.292000000000002</v>
      </c>
      <c r="D55" s="12">
        <f>AVERAGE(C55:C56)</f>
        <v>120.5665</v>
      </c>
      <c r="E55" s="33">
        <f>STDEV(C55:C56)</f>
        <v>38.571967806944969</v>
      </c>
      <c r="O55" t="s">
        <v>66</v>
      </c>
      <c r="P55">
        <f>SLOPE(B54:B65,C54:C65)</f>
        <v>0.3033423984050958</v>
      </c>
      <c r="R55" s="11">
        <v>10000</v>
      </c>
      <c r="S55" s="12">
        <v>7000</v>
      </c>
      <c r="T55" s="12">
        <v>22499.522000000001</v>
      </c>
      <c r="U55" s="12"/>
      <c r="V55" s="33"/>
      <c r="AF55" t="s">
        <v>66</v>
      </c>
      <c r="AG55">
        <f>SLOPE(S54:S65,T54:T65)</f>
        <v>0.32237448779036093</v>
      </c>
    </row>
    <row r="56" spans="1:33" x14ac:dyDescent="0.25">
      <c r="A56" s="47">
        <v>99.7</v>
      </c>
      <c r="B56" s="48">
        <f>99.7*0.5</f>
        <v>49.85</v>
      </c>
      <c r="C56" s="195">
        <v>147.84100000000001</v>
      </c>
      <c r="D56" s="48"/>
      <c r="E56" s="49"/>
      <c r="O56" t="s">
        <v>67</v>
      </c>
      <c r="P56">
        <f>INTERCEPT(B54:B65,C54:C65)</f>
        <v>1.6454420161051075</v>
      </c>
      <c r="R56" s="47">
        <v>10000</v>
      </c>
      <c r="S56" s="48">
        <v>10000</v>
      </c>
      <c r="T56">
        <v>33249.813999999998</v>
      </c>
      <c r="U56" s="48">
        <f>AVERAGE(T56:T57)</f>
        <v>33249.813999999998</v>
      </c>
      <c r="V56" s="49" t="e">
        <f>STDEV(T56:T57)</f>
        <v>#DIV/0!</v>
      </c>
      <c r="AF56" t="s">
        <v>67</v>
      </c>
      <c r="AG56">
        <f>INTERCEPT(S54:S65,T54:T65)</f>
        <v>-505.10207709017777</v>
      </c>
    </row>
    <row r="57" spans="1:33" ht="15.75" thickBot="1" x14ac:dyDescent="0.3">
      <c r="A57" s="50">
        <v>99.7</v>
      </c>
      <c r="B57" s="51">
        <v>99.7</v>
      </c>
      <c r="C57" s="51">
        <v>318.238</v>
      </c>
      <c r="D57" s="51"/>
      <c r="E57" s="52"/>
      <c r="O57" t="s">
        <v>68</v>
      </c>
      <c r="P57">
        <f>RSQ(B54:B65,C54:C65)</f>
        <v>0.99978387954819581</v>
      </c>
      <c r="R57" s="50">
        <v>10000</v>
      </c>
      <c r="S57" s="51"/>
      <c r="T57" s="51"/>
      <c r="U57" s="51"/>
      <c r="V57" s="52"/>
      <c r="AF57" t="s">
        <v>68</v>
      </c>
      <c r="AG57">
        <f>RSQ(S54:S65,T54:T65)</f>
        <v>0.99946449441485496</v>
      </c>
    </row>
    <row r="58" spans="1:33" x14ac:dyDescent="0.25">
      <c r="A58" s="47">
        <v>99.7</v>
      </c>
      <c r="B58" s="48">
        <f>99.7*2</f>
        <v>199.4</v>
      </c>
      <c r="C58" s="40">
        <v>644.35199999999998</v>
      </c>
      <c r="D58" s="48">
        <f>AVERAGE(C58:C59)</f>
        <v>810.14099999999996</v>
      </c>
      <c r="E58" s="49">
        <f>STDEV(C58:C59)</f>
        <v>234.46105229227297</v>
      </c>
      <c r="R58" s="39">
        <v>10000</v>
      </c>
      <c r="S58" s="40">
        <v>20000</v>
      </c>
      <c r="T58" s="40">
        <v>64171.082000000002</v>
      </c>
      <c r="U58" s="40">
        <f>AVERAGE(T58:T59)</f>
        <v>41911.192000000003</v>
      </c>
      <c r="V58" s="41">
        <f>STDEV(T58:T59)</f>
        <v>31480.238334933234</v>
      </c>
    </row>
    <row r="59" spans="1:33" ht="15.75" thickBot="1" x14ac:dyDescent="0.3">
      <c r="A59" s="62">
        <v>99.7</v>
      </c>
      <c r="B59" s="63">
        <f>99.7*3</f>
        <v>299.10000000000002</v>
      </c>
      <c r="C59" s="63">
        <v>975.93</v>
      </c>
      <c r="D59" s="63"/>
      <c r="E59" s="64"/>
      <c r="R59" s="13">
        <v>10000</v>
      </c>
      <c r="S59" s="60">
        <v>6000</v>
      </c>
      <c r="T59" s="14">
        <v>19651.302</v>
      </c>
      <c r="U59" s="14"/>
      <c r="V59" s="34"/>
    </row>
    <row r="60" spans="1:33" x14ac:dyDescent="0.25">
      <c r="A60" s="47">
        <v>99.7</v>
      </c>
      <c r="B60" s="48">
        <f>99.7*5</f>
        <v>498.5</v>
      </c>
      <c r="C60" s="48">
        <v>1652.3389999999999</v>
      </c>
      <c r="D60" s="48"/>
      <c r="E60" s="49"/>
      <c r="F60" s="61"/>
      <c r="R60" s="47">
        <v>10000</v>
      </c>
      <c r="S60" s="48">
        <v>15000</v>
      </c>
      <c r="T60" s="48">
        <v>49962.5</v>
      </c>
      <c r="U60" s="48">
        <f>AVERAGE(T60:T61)</f>
        <v>28346.817999999999</v>
      </c>
      <c r="V60" s="49">
        <f>STDEV(T60:T61)</f>
        <v>30569.190644343984</v>
      </c>
      <c r="W60" s="61"/>
    </row>
    <row r="61" spans="1:33" ht="15.75" thickBot="1" x14ac:dyDescent="0.3">
      <c r="A61" s="13">
        <v>99.7</v>
      </c>
      <c r="B61" s="60">
        <f>99.7*6</f>
        <v>598.20000000000005</v>
      </c>
      <c r="C61" s="14">
        <v>1986.646</v>
      </c>
      <c r="D61" s="14"/>
      <c r="E61" s="34"/>
      <c r="R61" s="62">
        <v>10000</v>
      </c>
      <c r="S61" s="63">
        <v>2000</v>
      </c>
      <c r="T61" s="63">
        <v>6731.1360000000004</v>
      </c>
      <c r="U61" s="63"/>
      <c r="V61" s="64"/>
    </row>
    <row r="62" spans="1:33" x14ac:dyDescent="0.25">
      <c r="A62" s="65">
        <v>99.7</v>
      </c>
      <c r="B62" s="66">
        <f>99.7*8</f>
        <v>797.6</v>
      </c>
      <c r="C62" s="66">
        <v>2646.91</v>
      </c>
      <c r="D62" s="40">
        <f>AVERAGE(C62:C63)</f>
        <v>2946.864</v>
      </c>
      <c r="E62" s="41">
        <f>STDEV(C62:C63)</f>
        <v>424.1990148880609</v>
      </c>
      <c r="R62" s="65">
        <v>10000</v>
      </c>
      <c r="S62" s="66">
        <v>30000</v>
      </c>
      <c r="T62" s="66">
        <v>96523.23</v>
      </c>
      <c r="U62" s="40">
        <f>AVERAGE(T62:T63)</f>
        <v>125924.61499999999</v>
      </c>
      <c r="V62" s="41">
        <f>STDEV(T62:T63)</f>
        <v>41579.83741955291</v>
      </c>
    </row>
    <row r="63" spans="1:33" ht="15.75" thickBot="1" x14ac:dyDescent="0.3">
      <c r="A63" s="13">
        <v>99.7</v>
      </c>
      <c r="B63" s="14">
        <f>99.7*10</f>
        <v>997</v>
      </c>
      <c r="C63" s="14">
        <v>3246.8180000000002</v>
      </c>
      <c r="D63" s="14">
        <f>AVERAGE(C63:C64)</f>
        <v>3246.8180000000002</v>
      </c>
      <c r="E63" s="34" t="e">
        <f>STDEV(C63:C64)</f>
        <v>#DIV/0!</v>
      </c>
      <c r="R63" s="55">
        <v>10000</v>
      </c>
      <c r="S63" s="60">
        <v>50000</v>
      </c>
      <c r="T63" s="60">
        <v>155326</v>
      </c>
      <c r="U63" s="60"/>
      <c r="V63" s="67"/>
    </row>
    <row r="64" spans="1:33" x14ac:dyDescent="0.25">
      <c r="A64" s="47">
        <v>10100</v>
      </c>
      <c r="B64" s="48"/>
      <c r="C64" s="48"/>
      <c r="D64" s="48" t="e">
        <f>AVERAGE(C64:C65)</f>
        <v>#DIV/0!</v>
      </c>
      <c r="E64" s="49" t="e">
        <f>STDEV(C64:C65)</f>
        <v>#DIV/0!</v>
      </c>
      <c r="R64" s="47">
        <v>10000</v>
      </c>
      <c r="S64" s="48">
        <v>40000</v>
      </c>
      <c r="T64" s="48">
        <v>125000</v>
      </c>
      <c r="U64" s="48">
        <f>AVERAGE(T64:T65)</f>
        <v>125000</v>
      </c>
      <c r="V64" s="49" t="e">
        <f>STDEV(T64:T65)</f>
        <v>#DIV/0!</v>
      </c>
    </row>
    <row r="65" spans="1:22" ht="15.75" thickBot="1" x14ac:dyDescent="0.3">
      <c r="A65" s="62"/>
      <c r="B65" s="63"/>
      <c r="C65" s="63"/>
      <c r="D65" s="63"/>
      <c r="E65" s="64"/>
      <c r="G65" t="s">
        <v>72</v>
      </c>
      <c r="J65" t="s">
        <v>73</v>
      </c>
      <c r="M65" t="s">
        <v>71</v>
      </c>
      <c r="R65" s="62"/>
      <c r="S65" s="63"/>
      <c r="T65" s="63"/>
      <c r="U65" s="63"/>
      <c r="V65" s="64"/>
    </row>
    <row r="66" spans="1:22" x14ac:dyDescent="0.25">
      <c r="A66" s="65"/>
      <c r="B66" s="66"/>
      <c r="C66" s="66"/>
      <c r="D66" s="40" t="e">
        <f>AVERAGE(C66:C67)</f>
        <v>#DIV/0!</v>
      </c>
      <c r="E66" s="41" t="e">
        <f>STDEV(C66:C67)</f>
        <v>#DIV/0!</v>
      </c>
      <c r="G66" t="s">
        <v>66</v>
      </c>
      <c r="H66">
        <f>SLOPE(B52:B65,C52:C65)</f>
        <v>0.30326863836496165</v>
      </c>
      <c r="J66" t="s">
        <v>66</v>
      </c>
      <c r="K66">
        <f>SLOPE(B52:B62,C52:C62)</f>
        <v>0.30024174042255869</v>
      </c>
      <c r="M66" t="s">
        <v>74</v>
      </c>
      <c r="N66">
        <f>SLOPE(B52:B59,C52:C59)</f>
        <v>0.30510837572383565</v>
      </c>
      <c r="R66" s="65"/>
      <c r="S66" s="66"/>
      <c r="T66" s="66"/>
      <c r="U66" s="40" t="e">
        <f>AVERAGE(T66:T67)</f>
        <v>#DIV/0!</v>
      </c>
      <c r="V66" s="41" t="e">
        <f>STDEV(T66:T67)</f>
        <v>#DIV/0!</v>
      </c>
    </row>
    <row r="67" spans="1:22" ht="15.75" thickBot="1" x14ac:dyDescent="0.3">
      <c r="A67" s="55"/>
      <c r="B67" s="60"/>
      <c r="C67" s="60"/>
      <c r="D67" s="60"/>
      <c r="E67" s="67"/>
      <c r="G67" t="s">
        <v>67</v>
      </c>
      <c r="H67">
        <f>INTERCEPT(B52:B65,C52:C65)</f>
        <v>1.8077207381147673</v>
      </c>
      <c r="J67" t="s">
        <v>67</v>
      </c>
      <c r="K67">
        <f>INTERCEPT(B52:B62,C52:C62)</f>
        <v>3.1901899460267487</v>
      </c>
      <c r="M67" t="s">
        <v>67</v>
      </c>
      <c r="N67">
        <f>INTERCEPT(B52:B59,C52:C59)</f>
        <v>2.1605536039133426</v>
      </c>
      <c r="R67" s="55"/>
      <c r="S67" s="60"/>
      <c r="T67" s="60"/>
      <c r="U67" s="60"/>
      <c r="V67" s="67"/>
    </row>
    <row r="68" spans="1:22" x14ac:dyDescent="0.25">
      <c r="A68" s="3"/>
      <c r="B68" s="4"/>
      <c r="C68" s="4"/>
      <c r="D68" s="48" t="e">
        <f>AVERAGE(C68:C69)</f>
        <v>#DIV/0!</v>
      </c>
      <c r="E68" s="49" t="e">
        <f>STDEV(C68:C69)</f>
        <v>#DIV/0!</v>
      </c>
      <c r="G68" t="s">
        <v>68</v>
      </c>
      <c r="H68">
        <f>RSQ(B52:B65,C52:C65)</f>
        <v>0.99981534750861289</v>
      </c>
      <c r="J68" t="s">
        <v>68</v>
      </c>
      <c r="K68">
        <f>RSQ(B52:B62,C52:C62)</f>
        <v>0.99994642792886146</v>
      </c>
      <c r="M68" t="s">
        <v>68</v>
      </c>
      <c r="N68">
        <f>RSQ(B52:B59,C52:C59)</f>
        <v>0.99979469943343491</v>
      </c>
      <c r="R68" s="3"/>
      <c r="S68" s="4"/>
      <c r="T68" s="4"/>
      <c r="U68" s="48" t="e">
        <f>AVERAGE(T68:T69)</f>
        <v>#DIV/0!</v>
      </c>
      <c r="V68" s="49" t="e">
        <f>STDEV(T68:T69)</f>
        <v>#DIV/0!</v>
      </c>
    </row>
    <row r="69" spans="1:22" ht="15.75" thickBot="1" x14ac:dyDescent="0.3">
      <c r="A69" s="7"/>
      <c r="B69" s="8"/>
      <c r="C69" s="8"/>
      <c r="D69" s="53"/>
      <c r="E69" s="54"/>
      <c r="R69" s="7"/>
      <c r="S69" s="8"/>
      <c r="T69" s="8"/>
      <c r="U69" s="53"/>
      <c r="V69" s="54"/>
    </row>
  </sheetData>
  <sortState xmlns:xlrd2="http://schemas.microsoft.com/office/spreadsheetml/2017/richdata2" ref="A52:E64">
    <sortCondition ref="B5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M49"/>
  <sheetViews>
    <sheetView zoomScale="80" zoomScaleNormal="80" workbookViewId="0">
      <pane xSplit="2" ySplit="4" topLeftCell="AE5" activePane="bottomRight" state="frozen"/>
      <selection pane="topRight" activeCell="C1" sqref="C1"/>
      <selection pane="bottomLeft" activeCell="A5" sqref="A5"/>
      <selection pane="bottomRight" activeCell="BL35" sqref="BL35"/>
    </sheetView>
  </sheetViews>
  <sheetFormatPr defaultRowHeight="15" x14ac:dyDescent="0.25"/>
  <cols>
    <col min="3" max="3" width="17.42578125" customWidth="1"/>
    <col min="4" max="4" width="17.140625" bestFit="1" customWidth="1"/>
    <col min="5" max="5" width="9.85546875" customWidth="1"/>
    <col min="8" max="9" width="11.140625" customWidth="1"/>
    <col min="10" max="11" width="13.42578125" customWidth="1"/>
    <col min="12" max="12" width="17.140625" bestFit="1" customWidth="1"/>
    <col min="13" max="13" width="10.28515625" customWidth="1"/>
    <col min="16" max="17" width="13" customWidth="1"/>
    <col min="18" max="19" width="14" customWidth="1"/>
    <col min="20" max="20" width="17.140625" bestFit="1" customWidth="1"/>
    <col min="21" max="21" width="10.7109375" customWidth="1"/>
    <col min="24" max="25" width="12.5703125" customWidth="1"/>
    <col min="26" max="27" width="14" customWidth="1"/>
    <col min="28" max="28" width="17.140625" bestFit="1" customWidth="1"/>
    <col min="29" max="29" width="11" customWidth="1"/>
    <col min="36" max="36" width="17.140625" bestFit="1" customWidth="1"/>
    <col min="37" max="37" width="9" customWidth="1"/>
  </cols>
  <sheetData>
    <row r="1" spans="1:91" x14ac:dyDescent="0.25">
      <c r="AT1" s="135" t="s">
        <v>105</v>
      </c>
      <c r="AU1" s="136">
        <v>8.2059999999999994E-2</v>
      </c>
      <c r="AV1" s="136"/>
      <c r="AW1" s="137" t="s">
        <v>106</v>
      </c>
      <c r="AX1" s="138"/>
      <c r="AY1" s="139">
        <v>8.2500000000000004E-7</v>
      </c>
      <c r="AZ1" s="137" t="s">
        <v>107</v>
      </c>
      <c r="BA1" s="139">
        <v>-6.6019000000000006E-5</v>
      </c>
      <c r="BB1" s="139" t="s">
        <v>108</v>
      </c>
      <c r="BC1" s="139">
        <v>2.4575E-3</v>
      </c>
      <c r="BD1" s="139" t="s">
        <v>109</v>
      </c>
      <c r="BE1" s="139">
        <v>-5.7142999999999998E-5</v>
      </c>
      <c r="BF1" s="137" t="s">
        <v>107</v>
      </c>
      <c r="BG1" s="139">
        <v>1.5713999999999999E-2</v>
      </c>
      <c r="BH1" s="137" t="s">
        <v>108</v>
      </c>
      <c r="BI1" s="139">
        <v>1.1113999999999999</v>
      </c>
      <c r="BJ1" s="137" t="s">
        <v>110</v>
      </c>
      <c r="BK1" s="139">
        <v>1.4571000000000001E-4</v>
      </c>
      <c r="BL1" s="137" t="s">
        <v>107</v>
      </c>
      <c r="BM1" s="139">
        <v>-1.2751999999999999E-2</v>
      </c>
      <c r="BN1" s="137" t="s">
        <v>108</v>
      </c>
      <c r="BO1" s="139">
        <v>6.5778999999999996</v>
      </c>
      <c r="BP1" s="137" t="s">
        <v>111</v>
      </c>
      <c r="BQ1" s="139">
        <v>1.1429000000000001E-4</v>
      </c>
      <c r="BR1" s="140" t="s">
        <v>107</v>
      </c>
      <c r="BS1" s="139">
        <v>-1.4704999999999999E-2</v>
      </c>
      <c r="BT1" s="137" t="s">
        <v>108</v>
      </c>
      <c r="BU1" s="139">
        <v>10.625999999999999</v>
      </c>
      <c r="BV1" s="139" t="s">
        <v>109</v>
      </c>
      <c r="BW1" s="139">
        <v>-5.7142999999999998E-5</v>
      </c>
      <c r="BX1" s="137" t="s">
        <v>107</v>
      </c>
      <c r="BY1" s="139">
        <v>1.5713999999999999E-2</v>
      </c>
      <c r="BZ1" s="137" t="s">
        <v>108</v>
      </c>
      <c r="CA1" s="139">
        <v>1.1113999999999999</v>
      </c>
      <c r="CB1" s="137" t="s">
        <v>110</v>
      </c>
      <c r="CC1" s="139">
        <v>1.4571000000000001E-4</v>
      </c>
      <c r="CD1" s="137" t="s">
        <v>107</v>
      </c>
      <c r="CE1" s="139">
        <v>-1.2751999999999999E-2</v>
      </c>
      <c r="CF1" s="137" t="s">
        <v>108</v>
      </c>
      <c r="CG1" s="139">
        <v>6.5778999999999996</v>
      </c>
      <c r="CH1" s="137" t="s">
        <v>111</v>
      </c>
      <c r="CI1" s="139">
        <v>1.1429000000000001E-4</v>
      </c>
      <c r="CJ1" s="140" t="s">
        <v>107</v>
      </c>
      <c r="CK1" s="139">
        <v>-1.4704999999999999E-2</v>
      </c>
      <c r="CL1" s="137" t="s">
        <v>108</v>
      </c>
      <c r="CM1" s="139">
        <v>10.625999999999999</v>
      </c>
    </row>
    <row r="2" spans="1:91" ht="15.75" thickBot="1" x14ac:dyDescent="0.3">
      <c r="AT2" s="135"/>
      <c r="AU2" s="136"/>
      <c r="AV2" s="136"/>
      <c r="AW2" s="141"/>
      <c r="AX2" s="141"/>
      <c r="AY2" s="142"/>
      <c r="AZ2" s="143"/>
      <c r="BA2" s="142"/>
      <c r="BB2" s="142"/>
      <c r="BC2" s="142"/>
      <c r="BD2" s="142"/>
      <c r="BE2" s="142"/>
      <c r="BF2" s="141"/>
      <c r="BG2" s="142"/>
      <c r="BH2" s="141"/>
      <c r="BI2" s="142"/>
      <c r="BJ2" s="141"/>
      <c r="BK2" s="142"/>
      <c r="BL2" s="141"/>
      <c r="BM2" s="142"/>
      <c r="BN2" s="141"/>
      <c r="BO2" s="142"/>
      <c r="BP2" s="141"/>
      <c r="BQ2" s="142"/>
      <c r="BR2" s="144"/>
      <c r="BS2" s="142"/>
      <c r="BT2" s="141"/>
      <c r="BU2" s="142"/>
      <c r="BV2" s="142"/>
      <c r="BW2" s="142"/>
      <c r="BX2" s="141"/>
      <c r="BY2" s="142"/>
      <c r="BZ2" s="141"/>
      <c r="CA2" s="142"/>
      <c r="CB2" s="141"/>
      <c r="CC2" s="142"/>
      <c r="CD2" s="141"/>
      <c r="CE2" s="142"/>
      <c r="CF2" s="141"/>
      <c r="CG2" s="142"/>
      <c r="CH2" s="141"/>
      <c r="CI2" s="142"/>
      <c r="CJ2" s="144"/>
      <c r="CK2" s="142"/>
      <c r="CL2" s="141"/>
      <c r="CM2" s="142"/>
    </row>
    <row r="3" spans="1:91" ht="30.75" thickBot="1" x14ac:dyDescent="0.3">
      <c r="A3" s="23"/>
      <c r="B3" s="23"/>
      <c r="C3" s="89" t="s">
        <v>69</v>
      </c>
      <c r="D3" s="271" t="s">
        <v>55</v>
      </c>
      <c r="E3" s="266"/>
      <c r="F3" s="266"/>
      <c r="G3" s="266"/>
      <c r="H3" s="266"/>
      <c r="I3" s="266"/>
      <c r="J3" s="266"/>
      <c r="K3" s="267"/>
      <c r="L3" s="266" t="s">
        <v>133</v>
      </c>
      <c r="M3" s="266"/>
      <c r="N3" s="266"/>
      <c r="O3" s="266"/>
      <c r="P3" s="266"/>
      <c r="Q3" s="266"/>
      <c r="R3" s="266"/>
      <c r="S3" s="266"/>
      <c r="T3" s="271" t="s">
        <v>134</v>
      </c>
      <c r="U3" s="266"/>
      <c r="V3" s="266"/>
      <c r="W3" s="266"/>
      <c r="X3" s="266"/>
      <c r="Y3" s="266"/>
      <c r="Z3" s="266"/>
      <c r="AA3" s="267"/>
      <c r="AB3" s="266" t="s">
        <v>135</v>
      </c>
      <c r="AC3" s="266"/>
      <c r="AD3" s="266"/>
      <c r="AE3" s="266"/>
      <c r="AF3" s="266"/>
      <c r="AG3" s="266"/>
      <c r="AH3" s="266"/>
      <c r="AI3" s="266"/>
      <c r="AJ3" s="271" t="s">
        <v>137</v>
      </c>
      <c r="AK3" s="266"/>
      <c r="AL3" s="266"/>
      <c r="AM3" s="266"/>
      <c r="AN3" s="266"/>
      <c r="AO3" s="266"/>
      <c r="AP3" s="266"/>
      <c r="AQ3" s="267"/>
      <c r="AX3" s="268" t="s">
        <v>91</v>
      </c>
      <c r="AY3" s="269"/>
      <c r="AZ3" s="269"/>
      <c r="BA3" s="269"/>
      <c r="BB3" s="270"/>
      <c r="BI3" s="258" t="s">
        <v>84</v>
      </c>
      <c r="BJ3" s="259"/>
      <c r="BK3" s="259"/>
      <c r="BL3" s="260"/>
      <c r="BM3" s="261" t="s">
        <v>86</v>
      </c>
      <c r="BN3" s="259"/>
      <c r="BO3" s="259"/>
      <c r="BP3" s="262"/>
      <c r="BQ3" s="258" t="s">
        <v>112</v>
      </c>
      <c r="BR3" s="259"/>
      <c r="BS3" s="259"/>
      <c r="BT3" s="260"/>
      <c r="BU3" s="261" t="s">
        <v>117</v>
      </c>
      <c r="BV3" s="259"/>
      <c r="BW3" s="259"/>
      <c r="BX3" s="260"/>
      <c r="BY3" s="261" t="s">
        <v>140</v>
      </c>
      <c r="BZ3" s="259"/>
      <c r="CA3" s="259"/>
      <c r="CB3" s="260"/>
    </row>
    <row r="4" spans="1:91" ht="45.75" thickBot="1" x14ac:dyDescent="0.35">
      <c r="A4" s="185" t="s">
        <v>0</v>
      </c>
      <c r="B4" s="185" t="s">
        <v>50</v>
      </c>
      <c r="C4" s="76" t="s">
        <v>85</v>
      </c>
      <c r="D4" s="43" t="s">
        <v>51</v>
      </c>
      <c r="E4" s="44" t="s">
        <v>122</v>
      </c>
      <c r="F4" s="44" t="s">
        <v>52</v>
      </c>
      <c r="G4" s="44" t="s">
        <v>89</v>
      </c>
      <c r="H4" s="57" t="s">
        <v>53</v>
      </c>
      <c r="I4" s="57" t="s">
        <v>70</v>
      </c>
      <c r="J4" s="57" t="s">
        <v>54</v>
      </c>
      <c r="K4" s="167" t="s">
        <v>90</v>
      </c>
      <c r="L4" s="81" t="s">
        <v>51</v>
      </c>
      <c r="M4" s="44" t="s">
        <v>123</v>
      </c>
      <c r="N4" s="44" t="s">
        <v>52</v>
      </c>
      <c r="O4" s="44" t="s">
        <v>89</v>
      </c>
      <c r="P4" s="57" t="s">
        <v>53</v>
      </c>
      <c r="Q4" s="57" t="s">
        <v>70</v>
      </c>
      <c r="R4" s="57" t="s">
        <v>54</v>
      </c>
      <c r="S4" s="121" t="s">
        <v>90</v>
      </c>
      <c r="T4" s="43" t="s">
        <v>51</v>
      </c>
      <c r="U4" s="44" t="s">
        <v>124</v>
      </c>
      <c r="V4" s="44" t="s">
        <v>52</v>
      </c>
      <c r="W4" s="44" t="s">
        <v>89</v>
      </c>
      <c r="X4" s="57" t="s">
        <v>53</v>
      </c>
      <c r="Y4" s="57" t="s">
        <v>70</v>
      </c>
      <c r="Z4" s="57" t="s">
        <v>54</v>
      </c>
      <c r="AA4" s="167" t="s">
        <v>90</v>
      </c>
      <c r="AB4" s="81" t="s">
        <v>51</v>
      </c>
      <c r="AC4" s="44" t="s">
        <v>138</v>
      </c>
      <c r="AD4" s="44" t="s">
        <v>52</v>
      </c>
      <c r="AE4" s="44" t="s">
        <v>89</v>
      </c>
      <c r="AF4" s="57" t="s">
        <v>53</v>
      </c>
      <c r="AG4" s="57" t="s">
        <v>70</v>
      </c>
      <c r="AH4" s="57" t="s">
        <v>54</v>
      </c>
      <c r="AI4" s="121" t="s">
        <v>90</v>
      </c>
      <c r="AJ4" s="43" t="s">
        <v>51</v>
      </c>
      <c r="AK4" s="44" t="s">
        <v>139</v>
      </c>
      <c r="AL4" s="44" t="s">
        <v>52</v>
      </c>
      <c r="AM4" s="44" t="s">
        <v>89</v>
      </c>
      <c r="AN4" s="57" t="s">
        <v>53</v>
      </c>
      <c r="AO4" s="57" t="s">
        <v>70</v>
      </c>
      <c r="AP4" s="57" t="s">
        <v>54</v>
      </c>
      <c r="AQ4" s="122" t="s">
        <v>90</v>
      </c>
      <c r="AS4" s="211" t="s">
        <v>125</v>
      </c>
      <c r="AT4" s="19" t="s">
        <v>92</v>
      </c>
      <c r="AU4" s="20" t="s">
        <v>93</v>
      </c>
      <c r="AV4" s="20" t="s">
        <v>103</v>
      </c>
      <c r="AW4" s="25" t="s">
        <v>94</v>
      </c>
      <c r="AX4" s="19" t="s">
        <v>95</v>
      </c>
      <c r="AY4" s="20" t="s">
        <v>92</v>
      </c>
      <c r="AZ4" s="20" t="s">
        <v>96</v>
      </c>
      <c r="BA4" s="133" t="s">
        <v>97</v>
      </c>
      <c r="BB4" s="91" t="s">
        <v>98</v>
      </c>
      <c r="BC4" s="134" t="s">
        <v>99</v>
      </c>
      <c r="BD4" s="134" t="s">
        <v>104</v>
      </c>
      <c r="BE4" s="133" t="s">
        <v>100</v>
      </c>
      <c r="BF4" s="133" t="s">
        <v>101</v>
      </c>
      <c r="BG4" s="91" t="s">
        <v>102</v>
      </c>
      <c r="BI4" s="146" t="s">
        <v>113</v>
      </c>
      <c r="BJ4" s="147" t="s">
        <v>114</v>
      </c>
      <c r="BK4" s="148" t="s">
        <v>115</v>
      </c>
      <c r="BL4" s="149" t="s">
        <v>116</v>
      </c>
      <c r="BM4" s="150" t="s">
        <v>113</v>
      </c>
      <c r="BN4" s="147" t="s">
        <v>114</v>
      </c>
      <c r="BO4" s="148" t="s">
        <v>115</v>
      </c>
      <c r="BP4" s="160" t="s">
        <v>116</v>
      </c>
      <c r="BQ4" s="146" t="s">
        <v>113</v>
      </c>
      <c r="BR4" s="147" t="s">
        <v>114</v>
      </c>
      <c r="BS4" s="148" t="s">
        <v>115</v>
      </c>
      <c r="BT4" s="149" t="s">
        <v>116</v>
      </c>
      <c r="BU4" s="150" t="s">
        <v>113</v>
      </c>
      <c r="BV4" s="147" t="s">
        <v>114</v>
      </c>
      <c r="BW4" s="148" t="s">
        <v>115</v>
      </c>
      <c r="BX4" s="149" t="s">
        <v>116</v>
      </c>
      <c r="BY4" s="150" t="s">
        <v>113</v>
      </c>
      <c r="BZ4" s="147" t="s">
        <v>114</v>
      </c>
      <c r="CA4" s="148" t="s">
        <v>115</v>
      </c>
      <c r="CB4" s="149" t="s">
        <v>116</v>
      </c>
    </row>
    <row r="5" spans="1:91" x14ac:dyDescent="0.25">
      <c r="A5" s="39" t="s">
        <v>21</v>
      </c>
      <c r="B5" s="168">
        <v>1</v>
      </c>
      <c r="C5" s="180">
        <v>41964.350694444445</v>
      </c>
      <c r="D5" s="194">
        <v>41964.368055555555</v>
      </c>
      <c r="E5" s="186">
        <f>D5-C5</f>
        <v>1.7361111109494232E-2</v>
      </c>
      <c r="F5" s="40">
        <v>0</v>
      </c>
      <c r="G5" s="40">
        <f>(F5+14.43)*0.068045971</f>
        <v>0.98190336152999991</v>
      </c>
      <c r="H5" s="40">
        <v>4668.9799999999996</v>
      </c>
      <c r="I5" s="40">
        <f>('High STDs'!H$20*'High Data'!H5)+'High STDs'!H$21</f>
        <v>1433.472987363944</v>
      </c>
      <c r="J5" s="40">
        <v>2528.1329999999998</v>
      </c>
      <c r="K5" s="41"/>
      <c r="L5" s="190">
        <v>41964.538888888892</v>
      </c>
      <c r="M5" s="186">
        <f>L5-C5</f>
        <v>0.18819444444670808</v>
      </c>
      <c r="N5" s="40">
        <v>0.01</v>
      </c>
      <c r="O5" s="40">
        <f t="shared" ref="O5:O49" si="0">(N5+14.43)*0.068045971</f>
        <v>0.98258382123999988</v>
      </c>
      <c r="P5" s="40">
        <v>3652.3180000000002</v>
      </c>
      <c r="Q5" s="40">
        <f>('High STDs'!K$20*'High Data'!P5)+'High STDs'!K$21</f>
        <v>1114.3128726315949</v>
      </c>
      <c r="R5" s="40">
        <v>6705.134</v>
      </c>
      <c r="S5" s="168"/>
      <c r="T5" s="194">
        <v>41964.638888888891</v>
      </c>
      <c r="U5" s="186">
        <f>T5-C5</f>
        <v>0.28819444444525288</v>
      </c>
      <c r="V5" s="40">
        <v>0.01</v>
      </c>
      <c r="W5" s="40">
        <f t="shared" ref="W5:W49" si="1">(V5+14.43)*0.068045971</f>
        <v>0.98258382123999988</v>
      </c>
      <c r="X5" s="40">
        <v>3415.86</v>
      </c>
      <c r="Y5" s="40">
        <f>('High STDs'!K$20*'High Data'!X5)+'High STDs'!K$21</f>
        <v>1042.3776124580813</v>
      </c>
      <c r="Z5" s="40">
        <v>9054.5859999999993</v>
      </c>
      <c r="AA5" s="41"/>
      <c r="AB5" s="190">
        <v>41965.472916666666</v>
      </c>
      <c r="AC5" s="186">
        <f>AB5-C5</f>
        <v>1.1222222222204437</v>
      </c>
      <c r="AD5" s="40">
        <v>0.01</v>
      </c>
      <c r="AE5" s="40">
        <f t="shared" ref="AE5:AE49" si="2">(AD5+14.43)*0.068045971</f>
        <v>0.98258382123999988</v>
      </c>
      <c r="AF5" s="40">
        <v>2442.346</v>
      </c>
      <c r="AG5" s="40">
        <f>('High STDs'!K$43*'High Data'!AF5)+'High STDs'!K$44</f>
        <v>751.82711576083852</v>
      </c>
      <c r="AH5" s="40">
        <v>28857.303</v>
      </c>
      <c r="AI5" s="168"/>
      <c r="AJ5" s="194">
        <v>41966.509722222225</v>
      </c>
      <c r="AK5" s="186">
        <f>AJ5-C5</f>
        <v>2.1590277777795563</v>
      </c>
      <c r="AL5" s="40">
        <v>0</v>
      </c>
      <c r="AM5" s="40">
        <f t="shared" ref="AM5:AM49" si="3">(AL5+14.43)*0.068045971</f>
        <v>0.98190336152999991</v>
      </c>
      <c r="AN5" s="40">
        <v>1154.54</v>
      </c>
      <c r="AO5" s="40">
        <f>('High STDs'!K$66*'High Data'!AN5)+'High STDs'!K$67</f>
        <v>349.83128893348766</v>
      </c>
      <c r="AP5" s="40">
        <v>34697.849000000002</v>
      </c>
      <c r="AQ5" s="41"/>
      <c r="AS5" s="214">
        <v>1.3948108045870988</v>
      </c>
      <c r="AT5" s="15">
        <v>270.58</v>
      </c>
      <c r="AU5" s="128">
        <f>AT5-(AT5*(BB5/100))</f>
        <v>265.10660629872916</v>
      </c>
      <c r="AV5" s="10">
        <f>AT5-AU5</f>
        <v>5.4733937012708225</v>
      </c>
      <c r="AW5" s="26"/>
      <c r="AX5" s="15">
        <v>0.99509999999999998</v>
      </c>
      <c r="AY5" s="128">
        <v>6.5156000000000001</v>
      </c>
      <c r="AZ5" s="128">
        <v>7.3788999999999998</v>
      </c>
      <c r="BA5" s="10">
        <f>AZ5-AX5</f>
        <v>6.3837999999999999</v>
      </c>
      <c r="BB5" s="32">
        <f>((AY5-BA5)/AY5)*100</f>
        <v>2.0228374976978349</v>
      </c>
      <c r="BC5" s="129"/>
      <c r="BD5" s="129">
        <v>190.06635554218249</v>
      </c>
      <c r="BE5" s="10">
        <f>625.34-AV5-(AT5*AS5)</f>
        <v>242.45869879355206</v>
      </c>
      <c r="BF5" s="10">
        <v>28</v>
      </c>
      <c r="BG5" s="32">
        <f t="shared" ref="BG5:BG49" si="4">BF5+273</f>
        <v>301</v>
      </c>
      <c r="BI5" s="65">
        <f>(BE5*I5*10^(-3))/(AU$1*BG5)</f>
        <v>14.071139716744323</v>
      </c>
      <c r="BJ5" s="66">
        <f>AY$1*BF5*BF5+BA$1*BF5+BC$1</f>
        <v>1.255768E-3</v>
      </c>
      <c r="BK5" s="66">
        <f>BJ5*AV5*I5*10^(-3)</f>
        <v>9.8527080339058416E-3</v>
      </c>
      <c r="BL5" s="151">
        <f>BI5+BK5</f>
        <v>14.080992424778229</v>
      </c>
      <c r="BM5" s="155">
        <f>(BE5*Q5*10^(-3))/(AU$1*BG5)</f>
        <v>10.938226431318858</v>
      </c>
      <c r="BN5" s="66">
        <f>AY$1*BF5*BF5+BA$1*BF5+BC$1</f>
        <v>1.255768E-3</v>
      </c>
      <c r="BO5" s="66">
        <f>BN5*AV5*Q5*10^(-3)</f>
        <v>7.6590207762837733E-3</v>
      </c>
      <c r="BP5" s="161">
        <f>BM5+BO5</f>
        <v>10.945885452095142</v>
      </c>
      <c r="BQ5" s="65">
        <f>(BE5*Y5*10^(-3))/(AU$1*BG5)</f>
        <v>10.23210144299714</v>
      </c>
      <c r="BR5" s="66">
        <f>AY$1*BF5*BF5+BA$1*BF5+BC$1</f>
        <v>1.255768E-3</v>
      </c>
      <c r="BS5" s="66">
        <f>BR5*AV5*Y5*10^(-3)</f>
        <v>7.1645872417279259E-3</v>
      </c>
      <c r="BT5" s="151">
        <f>BQ5+BS5</f>
        <v>10.239266030238868</v>
      </c>
      <c r="BU5" s="155">
        <f>(BE5*AG5*10^(-3))/(AU$1*BG5)</f>
        <v>7.3800235386101161</v>
      </c>
      <c r="BV5" s="66">
        <f>AY$1*BF5*BF5+BA$1*BF5+BC$1</f>
        <v>1.255768E-3</v>
      </c>
      <c r="BW5" s="66">
        <f>BV5*AV5*AG5*10^(-3)</f>
        <v>5.1675428339860129E-3</v>
      </c>
      <c r="BX5" s="151">
        <f>BU5+BW5</f>
        <v>7.385191081444102</v>
      </c>
      <c r="BY5" s="155">
        <f>(BE5*AO5*10^(-3))/(AU$1*BG5)</f>
        <v>3.433985144654895</v>
      </c>
      <c r="BZ5" s="66">
        <f>AY$1*BF5*BF5+BA$1*BF5+BC$1</f>
        <v>1.255768E-3</v>
      </c>
      <c r="CA5" s="66">
        <f>BZ5*AV5*AO5*10^(-3)</f>
        <v>2.4044998276005229E-3</v>
      </c>
      <c r="CB5" s="151">
        <f>BY5+CA5</f>
        <v>3.4363896444824955</v>
      </c>
    </row>
    <row r="6" spans="1:91" x14ac:dyDescent="0.25">
      <c r="A6" s="11" t="s">
        <v>21</v>
      </c>
      <c r="B6" s="27">
        <v>2</v>
      </c>
      <c r="C6" s="78">
        <v>41964.351388888892</v>
      </c>
      <c r="D6" s="82">
        <v>41964.369444444441</v>
      </c>
      <c r="E6" s="182">
        <f t="shared" ref="E6:E49" si="5">D6-C6</f>
        <v>1.805555554892635E-2</v>
      </c>
      <c r="F6" s="12">
        <v>0</v>
      </c>
      <c r="G6" s="12">
        <f t="shared" ref="G6:G49" si="6">(F6+14.43)*0.068045971</f>
        <v>0.98190336152999991</v>
      </c>
      <c r="H6" s="12">
        <v>4186.1540000000005</v>
      </c>
      <c r="I6" s="12">
        <f>('High STDs'!H$20*'High Data'!H6)+'High STDs'!H$21</f>
        <v>1282.4871231517209</v>
      </c>
      <c r="J6" s="12">
        <v>2225.2170000000001</v>
      </c>
      <c r="K6" s="33"/>
      <c r="L6" s="73">
        <v>41964.540972222225</v>
      </c>
      <c r="M6" s="182">
        <f t="shared" ref="M6:M49" si="7">L6-C6</f>
        <v>0.18958333333284827</v>
      </c>
      <c r="N6" s="12">
        <v>0</v>
      </c>
      <c r="O6" s="12">
        <f t="shared" si="0"/>
        <v>0.98190336152999991</v>
      </c>
      <c r="P6" s="12">
        <v>1825.26</v>
      </c>
      <c r="Q6" s="12">
        <f>('High STDs'!K$20*'High Data'!P6)+'High STDs'!K$21</f>
        <v>558.48523058903538</v>
      </c>
      <c r="R6" s="12">
        <v>5075.3059999999996</v>
      </c>
      <c r="S6" s="27"/>
      <c r="T6" s="82">
        <v>41964.640277777777</v>
      </c>
      <c r="U6" s="182">
        <f t="shared" ref="U6:U49" si="8">T6-C6</f>
        <v>0.288888888884685</v>
      </c>
      <c r="V6" s="12">
        <v>0</v>
      </c>
      <c r="W6" s="12">
        <f t="shared" si="1"/>
        <v>0.98190336152999991</v>
      </c>
      <c r="X6" s="12">
        <v>1147.088</v>
      </c>
      <c r="Y6" s="12">
        <f>('High STDs'!K$20*'High Data'!X6)+'High STDs'!K$21</f>
        <v>352.17172348675024</v>
      </c>
      <c r="Z6" s="12">
        <v>6237.7479999999996</v>
      </c>
      <c r="AA6" s="33"/>
      <c r="AB6" s="73">
        <v>41965.475694444445</v>
      </c>
      <c r="AC6" s="182">
        <f t="shared" ref="AC6:AC49" si="9">AB6-C6</f>
        <v>1.1243055555532919</v>
      </c>
      <c r="AD6" s="12">
        <v>0.01</v>
      </c>
      <c r="AE6" s="12">
        <f t="shared" si="2"/>
        <v>0.98258382123999988</v>
      </c>
      <c r="AF6" s="12">
        <v>36.661999999999999</v>
      </c>
      <c r="AG6" s="12">
        <f>('High STDs'!K$43*'High Data'!AF6)+'High STDs'!K$44</f>
        <v>14.933321080285774</v>
      </c>
      <c r="AH6" s="12">
        <v>10258.51</v>
      </c>
      <c r="AI6" s="27"/>
      <c r="AJ6" s="82">
        <v>41966.511805555558</v>
      </c>
      <c r="AK6" s="182">
        <f t="shared" ref="AK6:AK49" si="10">AJ6-C6</f>
        <v>2.1604166666656965</v>
      </c>
      <c r="AL6" s="12">
        <v>0</v>
      </c>
      <c r="AM6" s="12">
        <f t="shared" si="3"/>
        <v>0.98190336152999991</v>
      </c>
      <c r="AN6" s="12">
        <v>7.2140000000000004</v>
      </c>
      <c r="AO6" s="12">
        <f>('High STDs'!K$66*'High Data'!AN6)+'High STDs'!K$67</f>
        <v>5.3561338614350866</v>
      </c>
      <c r="AP6" s="12">
        <v>13033.37</v>
      </c>
      <c r="AQ6" s="33"/>
      <c r="AS6" s="214">
        <v>1.521391533491635</v>
      </c>
      <c r="AT6" s="16">
        <v>295.8</v>
      </c>
      <c r="AU6" s="85">
        <f t="shared" ref="AU6:AU49" si="11">AT6-(AT6*(BB6/100))</f>
        <v>289.16534412348733</v>
      </c>
      <c r="AV6" s="12">
        <f t="shared" ref="AV6:AV49" si="12">AT6-AU6</f>
        <v>6.6346558765126815</v>
      </c>
      <c r="AW6" s="27"/>
      <c r="AX6" s="16">
        <v>0.99790000000000001</v>
      </c>
      <c r="AY6" s="85">
        <v>8.0073000000000008</v>
      </c>
      <c r="AZ6" s="85">
        <v>8.8255999999999997</v>
      </c>
      <c r="BA6" s="12">
        <f t="shared" ref="BA6:BA49" si="13">AZ6-AX6</f>
        <v>7.8277000000000001</v>
      </c>
      <c r="BB6" s="33">
        <f t="shared" ref="BB6:BB49" si="14">((AY6-BA6)/AY6)*100</f>
        <v>2.2429533051090957</v>
      </c>
      <c r="BC6" s="124"/>
      <c r="BD6" s="124">
        <v>190.06635554218249</v>
      </c>
      <c r="BE6" s="12">
        <f t="shared" ref="BE6:BE49" si="15">625.34-AV6-(AT6*AS6)</f>
        <v>168.67772851666166</v>
      </c>
      <c r="BF6" s="12">
        <v>28</v>
      </c>
      <c r="BG6" s="33">
        <f t="shared" si="4"/>
        <v>301</v>
      </c>
      <c r="BI6" s="16">
        <f t="shared" ref="BI6:BI49" si="16">(BE6*I6*10^(-3))/(AU$1*BG6)</f>
        <v>8.75815746136246</v>
      </c>
      <c r="BJ6" s="85">
        <f t="shared" ref="BJ6:BJ49" si="17">AY$1*BF6*BF6+BA$1*BF6+BC$1</f>
        <v>1.255768E-3</v>
      </c>
      <c r="BK6" s="85">
        <f t="shared" ref="BK6:BK49" si="18">BJ6*AV6*I6*10^(-3)</f>
        <v>1.0685155018893095E-2</v>
      </c>
      <c r="BL6" s="152">
        <f t="shared" ref="BL6:BL49" si="19">BI6+BK6</f>
        <v>8.7688426163813524</v>
      </c>
      <c r="BM6" s="156">
        <f t="shared" ref="BM6:BM49" si="20">(BE6*Q6*10^(-3))/(AU$1*BG6)</f>
        <v>3.8139186749288263</v>
      </c>
      <c r="BN6" s="85">
        <f t="shared" ref="BN6:BN49" si="21">AY$1*BF6*BF6+BA$1*BF6+BC$1</f>
        <v>1.255768E-3</v>
      </c>
      <c r="BO6" s="85">
        <f t="shared" ref="BO6:BO49" si="22">BN6*AV6*Q6*10^(-3)</f>
        <v>4.6530691473462317E-3</v>
      </c>
      <c r="BP6" s="162">
        <f t="shared" ref="BP6:BP49" si="23">BM6+BO6</f>
        <v>3.8185717440761726</v>
      </c>
      <c r="BQ6" s="16">
        <f t="shared" ref="BQ6:BQ49" si="24">(BE6*Y6*10^(-3))/(AU$1*BG6)</f>
        <v>2.4049952253372218</v>
      </c>
      <c r="BR6" s="85">
        <f t="shared" ref="BR6:BR49" si="25">AY$1*BF6*BF6+BA$1*BF6+BC$1</f>
        <v>1.255768E-3</v>
      </c>
      <c r="BS6" s="85">
        <f t="shared" ref="BS6:BS49" si="26">BR6*AV6*Y6*10^(-3)</f>
        <v>2.9341498957736584E-3</v>
      </c>
      <c r="BT6" s="152">
        <f t="shared" ref="BT6:BT49" si="27">BQ6+BS6</f>
        <v>2.4079293752329956</v>
      </c>
      <c r="BU6" s="156">
        <f t="shared" ref="BU6:BU49" si="28">(BE6*AG6*10^(-3))/(AU$1*BG6)</f>
        <v>0.10198026559581576</v>
      </c>
      <c r="BV6" s="85">
        <f t="shared" ref="BV6:BV49" si="29">AY$1*BF6*BF6+BA$1*BF6+BC$1</f>
        <v>1.255768E-3</v>
      </c>
      <c r="BW6" s="85">
        <f t="shared" ref="BW6:BW49" si="30">BV6*AV6*AG6*10^(-3)</f>
        <v>1.2441828678764891E-4</v>
      </c>
      <c r="BX6" s="152">
        <f t="shared" ref="BX6:BX49" si="31">BU6+BW6</f>
        <v>0.10210468388260341</v>
      </c>
      <c r="BY6" s="156">
        <f t="shared" ref="BY6:BY49" si="32">(BE6*AO6*10^(-3))/(AU$1*BG6)</f>
        <v>3.6577259058400931E-2</v>
      </c>
      <c r="BZ6" s="85">
        <f t="shared" ref="BZ6:BZ49" si="33">AY$1*BF6*BF6+BA$1*BF6+BC$1</f>
        <v>1.255768E-3</v>
      </c>
      <c r="CA6" s="85">
        <f t="shared" ref="CA6:CA49" si="34">BZ6*AV6*AO6*10^(-3)</f>
        <v>4.4625103502583715E-5</v>
      </c>
      <c r="CB6" s="152">
        <f t="shared" ref="CB6:CB49" si="35">BY6+CA6</f>
        <v>3.6621884161903512E-2</v>
      </c>
    </row>
    <row r="7" spans="1:91" ht="15.75" thickBot="1" x14ac:dyDescent="0.3">
      <c r="A7" s="13" t="s">
        <v>21</v>
      </c>
      <c r="B7" s="28">
        <v>3</v>
      </c>
      <c r="C7" s="79">
        <v>41964.351388888892</v>
      </c>
      <c r="D7" s="105">
        <v>41964.371527777781</v>
      </c>
      <c r="E7" s="183">
        <f t="shared" si="5"/>
        <v>2.0138888889050577E-2</v>
      </c>
      <c r="F7" s="14">
        <v>0.06</v>
      </c>
      <c r="G7" s="14">
        <f t="shared" si="6"/>
        <v>0.98598611978999995</v>
      </c>
      <c r="H7" s="14">
        <v>4428.3599999999997</v>
      </c>
      <c r="I7" s="14">
        <f>('High STDs'!H$20*'High Data'!H7)+'High STDs'!H$21</f>
        <v>1358.2280364981141</v>
      </c>
      <c r="J7" s="14">
        <v>2066.5990000000002</v>
      </c>
      <c r="K7" s="34"/>
      <c r="L7" s="74">
        <v>41964.543055555558</v>
      </c>
      <c r="M7" s="183">
        <f t="shared" si="7"/>
        <v>0.19166666666569654</v>
      </c>
      <c r="N7" s="14">
        <v>-0.02</v>
      </c>
      <c r="O7" s="14">
        <f t="shared" si="0"/>
        <v>0.98054244210999997</v>
      </c>
      <c r="P7" s="14">
        <v>4085.134</v>
      </c>
      <c r="Q7" s="14">
        <f>('High STDs'!K$20*'High Data'!P7)+'High STDs'!K$21</f>
        <v>1245.9841697213931</v>
      </c>
      <c r="R7" s="14">
        <v>4619.1260000000002</v>
      </c>
      <c r="S7" s="28"/>
      <c r="T7" s="105">
        <v>41964.642361111109</v>
      </c>
      <c r="U7" s="183">
        <f t="shared" si="8"/>
        <v>0.29097222221753327</v>
      </c>
      <c r="V7" s="14">
        <v>-7.0000000000000007E-2</v>
      </c>
      <c r="W7" s="14">
        <f t="shared" si="1"/>
        <v>0.9771401435599999</v>
      </c>
      <c r="X7" s="14">
        <v>3939.902</v>
      </c>
      <c r="Y7" s="14">
        <f>('High STDs'!K$20*'High Data'!X7)+'High STDs'!K$21</f>
        <v>1201.8016861280287</v>
      </c>
      <c r="Z7" s="14">
        <v>6175.0379999999996</v>
      </c>
      <c r="AA7" s="34"/>
      <c r="AB7" s="74">
        <v>41965.477777777778</v>
      </c>
      <c r="AC7" s="183">
        <f t="shared" si="9"/>
        <v>1.1263888888861402</v>
      </c>
      <c r="AD7" s="14">
        <v>0.15</v>
      </c>
      <c r="AE7" s="14">
        <f t="shared" si="2"/>
        <v>0.99211025718000001</v>
      </c>
      <c r="AF7" s="14">
        <v>3385.6179999999999</v>
      </c>
      <c r="AG7" s="14">
        <f>('High STDs'!K$43*'High Data'!AF7)+'High STDs'!K$44</f>
        <v>1040.764184592786</v>
      </c>
      <c r="AH7" s="14">
        <v>21346.379000000001</v>
      </c>
      <c r="AI7" s="28"/>
      <c r="AJ7" s="105">
        <v>41966.513888888891</v>
      </c>
      <c r="AK7" s="183">
        <f t="shared" si="10"/>
        <v>2.1624999999985448</v>
      </c>
      <c r="AL7" s="14">
        <v>0</v>
      </c>
      <c r="AM7" s="14">
        <f t="shared" si="3"/>
        <v>0.98190336152999991</v>
      </c>
      <c r="AN7" s="14">
        <v>1776.7270000000001</v>
      </c>
      <c r="AO7" s="14">
        <f>('High STDs'!K$66*'High Data'!AN7)+'High STDs'!K$67</f>
        <v>536.63779668177824</v>
      </c>
      <c r="AP7" s="14">
        <v>25939.599999999999</v>
      </c>
      <c r="AQ7" s="34"/>
      <c r="AS7" s="217">
        <v>1.4077429822831391</v>
      </c>
      <c r="AT7" s="55">
        <v>270.08999999999997</v>
      </c>
      <c r="AU7" s="60">
        <f t="shared" si="11"/>
        <v>267.56457818263942</v>
      </c>
      <c r="AV7" s="14">
        <f t="shared" si="12"/>
        <v>2.5254218173605523</v>
      </c>
      <c r="AW7" s="28"/>
      <c r="AX7" s="55">
        <v>0.9819</v>
      </c>
      <c r="AY7" s="60">
        <v>6.6414999999999997</v>
      </c>
      <c r="AZ7" s="60">
        <v>7.5613000000000001</v>
      </c>
      <c r="BA7" s="14">
        <f t="shared" si="13"/>
        <v>6.5793999999999997</v>
      </c>
      <c r="BB7" s="34">
        <f t="shared" si="14"/>
        <v>0.93502973725815031</v>
      </c>
      <c r="BC7" s="127"/>
      <c r="BD7" s="127">
        <v>190.06635554218249</v>
      </c>
      <c r="BE7" s="14">
        <f t="shared" si="15"/>
        <v>242.59727609778645</v>
      </c>
      <c r="BF7" s="14">
        <v>28</v>
      </c>
      <c r="BG7" s="34">
        <f t="shared" si="4"/>
        <v>301</v>
      </c>
      <c r="BI7" s="55">
        <f t="shared" si="16"/>
        <v>13.340146622076523</v>
      </c>
      <c r="BJ7" s="60">
        <f t="shared" si="17"/>
        <v>1.255768E-3</v>
      </c>
      <c r="BK7" s="60">
        <f t="shared" si="18"/>
        <v>4.3074082047996542E-3</v>
      </c>
      <c r="BL7" s="67">
        <f t="shared" si="19"/>
        <v>13.344454030281323</v>
      </c>
      <c r="BM7" s="157">
        <f t="shared" si="20"/>
        <v>12.237717869323882</v>
      </c>
      <c r="BN7" s="60">
        <f t="shared" si="21"/>
        <v>1.255768E-3</v>
      </c>
      <c r="BO7" s="60">
        <f t="shared" si="22"/>
        <v>3.9514443020524891E-3</v>
      </c>
      <c r="BP7" s="163">
        <f t="shared" si="23"/>
        <v>12.241669313625934</v>
      </c>
      <c r="BQ7" s="55">
        <f t="shared" si="24"/>
        <v>11.803769523814383</v>
      </c>
      <c r="BR7" s="60">
        <f t="shared" si="25"/>
        <v>1.255768E-3</v>
      </c>
      <c r="BS7" s="60">
        <f t="shared" si="26"/>
        <v>3.8113264520122556E-3</v>
      </c>
      <c r="BT7" s="67">
        <f t="shared" si="27"/>
        <v>11.807580850266396</v>
      </c>
      <c r="BU7" s="157">
        <f t="shared" si="28"/>
        <v>10.222102952071522</v>
      </c>
      <c r="BV7" s="60">
        <f t="shared" si="29"/>
        <v>1.255768E-3</v>
      </c>
      <c r="BW7" s="60">
        <f t="shared" si="30"/>
        <v>3.3006211530833859E-3</v>
      </c>
      <c r="BX7" s="67">
        <f t="shared" si="31"/>
        <v>10.225403573224606</v>
      </c>
      <c r="BY7" s="157">
        <f t="shared" si="32"/>
        <v>5.2707105863757882</v>
      </c>
      <c r="BZ7" s="60">
        <f t="shared" si="33"/>
        <v>1.255768E-3</v>
      </c>
      <c r="CA7" s="60">
        <f t="shared" si="34"/>
        <v>1.7018630055615923E-3</v>
      </c>
      <c r="CB7" s="67">
        <f t="shared" si="35"/>
        <v>5.27241244938135</v>
      </c>
    </row>
    <row r="8" spans="1:91" x14ac:dyDescent="0.25">
      <c r="A8" s="47" t="s">
        <v>22</v>
      </c>
      <c r="B8" s="110">
        <v>1</v>
      </c>
      <c r="C8" s="191">
        <v>41964.352083333331</v>
      </c>
      <c r="D8" s="106">
        <v>41964.373611111114</v>
      </c>
      <c r="E8" s="188">
        <f t="shared" si="5"/>
        <v>2.1527777782466728E-2</v>
      </c>
      <c r="F8" s="48">
        <v>0</v>
      </c>
      <c r="G8" s="48">
        <f t="shared" si="6"/>
        <v>0.98190336152999991</v>
      </c>
      <c r="H8" s="48">
        <v>3208.8420000000001</v>
      </c>
      <c r="I8" s="48">
        <f>('High STDs'!H$20*'High Data'!H8)+'High STDs'!H$21</f>
        <v>976.86916362804845</v>
      </c>
      <c r="J8" s="48">
        <v>3243.9090000000001</v>
      </c>
      <c r="K8" s="49"/>
      <c r="L8" s="93">
        <v>41964.545138888891</v>
      </c>
      <c r="M8" s="188">
        <f t="shared" si="7"/>
        <v>0.19305555555911269</v>
      </c>
      <c r="N8" s="48">
        <v>0.01</v>
      </c>
      <c r="O8" s="48">
        <f t="shared" si="0"/>
        <v>0.98258382123999988</v>
      </c>
      <c r="P8" s="48">
        <v>430.14</v>
      </c>
      <c r="Q8" s="48">
        <f>('High STDs'!K$20*'High Data'!P8)+'High STDs'!K$21</f>
        <v>134.0617804487465</v>
      </c>
      <c r="R8" s="48">
        <v>8864.2180000000008</v>
      </c>
      <c r="S8" s="110"/>
      <c r="T8" s="106">
        <v>41964.645138888889</v>
      </c>
      <c r="U8" s="188">
        <f t="shared" si="8"/>
        <v>0.2930555555576575</v>
      </c>
      <c r="V8" s="48">
        <v>0.01</v>
      </c>
      <c r="W8" s="48">
        <f t="shared" si="1"/>
        <v>0.98258382123999988</v>
      </c>
      <c r="X8" s="48">
        <v>144.47800000000001</v>
      </c>
      <c r="Y8" s="48">
        <f>('High STDs'!K$20*'High Data'!X8)+'High STDs'!K$21</f>
        <v>47.157677852571865</v>
      </c>
      <c r="Z8" s="48">
        <v>10342.035</v>
      </c>
      <c r="AA8" s="49"/>
      <c r="AB8" s="93">
        <v>41965.479861111111</v>
      </c>
      <c r="AC8" s="188">
        <f t="shared" si="9"/>
        <v>1.1277777777795563</v>
      </c>
      <c r="AD8" s="48">
        <v>0.01</v>
      </c>
      <c r="AE8" s="48">
        <f t="shared" si="2"/>
        <v>0.98258382123999988</v>
      </c>
      <c r="AF8" s="48">
        <v>9.6609999999999996</v>
      </c>
      <c r="AG8" s="48">
        <f>('High STDs'!K$43*'High Data'!AF8)+'High STDs'!K$44</f>
        <v>6.6625468014654441</v>
      </c>
      <c r="AH8" s="48">
        <v>13894.334000000001</v>
      </c>
      <c r="AI8" s="110"/>
      <c r="AJ8" s="106">
        <v>41966.515972222223</v>
      </c>
      <c r="AK8" s="188">
        <f t="shared" si="10"/>
        <v>2.163888888891961</v>
      </c>
      <c r="AL8" s="48">
        <v>0.02</v>
      </c>
      <c r="AM8" s="48">
        <f t="shared" si="3"/>
        <v>0.98326428094999996</v>
      </c>
      <c r="AN8" s="48">
        <v>6.0650000000000004</v>
      </c>
      <c r="AO8" s="48">
        <f>('High STDs'!K$66*'High Data'!AN8)+'High STDs'!K$67</f>
        <v>5.0111561016895667</v>
      </c>
      <c r="AP8" s="48">
        <v>13315.325999999999</v>
      </c>
      <c r="AQ8" s="49"/>
      <c r="AS8" s="219">
        <v>6.1034749347316009E-2</v>
      </c>
      <c r="AT8" s="47">
        <v>126.71</v>
      </c>
      <c r="AU8" s="48">
        <f t="shared" si="11"/>
        <v>11.60065236987495</v>
      </c>
      <c r="AV8" s="48">
        <f t="shared" si="12"/>
        <v>115.10934763012504</v>
      </c>
      <c r="AW8" s="110"/>
      <c r="AX8" s="47">
        <v>0.98429999999999995</v>
      </c>
      <c r="AY8" s="48">
        <v>6.8780000000000001</v>
      </c>
      <c r="AZ8" s="48">
        <v>1.6140000000000001</v>
      </c>
      <c r="BA8" s="48">
        <f t="shared" si="13"/>
        <v>0.62970000000000015</v>
      </c>
      <c r="BB8" s="49">
        <f t="shared" si="14"/>
        <v>90.844722302995066</v>
      </c>
      <c r="BC8" s="130"/>
      <c r="BD8" s="130">
        <v>190.06635554218249</v>
      </c>
      <c r="BE8" s="48">
        <f t="shared" si="15"/>
        <v>502.49693928007656</v>
      </c>
      <c r="BF8" s="48">
        <v>28</v>
      </c>
      <c r="BG8" s="49">
        <f t="shared" si="4"/>
        <v>301</v>
      </c>
      <c r="BI8" s="47">
        <f t="shared" si="16"/>
        <v>19.873383497861251</v>
      </c>
      <c r="BJ8" s="48">
        <f t="shared" si="17"/>
        <v>1.255768E-3</v>
      </c>
      <c r="BK8" s="48">
        <f t="shared" si="18"/>
        <v>0.14120705816324675</v>
      </c>
      <c r="BL8" s="49">
        <f t="shared" si="19"/>
        <v>20.014590556024498</v>
      </c>
      <c r="BM8" s="130">
        <f t="shared" si="20"/>
        <v>2.7273469922717899</v>
      </c>
      <c r="BN8" s="48">
        <f t="shared" si="21"/>
        <v>1.255768E-3</v>
      </c>
      <c r="BO8" s="48">
        <f t="shared" si="22"/>
        <v>1.9378715527254075E-2</v>
      </c>
      <c r="BP8" s="110">
        <f t="shared" si="23"/>
        <v>2.7467257077990439</v>
      </c>
      <c r="BQ8" s="47">
        <f t="shared" si="24"/>
        <v>0.95937373368620238</v>
      </c>
      <c r="BR8" s="48">
        <f t="shared" si="25"/>
        <v>1.255768E-3</v>
      </c>
      <c r="BS8" s="48">
        <f t="shared" si="26"/>
        <v>6.816672290729857E-3</v>
      </c>
      <c r="BT8" s="49">
        <f t="shared" si="27"/>
        <v>0.96619040597693229</v>
      </c>
      <c r="BU8" s="130">
        <f t="shared" si="28"/>
        <v>0.13554256044506169</v>
      </c>
      <c r="BV8" s="48">
        <f t="shared" si="29"/>
        <v>1.255768E-3</v>
      </c>
      <c r="BW8" s="48">
        <f t="shared" si="30"/>
        <v>9.6307537256657826E-4</v>
      </c>
      <c r="BX8" s="49">
        <f t="shared" si="31"/>
        <v>0.13650563581762826</v>
      </c>
      <c r="BY8" s="130">
        <f t="shared" si="32"/>
        <v>0.10194674034612418</v>
      </c>
      <c r="BZ8" s="48">
        <f t="shared" si="33"/>
        <v>1.255768E-3</v>
      </c>
      <c r="CA8" s="48">
        <f t="shared" si="34"/>
        <v>7.2436579786012826E-4</v>
      </c>
      <c r="CB8" s="49">
        <f t="shared" si="35"/>
        <v>0.10267110614398431</v>
      </c>
    </row>
    <row r="9" spans="1:91" x14ac:dyDescent="0.25">
      <c r="A9" s="50" t="s">
        <v>22</v>
      </c>
      <c r="B9" s="111">
        <v>2</v>
      </c>
      <c r="C9" s="192">
        <v>41964.352083333331</v>
      </c>
      <c r="D9" s="107">
        <v>41964.375694444447</v>
      </c>
      <c r="E9" s="187">
        <f t="shared" si="5"/>
        <v>2.3611111115314998E-2</v>
      </c>
      <c r="F9" s="51">
        <v>0.05</v>
      </c>
      <c r="G9" s="51">
        <f t="shared" si="6"/>
        <v>0.98530566007999998</v>
      </c>
      <c r="H9" s="51">
        <v>4887.6099999999997</v>
      </c>
      <c r="I9" s="51">
        <f>('High STDs'!H$20*'High Data'!H9)+'High STDs'!H$21</f>
        <v>1501.8413840383535</v>
      </c>
      <c r="J9" s="51">
        <v>6484.43</v>
      </c>
      <c r="K9" s="52"/>
      <c r="L9" s="94">
        <v>41964.547222222223</v>
      </c>
      <c r="M9" s="187">
        <f t="shared" si="7"/>
        <v>0.19513888889196096</v>
      </c>
      <c r="N9" s="51">
        <v>0.06</v>
      </c>
      <c r="O9" s="51">
        <f t="shared" si="0"/>
        <v>0.98598611978999995</v>
      </c>
      <c r="P9" s="51">
        <v>4305.759</v>
      </c>
      <c r="Q9" s="51">
        <f>('High STDs'!K$20*'High Data'!P9)+'High STDs'!K$21</f>
        <v>1313.102714138505</v>
      </c>
      <c r="R9" s="51">
        <v>15539.995999999999</v>
      </c>
      <c r="S9" s="111"/>
      <c r="T9" s="107">
        <v>41964.647222222222</v>
      </c>
      <c r="U9" s="187">
        <f t="shared" si="8"/>
        <v>0.29513888889050577</v>
      </c>
      <c r="V9" s="51">
        <v>0.11</v>
      </c>
      <c r="W9" s="51">
        <f t="shared" si="1"/>
        <v>0.98938841833999991</v>
      </c>
      <c r="X9" s="51">
        <v>4100.6589999999997</v>
      </c>
      <c r="Y9" s="51">
        <f>('High STDs'!K$20*'High Data'!X9)+'High STDs'!K$21</f>
        <v>1250.7071857081382</v>
      </c>
      <c r="Z9" s="51">
        <v>21098.644</v>
      </c>
      <c r="AA9" s="52"/>
      <c r="AB9" s="94">
        <v>41965.481944444444</v>
      </c>
      <c r="AC9" s="187">
        <f t="shared" si="9"/>
        <v>1.1298611111124046</v>
      </c>
      <c r="AD9" s="51">
        <v>0.01</v>
      </c>
      <c r="AE9" s="51">
        <f t="shared" si="2"/>
        <v>0.98258382123999988</v>
      </c>
      <c r="AF9" s="51">
        <v>1799.7739999999999</v>
      </c>
      <c r="AG9" s="51">
        <f>('High STDs'!K$43*'High Data'!AF9)+'High STDs'!K$44</f>
        <v>554.99855497086287</v>
      </c>
      <c r="AH9" s="51">
        <v>64188.574999999997</v>
      </c>
      <c r="AI9" s="111"/>
      <c r="AJ9" s="107">
        <v>41966.518055555556</v>
      </c>
      <c r="AK9" s="187">
        <f t="shared" si="10"/>
        <v>2.1659722222248092</v>
      </c>
      <c r="AL9" s="51">
        <v>0.4</v>
      </c>
      <c r="AM9" s="51">
        <f t="shared" si="3"/>
        <v>1.00912174993</v>
      </c>
      <c r="AN9" s="51">
        <v>340.92599999999999</v>
      </c>
      <c r="AO9" s="51">
        <f>('High STDs'!K$66*'High Data'!AN9)+'High STDs'!K$67</f>
        <v>105.55040554132799</v>
      </c>
      <c r="AP9" s="51">
        <v>86432.38</v>
      </c>
      <c r="AQ9" s="52"/>
      <c r="AS9" s="216">
        <v>9.8785121064188505E-2</v>
      </c>
      <c r="AT9" s="50">
        <v>144.57</v>
      </c>
      <c r="AU9" s="51">
        <f t="shared" si="11"/>
        <v>15.795075170291966</v>
      </c>
      <c r="AV9" s="51">
        <f t="shared" si="12"/>
        <v>128.77492482970803</v>
      </c>
      <c r="AW9" s="111"/>
      <c r="AX9" s="50">
        <v>0.97319999999999995</v>
      </c>
      <c r="AY9" s="51">
        <v>7.4431000000000003</v>
      </c>
      <c r="AZ9" s="51">
        <v>1.7864</v>
      </c>
      <c r="BA9" s="51">
        <f t="shared" si="13"/>
        <v>0.81320000000000003</v>
      </c>
      <c r="BB9" s="52">
        <f t="shared" si="14"/>
        <v>89.074444787790028</v>
      </c>
      <c r="BC9" s="126"/>
      <c r="BD9" s="126">
        <v>159.89326125367242</v>
      </c>
      <c r="BE9" s="51">
        <f t="shared" si="15"/>
        <v>482.2837102180423</v>
      </c>
      <c r="BF9" s="51">
        <v>28</v>
      </c>
      <c r="BG9" s="52">
        <f t="shared" si="4"/>
        <v>301</v>
      </c>
      <c r="BI9" s="50">
        <f t="shared" si="16"/>
        <v>29.324367424735687</v>
      </c>
      <c r="BJ9" s="51">
        <f t="shared" si="17"/>
        <v>1.255768E-3</v>
      </c>
      <c r="BK9" s="51">
        <f t="shared" si="18"/>
        <v>0.24286491755098877</v>
      </c>
      <c r="BL9" s="52">
        <f t="shared" si="19"/>
        <v>29.567232342286676</v>
      </c>
      <c r="BM9" s="126">
        <f t="shared" si="20"/>
        <v>25.639129980740922</v>
      </c>
      <c r="BN9" s="51">
        <f t="shared" si="21"/>
        <v>1.255768E-3</v>
      </c>
      <c r="BO9" s="51">
        <f t="shared" si="22"/>
        <v>0.21234371738226351</v>
      </c>
      <c r="BP9" s="111">
        <f t="shared" si="23"/>
        <v>25.851473698123186</v>
      </c>
      <c r="BQ9" s="50">
        <f t="shared" si="24"/>
        <v>24.420819298401987</v>
      </c>
      <c r="BR9" s="51">
        <f t="shared" si="25"/>
        <v>1.255768E-3</v>
      </c>
      <c r="BS9" s="51">
        <f t="shared" si="26"/>
        <v>0.20225364726644068</v>
      </c>
      <c r="BT9" s="52">
        <f t="shared" si="27"/>
        <v>24.623072945668429</v>
      </c>
      <c r="BU9" s="126">
        <f t="shared" si="28"/>
        <v>10.836684698620161</v>
      </c>
      <c r="BV9" s="51">
        <f t="shared" si="29"/>
        <v>1.255768E-3</v>
      </c>
      <c r="BW9" s="51">
        <f t="shared" si="30"/>
        <v>8.9749609863243929E-2</v>
      </c>
      <c r="BX9" s="52">
        <f t="shared" si="31"/>
        <v>10.926434308483405</v>
      </c>
      <c r="BY9" s="126">
        <f t="shared" si="32"/>
        <v>2.0609359329285306</v>
      </c>
      <c r="BZ9" s="51">
        <f t="shared" si="33"/>
        <v>1.255768E-3</v>
      </c>
      <c r="CA9" s="51">
        <f t="shared" si="34"/>
        <v>1.7068706996432991E-2</v>
      </c>
      <c r="CB9" s="52">
        <f t="shared" si="35"/>
        <v>2.0780046399249636</v>
      </c>
    </row>
    <row r="10" spans="1:91" ht="15.75" thickBot="1" x14ac:dyDescent="0.3">
      <c r="A10" s="92" t="s">
        <v>22</v>
      </c>
      <c r="B10" s="112">
        <v>3</v>
      </c>
      <c r="C10" s="193">
        <v>41964.352777777778</v>
      </c>
      <c r="D10" s="108">
        <v>41964.37777777778</v>
      </c>
      <c r="E10" s="189">
        <f t="shared" si="5"/>
        <v>2.5000000001455192E-2</v>
      </c>
      <c r="F10" s="53">
        <v>0.03</v>
      </c>
      <c r="G10" s="53">
        <f t="shared" si="6"/>
        <v>0.98394474065999993</v>
      </c>
      <c r="H10" s="53">
        <v>4575.9399999999996</v>
      </c>
      <c r="I10" s="53">
        <f>('High STDs'!H$20*'High Data'!H10)+'High STDs'!H$21</f>
        <v>1404.3781896390799</v>
      </c>
      <c r="J10" s="53">
        <v>3008.9070000000002</v>
      </c>
      <c r="K10" s="54"/>
      <c r="L10" s="95">
        <v>41964.549305555556</v>
      </c>
      <c r="M10" s="189">
        <f t="shared" si="7"/>
        <v>0.19652777777810115</v>
      </c>
      <c r="N10" s="53">
        <v>0.01</v>
      </c>
      <c r="O10" s="53">
        <f t="shared" si="0"/>
        <v>0.98258382123999988</v>
      </c>
      <c r="P10" s="53">
        <v>3810.47</v>
      </c>
      <c r="Q10" s="53">
        <f>('High STDs'!K$20*'High Data'!P10)+'High STDs'!K$21</f>
        <v>1162.4258790300314</v>
      </c>
      <c r="R10" s="53">
        <v>10188.675999999999</v>
      </c>
      <c r="S10" s="112"/>
      <c r="T10" s="108">
        <v>41964.65</v>
      </c>
      <c r="U10" s="189">
        <f t="shared" si="8"/>
        <v>0.29722222222335404</v>
      </c>
      <c r="V10" s="53">
        <v>0</v>
      </c>
      <c r="W10" s="53">
        <f t="shared" si="1"/>
        <v>0.98190336152999991</v>
      </c>
      <c r="X10" s="53">
        <v>3325.114</v>
      </c>
      <c r="Y10" s="53">
        <f>('High STDs'!K$20*'High Data'!X10)+'High STDs'!K$21</f>
        <v>1014.7708614929811</v>
      </c>
      <c r="Z10" s="53">
        <v>14380.335999999999</v>
      </c>
      <c r="AA10" s="54"/>
      <c r="AB10" s="95">
        <v>41965.484027777777</v>
      </c>
      <c r="AC10" s="189">
        <f t="shared" si="9"/>
        <v>1.1312499999985448</v>
      </c>
      <c r="AD10" s="53">
        <v>0.02</v>
      </c>
      <c r="AE10" s="53">
        <f t="shared" si="2"/>
        <v>0.98326428094999996</v>
      </c>
      <c r="AF10" s="53">
        <v>492.15600000000001</v>
      </c>
      <c r="AG10" s="53">
        <f>('High STDs'!K$43*'High Data'!AF10)+'High STDs'!K$44</f>
        <v>154.45734090758802</v>
      </c>
      <c r="AH10" s="53">
        <v>50263.061999999998</v>
      </c>
      <c r="AI10" s="112"/>
      <c r="AJ10" s="108">
        <v>41966.520138888889</v>
      </c>
      <c r="AK10" s="189">
        <f t="shared" si="10"/>
        <v>2.1673611111109494</v>
      </c>
      <c r="AL10" s="53">
        <v>0.05</v>
      </c>
      <c r="AM10" s="53">
        <f t="shared" si="3"/>
        <v>0.98530566007999998</v>
      </c>
      <c r="AN10" s="53">
        <v>16.847999999999999</v>
      </c>
      <c r="AO10" s="53">
        <f>('High STDs'!K$66*'High Data'!AN10)+'High STDs'!K$67</f>
        <v>8.2486627886660173</v>
      </c>
      <c r="AP10" s="53">
        <v>75899.888000000006</v>
      </c>
      <c r="AQ10" s="54"/>
      <c r="AS10" s="220">
        <v>9.9319288285469279E-2</v>
      </c>
      <c r="AT10" s="92">
        <v>129.79</v>
      </c>
      <c r="AU10" s="53">
        <f t="shared" si="11"/>
        <v>15.880484909357349</v>
      </c>
      <c r="AV10" s="53">
        <f t="shared" si="12"/>
        <v>113.90951509064264</v>
      </c>
      <c r="AW10" s="112"/>
      <c r="AX10" s="92">
        <v>0.98950000000000005</v>
      </c>
      <c r="AY10" s="53">
        <v>6.0732999999999997</v>
      </c>
      <c r="AZ10" s="53">
        <v>1.7325999999999999</v>
      </c>
      <c r="BA10" s="53">
        <f t="shared" si="13"/>
        <v>0.74309999999999987</v>
      </c>
      <c r="BB10" s="54">
        <f t="shared" si="14"/>
        <v>87.764477302290359</v>
      </c>
      <c r="BC10" s="131"/>
      <c r="BD10" s="131">
        <v>159.89326125367242</v>
      </c>
      <c r="BE10" s="53">
        <f t="shared" si="15"/>
        <v>498.53983448278632</v>
      </c>
      <c r="BF10" s="53">
        <v>28</v>
      </c>
      <c r="BG10" s="54">
        <f t="shared" si="4"/>
        <v>301</v>
      </c>
      <c r="BI10" s="92">
        <f t="shared" si="16"/>
        <v>28.345618197441709</v>
      </c>
      <c r="BJ10" s="53">
        <f t="shared" si="17"/>
        <v>1.255768E-3</v>
      </c>
      <c r="BK10" s="53">
        <f t="shared" si="18"/>
        <v>0.20088776695063981</v>
      </c>
      <c r="BL10" s="54">
        <f t="shared" si="19"/>
        <v>28.546505964392349</v>
      </c>
      <c r="BM10" s="131">
        <f t="shared" si="20"/>
        <v>23.462113263293258</v>
      </c>
      <c r="BN10" s="53">
        <f t="shared" si="21"/>
        <v>1.255768E-3</v>
      </c>
      <c r="BO10" s="53">
        <f t="shared" si="22"/>
        <v>0.16627795903323636</v>
      </c>
      <c r="BP10" s="112">
        <f t="shared" si="23"/>
        <v>23.628391222326496</v>
      </c>
      <c r="BQ10" s="92">
        <f t="shared" si="24"/>
        <v>20.481881312299052</v>
      </c>
      <c r="BR10" s="53">
        <f t="shared" si="25"/>
        <v>1.255768E-3</v>
      </c>
      <c r="BS10" s="53">
        <f t="shared" si="26"/>
        <v>0.14515680593437014</v>
      </c>
      <c r="BT10" s="54">
        <f t="shared" si="27"/>
        <v>20.627038118233422</v>
      </c>
      <c r="BU10" s="131">
        <f t="shared" si="28"/>
        <v>3.117528344899577</v>
      </c>
      <c r="BV10" s="53">
        <f t="shared" si="29"/>
        <v>1.255768E-3</v>
      </c>
      <c r="BW10" s="53">
        <f t="shared" si="30"/>
        <v>2.209418412573988E-2</v>
      </c>
      <c r="BX10" s="54">
        <f t="shared" si="31"/>
        <v>3.139622529025317</v>
      </c>
      <c r="BY10" s="131">
        <f t="shared" si="32"/>
        <v>0.16648894704571063</v>
      </c>
      <c r="BZ10" s="53">
        <f t="shared" si="33"/>
        <v>1.255768E-3</v>
      </c>
      <c r="CA10" s="53">
        <f t="shared" si="34"/>
        <v>1.1799210926009972E-3</v>
      </c>
      <c r="CB10" s="54">
        <f t="shared" si="35"/>
        <v>0.16766886813831164</v>
      </c>
    </row>
    <row r="11" spans="1:91" x14ac:dyDescent="0.25">
      <c r="A11" s="9" t="s">
        <v>23</v>
      </c>
      <c r="B11" s="26">
        <v>1</v>
      </c>
      <c r="C11" s="77">
        <v>41964.352777777778</v>
      </c>
      <c r="D11" s="104">
        <v>41964.380555555559</v>
      </c>
      <c r="E11" s="181">
        <f t="shared" si="5"/>
        <v>2.7777777781011537E-2</v>
      </c>
      <c r="F11" s="10">
        <v>0</v>
      </c>
      <c r="G11" s="10">
        <f t="shared" si="6"/>
        <v>0.98190336152999991</v>
      </c>
      <c r="H11" s="10">
        <v>3258.13</v>
      </c>
      <c r="I11" s="10">
        <f>('High STDs'!H$20*'High Data'!H11)+'High STDs'!H$21</f>
        <v>992.28215148556251</v>
      </c>
      <c r="J11" s="10">
        <v>4537.6890000000003</v>
      </c>
      <c r="K11" s="32"/>
      <c r="L11" s="72">
        <v>41964.551388888889</v>
      </c>
      <c r="M11" s="181">
        <f t="shared" si="7"/>
        <v>0.19861111111094942</v>
      </c>
      <c r="N11" s="10">
        <v>0.01</v>
      </c>
      <c r="O11" s="10">
        <f t="shared" si="0"/>
        <v>0.98258382123999988</v>
      </c>
      <c r="P11" s="10">
        <v>949.68200000000002</v>
      </c>
      <c r="Q11" s="10">
        <f>('High STDs'!K$20*'High Data'!P11)+'High STDs'!K$21</f>
        <v>292.11686397760849</v>
      </c>
      <c r="R11" s="10">
        <v>10649.028</v>
      </c>
      <c r="S11" s="26"/>
      <c r="T11" s="104">
        <v>41964.652083333334</v>
      </c>
      <c r="U11" s="181">
        <f t="shared" si="8"/>
        <v>0.29930555555620231</v>
      </c>
      <c r="V11" s="10">
        <v>0.01</v>
      </c>
      <c r="W11" s="10">
        <f t="shared" si="1"/>
        <v>0.98258382123999988</v>
      </c>
      <c r="X11" s="10">
        <v>474.57</v>
      </c>
      <c r="Y11" s="10">
        <f>('High STDs'!K$20*'High Data'!X11)+'High STDs'!K$21</f>
        <v>147.57827644173136</v>
      </c>
      <c r="Z11" s="10">
        <v>12711.879000000001</v>
      </c>
      <c r="AA11" s="32"/>
      <c r="AB11" s="72">
        <v>41965.486111111109</v>
      </c>
      <c r="AC11" s="181">
        <f t="shared" si="9"/>
        <v>1.1333333333313931</v>
      </c>
      <c r="AD11" s="10">
        <v>0.01</v>
      </c>
      <c r="AE11" s="10">
        <f t="shared" si="2"/>
        <v>0.98258382123999988</v>
      </c>
      <c r="AF11" s="10">
        <v>10.81</v>
      </c>
      <c r="AG11" s="10">
        <f>('High STDs'!K$43*'High Data'!AF11)+'High STDs'!K$44</f>
        <v>7.0145011604286136</v>
      </c>
      <c r="AH11" s="10">
        <v>19485.421999999999</v>
      </c>
      <c r="AI11" s="26"/>
      <c r="AJ11" s="104">
        <v>41966.523611111108</v>
      </c>
      <c r="AK11" s="181">
        <f t="shared" si="10"/>
        <v>2.1708333333299379</v>
      </c>
      <c r="AL11" s="10">
        <v>0</v>
      </c>
      <c r="AM11" s="10">
        <f t="shared" si="3"/>
        <v>0.98190336152999991</v>
      </c>
      <c r="AN11" s="10">
        <v>7.7210000000000001</v>
      </c>
      <c r="AO11" s="10">
        <f>('High STDs'!K$66*'High Data'!AN11)+'High STDs'!K$67</f>
        <v>5.5083564238293246</v>
      </c>
      <c r="AP11" s="10">
        <v>20523.21</v>
      </c>
      <c r="AQ11" s="32"/>
      <c r="AS11" s="218">
        <v>9.4915031632014854E-2</v>
      </c>
      <c r="AT11" s="15">
        <v>55.21</v>
      </c>
      <c r="AU11" s="128">
        <f t="shared" si="11"/>
        <v>13.744333850223484</v>
      </c>
      <c r="AV11" s="10">
        <f t="shared" si="12"/>
        <v>41.465666149776517</v>
      </c>
      <c r="AW11" s="26"/>
      <c r="AX11" s="15">
        <v>0.97589999999999999</v>
      </c>
      <c r="AY11" s="128">
        <v>5.4814999999999996</v>
      </c>
      <c r="AZ11" s="128">
        <v>2.3405</v>
      </c>
      <c r="BA11" s="10">
        <f t="shared" si="13"/>
        <v>1.3646</v>
      </c>
      <c r="BB11" s="32">
        <f t="shared" si="14"/>
        <v>75.105354373802783</v>
      </c>
      <c r="BC11" s="129"/>
      <c r="BD11" s="129">
        <v>144.80671410941741</v>
      </c>
      <c r="BE11" s="10">
        <f t="shared" si="15"/>
        <v>578.63407495381989</v>
      </c>
      <c r="BF11" s="10">
        <v>28</v>
      </c>
      <c r="BG11" s="32">
        <f t="shared" si="4"/>
        <v>301</v>
      </c>
      <c r="BI11" s="15">
        <f t="shared" si="16"/>
        <v>23.245622270473621</v>
      </c>
      <c r="BJ11" s="128">
        <f t="shared" si="17"/>
        <v>1.255768E-3</v>
      </c>
      <c r="BK11" s="128">
        <f t="shared" si="18"/>
        <v>5.1669378578794764E-2</v>
      </c>
      <c r="BL11" s="154">
        <f t="shared" si="19"/>
        <v>23.297291649052415</v>
      </c>
      <c r="BM11" s="158">
        <f t="shared" si="20"/>
        <v>6.8432534725055065</v>
      </c>
      <c r="BN11" s="128">
        <f t="shared" si="21"/>
        <v>1.255768E-3</v>
      </c>
      <c r="BO11" s="128">
        <f t="shared" si="22"/>
        <v>1.5210892195846329E-2</v>
      </c>
      <c r="BP11" s="164">
        <f t="shared" si="23"/>
        <v>6.8584643647013532</v>
      </c>
      <c r="BQ11" s="15">
        <f t="shared" si="24"/>
        <v>3.457231256609917</v>
      </c>
      <c r="BR11" s="128">
        <f t="shared" si="25"/>
        <v>1.255768E-3</v>
      </c>
      <c r="BS11" s="128">
        <f t="shared" si="26"/>
        <v>7.6845863084989618E-3</v>
      </c>
      <c r="BT11" s="154">
        <f t="shared" si="27"/>
        <v>3.4649158429184159</v>
      </c>
      <c r="BU11" s="158">
        <f t="shared" si="28"/>
        <v>0.16432467735815651</v>
      </c>
      <c r="BV11" s="128">
        <f t="shared" si="29"/>
        <v>1.255768E-3</v>
      </c>
      <c r="BW11" s="128">
        <f t="shared" si="30"/>
        <v>3.6525389019340289E-4</v>
      </c>
      <c r="BX11" s="154">
        <f t="shared" si="31"/>
        <v>0.16468993124834991</v>
      </c>
      <c r="BY11" s="158">
        <f t="shared" si="32"/>
        <v>0.12904109236246442</v>
      </c>
      <c r="BZ11" s="128">
        <f t="shared" si="33"/>
        <v>1.255768E-3</v>
      </c>
      <c r="CA11" s="128">
        <f t="shared" si="34"/>
        <v>2.8682704106253843E-4</v>
      </c>
      <c r="CB11" s="154">
        <f t="shared" si="35"/>
        <v>0.12932791940352695</v>
      </c>
    </row>
    <row r="12" spans="1:91" x14ac:dyDescent="0.25">
      <c r="A12" s="11" t="s">
        <v>23</v>
      </c>
      <c r="B12" s="27">
        <v>2</v>
      </c>
      <c r="C12" s="78">
        <v>41964.353472222225</v>
      </c>
      <c r="D12" s="82">
        <v>41964.381944444445</v>
      </c>
      <c r="E12" s="182">
        <f t="shared" si="5"/>
        <v>2.8472222220443655E-2</v>
      </c>
      <c r="F12" s="12">
        <v>-0.01</v>
      </c>
      <c r="G12" s="12">
        <f t="shared" si="6"/>
        <v>0.98122290181999994</v>
      </c>
      <c r="H12" s="12">
        <v>3419.732</v>
      </c>
      <c r="I12" s="12">
        <f>('High STDs'!H$20*'High Data'!H12)+'High STDs'!H$21</f>
        <v>1042.8171633292156</v>
      </c>
      <c r="J12" s="12">
        <v>2543.489</v>
      </c>
      <c r="K12" s="33"/>
      <c r="L12" s="73">
        <v>41964.553472222222</v>
      </c>
      <c r="M12" s="182">
        <f t="shared" si="7"/>
        <v>0.19999999999708962</v>
      </c>
      <c r="N12" s="12">
        <v>-0.04</v>
      </c>
      <c r="O12" s="12">
        <f t="shared" si="0"/>
        <v>0.97918152269000003</v>
      </c>
      <c r="P12" s="12">
        <v>3400.7489999999998</v>
      </c>
      <c r="Q12" s="12">
        <f>('High STDs'!K$20*'High Data'!P12)+'High STDs'!K$21</f>
        <v>1037.7805435643158</v>
      </c>
      <c r="R12" s="12">
        <v>9066.1119999999992</v>
      </c>
      <c r="S12" s="27"/>
      <c r="T12" s="82">
        <v>41964.654166666667</v>
      </c>
      <c r="U12" s="182">
        <f t="shared" si="8"/>
        <v>0.3006944444423425</v>
      </c>
      <c r="V12" s="12">
        <v>0.06</v>
      </c>
      <c r="W12" s="12">
        <f t="shared" si="1"/>
        <v>0.98598611978999995</v>
      </c>
      <c r="X12" s="12">
        <v>3164.7640000000001</v>
      </c>
      <c r="Y12" s="12">
        <f>('High STDs'!K$20*'High Data'!X12)+'High STDs'!K$21</f>
        <v>965.98917946563188</v>
      </c>
      <c r="Z12" s="12">
        <v>12263.778</v>
      </c>
      <c r="AA12" s="33"/>
      <c r="AB12" s="73">
        <v>41965.488194444442</v>
      </c>
      <c r="AC12" s="182">
        <f t="shared" si="9"/>
        <v>1.1347222222175333</v>
      </c>
      <c r="AD12" s="12">
        <v>0</v>
      </c>
      <c r="AE12" s="12">
        <f t="shared" si="2"/>
        <v>0.98190336152999991</v>
      </c>
      <c r="AF12" s="12">
        <v>2887.9409999999998</v>
      </c>
      <c r="AG12" s="12">
        <f>('High STDs'!K$43*'High Data'!AF12)+'High STDs'!K$44</f>
        <v>888.3189369811987</v>
      </c>
      <c r="AH12" s="12">
        <v>45841.853999999999</v>
      </c>
      <c r="AI12" s="27"/>
      <c r="AJ12" s="82">
        <v>41966.525694444441</v>
      </c>
      <c r="AK12" s="182">
        <f t="shared" si="10"/>
        <v>2.1722222222160781</v>
      </c>
      <c r="AL12" s="12">
        <v>0.11</v>
      </c>
      <c r="AM12" s="12">
        <f t="shared" si="3"/>
        <v>0.98938841833999991</v>
      </c>
      <c r="AN12" s="12">
        <v>2445.1660000000002</v>
      </c>
      <c r="AO12" s="12">
        <f>('High STDs'!K$66*'High Data'!AN12)+'High STDs'!K$67</f>
        <v>737.33108540809292</v>
      </c>
      <c r="AP12" s="12">
        <v>70935.665999999997</v>
      </c>
      <c r="AQ12" s="33"/>
      <c r="AS12" s="214">
        <v>0.15677746575930351</v>
      </c>
      <c r="AT12" s="16">
        <v>35.4</v>
      </c>
      <c r="AU12" s="85">
        <f t="shared" si="11"/>
        <v>10.87627652133364</v>
      </c>
      <c r="AV12" s="12">
        <f t="shared" si="12"/>
        <v>24.523723478666358</v>
      </c>
      <c r="AW12" s="27"/>
      <c r="AX12" s="16">
        <v>0.99590000000000001</v>
      </c>
      <c r="AY12" s="85">
        <v>5.1467999999999998</v>
      </c>
      <c r="AZ12" s="85">
        <v>2.5771999999999999</v>
      </c>
      <c r="BA12" s="12">
        <f t="shared" si="13"/>
        <v>1.5812999999999999</v>
      </c>
      <c r="BB12" s="33">
        <f t="shared" si="14"/>
        <v>69.276055024481238</v>
      </c>
      <c r="BC12" s="124"/>
      <c r="BD12" s="124">
        <v>69.373978388142291</v>
      </c>
      <c r="BE12" s="12">
        <f t="shared" si="15"/>
        <v>595.26635423345431</v>
      </c>
      <c r="BF12" s="12">
        <v>28</v>
      </c>
      <c r="BG12" s="33">
        <f t="shared" si="4"/>
        <v>301</v>
      </c>
      <c r="BI12" s="16">
        <f t="shared" si="16"/>
        <v>25.131678665843523</v>
      </c>
      <c r="BJ12" s="85">
        <f t="shared" si="17"/>
        <v>1.255768E-3</v>
      </c>
      <c r="BK12" s="85">
        <f t="shared" si="18"/>
        <v>3.2114709136617396E-2</v>
      </c>
      <c r="BL12" s="152">
        <f t="shared" si="19"/>
        <v>25.163793374980141</v>
      </c>
      <c r="BM12" s="156">
        <f t="shared" si="20"/>
        <v>25.01029716777785</v>
      </c>
      <c r="BN12" s="85">
        <f t="shared" si="21"/>
        <v>1.255768E-3</v>
      </c>
      <c r="BO12" s="85">
        <f t="shared" si="22"/>
        <v>3.1959600854485654E-2</v>
      </c>
      <c r="BP12" s="162">
        <f t="shared" si="23"/>
        <v>25.042256768632335</v>
      </c>
      <c r="BQ12" s="16">
        <f t="shared" si="24"/>
        <v>23.280140092350901</v>
      </c>
      <c r="BR12" s="85">
        <f t="shared" si="25"/>
        <v>1.255768E-3</v>
      </c>
      <c r="BS12" s="85">
        <f t="shared" si="26"/>
        <v>2.9748706310719523E-2</v>
      </c>
      <c r="BT12" s="152">
        <f t="shared" si="27"/>
        <v>23.309888798661621</v>
      </c>
      <c r="BU12" s="156">
        <f t="shared" si="28"/>
        <v>21.408303259722281</v>
      </c>
      <c r="BV12" s="85">
        <f t="shared" si="29"/>
        <v>1.255768E-3</v>
      </c>
      <c r="BW12" s="85">
        <f t="shared" si="30"/>
        <v>2.7356765198056181E-2</v>
      </c>
      <c r="BX12" s="152">
        <f t="shared" si="31"/>
        <v>21.435660024920338</v>
      </c>
      <c r="BY12" s="156">
        <f t="shared" si="32"/>
        <v>17.76952716203407</v>
      </c>
      <c r="BZ12" s="85">
        <f t="shared" si="33"/>
        <v>1.255768E-3</v>
      </c>
      <c r="CA12" s="85">
        <f t="shared" si="34"/>
        <v>2.2706927137323907E-2</v>
      </c>
      <c r="CB12" s="152">
        <f t="shared" si="35"/>
        <v>17.792234089171394</v>
      </c>
    </row>
    <row r="13" spans="1:91" ht="15.75" thickBot="1" x14ac:dyDescent="0.3">
      <c r="A13" s="13" t="s">
        <v>23</v>
      </c>
      <c r="B13" s="28">
        <v>3</v>
      </c>
      <c r="C13" s="79">
        <v>41964.353472222225</v>
      </c>
      <c r="D13" s="105">
        <v>41964.384027777778</v>
      </c>
      <c r="E13" s="183">
        <f t="shared" si="5"/>
        <v>3.0555555553291924E-2</v>
      </c>
      <c r="F13" s="14">
        <v>0.01</v>
      </c>
      <c r="G13" s="14">
        <f t="shared" si="6"/>
        <v>0.98258382123999988</v>
      </c>
      <c r="H13" s="14">
        <v>3602.4879999999998</v>
      </c>
      <c r="I13" s="14">
        <f>('High STDs'!H$20*'High Data'!H13)+'High STDs'!H$21</f>
        <v>1099.9673014741563</v>
      </c>
      <c r="J13" s="14">
        <v>3798.752</v>
      </c>
      <c r="K13" s="34"/>
      <c r="L13" s="74">
        <v>41964.555555555555</v>
      </c>
      <c r="M13" s="183">
        <f t="shared" si="7"/>
        <v>0.20208333332993789</v>
      </c>
      <c r="N13" s="14">
        <v>0.01</v>
      </c>
      <c r="O13" s="14">
        <f t="shared" si="0"/>
        <v>0.98258382123999988</v>
      </c>
      <c r="P13" s="14">
        <v>1729.2840000000001</v>
      </c>
      <c r="Q13" s="14">
        <f>('High STDs'!K$20*'High Data'!P13)+'High STDs'!K$21</f>
        <v>529.2874088599624</v>
      </c>
      <c r="R13" s="14">
        <v>11592.787</v>
      </c>
      <c r="S13" s="28"/>
      <c r="T13" s="105">
        <v>41964.656944444447</v>
      </c>
      <c r="U13" s="183">
        <f t="shared" si="8"/>
        <v>0.30347222222189885</v>
      </c>
      <c r="V13" s="14">
        <v>0.01</v>
      </c>
      <c r="W13" s="14">
        <f t="shared" si="1"/>
        <v>0.98258382123999988</v>
      </c>
      <c r="X13" s="14">
        <v>1082.1479999999999</v>
      </c>
      <c r="Y13" s="14">
        <f>('High STDs'!K$20*'High Data'!X13)+'High STDs'!K$21</f>
        <v>332.4156746507287</v>
      </c>
      <c r="Z13" s="14">
        <v>14544.356</v>
      </c>
      <c r="AA13" s="34"/>
      <c r="AB13" s="74">
        <v>41965.490277777775</v>
      </c>
      <c r="AC13" s="183">
        <f t="shared" si="9"/>
        <v>1.1368055555503815</v>
      </c>
      <c r="AD13" s="14">
        <v>0</v>
      </c>
      <c r="AE13" s="14">
        <f t="shared" si="2"/>
        <v>0.98190336152999991</v>
      </c>
      <c r="AF13" s="14">
        <v>32.887</v>
      </c>
      <c r="AG13" s="14">
        <f>('High STDs'!K$43*'High Data'!AF13)+'High STDs'!K$44</f>
        <v>13.776987133300597</v>
      </c>
      <c r="AH13" s="14">
        <v>28816.016</v>
      </c>
      <c r="AI13" s="28"/>
      <c r="AJ13" s="105">
        <v>41966.527777777781</v>
      </c>
      <c r="AK13" s="183">
        <f t="shared" si="10"/>
        <v>2.1743055555562023</v>
      </c>
      <c r="AL13" s="14">
        <v>0.05</v>
      </c>
      <c r="AM13" s="14">
        <f t="shared" si="3"/>
        <v>0.98530566007999998</v>
      </c>
      <c r="AN13" s="14">
        <v>7.766</v>
      </c>
      <c r="AO13" s="14">
        <f>('High STDs'!K$66*'High Data'!AN13)+'High STDs'!K$67</f>
        <v>5.5218673021483395</v>
      </c>
      <c r="AP13" s="14">
        <v>30747.561000000002</v>
      </c>
      <c r="AQ13" s="34"/>
      <c r="AS13" s="217">
        <v>0.10365311546002556</v>
      </c>
      <c r="AT13" s="55">
        <v>82.14</v>
      </c>
      <c r="AU13" s="60">
        <f t="shared" si="11"/>
        <v>16.573434670006932</v>
      </c>
      <c r="AV13" s="14">
        <f t="shared" si="12"/>
        <v>65.566565329993068</v>
      </c>
      <c r="AW13" s="28"/>
      <c r="AX13" s="55">
        <v>0.97989999999999999</v>
      </c>
      <c r="AY13" s="60">
        <v>5.9077000000000002</v>
      </c>
      <c r="AZ13" s="60">
        <v>2.1718999999999999</v>
      </c>
      <c r="BA13" s="14">
        <f t="shared" si="13"/>
        <v>1.1919999999999999</v>
      </c>
      <c r="BB13" s="34">
        <f t="shared" si="14"/>
        <v>79.82294293887638</v>
      </c>
      <c r="BC13" s="127"/>
      <c r="BD13" s="127">
        <v>159.89326125367242</v>
      </c>
      <c r="BE13" s="14">
        <f t="shared" si="15"/>
        <v>551.25936776612048</v>
      </c>
      <c r="BF13" s="14">
        <v>28</v>
      </c>
      <c r="BG13" s="34">
        <f t="shared" si="4"/>
        <v>301</v>
      </c>
      <c r="BI13" s="55">
        <f t="shared" si="16"/>
        <v>24.549222923913913</v>
      </c>
      <c r="BJ13" s="60">
        <f t="shared" si="17"/>
        <v>1.255768E-3</v>
      </c>
      <c r="BK13" s="60">
        <f t="shared" si="18"/>
        <v>9.0567341793719128E-2</v>
      </c>
      <c r="BL13" s="67">
        <f t="shared" si="19"/>
        <v>24.639790265707632</v>
      </c>
      <c r="BM13" s="157">
        <f t="shared" si="20"/>
        <v>11.812709862838837</v>
      </c>
      <c r="BN13" s="60">
        <f t="shared" si="21"/>
        <v>1.255768E-3</v>
      </c>
      <c r="BO13" s="60">
        <f t="shared" si="22"/>
        <v>4.3579616958694146E-2</v>
      </c>
      <c r="BP13" s="163">
        <f t="shared" si="23"/>
        <v>11.85628947979753</v>
      </c>
      <c r="BQ13" s="55">
        <f t="shared" si="24"/>
        <v>7.418899170427486</v>
      </c>
      <c r="BR13" s="60">
        <f t="shared" si="25"/>
        <v>1.255768E-3</v>
      </c>
      <c r="BS13" s="60">
        <f t="shared" si="26"/>
        <v>2.7369908163028808E-2</v>
      </c>
      <c r="BT13" s="67">
        <f t="shared" si="27"/>
        <v>7.4462690785905146</v>
      </c>
      <c r="BU13" s="157">
        <f t="shared" si="28"/>
        <v>0.30747671126407244</v>
      </c>
      <c r="BV13" s="60">
        <f t="shared" si="29"/>
        <v>1.255768E-3</v>
      </c>
      <c r="BW13" s="60">
        <f t="shared" si="30"/>
        <v>1.1343474491624437E-3</v>
      </c>
      <c r="BX13" s="67">
        <f t="shared" si="31"/>
        <v>0.30861105871323491</v>
      </c>
      <c r="BY13" s="157">
        <f t="shared" si="32"/>
        <v>0.12323780095557287</v>
      </c>
      <c r="BZ13" s="60">
        <f t="shared" si="33"/>
        <v>1.255768E-3</v>
      </c>
      <c r="CA13" s="60">
        <f t="shared" si="34"/>
        <v>4.5465064518100158E-4</v>
      </c>
      <c r="CB13" s="67">
        <f t="shared" si="35"/>
        <v>0.12369245160075387</v>
      </c>
    </row>
    <row r="14" spans="1:91" x14ac:dyDescent="0.25">
      <c r="A14" s="47" t="s">
        <v>24</v>
      </c>
      <c r="B14" s="110">
        <v>1</v>
      </c>
      <c r="C14" s="191">
        <v>41964.353472222225</v>
      </c>
      <c r="D14" s="106">
        <v>41964.386805555558</v>
      </c>
      <c r="E14" s="188">
        <f t="shared" si="5"/>
        <v>3.3333333332848269E-2</v>
      </c>
      <c r="F14" s="48">
        <v>0.05</v>
      </c>
      <c r="G14" s="48">
        <f t="shared" si="6"/>
        <v>0.98530566007999998</v>
      </c>
      <c r="H14" s="48">
        <v>4649.652</v>
      </c>
      <c r="I14" s="48">
        <f>('High STDs'!H$20*'High Data'!H14)+'High STDs'!H$21</f>
        <v>1427.4288746121581</v>
      </c>
      <c r="J14" s="48">
        <v>2649.8159999999998</v>
      </c>
      <c r="K14" s="49"/>
      <c r="L14" s="93">
        <v>41964.557638888888</v>
      </c>
      <c r="M14" s="188">
        <f t="shared" si="7"/>
        <v>0.20416666666278616</v>
      </c>
      <c r="N14" s="48">
        <v>0.05</v>
      </c>
      <c r="O14" s="48">
        <f t="shared" si="0"/>
        <v>0.98530566007999998</v>
      </c>
      <c r="P14" s="48">
        <v>3635.0279999999998</v>
      </c>
      <c r="Q14" s="48">
        <f>('High STDs'!K$20*'High Data'!P14)+'High STDs'!K$21</f>
        <v>1109.0529082895127</v>
      </c>
      <c r="R14" s="48">
        <v>6996.5339999999997</v>
      </c>
      <c r="S14" s="110"/>
      <c r="T14" s="106">
        <v>41964.65902777778</v>
      </c>
      <c r="U14" s="188">
        <f t="shared" si="8"/>
        <v>0.30555555555474712</v>
      </c>
      <c r="V14" s="48">
        <v>0.06</v>
      </c>
      <c r="W14" s="48">
        <f t="shared" si="1"/>
        <v>0.98598611978999995</v>
      </c>
      <c r="X14" s="48">
        <v>3238.5140000000001</v>
      </c>
      <c r="Y14" s="48">
        <f>('High STDs'!K$20*'High Data'!X14)+'High STDs'!K$21</f>
        <v>988.42540677786769</v>
      </c>
      <c r="Z14" s="48">
        <v>9744.232</v>
      </c>
      <c r="AA14" s="49"/>
      <c r="AB14" s="93">
        <v>41965.491666666669</v>
      </c>
      <c r="AC14" s="188">
        <f t="shared" si="9"/>
        <v>1.1381944444437977</v>
      </c>
      <c r="AD14" s="48">
        <v>0</v>
      </c>
      <c r="AE14" s="48">
        <f t="shared" si="2"/>
        <v>0.98190336152999991</v>
      </c>
      <c r="AF14" s="48">
        <v>1155.8389999999999</v>
      </c>
      <c r="AG14" s="48">
        <f>('High STDs'!K$43*'High Data'!AF14)+'High STDs'!K$44</f>
        <v>357.75248870545892</v>
      </c>
      <c r="AH14" s="48">
        <v>29049.326000000001</v>
      </c>
      <c r="AI14" s="110"/>
      <c r="AJ14" s="106">
        <v>41966.529861111114</v>
      </c>
      <c r="AK14" s="188">
        <f t="shared" si="10"/>
        <v>2.1763888888890506</v>
      </c>
      <c r="AL14" s="48">
        <v>0.04</v>
      </c>
      <c r="AM14" s="48">
        <f t="shared" si="3"/>
        <v>0.9846252003699999</v>
      </c>
      <c r="AN14" s="48">
        <v>56.7</v>
      </c>
      <c r="AO14" s="48">
        <f>('High STDs'!K$66*'High Data'!AN14)+'High STDs'!K$67</f>
        <v>20.213896627985829</v>
      </c>
      <c r="AP14" s="48">
        <v>38503.142</v>
      </c>
      <c r="AQ14" s="49"/>
      <c r="AS14" s="219">
        <v>1.5928988902113346</v>
      </c>
      <c r="AT14" s="47">
        <v>315.39</v>
      </c>
      <c r="AU14" s="48">
        <f t="shared" si="11"/>
        <v>302.75648680965543</v>
      </c>
      <c r="AV14" s="48">
        <f t="shared" si="12"/>
        <v>12.633513190344559</v>
      </c>
      <c r="AW14" s="110"/>
      <c r="AX14" s="47">
        <v>0.95530000000000004</v>
      </c>
      <c r="AY14" s="48">
        <v>6.6905000000000001</v>
      </c>
      <c r="AZ14" s="48">
        <v>7.3777999999999997</v>
      </c>
      <c r="BA14" s="48">
        <f t="shared" si="13"/>
        <v>6.4224999999999994</v>
      </c>
      <c r="BB14" s="49">
        <f t="shared" si="14"/>
        <v>4.0056796950900635</v>
      </c>
      <c r="BC14" s="130"/>
      <c r="BD14" s="130">
        <v>190.06635554218249</v>
      </c>
      <c r="BE14" s="48">
        <f t="shared" si="15"/>
        <v>110.32210582590261</v>
      </c>
      <c r="BF14" s="48">
        <v>28</v>
      </c>
      <c r="BG14" s="49">
        <f t="shared" si="4"/>
        <v>301</v>
      </c>
      <c r="BI14" s="47">
        <f t="shared" si="16"/>
        <v>6.3755699121342859</v>
      </c>
      <c r="BJ14" s="48">
        <f t="shared" si="17"/>
        <v>1.255768E-3</v>
      </c>
      <c r="BK14" s="48">
        <f t="shared" si="18"/>
        <v>2.2645818785276745E-2</v>
      </c>
      <c r="BL14" s="49">
        <f t="shared" si="19"/>
        <v>6.3982157309195626</v>
      </c>
      <c r="BM14" s="130">
        <f t="shared" si="20"/>
        <v>4.9535528381243088</v>
      </c>
      <c r="BN14" s="48">
        <f t="shared" si="21"/>
        <v>1.255768E-3</v>
      </c>
      <c r="BO14" s="48">
        <f t="shared" si="22"/>
        <v>1.7594859982941344E-2</v>
      </c>
      <c r="BP14" s="110">
        <f t="shared" si="23"/>
        <v>4.9711476981072504</v>
      </c>
      <c r="BQ14" s="47">
        <f t="shared" si="24"/>
        <v>4.4147735806131152</v>
      </c>
      <c r="BR14" s="48">
        <f t="shared" si="25"/>
        <v>1.255768E-3</v>
      </c>
      <c r="BS14" s="48">
        <f t="shared" si="26"/>
        <v>1.5681133430018954E-2</v>
      </c>
      <c r="BT14" s="49">
        <f t="shared" si="27"/>
        <v>4.4304547140431341</v>
      </c>
      <c r="BU14" s="130">
        <f t="shared" si="28"/>
        <v>1.5978911759098429</v>
      </c>
      <c r="BV14" s="48">
        <f t="shared" si="29"/>
        <v>1.255768E-3</v>
      </c>
      <c r="BW14" s="48">
        <f t="shared" si="30"/>
        <v>5.6756579422612887E-3</v>
      </c>
      <c r="BX14" s="49">
        <f t="shared" si="31"/>
        <v>1.6035668338521041</v>
      </c>
      <c r="BY14" s="130">
        <f t="shared" si="32"/>
        <v>9.0284786472037262E-2</v>
      </c>
      <c r="BZ14" s="48">
        <f t="shared" si="33"/>
        <v>1.255768E-3</v>
      </c>
      <c r="CA14" s="48">
        <f t="shared" si="34"/>
        <v>3.2068865084858273E-4</v>
      </c>
      <c r="CB14" s="49">
        <f t="shared" si="35"/>
        <v>9.0605475122885845E-2</v>
      </c>
    </row>
    <row r="15" spans="1:91" x14ac:dyDescent="0.25">
      <c r="A15" s="50" t="s">
        <v>24</v>
      </c>
      <c r="B15" s="111">
        <v>2</v>
      </c>
      <c r="C15" s="192">
        <v>41964.354166666664</v>
      </c>
      <c r="D15" s="107">
        <v>41964.388888888891</v>
      </c>
      <c r="E15" s="187">
        <f t="shared" si="5"/>
        <v>3.4722222226264421E-2</v>
      </c>
      <c r="F15" s="51">
        <v>0</v>
      </c>
      <c r="G15" s="51">
        <f t="shared" si="6"/>
        <v>0.98190336152999991</v>
      </c>
      <c r="H15" s="51">
        <v>3676.2060000000001</v>
      </c>
      <c r="I15" s="51">
        <f>('High STDs'!H$20*'High Data'!H15)+'High STDs'!H$21</f>
        <v>1123.0198627239579</v>
      </c>
      <c r="J15" s="51">
        <v>2783.17</v>
      </c>
      <c r="K15" s="52"/>
      <c r="L15" s="94">
        <v>41964.55972222222</v>
      </c>
      <c r="M15" s="187">
        <f t="shared" si="7"/>
        <v>0.20555555555620231</v>
      </c>
      <c r="N15" s="51">
        <v>0.01</v>
      </c>
      <c r="O15" s="51">
        <f t="shared" si="0"/>
        <v>0.98258382123999988</v>
      </c>
      <c r="P15" s="51">
        <v>2054.2719999999999</v>
      </c>
      <c r="Q15" s="51">
        <f>('High STDs'!K$20*'High Data'!P15)+'High STDs'!K$21</f>
        <v>628.15526840909934</v>
      </c>
      <c r="R15" s="51">
        <v>7131.2179999999998</v>
      </c>
      <c r="S15" s="111"/>
      <c r="T15" s="107">
        <v>41964.661111111112</v>
      </c>
      <c r="U15" s="187">
        <f t="shared" si="8"/>
        <v>0.30694444444816327</v>
      </c>
      <c r="V15" s="51">
        <v>0.01</v>
      </c>
      <c r="W15" s="51">
        <f t="shared" si="1"/>
        <v>0.98258382123999988</v>
      </c>
      <c r="X15" s="51">
        <v>1471.7840000000001</v>
      </c>
      <c r="Y15" s="51">
        <f>('High STDs'!K$20*'High Data'!X15)+'High STDs'!K$21</f>
        <v>450.9507507867325</v>
      </c>
      <c r="Z15" s="51">
        <v>9184.3130000000001</v>
      </c>
      <c r="AA15" s="52"/>
      <c r="AB15" s="94">
        <v>41965.493750000001</v>
      </c>
      <c r="AC15" s="187">
        <f t="shared" si="9"/>
        <v>1.1395833333372138</v>
      </c>
      <c r="AD15" s="51">
        <v>0.03</v>
      </c>
      <c r="AE15" s="51">
        <f t="shared" si="2"/>
        <v>0.98394474065999993</v>
      </c>
      <c r="AF15" s="51">
        <v>76.77</v>
      </c>
      <c r="AG15" s="51">
        <f>('High STDs'!K$43*'High Data'!AF15)+'High STDs'!K$44</f>
        <v>27.218948085764303</v>
      </c>
      <c r="AH15" s="51">
        <v>20166.87</v>
      </c>
      <c r="AI15" s="111"/>
      <c r="AJ15" s="107">
        <v>41966.531944444447</v>
      </c>
      <c r="AK15" s="187">
        <f t="shared" si="10"/>
        <v>2.1777777777824667</v>
      </c>
      <c r="AL15" s="51">
        <v>0</v>
      </c>
      <c r="AM15" s="51">
        <f t="shared" si="3"/>
        <v>0.98190336152999991</v>
      </c>
      <c r="AN15" s="51">
        <v>1.21</v>
      </c>
      <c r="AO15" s="51">
        <f>('High STDs'!K$66*'High Data'!AN15)+'High STDs'!K$67</f>
        <v>3.5534824519380446</v>
      </c>
      <c r="AP15" s="51">
        <v>28564.02</v>
      </c>
      <c r="AQ15" s="52"/>
      <c r="AS15" s="216">
        <v>1.2688078743787212</v>
      </c>
      <c r="AT15" s="50">
        <v>214.64</v>
      </c>
      <c r="AU15" s="51">
        <f t="shared" si="11"/>
        <v>202.87382893875366</v>
      </c>
      <c r="AV15" s="51">
        <f t="shared" si="12"/>
        <v>11.766171061246325</v>
      </c>
      <c r="AW15" s="111"/>
      <c r="AX15" s="50">
        <v>0.9627</v>
      </c>
      <c r="AY15" s="51">
        <v>6.7203999999999997</v>
      </c>
      <c r="AZ15" s="51">
        <v>7.3147000000000002</v>
      </c>
      <c r="BA15" s="51">
        <f t="shared" si="13"/>
        <v>6.3520000000000003</v>
      </c>
      <c r="BB15" s="52">
        <f t="shared" si="14"/>
        <v>5.4818165585381742</v>
      </c>
      <c r="BC15" s="126"/>
      <c r="BD15" s="126">
        <v>159.89326125367242</v>
      </c>
      <c r="BE15" s="51">
        <f t="shared" si="15"/>
        <v>341.23690678210494</v>
      </c>
      <c r="BF15" s="51">
        <v>28</v>
      </c>
      <c r="BG15" s="52">
        <f t="shared" si="4"/>
        <v>301</v>
      </c>
      <c r="BI15" s="50">
        <f t="shared" si="16"/>
        <v>15.514773009085303</v>
      </c>
      <c r="BJ15" s="51">
        <f t="shared" si="17"/>
        <v>1.255768E-3</v>
      </c>
      <c r="BK15" s="51">
        <f t="shared" si="18"/>
        <v>1.6593271059980326E-2</v>
      </c>
      <c r="BL15" s="52">
        <f t="shared" si="19"/>
        <v>15.531366280145283</v>
      </c>
      <c r="BM15" s="126">
        <f t="shared" si="20"/>
        <v>8.6781068860077237</v>
      </c>
      <c r="BN15" s="51">
        <f t="shared" si="21"/>
        <v>1.255768E-3</v>
      </c>
      <c r="BO15" s="51">
        <f t="shared" si="22"/>
        <v>9.2813591125493096E-3</v>
      </c>
      <c r="BP15" s="111">
        <f t="shared" si="23"/>
        <v>8.6873882451202729</v>
      </c>
      <c r="BQ15" s="50">
        <f t="shared" si="24"/>
        <v>6.229986457908705</v>
      </c>
      <c r="BR15" s="51">
        <f t="shared" si="25"/>
        <v>1.255768E-3</v>
      </c>
      <c r="BS15" s="51">
        <f t="shared" si="26"/>
        <v>6.6630593909140614E-3</v>
      </c>
      <c r="BT15" s="52">
        <f t="shared" si="27"/>
        <v>6.236649517299619</v>
      </c>
      <c r="BU15" s="126">
        <f t="shared" si="28"/>
        <v>0.37603591451392865</v>
      </c>
      <c r="BV15" s="51">
        <f t="shared" si="29"/>
        <v>1.255768E-3</v>
      </c>
      <c r="BW15" s="51">
        <f t="shared" si="30"/>
        <v>4.0217577493162929E-4</v>
      </c>
      <c r="BX15" s="52">
        <f t="shared" si="31"/>
        <v>0.37643809028886027</v>
      </c>
      <c r="BY15" s="126">
        <f t="shared" si="32"/>
        <v>4.9092162537411985E-2</v>
      </c>
      <c r="BZ15" s="51">
        <f t="shared" si="33"/>
        <v>1.255768E-3</v>
      </c>
      <c r="CA15" s="51">
        <f t="shared" si="34"/>
        <v>5.2504768160440812E-5</v>
      </c>
      <c r="CB15" s="52">
        <f t="shared" si="35"/>
        <v>4.9144667305572425E-2</v>
      </c>
    </row>
    <row r="16" spans="1:91" ht="15.75" thickBot="1" x14ac:dyDescent="0.3">
      <c r="A16" s="92" t="s">
        <v>24</v>
      </c>
      <c r="B16" s="112">
        <v>3</v>
      </c>
      <c r="C16" s="193">
        <v>41964.354166666664</v>
      </c>
      <c r="D16" s="108">
        <v>41964.390277777777</v>
      </c>
      <c r="E16" s="189">
        <f t="shared" si="5"/>
        <v>3.6111111112404615E-2</v>
      </c>
      <c r="F16" s="53">
        <v>0</v>
      </c>
      <c r="G16" s="53">
        <f t="shared" si="6"/>
        <v>0.98190336152999991</v>
      </c>
      <c r="H16" s="53">
        <v>3871.2240000000002</v>
      </c>
      <c r="I16" s="53">
        <f>('High STDs'!H$20*'High Data'!H16)+'High STDs'!H$21</f>
        <v>1184.0044850660427</v>
      </c>
      <c r="J16" s="53">
        <v>2866.7089999999998</v>
      </c>
      <c r="K16" s="54"/>
      <c r="L16" s="95">
        <v>41964.561805555553</v>
      </c>
      <c r="M16" s="189">
        <f t="shared" si="7"/>
        <v>0.20763888888905058</v>
      </c>
      <c r="N16" s="53">
        <v>0.01</v>
      </c>
      <c r="O16" s="53">
        <f t="shared" si="0"/>
        <v>0.98258382123999988</v>
      </c>
      <c r="P16" s="53">
        <v>1585.71</v>
      </c>
      <c r="Q16" s="53">
        <f>('High STDs'!K$20*'High Data'!P16)+'High STDs'!K$21</f>
        <v>485.60932207858019</v>
      </c>
      <c r="R16" s="53">
        <v>6346.2740000000003</v>
      </c>
      <c r="S16" s="112"/>
      <c r="T16" s="108">
        <v>41964.663888888892</v>
      </c>
      <c r="U16" s="189">
        <f t="shared" si="8"/>
        <v>0.30972222222771961</v>
      </c>
      <c r="V16" s="53">
        <v>0.01</v>
      </c>
      <c r="W16" s="53">
        <f t="shared" si="1"/>
        <v>0.98258382123999988</v>
      </c>
      <c r="X16" s="53">
        <v>978.02</v>
      </c>
      <c r="Y16" s="53">
        <f>('High STDs'!K$20*'High Data'!X16)+'High STDs'!K$21</f>
        <v>300.73785122607137</v>
      </c>
      <c r="Z16" s="53">
        <v>8041.4809999999998</v>
      </c>
      <c r="AA16" s="54"/>
      <c r="AB16" s="95">
        <v>41965.495833333334</v>
      </c>
      <c r="AC16" s="189">
        <f t="shared" si="9"/>
        <v>1.1416666666700621</v>
      </c>
      <c r="AD16" s="53">
        <v>0.05</v>
      </c>
      <c r="AE16" s="53">
        <f t="shared" si="2"/>
        <v>0.98530566007999998</v>
      </c>
      <c r="AF16" s="53">
        <v>7.9260000000000002</v>
      </c>
      <c r="AG16" s="53">
        <f>('High STDs'!K$43*'High Data'!AF16)+'High STDs'!K$44</f>
        <v>6.1310926562947738</v>
      </c>
      <c r="AH16" s="53">
        <v>14617.734</v>
      </c>
      <c r="AI16" s="112"/>
      <c r="AJ16" s="108">
        <v>41966.53402777778</v>
      </c>
      <c r="AK16" s="189">
        <f t="shared" si="10"/>
        <v>2.179861111115315</v>
      </c>
      <c r="AL16" s="53">
        <v>0.01</v>
      </c>
      <c r="AM16" s="53">
        <f t="shared" si="3"/>
        <v>0.98258382123999988</v>
      </c>
      <c r="AN16" s="53">
        <v>0.64200000000000002</v>
      </c>
      <c r="AO16" s="53">
        <f>('High STDs'!K$66*'High Data'!AN16)+'High STDs'!K$67</f>
        <v>3.3829451433780315</v>
      </c>
      <c r="AP16" s="53">
        <v>18547.298999999999</v>
      </c>
      <c r="AQ16" s="54"/>
      <c r="AS16" s="220">
        <v>1.4959752901120122</v>
      </c>
      <c r="AT16" s="92">
        <v>296.83</v>
      </c>
      <c r="AU16" s="53">
        <f t="shared" si="11"/>
        <v>284.33457137274934</v>
      </c>
      <c r="AV16" s="53">
        <f t="shared" si="12"/>
        <v>12.495428627250647</v>
      </c>
      <c r="AW16" s="112"/>
      <c r="AX16" s="92">
        <v>0.96779999999999999</v>
      </c>
      <c r="AY16" s="53">
        <v>6.6538000000000004</v>
      </c>
      <c r="AZ16" s="53">
        <v>7.3414999999999999</v>
      </c>
      <c r="BA16" s="53">
        <f t="shared" si="13"/>
        <v>6.3736999999999995</v>
      </c>
      <c r="BB16" s="54">
        <f t="shared" si="14"/>
        <v>4.2096245754305945</v>
      </c>
      <c r="BC16" s="131"/>
      <c r="BD16" s="131">
        <v>190.06635554218249</v>
      </c>
      <c r="BE16" s="53">
        <f t="shared" si="15"/>
        <v>168.79422600880088</v>
      </c>
      <c r="BF16" s="53">
        <v>28</v>
      </c>
      <c r="BG16" s="54">
        <f t="shared" si="4"/>
        <v>301</v>
      </c>
      <c r="BI16" s="92">
        <f t="shared" si="16"/>
        <v>8.0911998046835336</v>
      </c>
      <c r="BJ16" s="53">
        <f t="shared" si="17"/>
        <v>1.255768E-3</v>
      </c>
      <c r="BK16" s="53">
        <f t="shared" si="18"/>
        <v>1.8578639925783465E-2</v>
      </c>
      <c r="BL16" s="54">
        <f t="shared" si="19"/>
        <v>8.1097784446093168</v>
      </c>
      <c r="BM16" s="131">
        <f t="shared" si="20"/>
        <v>3.3185364595435169</v>
      </c>
      <c r="BN16" s="53">
        <f t="shared" si="21"/>
        <v>1.255768E-3</v>
      </c>
      <c r="BO16" s="53">
        <f t="shared" si="22"/>
        <v>7.6198704086822061E-3</v>
      </c>
      <c r="BP16" s="112">
        <f t="shared" si="23"/>
        <v>3.326156329952199</v>
      </c>
      <c r="BQ16" s="92">
        <f t="shared" si="24"/>
        <v>2.0551696161569906</v>
      </c>
      <c r="BR16" s="53">
        <f t="shared" si="25"/>
        <v>1.255768E-3</v>
      </c>
      <c r="BS16" s="53">
        <f t="shared" si="26"/>
        <v>4.7189857136996933E-3</v>
      </c>
      <c r="BT16" s="54">
        <f t="shared" si="27"/>
        <v>2.0598886018706901</v>
      </c>
      <c r="BU16" s="131">
        <f t="shared" si="28"/>
        <v>4.1898401846291858E-2</v>
      </c>
      <c r="BV16" s="53">
        <f t="shared" si="29"/>
        <v>1.255768E-3</v>
      </c>
      <c r="BW16" s="53">
        <f t="shared" si="30"/>
        <v>9.62051784850817E-5</v>
      </c>
      <c r="BX16" s="54">
        <f t="shared" si="31"/>
        <v>4.1994607024776941E-2</v>
      </c>
      <c r="BY16" s="131">
        <f t="shared" si="32"/>
        <v>2.3118227530893723E-2</v>
      </c>
      <c r="BZ16" s="53">
        <f t="shared" si="33"/>
        <v>1.255768E-3</v>
      </c>
      <c r="CA16" s="53">
        <f t="shared" si="34"/>
        <v>5.3083008130659753E-5</v>
      </c>
      <c r="CB16" s="54">
        <f t="shared" si="35"/>
        <v>2.3171310539024381E-2</v>
      </c>
    </row>
    <row r="17" spans="1:80" x14ac:dyDescent="0.25">
      <c r="A17" s="9" t="s">
        <v>26</v>
      </c>
      <c r="B17" s="26">
        <v>1</v>
      </c>
      <c r="C17" s="77">
        <v>41964.354861111111</v>
      </c>
      <c r="D17" s="104">
        <v>41964.393055555556</v>
      </c>
      <c r="E17" s="181">
        <f t="shared" si="5"/>
        <v>3.8194444445252884E-2</v>
      </c>
      <c r="F17" s="10">
        <v>0</v>
      </c>
      <c r="G17" s="10">
        <f t="shared" si="6"/>
        <v>0.98190336152999991</v>
      </c>
      <c r="H17" s="10">
        <v>3368.2759999999998</v>
      </c>
      <c r="I17" s="10">
        <f>('High STDs'!H$20*'High Data'!H17)+'High STDs'!H$21</f>
        <v>1026.7262141489641</v>
      </c>
      <c r="J17" s="10">
        <v>3310.61</v>
      </c>
      <c r="K17" s="32"/>
      <c r="L17" s="72">
        <v>41964.563888888886</v>
      </c>
      <c r="M17" s="181">
        <f t="shared" si="7"/>
        <v>0.20902777777519077</v>
      </c>
      <c r="N17" s="10">
        <v>0</v>
      </c>
      <c r="O17" s="10">
        <f t="shared" si="0"/>
        <v>0.98190336152999991</v>
      </c>
      <c r="P17" s="10">
        <v>1712.336</v>
      </c>
      <c r="Q17" s="10">
        <f>('High STDs'!K$20*'High Data'!P17)+'High STDs'!K$21</f>
        <v>524.13148776860271</v>
      </c>
      <c r="R17" s="10">
        <v>7781.808</v>
      </c>
      <c r="S17" s="26"/>
      <c r="T17" s="104">
        <v>41964.665972222225</v>
      </c>
      <c r="U17" s="181">
        <f t="shared" si="8"/>
        <v>0.31111111111385981</v>
      </c>
      <c r="V17" s="10">
        <v>0</v>
      </c>
      <c r="W17" s="10">
        <f t="shared" si="1"/>
        <v>0.98190336152999991</v>
      </c>
      <c r="X17" s="10">
        <v>1031.684</v>
      </c>
      <c r="Y17" s="10">
        <f>('High STDs'!K$20*'High Data'!X17)+'High STDs'!K$21</f>
        <v>317.06351498856378</v>
      </c>
      <c r="Z17" s="10">
        <v>9184.625</v>
      </c>
      <c r="AA17" s="32"/>
      <c r="AB17" s="72">
        <v>41965.497916666667</v>
      </c>
      <c r="AC17" s="181">
        <f t="shared" si="9"/>
        <v>1.1430555555562023</v>
      </c>
      <c r="AD17" s="10">
        <v>0</v>
      </c>
      <c r="AE17" s="10">
        <f t="shared" si="2"/>
        <v>0.98190336152999991</v>
      </c>
      <c r="AF17" s="10">
        <v>25.768999999999998</v>
      </c>
      <c r="AG17" s="10">
        <f>('High STDs'!K$43*'High Data'!AF17)+'High STDs'!K$44</f>
        <v>11.596646726773315</v>
      </c>
      <c r="AH17" s="10">
        <v>18472.092000000001</v>
      </c>
      <c r="AI17" s="26"/>
      <c r="AJ17" s="104">
        <v>41966.536111111112</v>
      </c>
      <c r="AK17" s="181">
        <f t="shared" si="10"/>
        <v>2.1812500000014552</v>
      </c>
      <c r="AL17" s="10">
        <v>0</v>
      </c>
      <c r="AM17" s="10">
        <f t="shared" si="3"/>
        <v>0.98190336152999991</v>
      </c>
      <c r="AN17" s="10">
        <v>10.477</v>
      </c>
      <c r="AO17" s="10">
        <f>('High STDs'!K$66*'High Data'!AN17)+'High STDs'!K$67</f>
        <v>6.3358226604338963</v>
      </c>
      <c r="AP17" s="10">
        <v>24555.874</v>
      </c>
      <c r="AQ17" s="32"/>
      <c r="AS17" s="218">
        <v>1.0206703720961228</v>
      </c>
      <c r="AT17" s="15">
        <v>150.93</v>
      </c>
      <c r="AU17" s="128">
        <f t="shared" si="11"/>
        <v>132.40153108470349</v>
      </c>
      <c r="AV17" s="10">
        <f t="shared" si="12"/>
        <v>18.528468915296514</v>
      </c>
      <c r="AW17" s="26"/>
      <c r="AX17" s="15">
        <v>0.98460000000000003</v>
      </c>
      <c r="AY17" s="128">
        <v>6.9760999999999997</v>
      </c>
      <c r="AZ17" s="128">
        <v>7.1043000000000003</v>
      </c>
      <c r="BA17" s="10">
        <f t="shared" si="13"/>
        <v>6.1196999999999999</v>
      </c>
      <c r="BB17" s="32">
        <f t="shared" si="14"/>
        <v>12.27620016914895</v>
      </c>
      <c r="BC17" s="129"/>
      <c r="BD17" s="129">
        <v>129.72016696516241</v>
      </c>
      <c r="BE17" s="10">
        <f t="shared" si="15"/>
        <v>452.76175182423572</v>
      </c>
      <c r="BF17" s="10">
        <v>28</v>
      </c>
      <c r="BG17" s="32">
        <f t="shared" si="4"/>
        <v>301</v>
      </c>
      <c r="BI17" s="15">
        <f t="shared" si="16"/>
        <v>18.820292718396249</v>
      </c>
      <c r="BJ17" s="128">
        <f t="shared" si="17"/>
        <v>1.255768E-3</v>
      </c>
      <c r="BK17" s="128">
        <f t="shared" si="18"/>
        <v>2.3889309427463756E-2</v>
      </c>
      <c r="BL17" s="154">
        <f t="shared" si="19"/>
        <v>18.844182027823713</v>
      </c>
      <c r="BM17" s="158">
        <f t="shared" si="20"/>
        <v>9.6075349852735403</v>
      </c>
      <c r="BN17" s="128">
        <f t="shared" si="21"/>
        <v>1.255768E-3</v>
      </c>
      <c r="BO17" s="128">
        <f t="shared" si="22"/>
        <v>1.2195207563059684E-2</v>
      </c>
      <c r="BP17" s="164">
        <f t="shared" si="23"/>
        <v>9.6197301928366006</v>
      </c>
      <c r="BQ17" s="15">
        <f t="shared" si="24"/>
        <v>5.8118981284163675</v>
      </c>
      <c r="BR17" s="128">
        <f t="shared" si="25"/>
        <v>1.255768E-3</v>
      </c>
      <c r="BS17" s="128">
        <f t="shared" si="26"/>
        <v>7.3772621301964195E-3</v>
      </c>
      <c r="BT17" s="154">
        <f t="shared" si="27"/>
        <v>5.8192753905465642</v>
      </c>
      <c r="BU17" s="158">
        <f t="shared" si="28"/>
        <v>0.2125710661148465</v>
      </c>
      <c r="BV17" s="128">
        <f t="shared" si="29"/>
        <v>1.255768E-3</v>
      </c>
      <c r="BW17" s="128">
        <f t="shared" si="30"/>
        <v>2.6982449474761175E-4</v>
      </c>
      <c r="BX17" s="154">
        <f t="shared" si="31"/>
        <v>0.2128408906095941</v>
      </c>
      <c r="BY17" s="158">
        <f t="shared" si="32"/>
        <v>0.11613810521050316</v>
      </c>
      <c r="BZ17" s="128">
        <f t="shared" si="33"/>
        <v>1.255768E-3</v>
      </c>
      <c r="CA17" s="128">
        <f t="shared" si="34"/>
        <v>1.474184898825247E-4</v>
      </c>
      <c r="CB17" s="154">
        <f t="shared" si="35"/>
        <v>0.11628552370038568</v>
      </c>
    </row>
    <row r="18" spans="1:80" x14ac:dyDescent="0.25">
      <c r="A18" s="11" t="s">
        <v>26</v>
      </c>
      <c r="B18" s="27">
        <v>2</v>
      </c>
      <c r="C18" s="78">
        <v>41964.354861111111</v>
      </c>
      <c r="D18" s="82">
        <v>41964.395138888889</v>
      </c>
      <c r="E18" s="182">
        <f t="shared" si="5"/>
        <v>4.0277777778101154E-2</v>
      </c>
      <c r="F18" s="12">
        <v>0.01</v>
      </c>
      <c r="G18" s="12">
        <f t="shared" si="6"/>
        <v>0.98258382123999988</v>
      </c>
      <c r="H18" s="12">
        <v>4027.038</v>
      </c>
      <c r="I18" s="12">
        <f>('High STDs'!H$20*'High Data'!H18)+'High STDs'!H$21</f>
        <v>1232.7295152971474</v>
      </c>
      <c r="J18" s="12">
        <v>3418.018</v>
      </c>
      <c r="K18" s="33"/>
      <c r="L18" s="73">
        <v>41964.565972222219</v>
      </c>
      <c r="M18" s="182">
        <f t="shared" si="7"/>
        <v>0.21111111110803904</v>
      </c>
      <c r="N18" s="12">
        <v>0.01</v>
      </c>
      <c r="O18" s="12">
        <f t="shared" si="0"/>
        <v>0.98258382123999988</v>
      </c>
      <c r="P18" s="12">
        <v>3468.3719999999998</v>
      </c>
      <c r="Q18" s="12">
        <f>('High STDs'!K$20*'High Data'!P18)+'High STDs'!K$21</f>
        <v>1058.3528147444556</v>
      </c>
      <c r="R18" s="12">
        <v>10100.897999999999</v>
      </c>
      <c r="S18" s="27"/>
      <c r="T18" s="82">
        <v>41964.668055555558</v>
      </c>
      <c r="U18" s="182">
        <f t="shared" si="8"/>
        <v>0.31319444444670808</v>
      </c>
      <c r="V18" s="12">
        <v>0.02</v>
      </c>
      <c r="W18" s="12">
        <f t="shared" si="1"/>
        <v>0.98326428094999996</v>
      </c>
      <c r="X18" s="12">
        <v>3264.7440000000001</v>
      </c>
      <c r="Y18" s="12">
        <f>('High STDs'!K$20*'High Data'!X18)+'High STDs'!K$21</f>
        <v>996.40509820023976</v>
      </c>
      <c r="Z18" s="12">
        <v>14163.800999999999</v>
      </c>
      <c r="AA18" s="33"/>
      <c r="AB18" s="73">
        <v>41965.5</v>
      </c>
      <c r="AC18" s="182">
        <f t="shared" si="9"/>
        <v>1.1451388888890506</v>
      </c>
      <c r="AD18" s="12">
        <v>0.01</v>
      </c>
      <c r="AE18" s="12">
        <f t="shared" si="2"/>
        <v>0.98258382123999988</v>
      </c>
      <c r="AF18" s="12">
        <v>2207.5230000000001</v>
      </c>
      <c r="AG18" s="12">
        <f>('High STDs'!K$43*'High Data'!AF18)+'High STDs'!K$44</f>
        <v>679.89763061305052</v>
      </c>
      <c r="AH18" s="12">
        <v>50894.754000000001</v>
      </c>
      <c r="AI18" s="27"/>
      <c r="AJ18" s="82">
        <v>41966.539583333331</v>
      </c>
      <c r="AK18" s="182">
        <f t="shared" si="10"/>
        <v>2.1847222222204437</v>
      </c>
      <c r="AL18" s="12">
        <v>0.01</v>
      </c>
      <c r="AM18" s="12">
        <f t="shared" si="3"/>
        <v>0.98258382123999988</v>
      </c>
      <c r="AN18" s="12">
        <v>850.03200000000004</v>
      </c>
      <c r="AO18" s="12">
        <f>('High STDs'!K$66*'High Data'!AN18)+'High STDs'!K$67</f>
        <v>258.40527704089516</v>
      </c>
      <c r="AP18" s="12">
        <v>75617.985000000001</v>
      </c>
      <c r="AQ18" s="33"/>
      <c r="AS18" s="214">
        <v>0.8646158916329395</v>
      </c>
      <c r="AT18" s="16">
        <v>151.65</v>
      </c>
      <c r="AU18" s="85">
        <f t="shared" si="11"/>
        <v>133.02862728062556</v>
      </c>
      <c r="AV18" s="12">
        <f t="shared" si="12"/>
        <v>18.621372719374449</v>
      </c>
      <c r="AW18" s="27"/>
      <c r="AX18" s="16">
        <v>0.97250000000000003</v>
      </c>
      <c r="AY18" s="85">
        <v>7.2512999999999996</v>
      </c>
      <c r="AZ18" s="85">
        <v>7.3334000000000001</v>
      </c>
      <c r="BA18" s="12">
        <f t="shared" si="13"/>
        <v>6.3609</v>
      </c>
      <c r="BB18" s="33">
        <f t="shared" si="14"/>
        <v>12.279177526788295</v>
      </c>
      <c r="BC18" s="124"/>
      <c r="BD18" s="124">
        <v>153.85864239597043</v>
      </c>
      <c r="BE18" s="12">
        <f t="shared" si="15"/>
        <v>475.59962731449031</v>
      </c>
      <c r="BF18" s="12">
        <v>28</v>
      </c>
      <c r="BG18" s="33">
        <f t="shared" si="4"/>
        <v>301</v>
      </c>
      <c r="BI18" s="16">
        <f t="shared" si="16"/>
        <v>23.736205420346984</v>
      </c>
      <c r="BJ18" s="85">
        <f t="shared" si="17"/>
        <v>1.255768E-3</v>
      </c>
      <c r="BK18" s="85">
        <f t="shared" si="18"/>
        <v>2.8826299815893783E-2</v>
      </c>
      <c r="BL18" s="152">
        <f t="shared" si="19"/>
        <v>23.765031720162877</v>
      </c>
      <c r="BM18" s="156">
        <f t="shared" si="20"/>
        <v>20.378582248776112</v>
      </c>
      <c r="BN18" s="85">
        <f t="shared" si="21"/>
        <v>1.255768E-3</v>
      </c>
      <c r="BO18" s="85">
        <f t="shared" si="22"/>
        <v>2.4748653431458375E-2</v>
      </c>
      <c r="BP18" s="162">
        <f t="shared" si="23"/>
        <v>20.403330902207571</v>
      </c>
      <c r="BQ18" s="16">
        <f t="shared" si="24"/>
        <v>19.185779036904858</v>
      </c>
      <c r="BR18" s="85">
        <f t="shared" si="25"/>
        <v>1.255768E-3</v>
      </c>
      <c r="BS18" s="85">
        <f t="shared" si="26"/>
        <v>2.3300060347692452E-2</v>
      </c>
      <c r="BT18" s="152">
        <f t="shared" si="27"/>
        <v>19.209079097252552</v>
      </c>
      <c r="BU18" s="156">
        <f t="shared" si="28"/>
        <v>13.091428107120869</v>
      </c>
      <c r="BV18" s="85">
        <f t="shared" si="29"/>
        <v>1.255768E-3</v>
      </c>
      <c r="BW18" s="85">
        <f t="shared" si="30"/>
        <v>1.5898810485967238E-2</v>
      </c>
      <c r="BX18" s="152">
        <f t="shared" si="31"/>
        <v>13.107326917606837</v>
      </c>
      <c r="BY18" s="156">
        <f t="shared" si="32"/>
        <v>4.9755933166456829</v>
      </c>
      <c r="BZ18" s="85">
        <f t="shared" si="33"/>
        <v>1.255768E-3</v>
      </c>
      <c r="CA18" s="85">
        <f t="shared" si="34"/>
        <v>6.0425810346517103E-3</v>
      </c>
      <c r="CB18" s="152">
        <f t="shared" si="35"/>
        <v>4.9816358976803343</v>
      </c>
    </row>
    <row r="19" spans="1:80" ht="15.75" thickBot="1" x14ac:dyDescent="0.3">
      <c r="A19" s="13" t="s">
        <v>26</v>
      </c>
      <c r="B19" s="28">
        <v>3</v>
      </c>
      <c r="C19" s="79">
        <v>41964.355555555558</v>
      </c>
      <c r="D19" s="105">
        <v>41964.397222222222</v>
      </c>
      <c r="E19" s="183">
        <f t="shared" si="5"/>
        <v>4.1666666664241347E-2</v>
      </c>
      <c r="F19" s="14">
        <v>0.23</v>
      </c>
      <c r="G19" s="14">
        <f t="shared" si="6"/>
        <v>0.99755393485999999</v>
      </c>
      <c r="H19" s="14">
        <v>4447.7219999999998</v>
      </c>
      <c r="I19" s="14">
        <f>('High STDs'!H$20*'High Data'!H19)+'High STDs'!H$21</f>
        <v>1364.2827814846664</v>
      </c>
      <c r="J19" s="14">
        <v>4683.482</v>
      </c>
      <c r="K19" s="34"/>
      <c r="L19" s="74">
        <v>41964.568055555559</v>
      </c>
      <c r="M19" s="183">
        <f t="shared" si="7"/>
        <v>0.21250000000145519</v>
      </c>
      <c r="N19" s="14">
        <v>0.15</v>
      </c>
      <c r="O19" s="14">
        <f t="shared" si="0"/>
        <v>0.99211025718000001</v>
      </c>
      <c r="P19" s="14">
        <v>4210.1840000000002</v>
      </c>
      <c r="Q19" s="14">
        <f>('High STDs'!K$20*'High Data'!P19)+'High STDs'!K$21</f>
        <v>1284.0268846420042</v>
      </c>
      <c r="R19" s="14">
        <v>15630.064</v>
      </c>
      <c r="S19" s="28"/>
      <c r="T19" s="105">
        <v>41964.670138888891</v>
      </c>
      <c r="U19" s="183">
        <f t="shared" si="8"/>
        <v>0.31458333333284827</v>
      </c>
      <c r="V19" s="14">
        <v>0.08</v>
      </c>
      <c r="W19" s="14">
        <f t="shared" si="1"/>
        <v>0.98734703920999989</v>
      </c>
      <c r="X19" s="14">
        <v>4097.8159999999998</v>
      </c>
      <c r="Y19" s="14">
        <f>('High STDs'!K$20*'High Data'!X19)+'High STDs'!K$21</f>
        <v>1249.8422881590036</v>
      </c>
      <c r="Z19" s="14">
        <v>22146.736000000001</v>
      </c>
      <c r="AA19" s="34"/>
      <c r="AB19" s="74">
        <v>41965.502083333333</v>
      </c>
      <c r="AC19" s="183">
        <f t="shared" si="9"/>
        <v>1.1465277777751908</v>
      </c>
      <c r="AD19" s="14">
        <v>0</v>
      </c>
      <c r="AE19" s="14">
        <f t="shared" si="2"/>
        <v>0.98190336152999991</v>
      </c>
      <c r="AF19" s="14">
        <v>3785.241</v>
      </c>
      <c r="AG19" s="14">
        <f>('High STDs'!K$43*'High Data'!AF19)+'High STDs'!K$44</f>
        <v>1163.1741556910792</v>
      </c>
      <c r="AH19" s="14">
        <v>73988.437000000005</v>
      </c>
      <c r="AI19" s="28"/>
      <c r="AJ19" s="105">
        <v>41966.541666666664</v>
      </c>
      <c r="AK19" s="183">
        <f t="shared" si="10"/>
        <v>2.1861111111065838</v>
      </c>
      <c r="AL19" s="14">
        <v>0.32</v>
      </c>
      <c r="AM19" s="14">
        <f t="shared" si="3"/>
        <v>1.0036780722500001</v>
      </c>
      <c r="AN19" s="14">
        <v>1165.8979999999999</v>
      </c>
      <c r="AO19" s="14">
        <f>('High STDs'!K$66*'High Data'!AN19)+'High STDs'!K$67</f>
        <v>353.24143462120708</v>
      </c>
      <c r="AP19" s="14">
        <v>96218.941999999995</v>
      </c>
      <c r="AQ19" s="34"/>
      <c r="AS19" s="217">
        <v>1.155276801077489</v>
      </c>
      <c r="AT19" s="55">
        <v>217.35</v>
      </c>
      <c r="AU19" s="60">
        <f t="shared" si="11"/>
        <v>198.66428571428571</v>
      </c>
      <c r="AV19" s="14">
        <f t="shared" si="12"/>
        <v>18.685714285714283</v>
      </c>
      <c r="AW19" s="28"/>
      <c r="AX19" s="55">
        <v>0.9919</v>
      </c>
      <c r="AY19" s="60">
        <v>6.0857999999999999</v>
      </c>
      <c r="AZ19" s="60">
        <v>6.5545</v>
      </c>
      <c r="BA19" s="14">
        <f t="shared" si="13"/>
        <v>5.5625999999999998</v>
      </c>
      <c r="BB19" s="34">
        <f t="shared" si="14"/>
        <v>8.5970620132110831</v>
      </c>
      <c r="BC19" s="127"/>
      <c r="BD19" s="127">
        <v>171.96249896907648</v>
      </c>
      <c r="BE19" s="14">
        <f t="shared" si="15"/>
        <v>355.55487300009349</v>
      </c>
      <c r="BF19" s="14">
        <v>28</v>
      </c>
      <c r="BG19" s="34">
        <f t="shared" si="4"/>
        <v>301</v>
      </c>
      <c r="BI19" s="55">
        <f t="shared" si="16"/>
        <v>19.638713068186675</v>
      </c>
      <c r="BJ19" s="60">
        <f t="shared" si="17"/>
        <v>1.255768E-3</v>
      </c>
      <c r="BK19" s="60">
        <f t="shared" si="18"/>
        <v>3.2012789131439755E-2</v>
      </c>
      <c r="BL19" s="67">
        <f t="shared" si="19"/>
        <v>19.670725857318114</v>
      </c>
      <c r="BM19" s="157">
        <f t="shared" si="20"/>
        <v>18.483437525965265</v>
      </c>
      <c r="BN19" s="60">
        <f t="shared" si="21"/>
        <v>1.255768E-3</v>
      </c>
      <c r="BO19" s="60">
        <f t="shared" si="22"/>
        <v>3.0129590767400589E-2</v>
      </c>
      <c r="BP19" s="163">
        <f t="shared" si="23"/>
        <v>18.513567116732666</v>
      </c>
      <c r="BQ19" s="55">
        <f t="shared" si="24"/>
        <v>17.991353706692244</v>
      </c>
      <c r="BR19" s="60">
        <f t="shared" si="25"/>
        <v>1.255768E-3</v>
      </c>
      <c r="BS19" s="60">
        <f t="shared" si="26"/>
        <v>2.9327451875372102E-2</v>
      </c>
      <c r="BT19" s="67">
        <f t="shared" si="27"/>
        <v>18.020681158567616</v>
      </c>
      <c r="BU19" s="157">
        <f t="shared" si="28"/>
        <v>16.743774679240968</v>
      </c>
      <c r="BV19" s="60">
        <f t="shared" si="29"/>
        <v>1.255768E-3</v>
      </c>
      <c r="BW19" s="60">
        <f t="shared" si="30"/>
        <v>2.7293790902174125E-2</v>
      </c>
      <c r="BX19" s="67">
        <f t="shared" si="31"/>
        <v>16.771068470143142</v>
      </c>
      <c r="BY19" s="157">
        <f t="shared" si="32"/>
        <v>5.0848748312803345</v>
      </c>
      <c r="BZ19" s="60">
        <f t="shared" si="33"/>
        <v>1.255768E-3</v>
      </c>
      <c r="CA19" s="60">
        <f t="shared" si="34"/>
        <v>8.2887827307399475E-3</v>
      </c>
      <c r="CB19" s="67">
        <f t="shared" si="35"/>
        <v>5.0931636140110745</v>
      </c>
    </row>
    <row r="20" spans="1:80" x14ac:dyDescent="0.25">
      <c r="A20" s="47" t="s">
        <v>27</v>
      </c>
      <c r="B20" s="110">
        <v>1</v>
      </c>
      <c r="C20" s="191">
        <v>41964.355555555558</v>
      </c>
      <c r="D20" s="106">
        <v>41964.399305555555</v>
      </c>
      <c r="E20" s="188">
        <f t="shared" si="5"/>
        <v>4.3749999997089617E-2</v>
      </c>
      <c r="F20" s="48">
        <v>-0.03</v>
      </c>
      <c r="G20" s="48">
        <f t="shared" si="6"/>
        <v>0.9798619824</v>
      </c>
      <c r="H20" s="48">
        <v>4682.0889999999999</v>
      </c>
      <c r="I20" s="48">
        <f>('High STDs'!H$20*'High Data'!H20)+'High STDs'!H$21</f>
        <v>1437.572339291881</v>
      </c>
      <c r="J20" s="48">
        <v>3451.902</v>
      </c>
      <c r="K20" s="49"/>
      <c r="L20" s="93">
        <v>41964.570138888892</v>
      </c>
      <c r="M20" s="188">
        <f t="shared" si="7"/>
        <v>0.21458333333430346</v>
      </c>
      <c r="N20" s="48">
        <v>-0.04</v>
      </c>
      <c r="O20" s="48">
        <f t="shared" si="0"/>
        <v>0.97918152269000003</v>
      </c>
      <c r="P20" s="48">
        <v>4238.482</v>
      </c>
      <c r="Q20" s="48">
        <f>('High STDs'!K$20*'High Data'!P20)+'High STDs'!K$21</f>
        <v>1292.6357030892129</v>
      </c>
      <c r="R20" s="48">
        <v>10139.356</v>
      </c>
      <c r="S20" s="110"/>
      <c r="T20" s="106">
        <v>41964.67291666667</v>
      </c>
      <c r="U20" s="188">
        <f t="shared" si="8"/>
        <v>0.31736111111240461</v>
      </c>
      <c r="V20" s="48">
        <v>-0.02</v>
      </c>
      <c r="W20" s="48">
        <f t="shared" si="1"/>
        <v>0.98054244210999997</v>
      </c>
      <c r="X20" s="48">
        <v>4041.752</v>
      </c>
      <c r="Y20" s="48">
        <f>('High STDs'!K$20*'High Data'!X20)+'High STDs'!K$21</f>
        <v>1232.7864963212655</v>
      </c>
      <c r="Z20" s="48">
        <v>14139.082</v>
      </c>
      <c r="AA20" s="49"/>
      <c r="AB20" s="93">
        <v>41965.504166666666</v>
      </c>
      <c r="AC20" s="188">
        <f t="shared" si="9"/>
        <v>1.148611111108039</v>
      </c>
      <c r="AD20" s="48">
        <v>0</v>
      </c>
      <c r="AE20" s="48">
        <f t="shared" si="2"/>
        <v>0.98190336152999991</v>
      </c>
      <c r="AF20" s="48">
        <v>2933.05</v>
      </c>
      <c r="AG20" s="48">
        <f>('High STDs'!K$43*'High Data'!AF20)+'High STDs'!K$44</f>
        <v>902.13643844200783</v>
      </c>
      <c r="AH20" s="48">
        <v>46530.192000000003</v>
      </c>
      <c r="AI20" s="110"/>
      <c r="AJ20" s="106">
        <v>41966.543749999997</v>
      </c>
      <c r="AK20" s="188">
        <f t="shared" si="10"/>
        <v>2.1881944444394321</v>
      </c>
      <c r="AL20" s="48">
        <v>0.12</v>
      </c>
      <c r="AM20" s="48">
        <f t="shared" si="3"/>
        <v>0.99006887804999988</v>
      </c>
      <c r="AN20" s="48">
        <v>1655.104</v>
      </c>
      <c r="AO20" s="48">
        <f>('High STDs'!K$66*'High Data'!AN20)+'High STDs'!K$67</f>
        <v>500.12149548636535</v>
      </c>
      <c r="AP20" s="48">
        <v>72996.365999999995</v>
      </c>
      <c r="AQ20" s="49"/>
      <c r="AS20" s="219">
        <v>1.2014057577996009</v>
      </c>
      <c r="AT20" s="47">
        <v>250.16</v>
      </c>
      <c r="AU20" s="48">
        <f t="shared" si="11"/>
        <v>213.84676222882567</v>
      </c>
      <c r="AV20" s="48">
        <f t="shared" si="12"/>
        <v>36.313237771174329</v>
      </c>
      <c r="AW20" s="110"/>
      <c r="AX20" s="47">
        <v>1.0024999999999999</v>
      </c>
      <c r="AY20" s="48">
        <v>6.4949000000000003</v>
      </c>
      <c r="AZ20" s="48">
        <v>6.5545999999999998</v>
      </c>
      <c r="BA20" s="48">
        <f t="shared" si="13"/>
        <v>5.5520999999999994</v>
      </c>
      <c r="BB20" s="49">
        <f t="shared" si="14"/>
        <v>14.516004865355908</v>
      </c>
      <c r="BC20" s="130"/>
      <c r="BD20" s="130">
        <v>177.99711782677846</v>
      </c>
      <c r="BE20" s="48">
        <f t="shared" si="15"/>
        <v>288.48309785767748</v>
      </c>
      <c r="BF20" s="48">
        <v>28</v>
      </c>
      <c r="BG20" s="49">
        <f t="shared" si="4"/>
        <v>301</v>
      </c>
      <c r="BI20" s="47">
        <f t="shared" si="16"/>
        <v>16.790053215799073</v>
      </c>
      <c r="BJ20" s="48">
        <f t="shared" si="17"/>
        <v>1.255768E-3</v>
      </c>
      <c r="BK20" s="48">
        <f t="shared" si="18"/>
        <v>6.5554739075250099E-2</v>
      </c>
      <c r="BL20" s="49">
        <f t="shared" si="19"/>
        <v>16.855607954874323</v>
      </c>
      <c r="BM20" s="130">
        <f t="shared" si="20"/>
        <v>15.097273125191323</v>
      </c>
      <c r="BN20" s="48">
        <f t="shared" si="21"/>
        <v>1.255768E-3</v>
      </c>
      <c r="BO20" s="48">
        <f t="shared" si="22"/>
        <v>5.8945483242329372E-2</v>
      </c>
      <c r="BP20" s="110">
        <f t="shared" si="23"/>
        <v>15.156218608433653</v>
      </c>
      <c r="BQ20" s="47">
        <f t="shared" si="24"/>
        <v>14.398267350600403</v>
      </c>
      <c r="BR20" s="48">
        <f t="shared" si="25"/>
        <v>1.255768E-3</v>
      </c>
      <c r="BS20" s="48">
        <f t="shared" si="26"/>
        <v>5.6216299446635261E-2</v>
      </c>
      <c r="BT20" s="49">
        <f t="shared" si="27"/>
        <v>14.454483650047038</v>
      </c>
      <c r="BU20" s="130">
        <f t="shared" si="28"/>
        <v>10.536456771847615</v>
      </c>
      <c r="BV20" s="48">
        <f t="shared" si="29"/>
        <v>1.255768E-3</v>
      </c>
      <c r="BW20" s="48">
        <f t="shared" si="30"/>
        <v>4.1138325506090409E-2</v>
      </c>
      <c r="BX20" s="49">
        <f t="shared" si="31"/>
        <v>10.577595097353704</v>
      </c>
      <c r="BY20" s="130">
        <f t="shared" si="32"/>
        <v>5.8411436378341248</v>
      </c>
      <c r="BZ20" s="48">
        <f t="shared" si="33"/>
        <v>1.255768E-3</v>
      </c>
      <c r="CA20" s="48">
        <f t="shared" si="34"/>
        <v>2.2806041300629045E-2</v>
      </c>
      <c r="CB20" s="49">
        <f t="shared" si="35"/>
        <v>5.8639496791347536</v>
      </c>
    </row>
    <row r="21" spans="1:80" x14ac:dyDescent="0.25">
      <c r="A21" s="50" t="s">
        <v>27</v>
      </c>
      <c r="B21" s="111">
        <v>2</v>
      </c>
      <c r="C21" s="192">
        <v>41964.356249999997</v>
      </c>
      <c r="D21" s="107">
        <v>41964.401388888888</v>
      </c>
      <c r="E21" s="187">
        <f t="shared" si="5"/>
        <v>4.5138888890505768E-2</v>
      </c>
      <c r="F21" s="51">
        <v>0.19</v>
      </c>
      <c r="G21" s="51">
        <f t="shared" si="6"/>
        <v>0.99483209601999989</v>
      </c>
      <c r="H21" s="51">
        <v>4351.683</v>
      </c>
      <c r="I21" s="51">
        <f>('High STDs'!H$20*'High Data'!H21)+'High STDs'!H$21</f>
        <v>1334.2501581108677</v>
      </c>
      <c r="J21" s="51">
        <v>3342.4560000000001</v>
      </c>
      <c r="K21" s="52"/>
      <c r="L21" s="94">
        <v>41964.572222222225</v>
      </c>
      <c r="M21" s="187">
        <f t="shared" si="7"/>
        <v>0.21597222222771961</v>
      </c>
      <c r="N21" s="51">
        <v>0.2</v>
      </c>
      <c r="O21" s="51">
        <f t="shared" si="0"/>
        <v>0.99551255572999986</v>
      </c>
      <c r="P21" s="51">
        <v>4076.299</v>
      </c>
      <c r="Q21" s="51">
        <f>('High STDs'!K$20*'High Data'!P21)+'High STDs'!K$21</f>
        <v>1243.2963857443951</v>
      </c>
      <c r="R21" s="51">
        <v>9262.7759999999998</v>
      </c>
      <c r="S21" s="111"/>
      <c r="T21" s="107">
        <v>41964.675000000003</v>
      </c>
      <c r="U21" s="187">
        <f t="shared" si="8"/>
        <v>0.31875000000582077</v>
      </c>
      <c r="V21" s="51">
        <v>0.2</v>
      </c>
      <c r="W21" s="51">
        <f t="shared" si="1"/>
        <v>0.99551255572999986</v>
      </c>
      <c r="X21" s="51">
        <v>3960.9780000000001</v>
      </c>
      <c r="Y21" s="51">
        <f>('High STDs'!K$20*'High Data'!X21)+'High STDs'!K$21</f>
        <v>1208.2134275088108</v>
      </c>
      <c r="Z21" s="51">
        <v>12766.316000000001</v>
      </c>
      <c r="AA21" s="52"/>
      <c r="AB21" s="94">
        <v>41965.506249999999</v>
      </c>
      <c r="AC21" s="187">
        <f t="shared" si="9"/>
        <v>1.1500000000014552</v>
      </c>
      <c r="AD21" s="51">
        <v>0</v>
      </c>
      <c r="AE21" s="51">
        <f t="shared" si="2"/>
        <v>0.98190336152999991</v>
      </c>
      <c r="AF21" s="51">
        <v>3593.002</v>
      </c>
      <c r="AG21" s="51">
        <f>('High STDs'!K$43*'High Data'!AF21)+'High STDs'!K$44</f>
        <v>1104.2887300925406</v>
      </c>
      <c r="AH21" s="51">
        <v>44350.196000000004</v>
      </c>
      <c r="AI21" s="111"/>
      <c r="AJ21" s="107">
        <v>41966.54583333333</v>
      </c>
      <c r="AK21" s="187">
        <f t="shared" si="10"/>
        <v>2.1895833333328483</v>
      </c>
      <c r="AL21" s="51">
        <v>0.2</v>
      </c>
      <c r="AM21" s="51">
        <f t="shared" si="3"/>
        <v>0.99551255572999986</v>
      </c>
      <c r="AN21" s="51">
        <v>3081.2820000000002</v>
      </c>
      <c r="AO21" s="51">
        <f>('High STDs'!K$66*'High Data'!AN21)+'High STDs'!K$67</f>
        <v>928.31966035872927</v>
      </c>
      <c r="AP21" s="51">
        <v>73082.058000000005</v>
      </c>
      <c r="AQ21" s="52"/>
      <c r="AS21" s="216">
        <v>0.87732600387916859</v>
      </c>
      <c r="AT21" s="50">
        <v>170.07</v>
      </c>
      <c r="AU21" s="51">
        <f t="shared" si="11"/>
        <v>150.86717203761552</v>
      </c>
      <c r="AV21" s="51">
        <f t="shared" si="12"/>
        <v>19.202827962384475</v>
      </c>
      <c r="AW21" s="111"/>
      <c r="AX21" s="50">
        <v>1.0144</v>
      </c>
      <c r="AY21" s="51">
        <v>6.1783000000000001</v>
      </c>
      <c r="AZ21" s="51">
        <v>6.4950999999999999</v>
      </c>
      <c r="BA21" s="51">
        <f t="shared" si="13"/>
        <v>5.4806999999999997</v>
      </c>
      <c r="BB21" s="52">
        <f t="shared" si="14"/>
        <v>11.291131864752447</v>
      </c>
      <c r="BC21" s="126"/>
      <c r="BD21" s="126">
        <v>171.96249896907648</v>
      </c>
      <c r="BE21" s="51">
        <f t="shared" si="15"/>
        <v>456.93033855788531</v>
      </c>
      <c r="BF21" s="51">
        <v>28</v>
      </c>
      <c r="BG21" s="52">
        <f t="shared" si="4"/>
        <v>301</v>
      </c>
      <c r="BI21" s="50">
        <f t="shared" si="16"/>
        <v>24.682505891342405</v>
      </c>
      <c r="BJ21" s="51">
        <f t="shared" si="17"/>
        <v>1.255768E-3</v>
      </c>
      <c r="BK21" s="51">
        <f t="shared" si="18"/>
        <v>3.2174504404415182E-2</v>
      </c>
      <c r="BL21" s="52">
        <f t="shared" si="19"/>
        <v>24.714680395746822</v>
      </c>
      <c r="BM21" s="126">
        <f t="shared" si="20"/>
        <v>22.999937589867461</v>
      </c>
      <c r="BN21" s="51">
        <f t="shared" si="21"/>
        <v>1.255768E-3</v>
      </c>
      <c r="BO21" s="51">
        <f t="shared" si="22"/>
        <v>2.9981218136608662E-2</v>
      </c>
      <c r="BP21" s="111">
        <f t="shared" si="23"/>
        <v>23.029918808004069</v>
      </c>
      <c r="BQ21" s="50">
        <f t="shared" si="24"/>
        <v>22.350932365418707</v>
      </c>
      <c r="BR21" s="51">
        <f t="shared" si="25"/>
        <v>1.255768E-3</v>
      </c>
      <c r="BS21" s="51">
        <f t="shared" si="26"/>
        <v>2.9135217266825043E-2</v>
      </c>
      <c r="BT21" s="52">
        <f t="shared" si="27"/>
        <v>22.38006758268553</v>
      </c>
      <c r="BU21" s="126">
        <f t="shared" si="28"/>
        <v>20.428412858383417</v>
      </c>
      <c r="BV21" s="51">
        <f t="shared" si="29"/>
        <v>1.255768E-3</v>
      </c>
      <c r="BW21" s="51">
        <f t="shared" si="30"/>
        <v>2.6629146261758347E-2</v>
      </c>
      <c r="BX21" s="52">
        <f t="shared" si="31"/>
        <v>20.455042004645176</v>
      </c>
      <c r="BY21" s="126">
        <f t="shared" si="32"/>
        <v>17.173133048974591</v>
      </c>
      <c r="BZ21" s="51">
        <f t="shared" si="33"/>
        <v>1.255768E-3</v>
      </c>
      <c r="CA21" s="51">
        <f t="shared" si="34"/>
        <v>2.2385775875197821E-2</v>
      </c>
      <c r="CB21" s="52">
        <f t="shared" si="35"/>
        <v>17.195518824849788</v>
      </c>
    </row>
    <row r="22" spans="1:80" ht="15.75" thickBot="1" x14ac:dyDescent="0.3">
      <c r="A22" s="92" t="s">
        <v>27</v>
      </c>
      <c r="B22" s="112">
        <v>3</v>
      </c>
      <c r="C22" s="193">
        <v>41964.356249999997</v>
      </c>
      <c r="D22" s="108">
        <v>41964.40347222222</v>
      </c>
      <c r="E22" s="189">
        <f t="shared" si="5"/>
        <v>4.7222222223354038E-2</v>
      </c>
      <c r="F22" s="53">
        <v>0</v>
      </c>
      <c r="G22" s="53">
        <f t="shared" si="6"/>
        <v>0.98190336152999991</v>
      </c>
      <c r="H22" s="53">
        <v>2112.201</v>
      </c>
      <c r="I22" s="53">
        <f>('High STDs'!H$20*'High Data'!H22)+'High STDs'!H$21</f>
        <v>633.93549991574412</v>
      </c>
      <c r="J22" s="53">
        <v>2588.038</v>
      </c>
      <c r="K22" s="54"/>
      <c r="L22" s="95">
        <v>41964.574305555558</v>
      </c>
      <c r="M22" s="189">
        <f t="shared" si="7"/>
        <v>0.21805555556056788</v>
      </c>
      <c r="N22" s="53">
        <v>0.01</v>
      </c>
      <c r="O22" s="53">
        <f t="shared" si="0"/>
        <v>0.98258382123999988</v>
      </c>
      <c r="P22" s="53">
        <v>427.36700000000002</v>
      </c>
      <c r="Q22" s="53">
        <f>('High STDs'!K$20*'High Data'!P22)+'High STDs'!K$21</f>
        <v>133.21817830180646</v>
      </c>
      <c r="R22" s="53">
        <v>5031.0619999999999</v>
      </c>
      <c r="S22" s="112"/>
      <c r="T22" s="108">
        <v>41964.677083333336</v>
      </c>
      <c r="U22" s="189">
        <f t="shared" si="8"/>
        <v>0.32083333333866904</v>
      </c>
      <c r="V22" s="53">
        <v>0.01</v>
      </c>
      <c r="W22" s="53">
        <f t="shared" si="1"/>
        <v>0.98258382123999988</v>
      </c>
      <c r="X22" s="53">
        <v>144.77199999999999</v>
      </c>
      <c r="Y22" s="53">
        <f>('High STDs'!K$20*'High Data'!X22)+'High STDs'!K$21</f>
        <v>47.247118541789447</v>
      </c>
      <c r="Z22" s="53">
        <v>5934.3760000000002</v>
      </c>
      <c r="AA22" s="54"/>
      <c r="AB22" s="95">
        <v>41965.507638888892</v>
      </c>
      <c r="AC22" s="189">
        <f t="shared" si="9"/>
        <v>1.1513888888948713</v>
      </c>
      <c r="AD22" s="53">
        <v>0.02</v>
      </c>
      <c r="AE22" s="53">
        <f t="shared" si="2"/>
        <v>0.98326428094999996</v>
      </c>
      <c r="AF22" s="53">
        <v>5.0679999999999996</v>
      </c>
      <c r="AG22" s="53">
        <f>('High STDs'!K$43*'High Data'!AF22)+'High STDs'!K$44</f>
        <v>5.2556483064977844</v>
      </c>
      <c r="AH22" s="53">
        <v>7933.0420000000004</v>
      </c>
      <c r="AI22" s="112"/>
      <c r="AJ22" s="108">
        <v>41966.54791666667</v>
      </c>
      <c r="AK22" s="189">
        <f t="shared" si="10"/>
        <v>2.1916666666729725</v>
      </c>
      <c r="AL22" s="53">
        <v>0</v>
      </c>
      <c r="AM22" s="53">
        <f t="shared" si="3"/>
        <v>0.98190336152999991</v>
      </c>
      <c r="AN22" s="53">
        <v>0</v>
      </c>
      <c r="AO22" s="53">
        <f>('High STDs'!K$66*'High Data'!AN22)+'High STDs'!K$67</f>
        <v>3.1901899460267487</v>
      </c>
      <c r="AP22" s="53">
        <v>8444.7800000000007</v>
      </c>
      <c r="AQ22" s="54"/>
      <c r="AS22" s="220">
        <v>1.5344941391148503</v>
      </c>
      <c r="AT22" s="92">
        <v>326.17</v>
      </c>
      <c r="AU22" s="53">
        <f t="shared" si="11"/>
        <v>291.65570862239838</v>
      </c>
      <c r="AV22" s="53">
        <f t="shared" si="12"/>
        <v>34.514291377601637</v>
      </c>
      <c r="AW22" s="112"/>
      <c r="AX22" s="92">
        <v>0.99119999999999997</v>
      </c>
      <c r="AY22" s="53">
        <v>6.5585000000000004</v>
      </c>
      <c r="AZ22" s="53">
        <v>6.8556999999999997</v>
      </c>
      <c r="BA22" s="53">
        <f t="shared" si="13"/>
        <v>5.8644999999999996</v>
      </c>
      <c r="BB22" s="54">
        <f t="shared" si="14"/>
        <v>10.581687885949544</v>
      </c>
      <c r="BC22" s="131"/>
      <c r="BD22" s="131">
        <v>190.06635554218249</v>
      </c>
      <c r="BE22" s="53">
        <f t="shared" si="15"/>
        <v>90.319755267307698</v>
      </c>
      <c r="BF22" s="53">
        <v>28</v>
      </c>
      <c r="BG22" s="54">
        <f t="shared" si="4"/>
        <v>301</v>
      </c>
      <c r="BI22" s="92">
        <f t="shared" si="16"/>
        <v>2.3180874543482233</v>
      </c>
      <c r="BJ22" s="53">
        <f t="shared" si="17"/>
        <v>1.255768E-3</v>
      </c>
      <c r="BK22" s="53">
        <f t="shared" si="18"/>
        <v>2.7475996084106506E-2</v>
      </c>
      <c r="BL22" s="54">
        <f t="shared" si="19"/>
        <v>2.3455634504323299</v>
      </c>
      <c r="BM22" s="131">
        <f t="shared" si="20"/>
        <v>0.48713376653237772</v>
      </c>
      <c r="BN22" s="53">
        <f t="shared" si="21"/>
        <v>1.255768E-3</v>
      </c>
      <c r="BO22" s="53">
        <f t="shared" si="22"/>
        <v>5.7739346445162395E-3</v>
      </c>
      <c r="BP22" s="112">
        <f t="shared" si="23"/>
        <v>0.49290770117689398</v>
      </c>
      <c r="BQ22" s="92">
        <f t="shared" si="24"/>
        <v>0.17276671327032808</v>
      </c>
      <c r="BR22" s="53">
        <f t="shared" si="25"/>
        <v>1.255768E-3</v>
      </c>
      <c r="BS22" s="53">
        <f t="shared" si="26"/>
        <v>2.0477819024365415E-3</v>
      </c>
      <c r="BT22" s="54">
        <f t="shared" si="27"/>
        <v>0.17481449517276462</v>
      </c>
      <c r="BU22" s="131">
        <f t="shared" si="28"/>
        <v>1.9218126142767269E-2</v>
      </c>
      <c r="BV22" s="53">
        <f t="shared" si="29"/>
        <v>1.255768E-3</v>
      </c>
      <c r="BW22" s="53">
        <f t="shared" si="30"/>
        <v>2.2779000751333022E-4</v>
      </c>
      <c r="BX22" s="54">
        <f t="shared" si="31"/>
        <v>1.9445916150280598E-2</v>
      </c>
      <c r="BY22" s="131">
        <f t="shared" si="32"/>
        <v>1.1665444342295586E-2</v>
      </c>
      <c r="BZ22" s="53">
        <f t="shared" si="33"/>
        <v>1.255768E-3</v>
      </c>
      <c r="CA22" s="53">
        <f t="shared" si="34"/>
        <v>1.3826902969818993E-4</v>
      </c>
      <c r="CB22" s="54">
        <f t="shared" si="35"/>
        <v>1.1803713371993776E-2</v>
      </c>
    </row>
    <row r="23" spans="1:80" x14ac:dyDescent="0.25">
      <c r="A23" s="15" t="s">
        <v>28</v>
      </c>
      <c r="B23" s="26">
        <v>1</v>
      </c>
      <c r="C23" s="77">
        <v>41964.356944444444</v>
      </c>
      <c r="D23" s="104">
        <v>41964.405555555553</v>
      </c>
      <c r="E23" s="181">
        <f t="shared" si="5"/>
        <v>4.8611111109494232E-2</v>
      </c>
      <c r="F23" s="10">
        <v>0.03</v>
      </c>
      <c r="G23" s="10">
        <f t="shared" si="6"/>
        <v>0.98394474065999993</v>
      </c>
      <c r="H23" s="10">
        <v>4227.6940000000004</v>
      </c>
      <c r="I23" s="10">
        <f>('High STDs'!H$20*'High Data'!H23)+'High STDs'!H$21</f>
        <v>1295.4772123336948</v>
      </c>
      <c r="J23" s="10">
        <v>3870.3620000000001</v>
      </c>
      <c r="K23" s="32"/>
      <c r="L23" s="72">
        <v>41964.57708333333</v>
      </c>
      <c r="M23" s="181">
        <f t="shared" si="7"/>
        <v>0.22013888888614019</v>
      </c>
      <c r="N23" s="10">
        <v>0.04</v>
      </c>
      <c r="O23" s="10">
        <f t="shared" si="0"/>
        <v>0.9846252003699999</v>
      </c>
      <c r="P23" s="10">
        <v>3747.268</v>
      </c>
      <c r="Q23" s="10">
        <f>('High STDs'!K$20*'High Data'!P23)+'High STDs'!K$21</f>
        <v>1143.1985646085004</v>
      </c>
      <c r="R23" s="10">
        <v>10940.258</v>
      </c>
      <c r="S23" s="26"/>
      <c r="T23" s="104">
        <v>41964.679166666669</v>
      </c>
      <c r="U23" s="181">
        <f t="shared" si="8"/>
        <v>0.32222222222480923</v>
      </c>
      <c r="V23" s="10">
        <v>0.04</v>
      </c>
      <c r="W23" s="10">
        <f t="shared" si="1"/>
        <v>0.9846252003699999</v>
      </c>
      <c r="X23" s="10">
        <v>3403.49</v>
      </c>
      <c r="Y23" s="10">
        <f>('High STDs'!K$20*'High Data'!X23)+'High STDs'!K$21</f>
        <v>1038.6144106702525</v>
      </c>
      <c r="Z23" s="10">
        <v>14443.887000000001</v>
      </c>
      <c r="AA23" s="32"/>
      <c r="AB23" s="72">
        <v>41965.509722222225</v>
      </c>
      <c r="AC23" s="181">
        <f t="shared" si="9"/>
        <v>1.1527777777810115</v>
      </c>
      <c r="AD23" s="10">
        <v>0.01</v>
      </c>
      <c r="AE23" s="10">
        <f t="shared" si="2"/>
        <v>0.98258382123999988</v>
      </c>
      <c r="AF23" s="10">
        <v>2032.8489999999999</v>
      </c>
      <c r="AG23" s="10">
        <f>('High STDs'!K$43*'High Data'!AF23)+'High STDs'!K$44</f>
        <v>626.39260389631181</v>
      </c>
      <c r="AH23" s="10">
        <v>42475.036</v>
      </c>
      <c r="AI23" s="26"/>
      <c r="AJ23" s="104">
        <v>41966.550694444442</v>
      </c>
      <c r="AK23" s="181">
        <f t="shared" si="10"/>
        <v>2.1937499999985448</v>
      </c>
      <c r="AL23" s="10">
        <v>0.04</v>
      </c>
      <c r="AM23" s="10">
        <f t="shared" si="3"/>
        <v>0.9846252003699999</v>
      </c>
      <c r="AN23" s="10">
        <v>1048.0940000000001</v>
      </c>
      <c r="AO23" s="10">
        <f>('High STDs'!K$66*'High Data'!AN23)+'High STDs'!K$67</f>
        <v>317.87175663246796</v>
      </c>
      <c r="AP23" s="10">
        <v>64168.739000000001</v>
      </c>
      <c r="AQ23" s="32"/>
      <c r="AS23" s="218">
        <v>1.2843976415849589</v>
      </c>
      <c r="AT23" s="15">
        <v>228.83</v>
      </c>
      <c r="AU23" s="128">
        <f t="shared" si="11"/>
        <v>220.86822811693776</v>
      </c>
      <c r="AV23" s="10">
        <f t="shared" si="12"/>
        <v>7.961771883062255</v>
      </c>
      <c r="AW23" s="26"/>
      <c r="AX23" s="15">
        <v>0.98070000000000002</v>
      </c>
      <c r="AY23" s="128">
        <v>7.0156999999999998</v>
      </c>
      <c r="AZ23" s="128">
        <v>7.7523</v>
      </c>
      <c r="BA23" s="10">
        <f t="shared" si="13"/>
        <v>6.7716000000000003</v>
      </c>
      <c r="BB23" s="32">
        <f t="shared" si="14"/>
        <v>3.4793391963738407</v>
      </c>
      <c r="BC23" s="129"/>
      <c r="BD23" s="129">
        <v>171.96249896907648</v>
      </c>
      <c r="BE23" s="10">
        <f t="shared" si="15"/>
        <v>323.46951579305158</v>
      </c>
      <c r="BF23" s="10">
        <v>28</v>
      </c>
      <c r="BG23" s="32">
        <f t="shared" si="4"/>
        <v>301</v>
      </c>
      <c r="BI23" s="15">
        <f t="shared" si="16"/>
        <v>16.965440027049024</v>
      </c>
      <c r="BJ23" s="128">
        <f t="shared" si="17"/>
        <v>1.255768E-3</v>
      </c>
      <c r="BK23" s="128">
        <f t="shared" si="18"/>
        <v>1.295236040343041E-2</v>
      </c>
      <c r="BL23" s="154">
        <f t="shared" si="19"/>
        <v>16.978392387452455</v>
      </c>
      <c r="BM23" s="158">
        <f t="shared" si="20"/>
        <v>14.971214084063897</v>
      </c>
      <c r="BN23" s="128">
        <f t="shared" si="21"/>
        <v>1.255768E-3</v>
      </c>
      <c r="BO23" s="128">
        <f t="shared" si="22"/>
        <v>1.142985741510638E-2</v>
      </c>
      <c r="BP23" s="164">
        <f t="shared" si="23"/>
        <v>14.982643941479003</v>
      </c>
      <c r="BQ23" s="15">
        <f t="shared" si="24"/>
        <v>13.601590462338644</v>
      </c>
      <c r="BR23" s="128">
        <f t="shared" si="25"/>
        <v>1.255768E-3</v>
      </c>
      <c r="BS23" s="128">
        <f t="shared" si="26"/>
        <v>1.0384210574390585E-2</v>
      </c>
      <c r="BT23" s="154">
        <f t="shared" si="27"/>
        <v>13.611974672913034</v>
      </c>
      <c r="BU23" s="158">
        <f t="shared" si="28"/>
        <v>8.203174902356059</v>
      </c>
      <c r="BV23" s="128">
        <f t="shared" si="29"/>
        <v>1.255768E-3</v>
      </c>
      <c r="BW23" s="128">
        <f t="shared" si="30"/>
        <v>6.2627599177085391E-3</v>
      </c>
      <c r="BX23" s="154">
        <f t="shared" si="31"/>
        <v>8.2094376622737677</v>
      </c>
      <c r="BY23" s="158">
        <f t="shared" si="32"/>
        <v>4.1628167381857031</v>
      </c>
      <c r="BZ23" s="128">
        <f t="shared" si="33"/>
        <v>1.255768E-3</v>
      </c>
      <c r="CA23" s="128">
        <f t="shared" si="34"/>
        <v>3.1781258016561095E-3</v>
      </c>
      <c r="CB23" s="154">
        <f t="shared" si="35"/>
        <v>4.1659948639873594</v>
      </c>
    </row>
    <row r="24" spans="1:80" x14ac:dyDescent="0.25">
      <c r="A24" s="16" t="s">
        <v>28</v>
      </c>
      <c r="B24" s="27">
        <v>2</v>
      </c>
      <c r="C24" s="78">
        <v>41964.356944444444</v>
      </c>
      <c r="D24" s="82">
        <v>41964.407638888886</v>
      </c>
      <c r="E24" s="182">
        <f t="shared" si="5"/>
        <v>5.0694444442342501E-2</v>
      </c>
      <c r="F24" s="12">
        <v>0.01</v>
      </c>
      <c r="G24" s="12">
        <f t="shared" si="6"/>
        <v>0.98258382123999988</v>
      </c>
      <c r="H24" s="12">
        <v>3142.9659999999999</v>
      </c>
      <c r="I24" s="12">
        <f>('High STDs'!H$20*'High Data'!H24)+'High STDs'!H$21</f>
        <v>956.26889605578742</v>
      </c>
      <c r="J24" s="12">
        <v>3205.7739999999999</v>
      </c>
      <c r="K24" s="33"/>
      <c r="L24" s="73">
        <v>41964.57916666667</v>
      </c>
      <c r="M24" s="182">
        <f t="shared" si="7"/>
        <v>0.22222222222626442</v>
      </c>
      <c r="N24" s="12">
        <v>0.01</v>
      </c>
      <c r="O24" s="12">
        <f t="shared" si="0"/>
        <v>0.98258382123999988</v>
      </c>
      <c r="P24" s="12">
        <v>569.23</v>
      </c>
      <c r="Q24" s="12">
        <f>('High STDs'!K$20*'High Data'!P24)+'High STDs'!K$21</f>
        <v>176.37574460954471</v>
      </c>
      <c r="R24" s="12">
        <v>5181.0320000000002</v>
      </c>
      <c r="S24" s="27"/>
      <c r="T24" s="82">
        <v>41964.681944444441</v>
      </c>
      <c r="U24" s="182">
        <f t="shared" si="8"/>
        <v>0.32499999999708962</v>
      </c>
      <c r="V24" s="12">
        <v>0</v>
      </c>
      <c r="W24" s="12">
        <f t="shared" si="1"/>
        <v>0.98190336152999991</v>
      </c>
      <c r="X24" s="12">
        <v>191.12200000000001</v>
      </c>
      <c r="Y24" s="12">
        <f>('High STDs'!K$20*'High Data'!X24)+'High STDs'!K$21</f>
        <v>61.347716994970824</v>
      </c>
      <c r="Z24" s="12">
        <v>5411.47</v>
      </c>
      <c r="AA24" s="33"/>
      <c r="AB24" s="73">
        <v>41965.511805555558</v>
      </c>
      <c r="AC24" s="182">
        <f t="shared" si="9"/>
        <v>1.1548611111138598</v>
      </c>
      <c r="AD24" s="12">
        <v>-0.01</v>
      </c>
      <c r="AE24" s="12">
        <f t="shared" si="2"/>
        <v>0.98122290181999994</v>
      </c>
      <c r="AF24" s="12">
        <v>9.2560000000000002</v>
      </c>
      <c r="AG24" s="12">
        <f>('High STDs'!K$43*'High Data'!AF24)+'High STDs'!K$44</f>
        <v>6.5384897819875638</v>
      </c>
      <c r="AH24" s="12">
        <v>8145.2179999999998</v>
      </c>
      <c r="AI24" s="27"/>
      <c r="AJ24" s="82">
        <v>41966.552777777775</v>
      </c>
      <c r="AK24" s="182">
        <f t="shared" si="10"/>
        <v>2.1958333333313931</v>
      </c>
      <c r="AL24" s="12">
        <v>0</v>
      </c>
      <c r="AM24" s="12">
        <f t="shared" si="3"/>
        <v>0.98190336152999991</v>
      </c>
      <c r="AN24" s="12">
        <v>5.4939999999999998</v>
      </c>
      <c r="AO24" s="12">
        <f>('High STDs'!K$66*'High Data'!AN24)+'High STDs'!K$67</f>
        <v>4.8397180679082865</v>
      </c>
      <c r="AP24" s="12">
        <v>8920.2939999999999</v>
      </c>
      <c r="AQ24" s="33"/>
      <c r="AS24" s="214">
        <v>1.2302584651273076</v>
      </c>
      <c r="AT24" s="16">
        <v>248.65</v>
      </c>
      <c r="AU24" s="85">
        <f t="shared" si="11"/>
        <v>233.83074284166656</v>
      </c>
      <c r="AV24" s="12">
        <f t="shared" si="12"/>
        <v>14.819257158333443</v>
      </c>
      <c r="AW24" s="27"/>
      <c r="AX24" s="16">
        <v>0.98370000000000002</v>
      </c>
      <c r="AY24" s="85">
        <v>6.6460999999999997</v>
      </c>
      <c r="AZ24" s="85">
        <v>7.2336999999999998</v>
      </c>
      <c r="BA24" s="12">
        <f t="shared" si="13"/>
        <v>6.25</v>
      </c>
      <c r="BB24" s="33">
        <f t="shared" si="14"/>
        <v>5.9598862490784024</v>
      </c>
      <c r="BC24" s="124"/>
      <c r="BD24" s="124">
        <v>190.06635554218249</v>
      </c>
      <c r="BE24" s="12">
        <f t="shared" si="15"/>
        <v>304.61697548776152</v>
      </c>
      <c r="BF24" s="12">
        <v>28</v>
      </c>
      <c r="BG24" s="33">
        <f t="shared" si="4"/>
        <v>301</v>
      </c>
      <c r="BI24" s="16">
        <f t="shared" si="16"/>
        <v>11.79332110405945</v>
      </c>
      <c r="BJ24" s="85">
        <f t="shared" si="17"/>
        <v>1.255768E-3</v>
      </c>
      <c r="BK24" s="85">
        <f t="shared" si="18"/>
        <v>1.7795732804890437E-2</v>
      </c>
      <c r="BL24" s="152">
        <f t="shared" si="19"/>
        <v>11.81111683686434</v>
      </c>
      <c r="BM24" s="156">
        <f t="shared" si="20"/>
        <v>2.1751787595803971</v>
      </c>
      <c r="BN24" s="85">
        <f t="shared" si="21"/>
        <v>1.255768E-3</v>
      </c>
      <c r="BO24" s="85">
        <f t="shared" si="22"/>
        <v>3.2822730481782219E-3</v>
      </c>
      <c r="BP24" s="162">
        <f t="shared" si="23"/>
        <v>2.1784610326285754</v>
      </c>
      <c r="BQ24" s="16">
        <f t="shared" si="24"/>
        <v>0.75657937689573052</v>
      </c>
      <c r="BR24" s="85">
        <f t="shared" si="25"/>
        <v>1.255768E-3</v>
      </c>
      <c r="BS24" s="85">
        <f t="shared" si="26"/>
        <v>1.1416533407449102E-3</v>
      </c>
      <c r="BT24" s="152">
        <f t="shared" si="27"/>
        <v>0.75772103023647541</v>
      </c>
      <c r="BU24" s="156">
        <f t="shared" si="28"/>
        <v>8.0636847912380988E-2</v>
      </c>
      <c r="BV24" s="85">
        <f t="shared" si="29"/>
        <v>1.255768E-3</v>
      </c>
      <c r="BW24" s="85">
        <f t="shared" si="30"/>
        <v>1.2167834548178056E-4</v>
      </c>
      <c r="BX24" s="152">
        <f t="shared" si="31"/>
        <v>8.075852625786277E-2</v>
      </c>
      <c r="BY24" s="156">
        <f t="shared" si="32"/>
        <v>5.9686506027098532E-2</v>
      </c>
      <c r="BZ24" s="85">
        <f t="shared" si="33"/>
        <v>1.255768E-3</v>
      </c>
      <c r="CA24" s="85">
        <f t="shared" si="34"/>
        <v>9.0064970159263631E-5</v>
      </c>
      <c r="CB24" s="152">
        <f t="shared" si="35"/>
        <v>5.9776570997257798E-2</v>
      </c>
    </row>
    <row r="25" spans="1:80" ht="15.75" thickBot="1" x14ac:dyDescent="0.3">
      <c r="A25" s="55" t="s">
        <v>28</v>
      </c>
      <c r="B25" s="28">
        <v>3</v>
      </c>
      <c r="C25" s="79">
        <v>41964.356944444444</v>
      </c>
      <c r="D25" s="105">
        <v>41964.409722222219</v>
      </c>
      <c r="E25" s="183">
        <f t="shared" si="5"/>
        <v>5.2777777775190771E-2</v>
      </c>
      <c r="F25" s="14">
        <v>0.19</v>
      </c>
      <c r="G25" s="14">
        <f t="shared" si="6"/>
        <v>0.99483209601999989</v>
      </c>
      <c r="H25" s="14">
        <v>4661.2460000000001</v>
      </c>
      <c r="I25" s="14">
        <f>('High STDs'!H$20*'High Data'!H25)+'High STDs'!H$21</f>
        <v>1431.0544666674255</v>
      </c>
      <c r="J25" s="14">
        <v>6580.3140000000003</v>
      </c>
      <c r="K25" s="34"/>
      <c r="L25" s="74">
        <v>41964.581250000003</v>
      </c>
      <c r="M25" s="183">
        <f t="shared" si="7"/>
        <v>0.22430555555911269</v>
      </c>
      <c r="N25" s="14">
        <v>0.1</v>
      </c>
      <c r="O25" s="14">
        <f t="shared" si="0"/>
        <v>0.98870795862999994</v>
      </c>
      <c r="P25" s="14">
        <v>4541.7179999999998</v>
      </c>
      <c r="Q25" s="14">
        <f>('High STDs'!K$20*'High Data'!P25)+'High STDs'!K$21</f>
        <v>1384.8861685163738</v>
      </c>
      <c r="R25" s="14">
        <v>18063.830999999998</v>
      </c>
      <c r="S25" s="28"/>
      <c r="T25" s="105">
        <v>41964.684027777781</v>
      </c>
      <c r="U25" s="183">
        <f t="shared" si="8"/>
        <v>0.32708333333721384</v>
      </c>
      <c r="V25" s="14">
        <v>0</v>
      </c>
      <c r="W25" s="14">
        <f t="shared" si="1"/>
        <v>0.98190336152999991</v>
      </c>
      <c r="X25" s="14">
        <v>4363.8459999999995</v>
      </c>
      <c r="Y25" s="14">
        <f>('High STDs'!K$20*'High Data'!X25)+'High STDs'!K$21</f>
        <v>1330.7739430996687</v>
      </c>
      <c r="Z25" s="14">
        <v>24202.582999999999</v>
      </c>
      <c r="AA25" s="34"/>
      <c r="AB25" s="74">
        <v>41965.513888888891</v>
      </c>
      <c r="AC25" s="183">
        <f t="shared" si="9"/>
        <v>1.1569444444467081</v>
      </c>
      <c r="AD25" s="14">
        <v>0</v>
      </c>
      <c r="AE25" s="14">
        <f t="shared" si="2"/>
        <v>0.98190336152999991</v>
      </c>
      <c r="AF25" s="14">
        <v>4192.6189999999997</v>
      </c>
      <c r="AG25" s="14">
        <f>('High STDs'!K$43*'High Data'!AF25)+'High STDs'!K$44</f>
        <v>1287.9595889771526</v>
      </c>
      <c r="AH25" s="14">
        <v>73970.914000000004</v>
      </c>
      <c r="AI25" s="28"/>
      <c r="AJ25" s="105">
        <v>41966.554166666669</v>
      </c>
      <c r="AK25" s="183">
        <f t="shared" si="10"/>
        <v>2.1972222222248092</v>
      </c>
      <c r="AL25" s="14">
        <v>0.14000000000000001</v>
      </c>
      <c r="AM25" s="14">
        <f t="shared" si="3"/>
        <v>0.99142979746999993</v>
      </c>
      <c r="AN25" s="14">
        <v>3894.2020000000002</v>
      </c>
      <c r="AO25" s="14">
        <f>('High STDs'!K$66*'High Data'!AN25)+'High STDs'!K$67</f>
        <v>1172.3921759830357</v>
      </c>
      <c r="AP25" s="14">
        <v>94201.725999999995</v>
      </c>
      <c r="AQ25" s="34"/>
      <c r="AS25" s="217">
        <v>1.1968323315951872</v>
      </c>
      <c r="AT25" s="55">
        <v>250.21</v>
      </c>
      <c r="AU25" s="60">
        <f t="shared" si="11"/>
        <v>227.47755946135013</v>
      </c>
      <c r="AV25" s="14">
        <f t="shared" si="12"/>
        <v>22.732440538649882</v>
      </c>
      <c r="AW25" s="28"/>
      <c r="AX25" s="55">
        <v>0.97840000000000005</v>
      </c>
      <c r="AY25" s="60">
        <v>6.8616000000000001</v>
      </c>
      <c r="AZ25" s="60">
        <v>7.2165999999999997</v>
      </c>
      <c r="BA25" s="14">
        <f t="shared" si="13"/>
        <v>6.2382</v>
      </c>
      <c r="BB25" s="34">
        <f t="shared" si="14"/>
        <v>9.0853445260580639</v>
      </c>
      <c r="BC25" s="127"/>
      <c r="BD25" s="127">
        <v>190.06635554218249</v>
      </c>
      <c r="BE25" s="14">
        <f t="shared" si="15"/>
        <v>303.14814177291828</v>
      </c>
      <c r="BF25" s="14">
        <v>28</v>
      </c>
      <c r="BG25" s="34">
        <f t="shared" si="4"/>
        <v>301</v>
      </c>
      <c r="BI25" s="55">
        <f t="shared" si="16"/>
        <v>17.563580912194737</v>
      </c>
      <c r="BJ25" s="60">
        <f t="shared" si="17"/>
        <v>1.255768E-3</v>
      </c>
      <c r="BK25" s="60">
        <f t="shared" si="18"/>
        <v>4.0851841601632237E-2</v>
      </c>
      <c r="BL25" s="67">
        <f t="shared" si="19"/>
        <v>17.60443275379637</v>
      </c>
      <c r="BM25" s="157">
        <f t="shared" si="20"/>
        <v>16.996949341530154</v>
      </c>
      <c r="BN25" s="60">
        <f t="shared" si="21"/>
        <v>1.255768E-3</v>
      </c>
      <c r="BO25" s="60">
        <f t="shared" si="22"/>
        <v>3.9533890365662953E-2</v>
      </c>
      <c r="BP25" s="163">
        <f t="shared" si="23"/>
        <v>17.036483231895819</v>
      </c>
      <c r="BQ25" s="55">
        <f t="shared" si="24"/>
        <v>16.332820566852224</v>
      </c>
      <c r="BR25" s="60">
        <f t="shared" si="25"/>
        <v>1.255768E-3</v>
      </c>
      <c r="BS25" s="60">
        <f t="shared" si="26"/>
        <v>3.7989166448492311E-2</v>
      </c>
      <c r="BT25" s="67">
        <f t="shared" si="27"/>
        <v>16.370809733300717</v>
      </c>
      <c r="BU25" s="157">
        <f t="shared" si="28"/>
        <v>15.807352535865721</v>
      </c>
      <c r="BV25" s="60">
        <f t="shared" si="29"/>
        <v>1.255768E-3</v>
      </c>
      <c r="BW25" s="60">
        <f t="shared" si="30"/>
        <v>3.6766959150567227E-2</v>
      </c>
      <c r="BX25" s="67">
        <f t="shared" si="31"/>
        <v>15.844119495016288</v>
      </c>
      <c r="BY25" s="157">
        <f t="shared" si="32"/>
        <v>14.388973531981929</v>
      </c>
      <c r="BZ25" s="60">
        <f t="shared" si="33"/>
        <v>1.255768E-3</v>
      </c>
      <c r="CA25" s="60">
        <f t="shared" si="34"/>
        <v>3.3467894188392543E-2</v>
      </c>
      <c r="CB25" s="67">
        <f t="shared" si="35"/>
        <v>14.422441426170321</v>
      </c>
    </row>
    <row r="26" spans="1:80" x14ac:dyDescent="0.25">
      <c r="A26" s="47" t="s">
        <v>29</v>
      </c>
      <c r="B26" s="110">
        <v>1</v>
      </c>
      <c r="C26" s="191">
        <v>41964.357638888891</v>
      </c>
      <c r="D26" s="106">
        <v>41964.411805555559</v>
      </c>
      <c r="E26" s="188">
        <f t="shared" si="5"/>
        <v>5.4166666668606922E-2</v>
      </c>
      <c r="F26" s="48">
        <v>0</v>
      </c>
      <c r="G26" s="48">
        <f t="shared" si="6"/>
        <v>0.98190336152999991</v>
      </c>
      <c r="H26" s="48">
        <v>2488.904</v>
      </c>
      <c r="I26" s="48">
        <f>('High STDs'!H$20*'High Data'!H26)+'High STDs'!H$21</f>
        <v>751.73534500763492</v>
      </c>
      <c r="J26" s="48">
        <v>5290.4319999999998</v>
      </c>
      <c r="K26" s="49"/>
      <c r="L26" s="93">
        <v>41964.583333333336</v>
      </c>
      <c r="M26" s="188">
        <f t="shared" si="7"/>
        <v>0.22569444444525288</v>
      </c>
      <c r="N26" s="48">
        <v>0.01</v>
      </c>
      <c r="O26" s="48">
        <f t="shared" si="0"/>
        <v>0.98258382123999988</v>
      </c>
      <c r="P26" s="48">
        <v>266.52800000000002</v>
      </c>
      <c r="Q26" s="48">
        <f>('High STDs'!K$20*'High Data'!P26)+'High STDs'!K$21</f>
        <v>84.287732679126037</v>
      </c>
      <c r="R26" s="48">
        <v>11107.527</v>
      </c>
      <c r="S26" s="110"/>
      <c r="T26" s="106">
        <v>41964.693749999999</v>
      </c>
      <c r="U26" s="188">
        <f t="shared" si="8"/>
        <v>0.33611111110803904</v>
      </c>
      <c r="V26" s="48">
        <v>0</v>
      </c>
      <c r="W26" s="48">
        <f t="shared" si="1"/>
        <v>0.98190336152999991</v>
      </c>
      <c r="X26" s="48">
        <v>67</v>
      </c>
      <c r="Y26" s="48">
        <f>('High STDs'!K$20*'High Data'!X26)+'High STDs'!K$21</f>
        <v>23.587318263454584</v>
      </c>
      <c r="Z26" s="48">
        <v>12397.772999999999</v>
      </c>
      <c r="AA26" s="49"/>
      <c r="AB26" s="93">
        <v>41965.515972222223</v>
      </c>
      <c r="AC26" s="188">
        <f t="shared" si="9"/>
        <v>1.1583333333328483</v>
      </c>
      <c r="AD26" s="48">
        <v>0.02</v>
      </c>
      <c r="AE26" s="48">
        <f t="shared" si="2"/>
        <v>0.98326428094999996</v>
      </c>
      <c r="AF26" s="48">
        <v>10.403</v>
      </c>
      <c r="AG26" s="48">
        <f>('High STDs'!K$43*'High Data'!AF26)+'High STDs'!K$44</f>
        <v>6.8898315136940536</v>
      </c>
      <c r="AH26" s="48">
        <v>17271.435000000001</v>
      </c>
      <c r="AI26" s="110"/>
      <c r="AJ26" s="106">
        <v>41966.556250000001</v>
      </c>
      <c r="AK26" s="188">
        <f t="shared" si="10"/>
        <v>2.1986111111109494</v>
      </c>
      <c r="AL26" s="48">
        <v>0</v>
      </c>
      <c r="AM26" s="48">
        <f t="shared" si="3"/>
        <v>0.98190336152999991</v>
      </c>
      <c r="AN26" s="48">
        <v>5.4960000000000004</v>
      </c>
      <c r="AO26" s="48">
        <f>('High STDs'!K$66*'High Data'!AN26)+'High STDs'!K$67</f>
        <v>4.8403185513891316</v>
      </c>
      <c r="AP26" s="48">
        <v>18380.037</v>
      </c>
      <c r="AQ26" s="49"/>
      <c r="AS26" s="219">
        <v>0.18390894561134657</v>
      </c>
      <c r="AT26" s="47">
        <v>134.46</v>
      </c>
      <c r="AU26" s="48">
        <f t="shared" si="11"/>
        <v>26.076339913663489</v>
      </c>
      <c r="AV26" s="48">
        <f t="shared" si="12"/>
        <v>108.38366008633652</v>
      </c>
      <c r="AW26" s="110"/>
      <c r="AX26" s="47">
        <v>1.0192000000000001</v>
      </c>
      <c r="AY26" s="48">
        <v>6.1851000000000003</v>
      </c>
      <c r="AZ26" s="48">
        <v>2.2187000000000001</v>
      </c>
      <c r="BA26" s="48">
        <f t="shared" si="13"/>
        <v>1.1995</v>
      </c>
      <c r="BB26" s="49">
        <f t="shared" si="14"/>
        <v>80.606619133077871</v>
      </c>
      <c r="BC26" s="130"/>
      <c r="BD26" s="130">
        <v>141.78940468056641</v>
      </c>
      <c r="BE26" s="48">
        <f t="shared" si="15"/>
        <v>492.22794308676191</v>
      </c>
      <c r="BF26" s="48">
        <v>28</v>
      </c>
      <c r="BG26" s="49">
        <f t="shared" si="4"/>
        <v>301</v>
      </c>
      <c r="BI26" s="47">
        <f t="shared" si="16"/>
        <v>14.980738614348528</v>
      </c>
      <c r="BJ26" s="48">
        <f t="shared" si="17"/>
        <v>1.255768E-3</v>
      </c>
      <c r="BK26" s="48">
        <f t="shared" si="18"/>
        <v>0.10231473771176856</v>
      </c>
      <c r="BL26" s="49">
        <f t="shared" si="19"/>
        <v>15.083053352060297</v>
      </c>
      <c r="BM26" s="130">
        <f t="shared" si="20"/>
        <v>1.6797035021005235</v>
      </c>
      <c r="BN26" s="48">
        <f t="shared" si="21"/>
        <v>1.255768E-3</v>
      </c>
      <c r="BO26" s="48">
        <f t="shared" si="22"/>
        <v>1.1471959272178237E-2</v>
      </c>
      <c r="BP26" s="110">
        <f t="shared" si="23"/>
        <v>1.6911754613727017</v>
      </c>
      <c r="BQ26" s="47">
        <f t="shared" si="24"/>
        <v>0.47005299386936972</v>
      </c>
      <c r="BR26" s="48">
        <f t="shared" si="25"/>
        <v>1.255768E-3</v>
      </c>
      <c r="BS26" s="48">
        <f t="shared" si="26"/>
        <v>3.2103456322448874E-3</v>
      </c>
      <c r="BT26" s="49">
        <f t="shared" si="27"/>
        <v>0.47326333950161459</v>
      </c>
      <c r="BU26" s="130">
        <f t="shared" si="28"/>
        <v>0.1373019982218657</v>
      </c>
      <c r="BV26" s="48">
        <f t="shared" si="29"/>
        <v>1.255768E-3</v>
      </c>
      <c r="BW26" s="48">
        <f t="shared" si="30"/>
        <v>9.3773867210504103E-4</v>
      </c>
      <c r="BX26" s="49">
        <f t="shared" si="31"/>
        <v>0.13823973689397073</v>
      </c>
      <c r="BY26" s="130">
        <f t="shared" si="32"/>
        <v>9.645887679766639E-2</v>
      </c>
      <c r="BZ26" s="48">
        <f t="shared" si="33"/>
        <v>1.255768E-3</v>
      </c>
      <c r="CA26" s="48">
        <f t="shared" si="34"/>
        <v>6.5879025951847022E-4</v>
      </c>
      <c r="CB26" s="49">
        <f t="shared" si="35"/>
        <v>9.7117667057184859E-2</v>
      </c>
    </row>
    <row r="27" spans="1:80" x14ac:dyDescent="0.25">
      <c r="A27" s="50" t="s">
        <v>29</v>
      </c>
      <c r="B27" s="111">
        <v>2</v>
      </c>
      <c r="C27" s="192">
        <v>41964.35833333333</v>
      </c>
      <c r="D27" s="107">
        <v>41964.413888888892</v>
      </c>
      <c r="E27" s="187">
        <f t="shared" si="5"/>
        <v>5.5555555562023073E-2</v>
      </c>
      <c r="F27" s="51">
        <v>0</v>
      </c>
      <c r="G27" s="51">
        <f t="shared" si="6"/>
        <v>0.98190336152999991</v>
      </c>
      <c r="H27" s="51">
        <v>2608.4259999999999</v>
      </c>
      <c r="I27" s="51">
        <f>('High STDs'!H$20*'High Data'!H27)+'High STDs'!H$21</f>
        <v>789.11140276420429</v>
      </c>
      <c r="J27" s="51">
        <v>6268.4620000000004</v>
      </c>
      <c r="K27" s="52"/>
      <c r="L27" s="94">
        <v>41964.585416666669</v>
      </c>
      <c r="M27" s="187">
        <f t="shared" si="7"/>
        <v>0.22708333333866904</v>
      </c>
      <c r="N27" s="51">
        <v>0</v>
      </c>
      <c r="O27" s="51">
        <f t="shared" si="0"/>
        <v>0.98190336152999991</v>
      </c>
      <c r="P27" s="51">
        <v>350.53399999999999</v>
      </c>
      <c r="Q27" s="51">
        <f>('High STDs'!K$20*'High Data'!P27)+'High STDs'!K$21</f>
        <v>109.84404063291143</v>
      </c>
      <c r="R27" s="51">
        <v>14240.822</v>
      </c>
      <c r="S27" s="111"/>
      <c r="T27" s="107">
        <v>41964.696527777778</v>
      </c>
      <c r="U27" s="187">
        <f t="shared" si="8"/>
        <v>0.33819444444816327</v>
      </c>
      <c r="V27" s="51">
        <v>0</v>
      </c>
      <c r="W27" s="51">
        <f t="shared" si="1"/>
        <v>0.98190336152999991</v>
      </c>
      <c r="X27" s="51">
        <v>118.926</v>
      </c>
      <c r="Y27" s="51">
        <f>('High STDs'!K$20*'High Data'!X27)+'High STDs'!K$21</f>
        <v>39.384247611456651</v>
      </c>
      <c r="Z27" s="51">
        <v>18385.434000000001</v>
      </c>
      <c r="AA27" s="52"/>
      <c r="AB27" s="94">
        <v>41965.518055555556</v>
      </c>
      <c r="AC27" s="187">
        <f t="shared" si="9"/>
        <v>1.1597222222262644</v>
      </c>
      <c r="AD27" s="51">
        <v>0</v>
      </c>
      <c r="AE27" s="51">
        <f t="shared" si="2"/>
        <v>0.98190336152999991</v>
      </c>
      <c r="AF27" s="51">
        <v>6.0640000000000001</v>
      </c>
      <c r="AG27" s="51">
        <f>('High STDs'!K$43*'High Data'!AF27)+'High STDs'!K$44</f>
        <v>5.5607366803248661</v>
      </c>
      <c r="AH27" s="51">
        <v>34963.699999999997</v>
      </c>
      <c r="AI27" s="111"/>
      <c r="AJ27" s="107">
        <v>41966.558333333334</v>
      </c>
      <c r="AK27" s="187">
        <f t="shared" si="10"/>
        <v>2.2000000000043656</v>
      </c>
      <c r="AL27" s="51">
        <v>0</v>
      </c>
      <c r="AM27" s="51">
        <f t="shared" si="3"/>
        <v>0.98190336152999991</v>
      </c>
      <c r="AN27" s="51">
        <v>5.2779999999999996</v>
      </c>
      <c r="AO27" s="51">
        <f>('High STDs'!K$66*'High Data'!AN27)+'High STDs'!K$67</f>
        <v>4.7748658519770135</v>
      </c>
      <c r="AP27" s="51">
        <v>39856.966</v>
      </c>
      <c r="AQ27" s="52"/>
      <c r="AS27" s="216">
        <v>0.22274697757084988</v>
      </c>
      <c r="AT27" s="50">
        <v>138.36000000000001</v>
      </c>
      <c r="AU27" s="51">
        <f t="shared" si="11"/>
        <v>34.27154756685664</v>
      </c>
      <c r="AV27" s="51">
        <f t="shared" si="12"/>
        <v>104.08845243314337</v>
      </c>
      <c r="AW27" s="111"/>
      <c r="AX27" s="50">
        <v>0.97989999999999999</v>
      </c>
      <c r="AY27" s="51">
        <v>6.6148999999999996</v>
      </c>
      <c r="AZ27" s="51">
        <v>2.6183999999999998</v>
      </c>
      <c r="BA27" s="51">
        <f t="shared" si="13"/>
        <v>1.6384999999999998</v>
      </c>
      <c r="BB27" s="52">
        <f t="shared" si="14"/>
        <v>75.230162209557221</v>
      </c>
      <c r="BC27" s="126"/>
      <c r="BD27" s="126">
        <v>153.85864239597043</v>
      </c>
      <c r="BE27" s="51">
        <f t="shared" si="15"/>
        <v>490.43227575015385</v>
      </c>
      <c r="BF27" s="51">
        <v>28</v>
      </c>
      <c r="BG27" s="52">
        <f t="shared" si="4"/>
        <v>301</v>
      </c>
      <c r="BI27" s="50">
        <f t="shared" si="16"/>
        <v>15.668208946781709</v>
      </c>
      <c r="BJ27" s="51">
        <f t="shared" si="17"/>
        <v>1.255768E-3</v>
      </c>
      <c r="BK27" s="51">
        <f t="shared" si="18"/>
        <v>0.10314549932385463</v>
      </c>
      <c r="BL27" s="52">
        <f t="shared" si="19"/>
        <v>15.771354446105564</v>
      </c>
      <c r="BM27" s="126">
        <f t="shared" si="20"/>
        <v>2.181009391280472</v>
      </c>
      <c r="BN27" s="51">
        <f t="shared" si="21"/>
        <v>1.255768E-3</v>
      </c>
      <c r="BO27" s="51">
        <f t="shared" si="22"/>
        <v>1.4357818654176686E-2</v>
      </c>
      <c r="BP27" s="111">
        <f t="shared" si="23"/>
        <v>2.1953672099346488</v>
      </c>
      <c r="BQ27" s="50">
        <f t="shared" si="24"/>
        <v>0.78199430223223132</v>
      </c>
      <c r="BR27" s="51">
        <f t="shared" si="25"/>
        <v>1.255768E-3</v>
      </c>
      <c r="BS27" s="51">
        <f t="shared" si="26"/>
        <v>5.1479523311259139E-3</v>
      </c>
      <c r="BT27" s="52">
        <f t="shared" si="27"/>
        <v>0.78714225456335718</v>
      </c>
      <c r="BU27" s="126">
        <f t="shared" si="28"/>
        <v>0.11041125993131516</v>
      </c>
      <c r="BV27" s="51">
        <f t="shared" si="29"/>
        <v>1.255768E-3</v>
      </c>
      <c r="BW27" s="51">
        <f t="shared" si="30"/>
        <v>7.2684916159039461E-4</v>
      </c>
      <c r="BX27" s="52">
        <f t="shared" si="31"/>
        <v>0.11113810909290556</v>
      </c>
      <c r="BY27" s="126">
        <f t="shared" si="32"/>
        <v>9.4807394240612547E-2</v>
      </c>
      <c r="BZ27" s="51">
        <f t="shared" si="33"/>
        <v>1.255768E-3</v>
      </c>
      <c r="CA27" s="51">
        <f t="shared" si="34"/>
        <v>6.2412724081970731E-4</v>
      </c>
      <c r="CB27" s="52">
        <f t="shared" si="35"/>
        <v>9.543152148143226E-2</v>
      </c>
    </row>
    <row r="28" spans="1:80" ht="15.75" thickBot="1" x14ac:dyDescent="0.3">
      <c r="A28" s="92" t="s">
        <v>29</v>
      </c>
      <c r="B28" s="112">
        <v>3</v>
      </c>
      <c r="C28" s="193">
        <v>41964.35833333333</v>
      </c>
      <c r="D28" s="108">
        <v>41964.415972222225</v>
      </c>
      <c r="E28" s="189">
        <f t="shared" si="5"/>
        <v>5.7638888894871343E-2</v>
      </c>
      <c r="F28" s="53">
        <v>0.26</v>
      </c>
      <c r="G28" s="53">
        <f t="shared" si="6"/>
        <v>0.9995953139899999</v>
      </c>
      <c r="H28" s="53">
        <v>3897.1039999999998</v>
      </c>
      <c r="I28" s="53">
        <f>('High STDs'!H$20*'High Data'!H28)+'High STDs'!H$21</f>
        <v>1192.0974919998291</v>
      </c>
      <c r="J28" s="53">
        <v>5679.9629999999997</v>
      </c>
      <c r="K28" s="54"/>
      <c r="L28" s="95">
        <v>41964.588194444441</v>
      </c>
      <c r="M28" s="189">
        <f t="shared" si="7"/>
        <v>0.22986111111094942</v>
      </c>
      <c r="N28" s="53">
        <v>0.21</v>
      </c>
      <c r="O28" s="53">
        <f t="shared" si="0"/>
        <v>0.99619301543999994</v>
      </c>
      <c r="P28" s="53">
        <v>1478.204</v>
      </c>
      <c r="Q28" s="53">
        <f>('High STDs'!K$20*'High Data'!P28)+'High STDs'!K$21</f>
        <v>452.90384338801454</v>
      </c>
      <c r="R28" s="53">
        <v>16414.017</v>
      </c>
      <c r="S28" s="112"/>
      <c r="T28" s="108">
        <v>41964.698611111111</v>
      </c>
      <c r="U28" s="189">
        <f t="shared" si="8"/>
        <v>0.34027777778101154</v>
      </c>
      <c r="V28" s="53">
        <v>0.16</v>
      </c>
      <c r="W28" s="53">
        <f t="shared" si="1"/>
        <v>0.99279071688999998</v>
      </c>
      <c r="X28" s="53">
        <v>685.10599999999999</v>
      </c>
      <c r="Y28" s="53">
        <f>('High STDs'!K$20*'High Data'!X28)+'High STDs'!K$21</f>
        <v>211.62754496252947</v>
      </c>
      <c r="Z28" s="53">
        <v>23121.144</v>
      </c>
      <c r="AA28" s="54"/>
      <c r="AB28" s="95">
        <v>41965.520833333336</v>
      </c>
      <c r="AC28" s="189">
        <f t="shared" si="9"/>
        <v>1.1625000000058208</v>
      </c>
      <c r="AD28" s="53">
        <v>-0.05</v>
      </c>
      <c r="AE28" s="53">
        <f t="shared" si="2"/>
        <v>0.97850106297999984</v>
      </c>
      <c r="AF28" s="53">
        <v>3.1960000000000002</v>
      </c>
      <c r="AG28" s="53">
        <f>('High STDs'!K$43*'High Data'!AF28)+'High STDs'!K$44</f>
        <v>4.6822291942444725</v>
      </c>
      <c r="AH28" s="53">
        <v>70740.737999999998</v>
      </c>
      <c r="AI28" s="112"/>
      <c r="AJ28" s="108">
        <v>41966.560416666667</v>
      </c>
      <c r="AK28" s="189">
        <f t="shared" si="10"/>
        <v>2.2020833333372138</v>
      </c>
      <c r="AL28" s="53">
        <v>0.33</v>
      </c>
      <c r="AM28" s="53">
        <f t="shared" si="3"/>
        <v>1.0043585319599999</v>
      </c>
      <c r="AN28" s="53">
        <v>2.84</v>
      </c>
      <c r="AO28" s="53">
        <f>('High STDs'!K$66*'High Data'!AN28)+'High STDs'!K$67</f>
        <v>4.0428764888268152</v>
      </c>
      <c r="AP28" s="53">
        <v>92744.055999999997</v>
      </c>
      <c r="AQ28" s="54"/>
      <c r="AS28" s="220">
        <v>0.95793506790880056</v>
      </c>
      <c r="AT28" s="92">
        <v>240.95</v>
      </c>
      <c r="AU28" s="53">
        <f t="shared" si="11"/>
        <v>182.07122720347883</v>
      </c>
      <c r="AV28" s="53">
        <f t="shared" si="12"/>
        <v>58.878772796521162</v>
      </c>
      <c r="AW28" s="112"/>
      <c r="AX28" s="92">
        <v>0.98</v>
      </c>
      <c r="AY28" s="53">
        <v>6.7609000000000004</v>
      </c>
      <c r="AZ28" s="53">
        <v>6.0888</v>
      </c>
      <c r="BA28" s="53">
        <f t="shared" si="13"/>
        <v>5.1088000000000005</v>
      </c>
      <c r="BB28" s="54">
        <f t="shared" si="14"/>
        <v>24.436095786063984</v>
      </c>
      <c r="BC28" s="131"/>
      <c r="BD28" s="131">
        <v>190.06635554218249</v>
      </c>
      <c r="BE28" s="53">
        <f t="shared" si="15"/>
        <v>335.6467725908534</v>
      </c>
      <c r="BF28" s="53">
        <v>28</v>
      </c>
      <c r="BG28" s="54">
        <f t="shared" si="4"/>
        <v>301</v>
      </c>
      <c r="BI28" s="92">
        <f t="shared" si="16"/>
        <v>16.199299750826249</v>
      </c>
      <c r="BJ28" s="53">
        <f t="shared" si="17"/>
        <v>1.255768E-3</v>
      </c>
      <c r="BK28" s="53">
        <f t="shared" si="18"/>
        <v>8.8141398249674568E-2</v>
      </c>
      <c r="BL28" s="54">
        <f t="shared" si="19"/>
        <v>16.287441149075924</v>
      </c>
      <c r="BM28" s="131">
        <f t="shared" si="20"/>
        <v>6.1544673708153104</v>
      </c>
      <c r="BN28" s="53">
        <f t="shared" si="21"/>
        <v>1.255768E-3</v>
      </c>
      <c r="BO28" s="53">
        <f t="shared" si="22"/>
        <v>3.3486840041835234E-2</v>
      </c>
      <c r="BP28" s="112">
        <f t="shared" si="23"/>
        <v>6.1879542108571455</v>
      </c>
      <c r="BQ28" s="92">
        <f t="shared" si="24"/>
        <v>2.8757866360648006</v>
      </c>
      <c r="BR28" s="53">
        <f t="shared" si="25"/>
        <v>1.255768E-3</v>
      </c>
      <c r="BS28" s="53">
        <f t="shared" si="26"/>
        <v>1.5647334086620068E-2</v>
      </c>
      <c r="BT28" s="54">
        <f t="shared" si="27"/>
        <v>2.8914339701514207</v>
      </c>
      <c r="BU28" s="131">
        <f t="shared" si="28"/>
        <v>6.3626368420919996E-2</v>
      </c>
      <c r="BV28" s="53">
        <f t="shared" si="29"/>
        <v>1.255768E-3</v>
      </c>
      <c r="BW28" s="53">
        <f t="shared" si="30"/>
        <v>3.4619503092303631E-4</v>
      </c>
      <c r="BX28" s="54">
        <f t="shared" si="31"/>
        <v>6.3972563451843031E-2</v>
      </c>
      <c r="BY28" s="131">
        <f t="shared" si="32"/>
        <v>5.4938265148269369E-2</v>
      </c>
      <c r="BZ28" s="53">
        <f t="shared" si="33"/>
        <v>1.255768E-3</v>
      </c>
      <c r="CA28" s="53">
        <f t="shared" si="34"/>
        <v>2.989225202362739E-4</v>
      </c>
      <c r="CB28" s="54">
        <f t="shared" si="35"/>
        <v>5.523718766850564E-2</v>
      </c>
    </row>
    <row r="29" spans="1:80" x14ac:dyDescent="0.25">
      <c r="A29" s="9" t="s">
        <v>30</v>
      </c>
      <c r="B29" s="26">
        <v>1</v>
      </c>
      <c r="C29" s="77">
        <v>41964.35833333333</v>
      </c>
      <c r="D29" s="104">
        <v>41964.418055555558</v>
      </c>
      <c r="E29" s="181">
        <f t="shared" si="5"/>
        <v>5.9722222227719612E-2</v>
      </c>
      <c r="F29" s="10">
        <v>0</v>
      </c>
      <c r="G29" s="10">
        <f t="shared" si="6"/>
        <v>0.98190336152999991</v>
      </c>
      <c r="H29" s="10">
        <v>3861.1089999999999</v>
      </c>
      <c r="I29" s="10">
        <f>('High STDs'!H$20*'High Data'!H29)+'High STDs'!H$21</f>
        <v>1180.8413952231042</v>
      </c>
      <c r="J29" s="10">
        <v>5383.107</v>
      </c>
      <c r="K29" s="32"/>
      <c r="L29" s="72">
        <v>41964.590277777781</v>
      </c>
      <c r="M29" s="181">
        <f t="shared" si="7"/>
        <v>0.23194444445107365</v>
      </c>
      <c r="N29" s="10">
        <v>0.01</v>
      </c>
      <c r="O29" s="10">
        <f t="shared" si="0"/>
        <v>0.98258382123999988</v>
      </c>
      <c r="P29" s="10">
        <v>1984.1310000000001</v>
      </c>
      <c r="Q29" s="10">
        <f>('High STDs'!K$20*'High Data'!P29)+'High STDs'!K$21</f>
        <v>606.81697119001433</v>
      </c>
      <c r="R29" s="10">
        <v>11259.73</v>
      </c>
      <c r="S29" s="26"/>
      <c r="T29" s="104">
        <v>41964.705555555556</v>
      </c>
      <c r="U29" s="181">
        <f t="shared" si="8"/>
        <v>0.34722222222626442</v>
      </c>
      <c r="V29" s="10">
        <v>0</v>
      </c>
      <c r="W29" s="10">
        <f t="shared" si="1"/>
        <v>0.98190336152999991</v>
      </c>
      <c r="X29" s="10">
        <v>1279.68</v>
      </c>
      <c r="Y29" s="10">
        <f>('High STDs'!K$20*'High Data'!X29)+'High STDs'!K$21</f>
        <v>392.50886588382087</v>
      </c>
      <c r="Z29" s="10">
        <v>14201.464</v>
      </c>
      <c r="AA29" s="32"/>
      <c r="AB29" s="72">
        <v>41965.522916666669</v>
      </c>
      <c r="AC29" s="181">
        <f t="shared" si="9"/>
        <v>1.164583333338669</v>
      </c>
      <c r="AD29" s="10">
        <v>0</v>
      </c>
      <c r="AE29" s="10">
        <f t="shared" si="2"/>
        <v>0.98190336152999991</v>
      </c>
      <c r="AF29" s="10">
        <v>5.125</v>
      </c>
      <c r="AG29" s="10">
        <f>('High STDs'!K$43*'High Data'!AF29)+'High STDs'!K$44</f>
        <v>5.2731081833131892</v>
      </c>
      <c r="AH29" s="10">
        <v>29439.112000000001</v>
      </c>
      <c r="AI29" s="26"/>
      <c r="AJ29" s="104">
        <v>41966.563888888886</v>
      </c>
      <c r="AK29" s="181">
        <f t="shared" si="10"/>
        <v>2.2055555555562023</v>
      </c>
      <c r="AL29" s="10">
        <v>0.01</v>
      </c>
      <c r="AM29" s="10">
        <f t="shared" si="3"/>
        <v>0.98258382123999988</v>
      </c>
      <c r="AN29" s="10">
        <v>2.8660000000000001</v>
      </c>
      <c r="AO29" s="10">
        <f>('High STDs'!K$66*'High Data'!AN29)+'High STDs'!K$67</f>
        <v>4.050682774077802</v>
      </c>
      <c r="AP29" s="10">
        <v>33769.775999999998</v>
      </c>
      <c r="AQ29" s="32"/>
      <c r="AS29" s="218">
        <v>1.1693420227225244</v>
      </c>
      <c r="AT29" s="15">
        <v>238.39</v>
      </c>
      <c r="AU29" s="128">
        <f t="shared" si="11"/>
        <v>208.13950979834465</v>
      </c>
      <c r="AV29" s="10">
        <f t="shared" si="12"/>
        <v>30.250490201655339</v>
      </c>
      <c r="AW29" s="26"/>
      <c r="AX29" s="15">
        <v>0.98070000000000002</v>
      </c>
      <c r="AY29" s="128">
        <v>7.0317999999999996</v>
      </c>
      <c r="AZ29" s="128">
        <v>7.1201999999999996</v>
      </c>
      <c r="BA29" s="10">
        <f t="shared" si="13"/>
        <v>6.1395</v>
      </c>
      <c r="BB29" s="32">
        <f t="shared" si="14"/>
        <v>12.689496288290334</v>
      </c>
      <c r="BC29" s="129"/>
      <c r="BD29" s="129">
        <v>177.99711782677846</v>
      </c>
      <c r="BE29" s="10">
        <f t="shared" si="15"/>
        <v>316.33006500152209</v>
      </c>
      <c r="BF29" s="10">
        <v>28</v>
      </c>
      <c r="BG29" s="32">
        <f t="shared" si="4"/>
        <v>301</v>
      </c>
      <c r="BI29" s="15">
        <f t="shared" si="16"/>
        <v>15.122863479174246</v>
      </c>
      <c r="BJ29" s="128">
        <f t="shared" si="17"/>
        <v>1.255768E-3</v>
      </c>
      <c r="BK29" s="128">
        <f t="shared" si="18"/>
        <v>4.4857327727012376E-2</v>
      </c>
      <c r="BL29" s="154">
        <f t="shared" si="19"/>
        <v>15.167720806901258</v>
      </c>
      <c r="BM29" s="158">
        <f t="shared" si="20"/>
        <v>7.7714164233027789</v>
      </c>
      <c r="BN29" s="128">
        <f t="shared" si="21"/>
        <v>1.255768E-3</v>
      </c>
      <c r="BO29" s="128">
        <f t="shared" si="22"/>
        <v>2.3051518906009059E-2</v>
      </c>
      <c r="BP29" s="164">
        <f t="shared" si="23"/>
        <v>7.7944679422087884</v>
      </c>
      <c r="BQ29" s="15">
        <f t="shared" si="24"/>
        <v>5.0268037834200721</v>
      </c>
      <c r="BR29" s="128">
        <f t="shared" si="25"/>
        <v>1.255768E-3</v>
      </c>
      <c r="BS29" s="128">
        <f t="shared" si="26"/>
        <v>1.4910468843601062E-2</v>
      </c>
      <c r="BT29" s="154">
        <f t="shared" si="27"/>
        <v>5.0417142522636729</v>
      </c>
      <c r="BU29" s="158">
        <f t="shared" si="28"/>
        <v>6.7531927225582433E-2</v>
      </c>
      <c r="BV29" s="128">
        <f t="shared" si="29"/>
        <v>1.255768E-3</v>
      </c>
      <c r="BW29" s="128">
        <f t="shared" si="30"/>
        <v>2.0031271166114564E-4</v>
      </c>
      <c r="BX29" s="154">
        <f t="shared" si="31"/>
        <v>6.7732239937243574E-2</v>
      </c>
      <c r="BY29" s="158">
        <f t="shared" si="32"/>
        <v>5.187650334552131E-2</v>
      </c>
      <c r="BZ29" s="128">
        <f t="shared" si="33"/>
        <v>1.255768E-3</v>
      </c>
      <c r="CA29" s="128">
        <f t="shared" si="34"/>
        <v>1.5387570714409218E-4</v>
      </c>
      <c r="CB29" s="154">
        <f t="shared" si="35"/>
        <v>5.2030379052665401E-2</v>
      </c>
    </row>
    <row r="30" spans="1:80" x14ac:dyDescent="0.25">
      <c r="A30" s="11" t="s">
        <v>30</v>
      </c>
      <c r="B30" s="27">
        <v>2</v>
      </c>
      <c r="C30" s="78">
        <v>41964.359027777777</v>
      </c>
      <c r="D30" s="82">
        <v>41964.420138888891</v>
      </c>
      <c r="E30" s="182">
        <f t="shared" si="5"/>
        <v>6.1111111113859806E-2</v>
      </c>
      <c r="F30" s="12">
        <v>0.01</v>
      </c>
      <c r="G30" s="12">
        <f t="shared" si="6"/>
        <v>0.98258382123999988</v>
      </c>
      <c r="H30" s="12">
        <v>4293.3040000000001</v>
      </c>
      <c r="I30" s="12">
        <f>('High STDs'!H$20*'High Data'!H30)+'High STDs'!H$21</f>
        <v>1315.9942983045496</v>
      </c>
      <c r="J30" s="12">
        <v>6151.4080000000004</v>
      </c>
      <c r="K30" s="33"/>
      <c r="L30" s="73">
        <v>41964.593055555553</v>
      </c>
      <c r="M30" s="182">
        <f t="shared" si="7"/>
        <v>0.23402777777664596</v>
      </c>
      <c r="N30" s="12">
        <v>1.01</v>
      </c>
      <c r="O30" s="12">
        <f t="shared" si="0"/>
        <v>1.0506297922399999</v>
      </c>
      <c r="P30" s="12">
        <v>2945.4690000000001</v>
      </c>
      <c r="Q30" s="12">
        <f>('High STDs'!K$20*'High Data'!P30)+'High STDs'!K$21</f>
        <v>899.27524769021852</v>
      </c>
      <c r="R30" s="12">
        <v>16527.585999999999</v>
      </c>
      <c r="S30" s="27"/>
      <c r="T30" s="82">
        <v>41964.707638888889</v>
      </c>
      <c r="U30" s="182">
        <f t="shared" si="8"/>
        <v>0.34861111111240461</v>
      </c>
      <c r="V30" s="85">
        <v>0</v>
      </c>
      <c r="W30" s="85">
        <f t="shared" si="1"/>
        <v>0.98190336152999991</v>
      </c>
      <c r="X30" s="12">
        <v>2388.1709999999998</v>
      </c>
      <c r="Y30" s="12">
        <f>('High STDs'!K$20*'High Data'!X30)+'High STDs'!K$21</f>
        <v>729.73403265761726</v>
      </c>
      <c r="Z30" s="12">
        <v>22393.202000000001</v>
      </c>
      <c r="AA30" s="33"/>
      <c r="AB30" s="73">
        <v>41965.525000000001</v>
      </c>
      <c r="AC30" s="182">
        <f t="shared" si="9"/>
        <v>1.1659722222248092</v>
      </c>
      <c r="AD30" s="12">
        <v>0.01</v>
      </c>
      <c r="AE30" s="12">
        <f t="shared" si="2"/>
        <v>0.98258382123999988</v>
      </c>
      <c r="AF30" s="12">
        <v>510.82600000000002</v>
      </c>
      <c r="AG30" s="12">
        <f>('High STDs'!K$43*'High Data'!AF30)+'High STDs'!K$44</f>
        <v>160.17621634870409</v>
      </c>
      <c r="AH30" s="12">
        <v>54693.955000000002</v>
      </c>
      <c r="AI30" s="27"/>
      <c r="AJ30" s="82">
        <v>41966.565972222219</v>
      </c>
      <c r="AK30" s="182">
        <f t="shared" si="10"/>
        <v>2.2069444444423425</v>
      </c>
      <c r="AL30" s="12">
        <v>0</v>
      </c>
      <c r="AM30" s="12">
        <f t="shared" si="3"/>
        <v>0.98190336152999991</v>
      </c>
      <c r="AN30" s="12">
        <v>3.601</v>
      </c>
      <c r="AO30" s="12">
        <f>('High STDs'!K$66*'High Data'!AN30)+'High STDs'!K$67</f>
        <v>4.2713604532883824</v>
      </c>
      <c r="AP30" s="12">
        <v>69488.097999999998</v>
      </c>
      <c r="AQ30" s="33"/>
      <c r="AS30" s="214">
        <v>1.2607868756981442</v>
      </c>
      <c r="AT30" s="16">
        <v>275.58999999999997</v>
      </c>
      <c r="AU30" s="85">
        <f t="shared" si="11"/>
        <v>239.63316657936093</v>
      </c>
      <c r="AV30" s="12">
        <f t="shared" si="12"/>
        <v>35.956833420639043</v>
      </c>
      <c r="AW30" s="27"/>
      <c r="AX30" s="16">
        <v>0.99839999999999995</v>
      </c>
      <c r="AY30" s="85">
        <v>8.0177999999999994</v>
      </c>
      <c r="AZ30" s="85">
        <v>7.9701000000000004</v>
      </c>
      <c r="BA30" s="12">
        <f t="shared" si="13"/>
        <v>6.9717000000000002</v>
      </c>
      <c r="BB30" s="33">
        <f t="shared" si="14"/>
        <v>13.047219935643184</v>
      </c>
      <c r="BC30" s="124"/>
      <c r="BD30" s="124">
        <v>190.06635554218249</v>
      </c>
      <c r="BE30" s="12">
        <f t="shared" si="15"/>
        <v>241.92291150570941</v>
      </c>
      <c r="BF30" s="12">
        <v>28</v>
      </c>
      <c r="BG30" s="33">
        <f t="shared" si="4"/>
        <v>301</v>
      </c>
      <c r="BI30" s="16">
        <f t="shared" si="16"/>
        <v>12.889408858551347</v>
      </c>
      <c r="BJ30" s="85">
        <f t="shared" si="17"/>
        <v>1.255768E-3</v>
      </c>
      <c r="BK30" s="85">
        <f t="shared" si="18"/>
        <v>5.942167062974734E-2</v>
      </c>
      <c r="BL30" s="152">
        <f t="shared" si="19"/>
        <v>12.948830529181095</v>
      </c>
      <c r="BM30" s="156">
        <f t="shared" si="20"/>
        <v>8.807884926847775</v>
      </c>
      <c r="BN30" s="85">
        <f t="shared" si="21"/>
        <v>1.255768E-3</v>
      </c>
      <c r="BO30" s="85">
        <f t="shared" si="22"/>
        <v>4.0605371651364311E-2</v>
      </c>
      <c r="BP30" s="162">
        <f t="shared" si="23"/>
        <v>8.84849029849914</v>
      </c>
      <c r="BQ30" s="16">
        <f t="shared" si="24"/>
        <v>7.1473260310028888</v>
      </c>
      <c r="BR30" s="85">
        <f t="shared" si="25"/>
        <v>1.255768E-3</v>
      </c>
      <c r="BS30" s="85">
        <f t="shared" si="26"/>
        <v>3.29500024367608E-2</v>
      </c>
      <c r="BT30" s="152">
        <f t="shared" si="27"/>
        <v>7.1802760334396494</v>
      </c>
      <c r="BU30" s="156">
        <f t="shared" si="28"/>
        <v>1.5688341086234978</v>
      </c>
      <c r="BV30" s="85">
        <f t="shared" si="29"/>
        <v>1.255768E-3</v>
      </c>
      <c r="BW30" s="85">
        <f t="shared" si="30"/>
        <v>7.2325073010226591E-3</v>
      </c>
      <c r="BX30" s="152">
        <f t="shared" si="31"/>
        <v>1.5760666159245205</v>
      </c>
      <c r="BY30" s="156">
        <f t="shared" si="32"/>
        <v>4.1835524162689174E-2</v>
      </c>
      <c r="BZ30" s="85">
        <f t="shared" si="33"/>
        <v>1.255768E-3</v>
      </c>
      <c r="CA30" s="85">
        <f t="shared" si="34"/>
        <v>1.9286662132444372E-4</v>
      </c>
      <c r="CB30" s="152">
        <f t="shared" si="35"/>
        <v>4.2028390784013617E-2</v>
      </c>
    </row>
    <row r="31" spans="1:80" ht="15.75" thickBot="1" x14ac:dyDescent="0.3">
      <c r="A31" s="13" t="s">
        <v>30</v>
      </c>
      <c r="B31" s="28">
        <v>3</v>
      </c>
      <c r="C31" s="79">
        <v>41964.359027777777</v>
      </c>
      <c r="D31" s="105">
        <v>41964.422222222223</v>
      </c>
      <c r="E31" s="183">
        <f t="shared" si="5"/>
        <v>6.3194444446708076E-2</v>
      </c>
      <c r="F31" s="14">
        <v>0.17</v>
      </c>
      <c r="G31" s="14">
        <f t="shared" si="6"/>
        <v>0.99347117659999995</v>
      </c>
      <c r="H31" s="14">
        <v>4668.66</v>
      </c>
      <c r="I31" s="14">
        <f>('High STDs'!H$20*'High Data'!H31)+'High STDs'!H$21</f>
        <v>1433.372919272027</v>
      </c>
      <c r="J31" s="14">
        <v>8775.1039999999994</v>
      </c>
      <c r="K31" s="34"/>
      <c r="L31" s="74">
        <v>41964.595138888886</v>
      </c>
      <c r="M31" s="183">
        <f t="shared" si="7"/>
        <v>0.23611111110949423</v>
      </c>
      <c r="N31" s="14">
        <v>0.04</v>
      </c>
      <c r="O31" s="14">
        <f t="shared" si="0"/>
        <v>0.9846252003699999</v>
      </c>
      <c r="P31" s="14">
        <v>4560.4750000000004</v>
      </c>
      <c r="Q31" s="14">
        <f>('High STDs'!K$20*'High Data'!P31)+'High STDs'!K$21</f>
        <v>1390.59242364445</v>
      </c>
      <c r="R31" s="14">
        <v>27385.99</v>
      </c>
      <c r="S31" s="28"/>
      <c r="T31" s="105">
        <v>41964.710416666669</v>
      </c>
      <c r="U31" s="183">
        <f t="shared" si="8"/>
        <v>0.35138888889196096</v>
      </c>
      <c r="V31" s="14">
        <v>-0.16</v>
      </c>
      <c r="W31" s="14">
        <f t="shared" si="1"/>
        <v>0.97101600616999995</v>
      </c>
      <c r="X31" s="14">
        <v>4401.1880000000001</v>
      </c>
      <c r="Y31" s="14">
        <f>('High STDs'!K$20*'High Data'!X31)+'High STDs'!K$21</f>
        <v>1342.1341275104282</v>
      </c>
      <c r="Z31" s="14">
        <v>38608.294000000002</v>
      </c>
      <c r="AA31" s="34"/>
      <c r="AB31" s="74">
        <v>41965.526388888888</v>
      </c>
      <c r="AC31" s="183">
        <f t="shared" si="9"/>
        <v>1.1673611111109494</v>
      </c>
      <c r="AD31" s="14">
        <v>-0.19</v>
      </c>
      <c r="AE31" s="14">
        <f t="shared" si="2"/>
        <v>0.96897462703999993</v>
      </c>
      <c r="AF31" s="14">
        <v>3697.759</v>
      </c>
      <c r="AG31" s="14">
        <f>('High STDs'!K$43*'High Data'!AF31)+'High STDs'!K$44</f>
        <v>1136.3772268566006</v>
      </c>
      <c r="AH31" s="14">
        <v>88704.81</v>
      </c>
      <c r="AI31" s="28"/>
      <c r="AJ31" s="105">
        <v>41966.568055555559</v>
      </c>
      <c r="AK31" s="183">
        <f t="shared" si="10"/>
        <v>2.2090277777824667</v>
      </c>
      <c r="AL31" s="14">
        <v>0.21</v>
      </c>
      <c r="AM31" s="14">
        <f t="shared" si="3"/>
        <v>0.99619301543999994</v>
      </c>
      <c r="AN31" s="14">
        <v>2794.14</v>
      </c>
      <c r="AO31" s="14">
        <f>('High STDs'!K$66*'High Data'!AN31)+'High STDs'!K$67</f>
        <v>842.10764653031481</v>
      </c>
      <c r="AP31" s="14">
        <v>109619.352</v>
      </c>
      <c r="AQ31" s="34"/>
      <c r="AS31" s="217">
        <v>1.1558050346495794</v>
      </c>
      <c r="AT31" s="55">
        <v>252.39</v>
      </c>
      <c r="AU31" s="60">
        <f t="shared" si="11"/>
        <v>219.67965065315155</v>
      </c>
      <c r="AV31" s="14">
        <f t="shared" si="12"/>
        <v>32.710349346848432</v>
      </c>
      <c r="AW31" s="28"/>
      <c r="AX31" s="55">
        <v>0.98829999999999996</v>
      </c>
      <c r="AY31" s="60">
        <v>7.0045000000000002</v>
      </c>
      <c r="AZ31" s="60">
        <v>7.085</v>
      </c>
      <c r="BA31" s="14">
        <f t="shared" si="13"/>
        <v>6.0967000000000002</v>
      </c>
      <c r="BB31" s="34">
        <f t="shared" si="14"/>
        <v>12.960239845813405</v>
      </c>
      <c r="BC31" s="127"/>
      <c r="BD31" s="127">
        <v>190.06635554218249</v>
      </c>
      <c r="BE31" s="14">
        <f t="shared" si="15"/>
        <v>300.91601795794435</v>
      </c>
      <c r="BF31" s="14">
        <v>28</v>
      </c>
      <c r="BG31" s="34">
        <f t="shared" si="4"/>
        <v>301</v>
      </c>
      <c r="BI31" s="55">
        <f t="shared" si="16"/>
        <v>17.462502970279928</v>
      </c>
      <c r="BJ31" s="60">
        <f t="shared" si="17"/>
        <v>1.255768E-3</v>
      </c>
      <c r="BK31" s="60">
        <f t="shared" si="18"/>
        <v>5.887810035881455E-2</v>
      </c>
      <c r="BL31" s="67">
        <f t="shared" si="19"/>
        <v>17.521381070638743</v>
      </c>
      <c r="BM31" s="157">
        <f t="shared" si="20"/>
        <v>16.941316528201742</v>
      </c>
      <c r="BN31" s="60">
        <f t="shared" si="21"/>
        <v>1.255768E-3</v>
      </c>
      <c r="BO31" s="60">
        <f t="shared" si="22"/>
        <v>5.7120822625229661E-2</v>
      </c>
      <c r="BP31" s="163">
        <f t="shared" si="23"/>
        <v>16.998437350826972</v>
      </c>
      <c r="BQ31" s="55">
        <f t="shared" si="24"/>
        <v>16.350958548922474</v>
      </c>
      <c r="BR31" s="60">
        <f t="shared" si="25"/>
        <v>1.255768E-3</v>
      </c>
      <c r="BS31" s="60">
        <f t="shared" si="26"/>
        <v>5.5130320094705275E-2</v>
      </c>
      <c r="BT31" s="67">
        <f t="shared" si="27"/>
        <v>16.406088869017179</v>
      </c>
      <c r="BU31" s="157">
        <f t="shared" si="28"/>
        <v>13.844262321783019</v>
      </c>
      <c r="BV31" s="60">
        <f t="shared" si="29"/>
        <v>1.255768E-3</v>
      </c>
      <c r="BW31" s="60">
        <f t="shared" si="30"/>
        <v>4.6678524136143866E-2</v>
      </c>
      <c r="BX31" s="67">
        <f t="shared" si="31"/>
        <v>13.890940845919163</v>
      </c>
      <c r="BY31" s="157">
        <f t="shared" si="32"/>
        <v>10.259233365661398</v>
      </c>
      <c r="BZ31" s="60">
        <f t="shared" si="33"/>
        <v>1.255768E-3</v>
      </c>
      <c r="CA31" s="60">
        <f t="shared" si="34"/>
        <v>3.4590927356516733E-2</v>
      </c>
      <c r="CB31" s="67">
        <f t="shared" si="35"/>
        <v>10.293824293017915</v>
      </c>
    </row>
    <row r="32" spans="1:80" x14ac:dyDescent="0.25">
      <c r="A32" s="47" t="s">
        <v>31</v>
      </c>
      <c r="B32" s="110">
        <v>1</v>
      </c>
      <c r="C32" s="191">
        <v>41964.359722222223</v>
      </c>
      <c r="D32" s="106">
        <v>41964.424305555556</v>
      </c>
      <c r="E32" s="188">
        <f t="shared" si="5"/>
        <v>6.4583333332848269E-2</v>
      </c>
      <c r="F32" s="48">
        <v>0.01</v>
      </c>
      <c r="G32" s="48">
        <f t="shared" si="6"/>
        <v>0.98258382123999988</v>
      </c>
      <c r="H32" s="48">
        <v>4156.41</v>
      </c>
      <c r="I32" s="48">
        <f>('High STDs'!H$20*'High Data'!H32)+'High STDs'!H$21</f>
        <v>1273.1857940080365</v>
      </c>
      <c r="J32" s="48">
        <v>8027.6</v>
      </c>
      <c r="K32" s="49"/>
      <c r="L32" s="93">
        <v>41964.595138888886</v>
      </c>
      <c r="M32" s="188">
        <f t="shared" si="7"/>
        <v>0.23541666666278616</v>
      </c>
      <c r="N32" s="48">
        <v>0.01</v>
      </c>
      <c r="O32" s="48">
        <f t="shared" si="0"/>
        <v>0.98258382123999988</v>
      </c>
      <c r="P32" s="48">
        <v>2586.2860000000001</v>
      </c>
      <c r="Q32" s="48">
        <f>('High STDs'!K$20*'High Data'!P32)+'High STDs'!K$21</f>
        <v>790.004584168988</v>
      </c>
      <c r="R32" s="48">
        <v>24062.65</v>
      </c>
      <c r="S32" s="110"/>
      <c r="T32" s="106">
        <v>41964.713888888888</v>
      </c>
      <c r="U32" s="188">
        <f t="shared" si="8"/>
        <v>0.35416666666424135</v>
      </c>
      <c r="V32" s="48">
        <v>0.01</v>
      </c>
      <c r="W32" s="48">
        <f t="shared" si="1"/>
        <v>0.98258382123999988</v>
      </c>
      <c r="X32" s="48">
        <v>1671.5029999999999</v>
      </c>
      <c r="Y32" s="48">
        <f>('High STDs'!K$20*'High Data'!X32)+'High STDs'!K$21</f>
        <v>511.7092712283922</v>
      </c>
      <c r="Z32" s="48">
        <v>33806.845999999998</v>
      </c>
      <c r="AA32" s="49"/>
      <c r="AB32" s="93">
        <v>41965.529166666667</v>
      </c>
      <c r="AC32" s="188">
        <f t="shared" si="9"/>
        <v>1.1694444444437977</v>
      </c>
      <c r="AD32" s="48">
        <v>0</v>
      </c>
      <c r="AE32" s="48">
        <f t="shared" si="2"/>
        <v>0.98190336152999991</v>
      </c>
      <c r="AF32" s="48">
        <v>8.1850000000000005</v>
      </c>
      <c r="AG32" s="48">
        <f>('High STDs'!K$43*'High Data'!AF32)+'High STDs'!K$44</f>
        <v>6.2104278860349478</v>
      </c>
      <c r="AH32" s="48">
        <v>80393.732999999993</v>
      </c>
      <c r="AI32" s="110"/>
      <c r="AJ32" s="106">
        <v>41966.570138888892</v>
      </c>
      <c r="AK32" s="188">
        <f t="shared" si="10"/>
        <v>2.2104166666686069</v>
      </c>
      <c r="AL32" s="48">
        <v>0</v>
      </c>
      <c r="AM32" s="48">
        <f t="shared" si="3"/>
        <v>0.98190336152999991</v>
      </c>
      <c r="AN32" s="48">
        <v>0</v>
      </c>
      <c r="AO32" s="48">
        <f>('High STDs'!K$66*'High Data'!AN32)+'High STDs'!K$67</f>
        <v>3.1901899460267487</v>
      </c>
      <c r="AP32" s="48">
        <v>96096.126000000004</v>
      </c>
      <c r="AQ32" s="49"/>
      <c r="AS32" s="219">
        <v>0.41259113374739692</v>
      </c>
      <c r="AT32" s="47">
        <v>159.52000000000001</v>
      </c>
      <c r="AU32" s="48">
        <f t="shared" si="11"/>
        <v>68.46037217545414</v>
      </c>
      <c r="AV32" s="48">
        <f t="shared" si="12"/>
        <v>91.059627824545871</v>
      </c>
      <c r="AW32" s="110"/>
      <c r="AX32" s="47">
        <v>0.97360000000000002</v>
      </c>
      <c r="AY32" s="48">
        <v>7.2224000000000004</v>
      </c>
      <c r="AZ32" s="48">
        <v>4.0731999999999999</v>
      </c>
      <c r="BA32" s="48">
        <f t="shared" si="13"/>
        <v>3.0995999999999997</v>
      </c>
      <c r="BB32" s="49">
        <f t="shared" si="14"/>
        <v>57.083517944173693</v>
      </c>
      <c r="BC32" s="130"/>
      <c r="BD32" s="130">
        <v>165.92788011137446</v>
      </c>
      <c r="BE32" s="48">
        <f t="shared" si="15"/>
        <v>468.46383452006944</v>
      </c>
      <c r="BF32" s="48">
        <v>28</v>
      </c>
      <c r="BG32" s="49">
        <f t="shared" si="4"/>
        <v>301</v>
      </c>
      <c r="BI32" s="47">
        <f t="shared" si="16"/>
        <v>24.14737045648813</v>
      </c>
      <c r="BJ32" s="48">
        <f t="shared" si="17"/>
        <v>1.255768E-3</v>
      </c>
      <c r="BK32" s="48">
        <f t="shared" si="18"/>
        <v>0.14558849852836514</v>
      </c>
      <c r="BL32" s="49">
        <f t="shared" si="19"/>
        <v>24.292958955016495</v>
      </c>
      <c r="BM32" s="130">
        <f t="shared" si="20"/>
        <v>14.98330679311051</v>
      </c>
      <c r="BN32" s="48">
        <f t="shared" si="21"/>
        <v>1.255768E-3</v>
      </c>
      <c r="BO32" s="48">
        <f t="shared" si="22"/>
        <v>9.0336839902694074E-2</v>
      </c>
      <c r="BP32" s="110">
        <f t="shared" si="23"/>
        <v>15.073643633013203</v>
      </c>
      <c r="BQ32" s="47">
        <f t="shared" si="24"/>
        <v>9.7051297591634551</v>
      </c>
      <c r="BR32" s="48">
        <f t="shared" si="25"/>
        <v>1.255768E-3</v>
      </c>
      <c r="BS32" s="48">
        <f t="shared" si="26"/>
        <v>5.8513835790344457E-2</v>
      </c>
      <c r="BT32" s="49">
        <f t="shared" si="27"/>
        <v>9.7636435949538001</v>
      </c>
      <c r="BU32" s="130">
        <f t="shared" si="28"/>
        <v>0.11778760300591581</v>
      </c>
      <c r="BV32" s="48">
        <f t="shared" si="29"/>
        <v>1.255768E-3</v>
      </c>
      <c r="BW32" s="48">
        <f t="shared" si="30"/>
        <v>7.1016097996205697E-4</v>
      </c>
      <c r="BX32" s="49">
        <f t="shared" si="31"/>
        <v>0.11849776398587787</v>
      </c>
      <c r="BY32" s="130">
        <f t="shared" si="32"/>
        <v>6.0505464964986488E-2</v>
      </c>
      <c r="BZ32" s="48">
        <f t="shared" si="33"/>
        <v>1.255768E-3</v>
      </c>
      <c r="CA32" s="48">
        <f t="shared" si="34"/>
        <v>3.6479747610142503E-4</v>
      </c>
      <c r="CB32" s="49">
        <f t="shared" si="35"/>
        <v>6.0870262441087911E-2</v>
      </c>
    </row>
    <row r="33" spans="1:80" x14ac:dyDescent="0.25">
      <c r="A33" s="50" t="s">
        <v>31</v>
      </c>
      <c r="B33" s="111">
        <v>2</v>
      </c>
      <c r="C33" s="192">
        <v>41964.36041666667</v>
      </c>
      <c r="D33" s="107">
        <v>41964.426388888889</v>
      </c>
      <c r="E33" s="187">
        <f t="shared" si="5"/>
        <v>6.5972222218988463E-2</v>
      </c>
      <c r="F33" s="51">
        <v>0.01</v>
      </c>
      <c r="G33" s="51">
        <f t="shared" si="6"/>
        <v>0.98258382123999988</v>
      </c>
      <c r="H33" s="51">
        <v>2437.9299999999998</v>
      </c>
      <c r="I33" s="51">
        <f>('High STDs'!H$20*'High Data'!H33)+'High STDs'!H$21</f>
        <v>735.79512339083317</v>
      </c>
      <c r="J33" s="51">
        <v>12135.665999999999</v>
      </c>
      <c r="K33" s="52"/>
      <c r="L33" s="94">
        <v>41964.599305555559</v>
      </c>
      <c r="M33" s="187">
        <f t="shared" si="7"/>
        <v>0.23888888888905058</v>
      </c>
      <c r="N33" s="51">
        <v>0.01</v>
      </c>
      <c r="O33" s="51">
        <f t="shared" si="0"/>
        <v>0.98258382123999988</v>
      </c>
      <c r="P33" s="51">
        <v>496.69200000000001</v>
      </c>
      <c r="Q33" s="51">
        <f>('High STDs'!K$20*'High Data'!P33)+'High STDs'!K$21</f>
        <v>154.30823197530802</v>
      </c>
      <c r="R33" s="51">
        <v>24918.212</v>
      </c>
      <c r="S33" s="111"/>
      <c r="T33" s="107">
        <v>41964.71597222222</v>
      </c>
      <c r="U33" s="187">
        <f t="shared" si="8"/>
        <v>0.35555555555038154</v>
      </c>
      <c r="V33" s="51">
        <v>0.01</v>
      </c>
      <c r="W33" s="51">
        <f t="shared" si="1"/>
        <v>0.98258382123999988</v>
      </c>
      <c r="X33" s="51">
        <v>158.47999999999999</v>
      </c>
      <c r="Y33" s="51">
        <f>('High STDs'!K$20*'High Data'!X33)+'High STDs'!K$21</f>
        <v>51.417366731567448</v>
      </c>
      <c r="Z33" s="51">
        <v>28403.225999999999</v>
      </c>
      <c r="AA33" s="52"/>
      <c r="AB33" s="94">
        <v>41965.53402777778</v>
      </c>
      <c r="AC33" s="187">
        <f t="shared" si="9"/>
        <v>1.1736111111094942</v>
      </c>
      <c r="AD33" s="51">
        <v>0</v>
      </c>
      <c r="AE33" s="51">
        <f t="shared" si="2"/>
        <v>0.98190336152999991</v>
      </c>
      <c r="AF33" s="51">
        <v>7.9740000000000002</v>
      </c>
      <c r="AG33" s="51">
        <f>('High STDs'!K$43*'High Data'!AF33)+'High STDs'!K$44</f>
        <v>6.1457957104551149</v>
      </c>
      <c r="AH33" s="51">
        <v>34585</v>
      </c>
      <c r="AI33" s="111"/>
      <c r="AJ33" s="107">
        <v>41966.572222222225</v>
      </c>
      <c r="AK33" s="187">
        <f t="shared" si="10"/>
        <v>2.2118055555547471</v>
      </c>
      <c r="AL33" s="51">
        <v>0.03</v>
      </c>
      <c r="AM33" s="51">
        <f t="shared" si="3"/>
        <v>0.98394474065999993</v>
      </c>
      <c r="AN33" s="51">
        <v>5.0620000000000003</v>
      </c>
      <c r="AO33" s="51">
        <f>('High STDs'!K$66*'High Data'!AN33)+'High STDs'!K$67</f>
        <v>4.7100136360457405</v>
      </c>
      <c r="AP33" s="51">
        <v>35329.262000000002</v>
      </c>
      <c r="AQ33" s="52"/>
      <c r="AS33" s="216">
        <v>0.46547579820242191</v>
      </c>
      <c r="AT33" s="50">
        <v>137.91999999999999</v>
      </c>
      <c r="AU33" s="51">
        <f t="shared" si="11"/>
        <v>71.617474379605326</v>
      </c>
      <c r="AV33" s="51">
        <f t="shared" si="12"/>
        <v>66.302525620394661</v>
      </c>
      <c r="AW33" s="111"/>
      <c r="AX33" s="50">
        <v>0.97619999999999996</v>
      </c>
      <c r="AY33" s="51">
        <v>7.0842000000000001</v>
      </c>
      <c r="AZ33" s="51">
        <v>4.6547999999999998</v>
      </c>
      <c r="BA33" s="51">
        <f t="shared" si="13"/>
        <v>3.6785999999999999</v>
      </c>
      <c r="BB33" s="52">
        <f t="shared" si="14"/>
        <v>48.073176928940455</v>
      </c>
      <c r="BC33" s="126"/>
      <c r="BD33" s="126">
        <v>153.85864239597043</v>
      </c>
      <c r="BE33" s="51">
        <f t="shared" si="15"/>
        <v>494.83905229152731</v>
      </c>
      <c r="BF33" s="51">
        <v>28</v>
      </c>
      <c r="BG33" s="52">
        <f t="shared" si="4"/>
        <v>301</v>
      </c>
      <c r="BI33" s="50">
        <f t="shared" si="16"/>
        <v>14.740861420557168</v>
      </c>
      <c r="BJ33" s="51">
        <f t="shared" si="17"/>
        <v>1.255768E-3</v>
      </c>
      <c r="BK33" s="51">
        <f t="shared" si="18"/>
        <v>6.1262736087692976E-2</v>
      </c>
      <c r="BL33" s="52">
        <f t="shared" si="19"/>
        <v>14.802124156644862</v>
      </c>
      <c r="BM33" s="126">
        <f t="shared" si="20"/>
        <v>3.0913989387654355</v>
      </c>
      <c r="BN33" s="51">
        <f t="shared" si="21"/>
        <v>1.255768E-3</v>
      </c>
      <c r="BO33" s="51">
        <f t="shared" si="22"/>
        <v>1.284779443508279E-2</v>
      </c>
      <c r="BP33" s="111">
        <f t="shared" si="23"/>
        <v>3.1042467332005184</v>
      </c>
      <c r="BQ33" s="50">
        <f t="shared" si="24"/>
        <v>1.0300914663678853</v>
      </c>
      <c r="BR33" s="51">
        <f t="shared" si="25"/>
        <v>1.255768E-3</v>
      </c>
      <c r="BS33" s="51">
        <f t="shared" si="26"/>
        <v>4.2810402899707296E-3</v>
      </c>
      <c r="BT33" s="52">
        <f t="shared" si="27"/>
        <v>1.034372506657856</v>
      </c>
      <c r="BU33" s="126">
        <f t="shared" si="28"/>
        <v>0.12312438613262247</v>
      </c>
      <c r="BV33" s="51">
        <f t="shared" si="29"/>
        <v>1.255768E-3</v>
      </c>
      <c r="BW33" s="51">
        <f t="shared" si="30"/>
        <v>5.1170257683061176E-4</v>
      </c>
      <c r="BX33" s="52">
        <f t="shared" si="31"/>
        <v>0.12363608870945308</v>
      </c>
      <c r="BY33" s="126">
        <f t="shared" si="32"/>
        <v>9.4360041390225163E-2</v>
      </c>
      <c r="BZ33" s="51">
        <f t="shared" si="33"/>
        <v>1.255768E-3</v>
      </c>
      <c r="CA33" s="51">
        <f t="shared" si="34"/>
        <v>3.9215851421352358E-4</v>
      </c>
      <c r="CB33" s="52">
        <f t="shared" si="35"/>
        <v>9.4752199904438686E-2</v>
      </c>
    </row>
    <row r="34" spans="1:80" ht="15.75" thickBot="1" x14ac:dyDescent="0.3">
      <c r="A34" s="92" t="s">
        <v>31</v>
      </c>
      <c r="B34" s="112">
        <v>3</v>
      </c>
      <c r="C34" s="193">
        <v>41964.36041666667</v>
      </c>
      <c r="D34" s="108">
        <v>41964.428472222222</v>
      </c>
      <c r="E34" s="189">
        <f t="shared" si="5"/>
        <v>6.8055555551836733E-2</v>
      </c>
      <c r="F34" s="53">
        <v>0.14000000000000001</v>
      </c>
      <c r="G34" s="53">
        <f t="shared" si="6"/>
        <v>0.99142979746999993</v>
      </c>
      <c r="H34" s="53">
        <v>4476.1480000000001</v>
      </c>
      <c r="I34" s="53">
        <f>('High STDs'!H$20*'High Data'!H34)+'High STDs'!H$21</f>
        <v>1373.1719551747674</v>
      </c>
      <c r="J34" s="53">
        <v>7157.7290000000003</v>
      </c>
      <c r="K34" s="54"/>
      <c r="L34" s="95">
        <v>41964.601388888892</v>
      </c>
      <c r="M34" s="189">
        <f t="shared" si="7"/>
        <v>0.24097222222189885</v>
      </c>
      <c r="N34" s="53">
        <v>0.04</v>
      </c>
      <c r="O34" s="53">
        <f t="shared" si="0"/>
        <v>0.9846252003699999</v>
      </c>
      <c r="P34" s="53">
        <v>2742.864</v>
      </c>
      <c r="Q34" s="53">
        <f>('High STDs'!K$20*'High Data'!P34)+'High STDs'!K$21</f>
        <v>837.638748238076</v>
      </c>
      <c r="R34" s="53">
        <v>20629.736000000001</v>
      </c>
      <c r="S34" s="112"/>
      <c r="T34" s="108">
        <v>41964.718055555553</v>
      </c>
      <c r="U34" s="189">
        <f t="shared" si="8"/>
        <v>0.35763888888322981</v>
      </c>
      <c r="V34" s="53">
        <v>0.02</v>
      </c>
      <c r="W34" s="53">
        <f t="shared" si="1"/>
        <v>0.98326428094999996</v>
      </c>
      <c r="X34" s="53">
        <v>1867.7739999999999</v>
      </c>
      <c r="Y34" s="53">
        <f>('High STDs'!K$20*'High Data'!X34)+'High STDs'!K$21</f>
        <v>571.41884100194898</v>
      </c>
      <c r="Z34" s="53">
        <v>30694.208999999999</v>
      </c>
      <c r="AA34" s="54"/>
      <c r="AB34" s="95">
        <v>41965.536111111112</v>
      </c>
      <c r="AC34" s="189">
        <f t="shared" si="9"/>
        <v>1.1756944444423425</v>
      </c>
      <c r="AD34" s="53">
        <v>-0.41</v>
      </c>
      <c r="AE34" s="53">
        <f t="shared" si="2"/>
        <v>0.95400451341999992</v>
      </c>
      <c r="AF34" s="53">
        <v>18.702999999999999</v>
      </c>
      <c r="AG34" s="53">
        <f>('High STDs'!K$43*'High Data'!AF34)+'High STDs'!K$44</f>
        <v>9.4322346289197387</v>
      </c>
      <c r="AH34" s="53">
        <v>72526.850999999995</v>
      </c>
      <c r="AI34" s="112"/>
      <c r="AJ34" s="108">
        <v>41966.574305555558</v>
      </c>
      <c r="AK34" s="189">
        <f t="shared" si="10"/>
        <v>2.2138888888875954</v>
      </c>
      <c r="AL34" s="53">
        <v>0.2</v>
      </c>
      <c r="AM34" s="53">
        <f t="shared" si="3"/>
        <v>0.99551255572999986</v>
      </c>
      <c r="AN34" s="53">
        <v>2.63</v>
      </c>
      <c r="AO34" s="53">
        <f>('High STDs'!K$66*'High Data'!AN34)+'High STDs'!K$67</f>
        <v>3.9798257233380778</v>
      </c>
      <c r="AP34" s="53">
        <v>96981.504000000001</v>
      </c>
      <c r="AQ34" s="54"/>
      <c r="AS34" s="220">
        <v>0.68900398182558564</v>
      </c>
      <c r="AT34" s="92">
        <v>211.69</v>
      </c>
      <c r="AU34" s="53">
        <f t="shared" si="11"/>
        <v>118.48284651437184</v>
      </c>
      <c r="AV34" s="53">
        <f t="shared" si="12"/>
        <v>93.207153485628154</v>
      </c>
      <c r="AW34" s="112"/>
      <c r="AX34" s="92">
        <v>1.028</v>
      </c>
      <c r="AY34" s="53">
        <v>6.1021999999999998</v>
      </c>
      <c r="AZ34" s="53">
        <v>4.4433999999999996</v>
      </c>
      <c r="BA34" s="53">
        <f t="shared" si="13"/>
        <v>3.4153999999999995</v>
      </c>
      <c r="BB34" s="54">
        <f t="shared" si="14"/>
        <v>44.030021959293379</v>
      </c>
      <c r="BC34" s="131"/>
      <c r="BD34" s="131">
        <v>171.96249896907648</v>
      </c>
      <c r="BE34" s="53">
        <f t="shared" si="15"/>
        <v>386.27759360171365</v>
      </c>
      <c r="BF34" s="53">
        <v>28</v>
      </c>
      <c r="BG34" s="54">
        <f t="shared" si="4"/>
        <v>301</v>
      </c>
      <c r="BI34" s="92">
        <f t="shared" si="16"/>
        <v>21.474666800253502</v>
      </c>
      <c r="BJ34" s="53">
        <f t="shared" si="17"/>
        <v>1.255768E-3</v>
      </c>
      <c r="BK34" s="53">
        <f t="shared" si="18"/>
        <v>0.16072505462808548</v>
      </c>
      <c r="BL34" s="54">
        <f t="shared" si="19"/>
        <v>21.635391854881586</v>
      </c>
      <c r="BM34" s="131">
        <f t="shared" si="20"/>
        <v>13.099607044555993</v>
      </c>
      <c r="BN34" s="53">
        <f t="shared" si="21"/>
        <v>1.255768E-3</v>
      </c>
      <c r="BO34" s="53">
        <f t="shared" si="22"/>
        <v>9.8042734605682524E-2</v>
      </c>
      <c r="BP34" s="112">
        <f t="shared" si="23"/>
        <v>13.197649779161676</v>
      </c>
      <c r="BQ34" s="92">
        <f t="shared" si="24"/>
        <v>8.9362655329951863</v>
      </c>
      <c r="BR34" s="53">
        <f t="shared" si="25"/>
        <v>1.255768E-3</v>
      </c>
      <c r="BS34" s="53">
        <f t="shared" si="26"/>
        <v>6.6882610068938267E-2</v>
      </c>
      <c r="BT34" s="54">
        <f t="shared" si="27"/>
        <v>9.0031481430641254</v>
      </c>
      <c r="BU34" s="131">
        <f t="shared" si="28"/>
        <v>0.14750817992935522</v>
      </c>
      <c r="BV34" s="53">
        <f t="shared" si="29"/>
        <v>1.255768E-3</v>
      </c>
      <c r="BW34" s="53">
        <f t="shared" si="30"/>
        <v>1.1040106232034861E-3</v>
      </c>
      <c r="BX34" s="54">
        <f t="shared" si="31"/>
        <v>0.1486121905525587</v>
      </c>
      <c r="BY34" s="131">
        <f t="shared" si="32"/>
        <v>6.2239423846145815E-2</v>
      </c>
      <c r="BZ34" s="53">
        <f t="shared" si="33"/>
        <v>1.255768E-3</v>
      </c>
      <c r="CA34" s="53">
        <f t="shared" si="34"/>
        <v>4.6582491317510296E-4</v>
      </c>
      <c r="CB34" s="54">
        <f t="shared" si="35"/>
        <v>6.2705248759320917E-2</v>
      </c>
    </row>
    <row r="35" spans="1:80" x14ac:dyDescent="0.25">
      <c r="A35" s="15" t="s">
        <v>32</v>
      </c>
      <c r="B35" s="26">
        <v>1</v>
      </c>
      <c r="C35" s="77">
        <v>41964.36041666667</v>
      </c>
      <c r="D35" s="104">
        <v>41964.431250000001</v>
      </c>
      <c r="E35" s="181">
        <f t="shared" si="5"/>
        <v>7.0833333331393078E-2</v>
      </c>
      <c r="F35" s="10">
        <v>0.01</v>
      </c>
      <c r="G35" s="10">
        <f t="shared" si="6"/>
        <v>0.98258382123999988</v>
      </c>
      <c r="H35" s="10">
        <v>3801.53</v>
      </c>
      <c r="I35" s="10">
        <f>('High STDs'!H$20*'High Data'!H35)+'High STDs'!H$21</f>
        <v>1162.2102800720972</v>
      </c>
      <c r="J35" s="10">
        <v>6067.91</v>
      </c>
      <c r="K35" s="32"/>
      <c r="L35" s="72">
        <v>41964.603472222225</v>
      </c>
      <c r="M35" s="181">
        <f t="shared" si="7"/>
        <v>0.24305555555474712</v>
      </c>
      <c r="N35" s="10">
        <v>0</v>
      </c>
      <c r="O35" s="10">
        <f t="shared" si="0"/>
        <v>0.98190336152999991</v>
      </c>
      <c r="P35" s="10">
        <v>3679.2860000000001</v>
      </c>
      <c r="Q35" s="10">
        <f>('High STDs'!K$20*'High Data'!P35)+'High STDs'!K$21</f>
        <v>1122.5170784371051</v>
      </c>
      <c r="R35" s="10">
        <v>17062.106</v>
      </c>
      <c r="S35" s="26"/>
      <c r="T35" s="104">
        <v>41964.720138888886</v>
      </c>
      <c r="U35" s="181">
        <f t="shared" si="8"/>
        <v>0.35972222221607808</v>
      </c>
      <c r="V35" s="10">
        <v>-0.1</v>
      </c>
      <c r="W35" s="10">
        <f t="shared" si="1"/>
        <v>0.97509876442999999</v>
      </c>
      <c r="X35" s="10">
        <v>3410.4630000000002</v>
      </c>
      <c r="Y35" s="10">
        <f>('High STDs'!K$20*'High Data'!X35)+'High STDs'!K$21</f>
        <v>1040.7357369488727</v>
      </c>
      <c r="Z35" s="10">
        <v>22986.152999999998</v>
      </c>
      <c r="AA35" s="32"/>
      <c r="AB35" s="72">
        <v>41965.538194444445</v>
      </c>
      <c r="AC35" s="181">
        <f t="shared" si="9"/>
        <v>1.1777777777751908</v>
      </c>
      <c r="AD35" s="10">
        <v>-0.04</v>
      </c>
      <c r="AE35" s="10">
        <f t="shared" si="2"/>
        <v>0.97918152269000003</v>
      </c>
      <c r="AF35" s="10">
        <v>2420.473</v>
      </c>
      <c r="AG35" s="10">
        <f>('High STDs'!K$43*'High Data'!AF35)+'High STDs'!K$44</f>
        <v>745.12711776814808</v>
      </c>
      <c r="AH35" s="10">
        <v>58737.36</v>
      </c>
      <c r="AI35" s="26"/>
      <c r="AJ35" s="104">
        <v>41966.576388888891</v>
      </c>
      <c r="AK35" s="181">
        <f t="shared" si="10"/>
        <v>2.2159722222204437</v>
      </c>
      <c r="AL35" s="10">
        <v>0</v>
      </c>
      <c r="AM35" s="10">
        <f t="shared" si="3"/>
        <v>0.98190336152999991</v>
      </c>
      <c r="AN35" s="10">
        <v>2338.7579999999998</v>
      </c>
      <c r="AO35" s="10">
        <f>('High STDs'!K$66*'High Data'!AN35)+'High STDs'!K$67</f>
        <v>705.38296229320918</v>
      </c>
      <c r="AP35" s="10">
        <v>88670.46</v>
      </c>
      <c r="AQ35" s="32"/>
      <c r="AS35" s="218">
        <v>0.49101499945820681</v>
      </c>
      <c r="AT35" s="15">
        <v>79.39</v>
      </c>
      <c r="AU35" s="128">
        <f t="shared" si="11"/>
        <v>63.694547712117718</v>
      </c>
      <c r="AV35" s="10">
        <f t="shared" si="12"/>
        <v>15.695452287882283</v>
      </c>
      <c r="AW35" s="26"/>
      <c r="AX35" s="15">
        <v>0.98880000000000001</v>
      </c>
      <c r="AY35" s="128">
        <v>6.5235000000000003</v>
      </c>
      <c r="AZ35" s="128">
        <v>6.2225999999999999</v>
      </c>
      <c r="BA35" s="10">
        <f t="shared" si="13"/>
        <v>5.2337999999999996</v>
      </c>
      <c r="BB35" s="32">
        <f t="shared" si="14"/>
        <v>19.770062083237537</v>
      </c>
      <c r="BC35" s="129"/>
      <c r="BD35" s="129">
        <v>129.72016696516241</v>
      </c>
      <c r="BE35" s="10">
        <f t="shared" si="15"/>
        <v>570.66286690513073</v>
      </c>
      <c r="BF35" s="10">
        <v>28</v>
      </c>
      <c r="BG35" s="32">
        <f t="shared" si="4"/>
        <v>301</v>
      </c>
      <c r="BI35" s="15">
        <f t="shared" si="16"/>
        <v>26.851361914609029</v>
      </c>
      <c r="BJ35" s="128">
        <f t="shared" si="17"/>
        <v>1.255768E-3</v>
      </c>
      <c r="BK35" s="128">
        <f t="shared" si="18"/>
        <v>2.2906986486681682E-2</v>
      </c>
      <c r="BL35" s="154">
        <f t="shared" si="19"/>
        <v>26.874268901095711</v>
      </c>
      <c r="BM35" s="158">
        <f t="shared" si="20"/>
        <v>25.934301946266121</v>
      </c>
      <c r="BN35" s="128">
        <f t="shared" si="21"/>
        <v>1.255768E-3</v>
      </c>
      <c r="BO35" s="128">
        <f t="shared" si="22"/>
        <v>2.2124639566286613E-2</v>
      </c>
      <c r="BP35" s="164">
        <f t="shared" si="23"/>
        <v>25.956426585832407</v>
      </c>
      <c r="BQ35" s="15">
        <f t="shared" si="24"/>
        <v>24.044850066674645</v>
      </c>
      <c r="BR35" s="128">
        <f t="shared" si="25"/>
        <v>1.255768E-3</v>
      </c>
      <c r="BS35" s="128">
        <f t="shared" si="26"/>
        <v>2.0512741860290219E-2</v>
      </c>
      <c r="BT35" s="154">
        <f t="shared" si="27"/>
        <v>24.065362808534935</v>
      </c>
      <c r="BU35" s="158">
        <f t="shared" si="28"/>
        <v>17.215196126419468</v>
      </c>
      <c r="BV35" s="128">
        <f t="shared" si="29"/>
        <v>1.255768E-3</v>
      </c>
      <c r="BW35" s="128">
        <f t="shared" si="30"/>
        <v>1.4686341284570461E-2</v>
      </c>
      <c r="BX35" s="154">
        <f t="shared" si="31"/>
        <v>17.229882467704037</v>
      </c>
      <c r="BY35" s="158">
        <f t="shared" si="32"/>
        <v>16.296958935657507</v>
      </c>
      <c r="BZ35" s="128">
        <f t="shared" si="33"/>
        <v>1.255768E-3</v>
      </c>
      <c r="CA35" s="128">
        <f t="shared" si="34"/>
        <v>1.3902990071799803E-2</v>
      </c>
      <c r="CB35" s="154">
        <f t="shared" si="35"/>
        <v>16.310861925729306</v>
      </c>
    </row>
    <row r="36" spans="1:80" x14ac:dyDescent="0.25">
      <c r="A36" s="16" t="s">
        <v>32</v>
      </c>
      <c r="B36" s="27">
        <v>2</v>
      </c>
      <c r="C36" s="78">
        <v>41964.361111111109</v>
      </c>
      <c r="D36" s="82">
        <v>41964.432638888888</v>
      </c>
      <c r="E36" s="182">
        <f t="shared" si="5"/>
        <v>7.1527777778101154E-2</v>
      </c>
      <c r="F36" s="12">
        <v>0.05</v>
      </c>
      <c r="G36" s="12">
        <f t="shared" si="6"/>
        <v>0.98530566007999998</v>
      </c>
      <c r="H36" s="12">
        <v>4075.4920000000002</v>
      </c>
      <c r="I36" s="12">
        <f>('High STDs'!H$20*'High Data'!H36)+'High STDs'!H$21</f>
        <v>1247.8817006901029</v>
      </c>
      <c r="J36" s="12">
        <v>6741.1080000000002</v>
      </c>
      <c r="K36" s="33"/>
      <c r="L36" s="73">
        <v>41964.606249999997</v>
      </c>
      <c r="M36" s="182">
        <f t="shared" si="7"/>
        <v>0.24513888888759539</v>
      </c>
      <c r="N36" s="12">
        <v>0.01</v>
      </c>
      <c r="O36" s="12">
        <f t="shared" si="0"/>
        <v>0.98258382123999988</v>
      </c>
      <c r="P36" s="12">
        <v>3759.962</v>
      </c>
      <c r="Q36" s="12">
        <f>('High STDs'!K$20*'High Data'!P36)+'High STDs'!K$21</f>
        <v>1147.0603336864872</v>
      </c>
      <c r="R36" s="12">
        <v>17849.085999999999</v>
      </c>
      <c r="S36" s="27"/>
      <c r="T36" s="82">
        <v>41964.722916666666</v>
      </c>
      <c r="U36" s="182">
        <f t="shared" si="8"/>
        <v>0.36180555555620231</v>
      </c>
      <c r="V36" s="12">
        <v>-0.05</v>
      </c>
      <c r="W36" s="12">
        <f t="shared" si="1"/>
        <v>0.97850106297999984</v>
      </c>
      <c r="X36" s="12">
        <v>3641.9540000000002</v>
      </c>
      <c r="Y36" s="12">
        <f>('High STDs'!K$20*'High Data'!X36)+'High STDs'!K$21</f>
        <v>1111.1599362266593</v>
      </c>
      <c r="Z36" s="12">
        <v>25232.405999999999</v>
      </c>
      <c r="AA36" s="33"/>
      <c r="AB36" s="73">
        <v>41965.540277777778</v>
      </c>
      <c r="AC36" s="182">
        <f t="shared" si="9"/>
        <v>1.1791666666686069</v>
      </c>
      <c r="AD36" s="12">
        <v>-0.05</v>
      </c>
      <c r="AE36" s="12">
        <f t="shared" si="2"/>
        <v>0.97850106297999984</v>
      </c>
      <c r="AF36" s="12">
        <v>2492.373</v>
      </c>
      <c r="AG36" s="12">
        <f>('High STDs'!K$43*'High Data'!AF36)+'High STDs'!K$44</f>
        <v>767.15106764582606</v>
      </c>
      <c r="AH36" s="12">
        <v>62503.112999999998</v>
      </c>
      <c r="AI36" s="27"/>
      <c r="AJ36" s="82">
        <v>41966.57916666667</v>
      </c>
      <c r="AK36" s="182">
        <f t="shared" si="10"/>
        <v>2.2180555555605679</v>
      </c>
      <c r="AL36" s="12">
        <v>0.02</v>
      </c>
      <c r="AM36" s="12">
        <f t="shared" si="3"/>
        <v>0.98326428094999996</v>
      </c>
      <c r="AN36" s="12">
        <v>2098.5459999999998</v>
      </c>
      <c r="AO36" s="12">
        <f>('High STDs'!K$66*'High Data'!AN36)+'High STDs'!K$67</f>
        <v>633.26129334282552</v>
      </c>
      <c r="AP36" s="12">
        <v>87125.323999999993</v>
      </c>
      <c r="AQ36" s="33"/>
      <c r="AS36" s="214">
        <v>0.80445693325413681</v>
      </c>
      <c r="AT36" s="16">
        <v>149.27000000000001</v>
      </c>
      <c r="AU36" s="85">
        <f t="shared" si="11"/>
        <v>109.20887867763366</v>
      </c>
      <c r="AV36" s="12">
        <f t="shared" si="12"/>
        <v>40.061121322366347</v>
      </c>
      <c r="AW36" s="27"/>
      <c r="AX36" s="16">
        <v>0.97560000000000002</v>
      </c>
      <c r="AY36" s="85">
        <v>6.3220000000000001</v>
      </c>
      <c r="AZ36" s="85">
        <v>5.6009000000000002</v>
      </c>
      <c r="BA36" s="12">
        <f t="shared" si="13"/>
        <v>4.6253000000000002</v>
      </c>
      <c r="BB36" s="33">
        <f t="shared" si="14"/>
        <v>26.838025941157863</v>
      </c>
      <c r="BC36" s="124"/>
      <c r="BD36" s="124">
        <v>135.75478582286439</v>
      </c>
      <c r="BE36" s="12">
        <f t="shared" si="15"/>
        <v>465.19759225078866</v>
      </c>
      <c r="BF36" s="12">
        <v>28</v>
      </c>
      <c r="BG36" s="33">
        <f t="shared" si="4"/>
        <v>301</v>
      </c>
      <c r="BI36" s="16">
        <f t="shared" si="16"/>
        <v>23.502435321001457</v>
      </c>
      <c r="BJ36" s="85">
        <f t="shared" si="17"/>
        <v>1.255768E-3</v>
      </c>
      <c r="BK36" s="85">
        <f t="shared" si="18"/>
        <v>6.2777776463049564E-2</v>
      </c>
      <c r="BL36" s="152">
        <f t="shared" si="19"/>
        <v>23.565213097464508</v>
      </c>
      <c r="BM36" s="156">
        <f t="shared" si="20"/>
        <v>21.60357931913283</v>
      </c>
      <c r="BN36" s="85">
        <f t="shared" si="21"/>
        <v>1.255768E-3</v>
      </c>
      <c r="BO36" s="85">
        <f t="shared" si="22"/>
        <v>5.7705708143631303E-2</v>
      </c>
      <c r="BP36" s="162">
        <f t="shared" si="23"/>
        <v>21.661285027276463</v>
      </c>
      <c r="BQ36" s="16">
        <f t="shared" si="24"/>
        <v>20.927436084697035</v>
      </c>
      <c r="BR36" s="85">
        <f t="shared" si="25"/>
        <v>1.255768E-3</v>
      </c>
      <c r="BS36" s="85">
        <f t="shared" si="26"/>
        <v>5.5899649824624503E-2</v>
      </c>
      <c r="BT36" s="152">
        <f t="shared" si="27"/>
        <v>20.98333573452166</v>
      </c>
      <c r="BU36" s="156">
        <f t="shared" si="28"/>
        <v>14.448419540740396</v>
      </c>
      <c r="BV36" s="85">
        <f t="shared" si="29"/>
        <v>1.255768E-3</v>
      </c>
      <c r="BW36" s="85">
        <f t="shared" si="30"/>
        <v>3.8593432543666636E-2</v>
      </c>
      <c r="BX36" s="152">
        <f t="shared" si="31"/>
        <v>14.487012973284063</v>
      </c>
      <c r="BY36" s="156">
        <f t="shared" si="32"/>
        <v>11.926757624422889</v>
      </c>
      <c r="BZ36" s="85">
        <f t="shared" si="33"/>
        <v>1.255768E-3</v>
      </c>
      <c r="CA36" s="85">
        <f t="shared" si="34"/>
        <v>3.1857776177174821E-2</v>
      </c>
      <c r="CB36" s="152">
        <f t="shared" si="35"/>
        <v>11.958615400600063</v>
      </c>
    </row>
    <row r="37" spans="1:80" ht="15.75" thickBot="1" x14ac:dyDescent="0.3">
      <c r="A37" s="55" t="s">
        <v>32</v>
      </c>
      <c r="B37" s="28">
        <v>3</v>
      </c>
      <c r="C37" s="79">
        <v>41964.361111111109</v>
      </c>
      <c r="D37" s="105">
        <v>41964.435416666667</v>
      </c>
      <c r="E37" s="183">
        <f t="shared" si="5"/>
        <v>7.4305555557657499E-2</v>
      </c>
      <c r="F37" s="14">
        <v>0.01</v>
      </c>
      <c r="G37" s="14">
        <f t="shared" si="6"/>
        <v>0.98258382123999988</v>
      </c>
      <c r="H37" s="14">
        <v>3424.3220000000001</v>
      </c>
      <c r="I37" s="14">
        <f>('High STDs'!H$20*'High Data'!H37)+'High STDs'!H$21</f>
        <v>1044.25251502265</v>
      </c>
      <c r="J37" s="14">
        <v>6520.7550000000001</v>
      </c>
      <c r="K37" s="34"/>
      <c r="L37" s="74">
        <v>41964.607638888891</v>
      </c>
      <c r="M37" s="183">
        <f t="shared" si="7"/>
        <v>0.24652777778101154</v>
      </c>
      <c r="N37" s="14">
        <v>0</v>
      </c>
      <c r="O37" s="14">
        <f t="shared" si="0"/>
        <v>0.98190336152999991</v>
      </c>
      <c r="P37" s="14">
        <v>2605.6909999999998</v>
      </c>
      <c r="Q37" s="14">
        <f>('High STDs'!K$20*'High Data'!P37)+'High STDs'!K$21</f>
        <v>795.90797387738007</v>
      </c>
      <c r="R37" s="14">
        <v>16402.25</v>
      </c>
      <c r="S37" s="28"/>
      <c r="T37" s="105">
        <v>41964.724999999999</v>
      </c>
      <c r="U37" s="183">
        <f t="shared" si="8"/>
        <v>0.36388888888905058</v>
      </c>
      <c r="V37" s="14">
        <v>0</v>
      </c>
      <c r="W37" s="14">
        <f t="shared" si="1"/>
        <v>0.98190336152999991</v>
      </c>
      <c r="X37" s="14">
        <v>2141.8200000000002</v>
      </c>
      <c r="Y37" s="14">
        <f>('High STDs'!K$20*'High Data'!X37)+'High STDs'!K$21</f>
        <v>654.78912371393494</v>
      </c>
      <c r="Z37" s="14">
        <v>21839.114000000001</v>
      </c>
      <c r="AA37" s="34"/>
      <c r="AB37" s="74">
        <v>41965.542361111111</v>
      </c>
      <c r="AC37" s="183">
        <f t="shared" si="9"/>
        <v>1.1812500000014552</v>
      </c>
      <c r="AD37" s="14">
        <v>0</v>
      </c>
      <c r="AE37" s="14">
        <f t="shared" si="2"/>
        <v>0.98190336152999991</v>
      </c>
      <c r="AF37" s="14">
        <v>499.96</v>
      </c>
      <c r="AG37" s="14">
        <f>('High STDs'!K$43*'High Data'!AF37)+'High STDs'!K$44</f>
        <v>156.84781246315683</v>
      </c>
      <c r="AH37" s="14">
        <v>48561.98</v>
      </c>
      <c r="AI37" s="28"/>
      <c r="AJ37" s="105">
        <v>41966.581250000003</v>
      </c>
      <c r="AK37" s="183">
        <f t="shared" si="10"/>
        <v>2.2201388888934162</v>
      </c>
      <c r="AL37" s="14">
        <v>0</v>
      </c>
      <c r="AM37" s="14">
        <f t="shared" si="3"/>
        <v>0.98190336152999991</v>
      </c>
      <c r="AN37" s="14">
        <v>7.5250000000000004</v>
      </c>
      <c r="AO37" s="14">
        <f>('High STDs'!K$66*'High Data'!AN37)+'High STDs'!K$67</f>
        <v>5.4495090427065023</v>
      </c>
      <c r="AP37" s="14">
        <v>65530.173999999999</v>
      </c>
      <c r="AQ37" s="34"/>
      <c r="AS37" s="217">
        <v>0.56253222149651705</v>
      </c>
      <c r="AT37" s="55">
        <v>93.64</v>
      </c>
      <c r="AU37" s="60">
        <f t="shared" si="11"/>
        <v>72.971773695811919</v>
      </c>
      <c r="AV37" s="14">
        <f t="shared" si="12"/>
        <v>20.668226304188082</v>
      </c>
      <c r="AW37" s="28"/>
      <c r="AX37" s="55">
        <v>0.94530000000000003</v>
      </c>
      <c r="AY37" s="60">
        <v>6.8049999999999997</v>
      </c>
      <c r="AZ37" s="60">
        <v>6.2483000000000004</v>
      </c>
      <c r="BA37" s="14">
        <f t="shared" si="13"/>
        <v>5.3030000000000008</v>
      </c>
      <c r="BB37" s="34">
        <f t="shared" si="14"/>
        <v>22.072005878030847</v>
      </c>
      <c r="BC37" s="127"/>
      <c r="BD37" s="127">
        <v>129.72016696516241</v>
      </c>
      <c r="BE37" s="14">
        <f t="shared" si="15"/>
        <v>551.99625647487801</v>
      </c>
      <c r="BF37" s="14">
        <v>28</v>
      </c>
      <c r="BG37" s="34">
        <f t="shared" si="4"/>
        <v>301</v>
      </c>
      <c r="BI37" s="55">
        <f t="shared" si="16"/>
        <v>23.336926270907004</v>
      </c>
      <c r="BJ37" s="60">
        <f t="shared" si="17"/>
        <v>1.255768E-3</v>
      </c>
      <c r="BK37" s="60">
        <f t="shared" si="18"/>
        <v>2.7103048987228935E-2</v>
      </c>
      <c r="BL37" s="67">
        <f t="shared" si="19"/>
        <v>23.364029319894232</v>
      </c>
      <c r="BM37" s="157">
        <f t="shared" si="20"/>
        <v>17.786929346682513</v>
      </c>
      <c r="BN37" s="60">
        <f t="shared" si="21"/>
        <v>1.255768E-3</v>
      </c>
      <c r="BO37" s="60">
        <f t="shared" si="22"/>
        <v>2.0657391287065154E-2</v>
      </c>
      <c r="BP37" s="163">
        <f t="shared" si="23"/>
        <v>17.807586737969579</v>
      </c>
      <c r="BQ37" s="55">
        <f t="shared" si="24"/>
        <v>14.633209193441552</v>
      </c>
      <c r="BR37" s="60">
        <f t="shared" si="25"/>
        <v>1.255768E-3</v>
      </c>
      <c r="BS37" s="60">
        <f t="shared" si="26"/>
        <v>1.6994722484282028E-2</v>
      </c>
      <c r="BT37" s="67">
        <f t="shared" si="27"/>
        <v>14.650203915925834</v>
      </c>
      <c r="BU37" s="157">
        <f t="shared" si="28"/>
        <v>3.5052305668867318</v>
      </c>
      <c r="BV37" s="60">
        <f t="shared" si="29"/>
        <v>1.255768E-3</v>
      </c>
      <c r="BW37" s="60">
        <f t="shared" si="30"/>
        <v>4.0709061109002265E-3</v>
      </c>
      <c r="BX37" s="67">
        <f t="shared" si="31"/>
        <v>3.509301472997632</v>
      </c>
      <c r="BY37" s="157">
        <f t="shared" si="32"/>
        <v>0.12178547708790934</v>
      </c>
      <c r="BZ37" s="60">
        <f t="shared" si="33"/>
        <v>1.255768E-3</v>
      </c>
      <c r="CA37" s="60">
        <f t="shared" si="34"/>
        <v>1.4143926724238516E-4</v>
      </c>
      <c r="CB37" s="67">
        <f t="shared" si="35"/>
        <v>0.12192691635515172</v>
      </c>
    </row>
    <row r="38" spans="1:80" x14ac:dyDescent="0.25">
      <c r="A38" s="47" t="s">
        <v>33</v>
      </c>
      <c r="B38" s="110">
        <v>1</v>
      </c>
      <c r="C38" s="191">
        <v>41964.361805555556</v>
      </c>
      <c r="D38" s="106">
        <v>41964.4375</v>
      </c>
      <c r="E38" s="188">
        <f t="shared" si="5"/>
        <v>7.5694444443797693E-2</v>
      </c>
      <c r="F38" s="48">
        <v>0.02</v>
      </c>
      <c r="G38" s="48">
        <f t="shared" si="6"/>
        <v>0.98326428094999996</v>
      </c>
      <c r="H38" s="48">
        <v>4325.848</v>
      </c>
      <c r="I38" s="48">
        <f>('High STDs'!H$20*'High Data'!H38)+'High STDs'!H$21</f>
        <v>1326.1712232525072</v>
      </c>
      <c r="J38" s="48">
        <v>7642.5450000000001</v>
      </c>
      <c r="K38" s="49"/>
      <c r="L38" s="93">
        <v>41964.611111111109</v>
      </c>
      <c r="M38" s="188">
        <f t="shared" si="7"/>
        <v>0.24930555555329192</v>
      </c>
      <c r="N38" s="48">
        <v>0</v>
      </c>
      <c r="O38" s="48">
        <f t="shared" si="0"/>
        <v>0.98190336152999991</v>
      </c>
      <c r="P38" s="48">
        <v>3160.1280000000002</v>
      </c>
      <c r="Q38" s="48">
        <f>('High STDs'!K$20*'High Data'!P38)+'High STDs'!K$21</f>
        <v>964.57881540028256</v>
      </c>
      <c r="R38" s="48">
        <v>17941.915000000001</v>
      </c>
      <c r="S38" s="110"/>
      <c r="T38" s="106">
        <v>41964.727083333331</v>
      </c>
      <c r="U38" s="188">
        <f t="shared" si="8"/>
        <v>0.36527777777519077</v>
      </c>
      <c r="V38" s="48">
        <v>0</v>
      </c>
      <c r="W38" s="48">
        <f t="shared" si="1"/>
        <v>0.98190336152999991</v>
      </c>
      <c r="X38" s="48">
        <v>2483.87</v>
      </c>
      <c r="Y38" s="48">
        <f>('High STDs'!K$20*'High Data'!X38)+'High STDs'!K$21</f>
        <v>758.84758543800581</v>
      </c>
      <c r="Z38" s="48">
        <v>23867.166000000001</v>
      </c>
      <c r="AA38" s="49"/>
      <c r="AB38" s="93">
        <v>41965.544444444444</v>
      </c>
      <c r="AC38" s="188">
        <f t="shared" si="9"/>
        <v>1.1826388888875954</v>
      </c>
      <c r="AD38" s="48">
        <v>0.01</v>
      </c>
      <c r="AE38" s="48">
        <f t="shared" si="2"/>
        <v>0.98258382123999988</v>
      </c>
      <c r="AF38" s="48">
        <v>278.80599999999998</v>
      </c>
      <c r="AG38" s="48">
        <f>('High STDs'!K$43*'High Data'!AF38)+'High STDs'!K$44</f>
        <v>89.105328301154259</v>
      </c>
      <c r="AH38" s="48">
        <v>53066.425999999999</v>
      </c>
      <c r="AI38" s="110"/>
      <c r="AJ38" s="106">
        <v>41966.584027777775</v>
      </c>
      <c r="AK38" s="188">
        <f t="shared" si="10"/>
        <v>2.2222222222189885</v>
      </c>
      <c r="AL38" s="48">
        <v>0.01</v>
      </c>
      <c r="AM38" s="48">
        <f t="shared" si="3"/>
        <v>0.98258382123999988</v>
      </c>
      <c r="AN38" s="48">
        <v>18.033999999999999</v>
      </c>
      <c r="AO38" s="48">
        <f>('High STDs'!K$66*'High Data'!AN38)+'High STDs'!K$67</f>
        <v>8.6047494928071728</v>
      </c>
      <c r="AP38" s="48">
        <v>78361.957999999999</v>
      </c>
      <c r="AQ38" s="49"/>
      <c r="AS38" s="219">
        <v>0.99625511110656362</v>
      </c>
      <c r="AT38" s="47">
        <v>207.28</v>
      </c>
      <c r="AU38" s="48">
        <f t="shared" si="11"/>
        <v>144.26442905405406</v>
      </c>
      <c r="AV38" s="48">
        <f t="shared" si="12"/>
        <v>63.015570945945939</v>
      </c>
      <c r="AW38" s="110"/>
      <c r="AX38" s="47">
        <v>0.97960000000000003</v>
      </c>
      <c r="AY38" s="48">
        <v>7.1040000000000001</v>
      </c>
      <c r="AZ38" s="48">
        <v>5.9238999999999997</v>
      </c>
      <c r="BA38" s="48">
        <f t="shared" si="13"/>
        <v>4.9443000000000001</v>
      </c>
      <c r="BB38" s="49">
        <f t="shared" si="14"/>
        <v>30.401182432432432</v>
      </c>
      <c r="BC38" s="130"/>
      <c r="BD38" s="130">
        <v>144.80671410941741</v>
      </c>
      <c r="BE38" s="48">
        <f t="shared" si="15"/>
        <v>355.82066962388558</v>
      </c>
      <c r="BF38" s="48">
        <v>28</v>
      </c>
      <c r="BG38" s="49">
        <f t="shared" si="4"/>
        <v>301</v>
      </c>
      <c r="BI38" s="47">
        <f t="shared" si="16"/>
        <v>19.104371920296334</v>
      </c>
      <c r="BJ38" s="48">
        <f t="shared" si="17"/>
        <v>1.255768E-3</v>
      </c>
      <c r="BK38" s="48">
        <f t="shared" si="18"/>
        <v>0.10494382451816854</v>
      </c>
      <c r="BL38" s="49">
        <f t="shared" si="19"/>
        <v>19.209315744814504</v>
      </c>
      <c r="BM38" s="130">
        <f t="shared" si="20"/>
        <v>13.895394586116105</v>
      </c>
      <c r="BN38" s="48">
        <f t="shared" si="21"/>
        <v>1.255768E-3</v>
      </c>
      <c r="BO38" s="48">
        <f t="shared" si="22"/>
        <v>7.6329955108697362E-2</v>
      </c>
      <c r="BP38" s="110">
        <f t="shared" si="23"/>
        <v>13.971724541224802</v>
      </c>
      <c r="BQ38" s="47">
        <f t="shared" si="24"/>
        <v>10.931700408542326</v>
      </c>
      <c r="BR38" s="48">
        <f t="shared" si="25"/>
        <v>1.255768E-3</v>
      </c>
      <c r="BS38" s="48">
        <f t="shared" si="26"/>
        <v>6.00498385471896E-2</v>
      </c>
      <c r="BT38" s="49">
        <f t="shared" si="27"/>
        <v>10.991750247089517</v>
      </c>
      <c r="BU38" s="130">
        <f t="shared" si="28"/>
        <v>1.2836210755428479</v>
      </c>
      <c r="BV38" s="48">
        <f t="shared" si="29"/>
        <v>1.255768E-3</v>
      </c>
      <c r="BW38" s="48">
        <f t="shared" si="30"/>
        <v>7.0511663749844907E-3</v>
      </c>
      <c r="BX38" s="49">
        <f t="shared" si="31"/>
        <v>1.2906722419178325</v>
      </c>
      <c r="BY38" s="130">
        <f t="shared" si="32"/>
        <v>0.12395709672269778</v>
      </c>
      <c r="BZ38" s="48">
        <f t="shared" si="33"/>
        <v>1.255768E-3</v>
      </c>
      <c r="CA38" s="48">
        <f t="shared" si="34"/>
        <v>6.8091910378002428E-4</v>
      </c>
      <c r="CB38" s="49">
        <f t="shared" si="35"/>
        <v>0.12463801582647781</v>
      </c>
    </row>
    <row r="39" spans="1:80" x14ac:dyDescent="0.25">
      <c r="A39" s="50" t="s">
        <v>33</v>
      </c>
      <c r="B39" s="111">
        <v>2</v>
      </c>
      <c r="C39" s="192">
        <v>41964.362500000003</v>
      </c>
      <c r="D39" s="107">
        <v>41964.439583333333</v>
      </c>
      <c r="E39" s="187">
        <f t="shared" si="5"/>
        <v>7.7083333329937886E-2</v>
      </c>
      <c r="F39" s="51">
        <v>0.01</v>
      </c>
      <c r="G39" s="51">
        <f t="shared" si="6"/>
        <v>0.98258382123999988</v>
      </c>
      <c r="H39" s="51">
        <v>3588.672</v>
      </c>
      <c r="I39" s="51">
        <f>('High STDs'!H$20*'High Data'!H39)+'High STDs'!H$21</f>
        <v>1095.6468616056404</v>
      </c>
      <c r="J39" s="51">
        <v>10876.398999999999</v>
      </c>
      <c r="K39" s="52"/>
      <c r="L39" s="94">
        <v>41964.613888888889</v>
      </c>
      <c r="M39" s="187">
        <f t="shared" si="7"/>
        <v>0.25138888888614019</v>
      </c>
      <c r="N39" s="51">
        <v>0.01</v>
      </c>
      <c r="O39" s="51">
        <f t="shared" si="0"/>
        <v>0.98258382123999988</v>
      </c>
      <c r="P39" s="51">
        <v>1790.2280000000001</v>
      </c>
      <c r="Q39" s="51">
        <f>('High STDs'!K$20*'High Data'!P39)+'High STDs'!K$21</f>
        <v>547.82779445069991</v>
      </c>
      <c r="R39" s="51">
        <v>26454.151999999998</v>
      </c>
      <c r="S39" s="111"/>
      <c r="T39" s="107">
        <v>41964.729166666664</v>
      </c>
      <c r="U39" s="187">
        <f t="shared" si="8"/>
        <v>0.36666666666133096</v>
      </c>
      <c r="V39" s="51">
        <v>0</v>
      </c>
      <c r="W39" s="51">
        <f t="shared" si="1"/>
        <v>0.98190336152999991</v>
      </c>
      <c r="X39" s="51">
        <v>1090.2850000000001</v>
      </c>
      <c r="Y39" s="51">
        <f>('High STDs'!K$20*'High Data'!X39)+'High STDs'!K$21</f>
        <v>334.89111304584281</v>
      </c>
      <c r="Z39" s="51">
        <v>35405.409</v>
      </c>
      <c r="AA39" s="52"/>
      <c r="AB39" s="94">
        <v>41965.546527777777</v>
      </c>
      <c r="AC39" s="187">
        <f t="shared" si="9"/>
        <v>1.1840277777737356</v>
      </c>
      <c r="AD39" s="51">
        <v>0</v>
      </c>
      <c r="AE39" s="51">
        <f t="shared" si="2"/>
        <v>0.98190336152999991</v>
      </c>
      <c r="AF39" s="51">
        <v>8.5299999999999994</v>
      </c>
      <c r="AG39" s="51">
        <f>('High STDs'!K$43*'High Data'!AF39)+'High STDs'!K$44</f>
        <v>6.3161060878124013</v>
      </c>
      <c r="AH39" s="51">
        <v>65562.418000000005</v>
      </c>
      <c r="AI39" s="111"/>
      <c r="AJ39" s="107">
        <v>41966.585416666669</v>
      </c>
      <c r="AK39" s="187">
        <f t="shared" si="10"/>
        <v>2.2229166666656965</v>
      </c>
      <c r="AL39" s="51">
        <v>0.03</v>
      </c>
      <c r="AM39" s="51">
        <f t="shared" si="3"/>
        <v>0.98394474065999993</v>
      </c>
      <c r="AN39" s="51">
        <v>0</v>
      </c>
      <c r="AO39" s="51">
        <f>('High STDs'!K$66*'High Data'!AN39)+'High STDs'!K$67</f>
        <v>3.1901899460267487</v>
      </c>
      <c r="AP39" s="51">
        <v>77241.459000000003</v>
      </c>
      <c r="AQ39" s="52"/>
      <c r="AS39" s="216">
        <v>0.19368165498744103</v>
      </c>
      <c r="AT39" s="50">
        <v>122.72</v>
      </c>
      <c r="AU39" s="51">
        <f t="shared" si="11"/>
        <v>30.968391460950556</v>
      </c>
      <c r="AV39" s="51">
        <f t="shared" si="12"/>
        <v>91.751608539049442</v>
      </c>
      <c r="AW39" s="111"/>
      <c r="AX39" s="50">
        <v>1.0341</v>
      </c>
      <c r="AY39" s="51">
        <v>6.8297999999999996</v>
      </c>
      <c r="AZ39" s="51">
        <v>2.7576000000000001</v>
      </c>
      <c r="BA39" s="51">
        <f t="shared" si="13"/>
        <v>1.7235</v>
      </c>
      <c r="BB39" s="52">
        <f t="shared" si="14"/>
        <v>74.765000439251509</v>
      </c>
      <c r="BC39" s="126"/>
      <c r="BD39" s="126">
        <v>159.89326125367242</v>
      </c>
      <c r="BE39" s="51">
        <f t="shared" si="15"/>
        <v>509.81977876089178</v>
      </c>
      <c r="BF39" s="51">
        <v>28</v>
      </c>
      <c r="BG39" s="52">
        <f t="shared" si="4"/>
        <v>301</v>
      </c>
      <c r="BI39" s="50">
        <f t="shared" si="16"/>
        <v>22.61461877355169</v>
      </c>
      <c r="BJ39" s="51">
        <f t="shared" si="17"/>
        <v>1.255768E-3</v>
      </c>
      <c r="BK39" s="51">
        <f t="shared" si="18"/>
        <v>0.12623904425253618</v>
      </c>
      <c r="BL39" s="52">
        <f t="shared" si="19"/>
        <v>22.740857817804226</v>
      </c>
      <c r="BM39" s="126">
        <f t="shared" si="20"/>
        <v>11.307399454330199</v>
      </c>
      <c r="BN39" s="51">
        <f t="shared" si="21"/>
        <v>1.255768E-3</v>
      </c>
      <c r="BO39" s="51">
        <f t="shared" si="22"/>
        <v>6.3120024900252203E-2</v>
      </c>
      <c r="BP39" s="111">
        <f t="shared" si="23"/>
        <v>11.370519479230451</v>
      </c>
      <c r="BQ39" s="50">
        <f t="shared" si="24"/>
        <v>6.9122954827648364</v>
      </c>
      <c r="BR39" s="51">
        <f t="shared" si="25"/>
        <v>1.255768E-3</v>
      </c>
      <c r="BS39" s="51">
        <f t="shared" si="26"/>
        <v>3.8585730056872922E-2</v>
      </c>
      <c r="BT39" s="52">
        <f t="shared" si="27"/>
        <v>6.9508812128217095</v>
      </c>
      <c r="BU39" s="126">
        <f t="shared" si="28"/>
        <v>0.13036712495106653</v>
      </c>
      <c r="BV39" s="51">
        <f t="shared" si="29"/>
        <v>1.255768E-3</v>
      </c>
      <c r="BW39" s="51">
        <f t="shared" si="30"/>
        <v>7.2773374694341223E-4</v>
      </c>
      <c r="BX39" s="52">
        <f t="shared" si="31"/>
        <v>0.13109485869800994</v>
      </c>
      <c r="BY39" s="126">
        <f t="shared" si="32"/>
        <v>6.5846881849217304E-2</v>
      </c>
      <c r="BZ39" s="51">
        <f t="shared" si="33"/>
        <v>1.255768E-3</v>
      </c>
      <c r="CA39" s="51">
        <f t="shared" si="34"/>
        <v>3.6756964664717064E-4</v>
      </c>
      <c r="CB39" s="52">
        <f t="shared" si="35"/>
        <v>6.6214451495864468E-2</v>
      </c>
    </row>
    <row r="40" spans="1:80" ht="15.75" thickBot="1" x14ac:dyDescent="0.3">
      <c r="A40" s="92" t="s">
        <v>33</v>
      </c>
      <c r="B40" s="112">
        <v>3</v>
      </c>
      <c r="C40" s="193">
        <v>41964.362500000003</v>
      </c>
      <c r="D40" s="108">
        <v>41964.441666666666</v>
      </c>
      <c r="E40" s="189">
        <f t="shared" si="5"/>
        <v>7.9166666662786156E-2</v>
      </c>
      <c r="F40" s="53">
        <v>0.04</v>
      </c>
      <c r="G40" s="53">
        <f t="shared" si="6"/>
        <v>0.9846252003699999</v>
      </c>
      <c r="H40" s="53">
        <v>5126.3249999999998</v>
      </c>
      <c r="I40" s="53">
        <f>('High STDs'!H$20*'High Data'!H40)+'High STDs'!H$21</f>
        <v>1576.4906170444904</v>
      </c>
      <c r="J40" s="53">
        <v>12410.581</v>
      </c>
      <c r="K40" s="54"/>
      <c r="L40" s="95">
        <v>41964.615972222222</v>
      </c>
      <c r="M40" s="189">
        <f t="shared" si="7"/>
        <v>0.25347222221898846</v>
      </c>
      <c r="N40" s="53">
        <v>0.03</v>
      </c>
      <c r="O40" s="53">
        <f t="shared" si="0"/>
        <v>0.98394474065999993</v>
      </c>
      <c r="P40" s="53">
        <v>4059.0749999999998</v>
      </c>
      <c r="Q40" s="53">
        <f>('High STDs'!K$20*'High Data'!P40)+'High STDs'!K$21</f>
        <v>1238.0564999243823</v>
      </c>
      <c r="R40" s="53">
        <v>28512.831999999999</v>
      </c>
      <c r="S40" s="112"/>
      <c r="T40" s="108">
        <v>41964.731944444444</v>
      </c>
      <c r="U40" s="189">
        <f t="shared" si="8"/>
        <v>0.36944444444088731</v>
      </c>
      <c r="V40" s="53">
        <v>0.02</v>
      </c>
      <c r="W40" s="53">
        <f t="shared" si="1"/>
        <v>0.98326428094999996</v>
      </c>
      <c r="X40" s="53">
        <v>3591.1</v>
      </c>
      <c r="Y40" s="53">
        <f>('High STDs'!K$20*'High Data'!X40)+'High STDs'!K$21</f>
        <v>1095.6891307522667</v>
      </c>
      <c r="Z40" s="53">
        <v>37987.96</v>
      </c>
      <c r="AA40" s="54"/>
      <c r="AB40" s="95">
        <v>41965.548611111109</v>
      </c>
      <c r="AC40" s="189">
        <f t="shared" si="9"/>
        <v>1.1861111111065838</v>
      </c>
      <c r="AD40" s="53">
        <v>0</v>
      </c>
      <c r="AE40" s="53">
        <f t="shared" si="2"/>
        <v>0.98190336152999991</v>
      </c>
      <c r="AF40" s="53">
        <v>1148.4259999999999</v>
      </c>
      <c r="AG40" s="53">
        <f>('High STDs'!K$43*'High Data'!AF40)+'High STDs'!K$44</f>
        <v>355.48178577857124</v>
      </c>
      <c r="AH40" s="53">
        <v>71996.456000000006</v>
      </c>
      <c r="AI40" s="112"/>
      <c r="AJ40" s="108">
        <v>41966.587500000001</v>
      </c>
      <c r="AK40" s="189">
        <f t="shared" si="10"/>
        <v>2.2249999999985448</v>
      </c>
      <c r="AL40" s="53">
        <v>0.01</v>
      </c>
      <c r="AM40" s="53">
        <f t="shared" si="3"/>
        <v>0.98258382123999988</v>
      </c>
      <c r="AN40" s="53">
        <v>277.05599999999998</v>
      </c>
      <c r="AO40" s="53">
        <f>('High STDs'!K$66*'High Data'!AN40)+'High STDs'!K$67</f>
        <v>86.373965580539164</v>
      </c>
      <c r="AP40" s="53">
        <v>88080.534</v>
      </c>
      <c r="AQ40" s="54"/>
      <c r="AS40" s="220">
        <v>0.81561044819818684</v>
      </c>
      <c r="AT40" s="92">
        <v>268.32</v>
      </c>
      <c r="AU40" s="53">
        <f t="shared" si="11"/>
        <v>155.0201054311554</v>
      </c>
      <c r="AV40" s="53">
        <f t="shared" si="12"/>
        <v>113.29989456884459</v>
      </c>
      <c r="AW40" s="112"/>
      <c r="AX40" s="92">
        <v>0.98440000000000005</v>
      </c>
      <c r="AY40" s="53">
        <v>6.2031000000000001</v>
      </c>
      <c r="AZ40" s="53">
        <v>4.5682</v>
      </c>
      <c r="BA40" s="53">
        <f t="shared" si="13"/>
        <v>3.5838000000000001</v>
      </c>
      <c r="BB40" s="54">
        <f t="shared" si="14"/>
        <v>42.225661362866951</v>
      </c>
      <c r="BC40" s="131"/>
      <c r="BD40" s="131">
        <v>190.06635554218249</v>
      </c>
      <c r="BE40" s="53">
        <f t="shared" si="15"/>
        <v>293.19550997061799</v>
      </c>
      <c r="BF40" s="53">
        <v>28</v>
      </c>
      <c r="BG40" s="54">
        <f t="shared" si="4"/>
        <v>301</v>
      </c>
      <c r="BI40" s="92">
        <f t="shared" si="16"/>
        <v>18.713313669207835</v>
      </c>
      <c r="BJ40" s="53">
        <f t="shared" si="17"/>
        <v>1.255768E-3</v>
      </c>
      <c r="BK40" s="53">
        <f t="shared" si="18"/>
        <v>0.224300534235889</v>
      </c>
      <c r="BL40" s="54">
        <f t="shared" si="19"/>
        <v>18.937614203443726</v>
      </c>
      <c r="BM40" s="131">
        <f t="shared" si="20"/>
        <v>14.69602125937215</v>
      </c>
      <c r="BN40" s="53">
        <f t="shared" si="21"/>
        <v>1.255768E-3</v>
      </c>
      <c r="BO40" s="53">
        <f t="shared" si="22"/>
        <v>0.17614867563745029</v>
      </c>
      <c r="BP40" s="112">
        <f t="shared" si="23"/>
        <v>14.8721699350096</v>
      </c>
      <c r="BQ40" s="92">
        <f t="shared" si="24"/>
        <v>13.006087169835782</v>
      </c>
      <c r="BR40" s="53">
        <f t="shared" si="25"/>
        <v>1.255768E-3</v>
      </c>
      <c r="BS40" s="53">
        <f t="shared" si="26"/>
        <v>0.15589287670162805</v>
      </c>
      <c r="BT40" s="54">
        <f t="shared" si="27"/>
        <v>13.16198004653741</v>
      </c>
      <c r="BU40" s="131">
        <f t="shared" si="28"/>
        <v>4.2196522383595099</v>
      </c>
      <c r="BV40" s="53">
        <f t="shared" si="29"/>
        <v>1.255768E-3</v>
      </c>
      <c r="BW40" s="53">
        <f t="shared" si="30"/>
        <v>5.0577373312086872E-2</v>
      </c>
      <c r="BX40" s="54">
        <f t="shared" si="31"/>
        <v>4.2702296116715965</v>
      </c>
      <c r="BY40" s="131">
        <f t="shared" si="32"/>
        <v>1.0252792457415403</v>
      </c>
      <c r="BZ40" s="53">
        <f t="shared" si="33"/>
        <v>1.255768E-3</v>
      </c>
      <c r="CA40" s="53">
        <f t="shared" si="34"/>
        <v>1.2289148069975777E-2</v>
      </c>
      <c r="CB40" s="54">
        <f t="shared" si="35"/>
        <v>1.0375683938115161</v>
      </c>
    </row>
    <row r="41" spans="1:80" x14ac:dyDescent="0.25">
      <c r="A41" s="9" t="s">
        <v>34</v>
      </c>
      <c r="B41" s="26">
        <v>1</v>
      </c>
      <c r="C41" s="77">
        <v>41964.363194444442</v>
      </c>
      <c r="D41" s="104">
        <v>41964.443749999999</v>
      </c>
      <c r="E41" s="181">
        <f t="shared" si="5"/>
        <v>8.0555555556202307E-2</v>
      </c>
      <c r="F41" s="10">
        <v>0.01</v>
      </c>
      <c r="G41" s="10">
        <f t="shared" si="6"/>
        <v>0.98258382123999988</v>
      </c>
      <c r="H41" s="10">
        <v>4860.9470000000001</v>
      </c>
      <c r="I41" s="10">
        <f>('High STDs'!H$20*'High Data'!H41)+'High STDs'!H$21</f>
        <v>1493.503522992158</v>
      </c>
      <c r="J41" s="10">
        <v>7312.6610000000001</v>
      </c>
      <c r="K41" s="32"/>
      <c r="L41" s="72">
        <v>41964.618750000001</v>
      </c>
      <c r="M41" s="181">
        <f t="shared" si="7"/>
        <v>0.25555555555911269</v>
      </c>
      <c r="N41" s="10">
        <v>0</v>
      </c>
      <c r="O41" s="10">
        <f t="shared" si="0"/>
        <v>0.98190336152999991</v>
      </c>
      <c r="P41" s="10">
        <v>3661.91</v>
      </c>
      <c r="Q41" s="10">
        <f>('High STDs'!K$20*'High Data'!P41)+'High STDs'!K$21</f>
        <v>1117.2309511723265</v>
      </c>
      <c r="R41" s="10">
        <v>18258.668000000001</v>
      </c>
      <c r="S41" s="26"/>
      <c r="T41" s="104">
        <v>41964.734027777777</v>
      </c>
      <c r="U41" s="181">
        <f t="shared" si="8"/>
        <v>0.37083333333430346</v>
      </c>
      <c r="V41" s="10">
        <v>-0.04</v>
      </c>
      <c r="W41" s="10">
        <f t="shared" si="1"/>
        <v>0.97918152269000003</v>
      </c>
      <c r="X41" s="10">
        <v>2925.3240000000001</v>
      </c>
      <c r="Y41" s="10">
        <f>('High STDs'!K$20*'High Data'!X41)+'High STDs'!K$21</f>
        <v>893.14673515862546</v>
      </c>
      <c r="Z41" s="10">
        <v>24881.929</v>
      </c>
      <c r="AA41" s="32"/>
      <c r="AB41" s="72">
        <v>41965.550694444442</v>
      </c>
      <c r="AC41" s="181">
        <f t="shared" si="9"/>
        <v>1.1875</v>
      </c>
      <c r="AD41" s="10">
        <v>-0.01</v>
      </c>
      <c r="AE41" s="10">
        <f t="shared" si="2"/>
        <v>0.98122290181999994</v>
      </c>
      <c r="AF41" s="10">
        <v>228.34399999999999</v>
      </c>
      <c r="AG41" s="10">
        <f>('High STDs'!K$43*'High Data'!AF41)+'High STDs'!K$44</f>
        <v>73.648129987838772</v>
      </c>
      <c r="AH41" s="10">
        <v>57918.754000000001</v>
      </c>
      <c r="AI41" s="26"/>
      <c r="AJ41" s="104">
        <v>41966.589583333334</v>
      </c>
      <c r="AK41" s="181">
        <f t="shared" si="10"/>
        <v>2.226388888891961</v>
      </c>
      <c r="AL41" s="10">
        <v>0</v>
      </c>
      <c r="AM41" s="10">
        <f t="shared" si="3"/>
        <v>0.98190336152999991</v>
      </c>
      <c r="AN41" s="10">
        <v>7.7110000000000003</v>
      </c>
      <c r="AO41" s="10">
        <f>('High STDs'!K$66*'High Data'!AN41)+'High STDs'!K$67</f>
        <v>5.5053540064250992</v>
      </c>
      <c r="AP41" s="10">
        <v>85533.555999999997</v>
      </c>
      <c r="AQ41" s="32"/>
      <c r="AS41" s="218">
        <v>1.3176213477701604</v>
      </c>
      <c r="AT41" s="15">
        <v>289.10000000000002</v>
      </c>
      <c r="AU41" s="128">
        <f t="shared" si="11"/>
        <v>234.53280229012387</v>
      </c>
      <c r="AV41" s="10">
        <f t="shared" si="12"/>
        <v>54.567197709876154</v>
      </c>
      <c r="AW41" s="26"/>
      <c r="AX41" s="15">
        <v>0.98209999999999997</v>
      </c>
      <c r="AY41" s="128">
        <v>8.0344999999999995</v>
      </c>
      <c r="AZ41" s="128">
        <v>7.5000999999999998</v>
      </c>
      <c r="BA41" s="10">
        <f t="shared" si="13"/>
        <v>6.5179999999999998</v>
      </c>
      <c r="BB41" s="32">
        <f t="shared" si="14"/>
        <v>18.874852199887982</v>
      </c>
      <c r="BC41" s="129"/>
      <c r="BD41" s="129">
        <v>177.99711782677846</v>
      </c>
      <c r="BE41" s="10">
        <f t="shared" si="15"/>
        <v>189.84847064977049</v>
      </c>
      <c r="BF41" s="10">
        <v>28</v>
      </c>
      <c r="BG41" s="32">
        <f t="shared" si="4"/>
        <v>301</v>
      </c>
      <c r="BI41" s="15">
        <f t="shared" si="16"/>
        <v>11.479298420736855</v>
      </c>
      <c r="BJ41" s="128">
        <f t="shared" si="17"/>
        <v>1.255768E-3</v>
      </c>
      <c r="BK41" s="128">
        <f t="shared" si="18"/>
        <v>0.10234044819443558</v>
      </c>
      <c r="BL41" s="154">
        <f t="shared" si="19"/>
        <v>11.581638868931291</v>
      </c>
      <c r="BM41" s="158">
        <f t="shared" si="20"/>
        <v>8.5872094012182405</v>
      </c>
      <c r="BN41" s="128">
        <f t="shared" si="21"/>
        <v>1.255768E-3</v>
      </c>
      <c r="BO41" s="128">
        <f t="shared" si="22"/>
        <v>7.6556844037837496E-2</v>
      </c>
      <c r="BP41" s="164">
        <f t="shared" si="23"/>
        <v>8.6637662452560775</v>
      </c>
      <c r="BQ41" s="15">
        <f t="shared" si="24"/>
        <v>6.8648635564326836</v>
      </c>
      <c r="BR41" s="128">
        <f t="shared" si="25"/>
        <v>1.255768E-3</v>
      </c>
      <c r="BS41" s="128">
        <f t="shared" si="26"/>
        <v>6.12017553171922E-2</v>
      </c>
      <c r="BT41" s="154">
        <f t="shared" si="27"/>
        <v>6.9260653117498761</v>
      </c>
      <c r="BU41" s="158">
        <f t="shared" si="28"/>
        <v>0.56607088583617582</v>
      </c>
      <c r="BV41" s="128">
        <f t="shared" si="29"/>
        <v>1.255768E-3</v>
      </c>
      <c r="BW41" s="128">
        <f t="shared" si="30"/>
        <v>5.0466453648111333E-3</v>
      </c>
      <c r="BX41" s="154">
        <f t="shared" si="31"/>
        <v>0.57111753120098696</v>
      </c>
      <c r="BY41" s="158">
        <f t="shared" si="32"/>
        <v>4.2314999984024E-2</v>
      </c>
      <c r="BZ41" s="128">
        <f t="shared" si="33"/>
        <v>1.255768E-3</v>
      </c>
      <c r="CA41" s="128">
        <f t="shared" si="34"/>
        <v>3.7724745058370689E-4</v>
      </c>
      <c r="CB41" s="154">
        <f t="shared" si="35"/>
        <v>4.2692247434607707E-2</v>
      </c>
    </row>
    <row r="42" spans="1:80" x14ac:dyDescent="0.25">
      <c r="A42" s="11" t="s">
        <v>34</v>
      </c>
      <c r="B42" s="27">
        <v>2</v>
      </c>
      <c r="C42" s="78">
        <v>41964.363194444442</v>
      </c>
      <c r="D42" s="82">
        <v>41964.445833333331</v>
      </c>
      <c r="E42" s="182">
        <f t="shared" si="5"/>
        <v>8.2638888889050577E-2</v>
      </c>
      <c r="F42" s="12">
        <v>0.01</v>
      </c>
      <c r="G42" s="12">
        <f t="shared" si="6"/>
        <v>0.98258382123999988</v>
      </c>
      <c r="H42" s="12">
        <v>3611.768</v>
      </c>
      <c r="I42" s="12">
        <f>('High STDs'!H$20*'High Data'!H42)+'High STDs'!H$21</f>
        <v>1102.869276139749</v>
      </c>
      <c r="J42" s="12">
        <v>9095.9660000000003</v>
      </c>
      <c r="K42" s="33"/>
      <c r="L42" s="73">
        <v>41964.620833333334</v>
      </c>
      <c r="M42" s="182">
        <f t="shared" si="7"/>
        <v>0.25763888889196096</v>
      </c>
      <c r="N42" s="12">
        <v>0.01</v>
      </c>
      <c r="O42" s="12">
        <f t="shared" si="0"/>
        <v>0.98258382123999988</v>
      </c>
      <c r="P42" s="12">
        <v>3075.8760000000002</v>
      </c>
      <c r="Q42" s="12">
        <f>('High STDs'!K$20*'High Data'!P42)+'High STDs'!K$21</f>
        <v>938.94766931878439</v>
      </c>
      <c r="R42" s="12">
        <v>23201.754000000001</v>
      </c>
      <c r="S42" s="27"/>
      <c r="T42" s="82">
        <v>41964.736111111109</v>
      </c>
      <c r="U42" s="182">
        <f t="shared" si="8"/>
        <v>0.37291666666715173</v>
      </c>
      <c r="V42" s="12">
        <v>0</v>
      </c>
      <c r="W42" s="12">
        <f t="shared" si="1"/>
        <v>0.98190336152999991</v>
      </c>
      <c r="X42" s="12">
        <v>2721.0479999999998</v>
      </c>
      <c r="Y42" s="12">
        <f>('High STDs'!K$20*'High Data'!X42)+'High STDs'!K$21</f>
        <v>831.00188403409311</v>
      </c>
      <c r="Z42" s="12">
        <v>30709.370999999999</v>
      </c>
      <c r="AA42" s="33"/>
      <c r="AB42" s="73">
        <v>41965.552777777775</v>
      </c>
      <c r="AC42" s="182">
        <f t="shared" si="9"/>
        <v>1.1895833333328483</v>
      </c>
      <c r="AD42" s="12">
        <v>0</v>
      </c>
      <c r="AE42" s="12">
        <f t="shared" si="2"/>
        <v>0.98190336152999991</v>
      </c>
      <c r="AF42" s="12">
        <v>1346.098</v>
      </c>
      <c r="AG42" s="12">
        <f>('High STDs'!K$43*'High Data'!AF42)+'High STDs'!K$44</f>
        <v>416.03141331988348</v>
      </c>
      <c r="AH42" s="12">
        <v>68982.657999999996</v>
      </c>
      <c r="AI42" s="27"/>
      <c r="AJ42" s="82">
        <v>41966.591666666667</v>
      </c>
      <c r="AK42" s="182">
        <f t="shared" si="10"/>
        <v>2.2284722222248092</v>
      </c>
      <c r="AL42" s="12">
        <v>0.01</v>
      </c>
      <c r="AM42" s="12">
        <f t="shared" si="3"/>
        <v>0.98258382123999988</v>
      </c>
      <c r="AN42" s="12">
        <v>681.34199999999998</v>
      </c>
      <c r="AO42" s="12">
        <f>('High STDs'!K$66*'High Data'!AN42)+'High STDs'!K$67</f>
        <v>207.75749784901373</v>
      </c>
      <c r="AP42" s="12">
        <v>89871.854000000007</v>
      </c>
      <c r="AQ42" s="33"/>
      <c r="AS42" s="214">
        <v>0.3158960470717731</v>
      </c>
      <c r="AT42" s="16">
        <v>73.459999999999994</v>
      </c>
      <c r="AU42" s="85">
        <f t="shared" si="11"/>
        <v>45.743868576617302</v>
      </c>
      <c r="AV42" s="12">
        <f t="shared" si="12"/>
        <v>27.716131423382691</v>
      </c>
      <c r="AW42" s="27"/>
      <c r="AX42" s="16">
        <v>0.98809999999999998</v>
      </c>
      <c r="AY42" s="85">
        <v>5.3963000000000001</v>
      </c>
      <c r="AZ42" s="85">
        <v>4.3483999999999998</v>
      </c>
      <c r="BA42" s="12">
        <f t="shared" si="13"/>
        <v>3.3602999999999996</v>
      </c>
      <c r="BB42" s="33">
        <f t="shared" si="14"/>
        <v>37.729555436132173</v>
      </c>
      <c r="BC42" s="124"/>
      <c r="BD42" s="124">
        <v>144.80671410941741</v>
      </c>
      <c r="BE42" s="12">
        <f t="shared" si="15"/>
        <v>574.41814495872495</v>
      </c>
      <c r="BF42" s="12">
        <v>28</v>
      </c>
      <c r="BG42" s="33">
        <f t="shared" si="4"/>
        <v>301</v>
      </c>
      <c r="BI42" s="16">
        <f t="shared" si="16"/>
        <v>25.64803987246049</v>
      </c>
      <c r="BJ42" s="85">
        <f t="shared" si="17"/>
        <v>1.255768E-3</v>
      </c>
      <c r="BK42" s="85">
        <f t="shared" si="18"/>
        <v>3.8385399262583407E-2</v>
      </c>
      <c r="BL42" s="152">
        <f t="shared" si="19"/>
        <v>25.686425271723074</v>
      </c>
      <c r="BM42" s="156">
        <f t="shared" si="20"/>
        <v>21.835921792231051</v>
      </c>
      <c r="BN42" s="85">
        <f t="shared" si="21"/>
        <v>1.255768E-3</v>
      </c>
      <c r="BO42" s="85">
        <f t="shared" si="22"/>
        <v>3.268010266785841E-2</v>
      </c>
      <c r="BP42" s="162">
        <f t="shared" si="23"/>
        <v>21.868601894898909</v>
      </c>
      <c r="BQ42" s="16">
        <f t="shared" si="24"/>
        <v>19.325562799607344</v>
      </c>
      <c r="BR42" s="85">
        <f t="shared" si="25"/>
        <v>1.255768E-3</v>
      </c>
      <c r="BS42" s="85">
        <f t="shared" si="26"/>
        <v>2.8923046272771258E-2</v>
      </c>
      <c r="BT42" s="152">
        <f t="shared" si="27"/>
        <v>19.354485845880117</v>
      </c>
      <c r="BU42" s="156">
        <f t="shared" si="28"/>
        <v>9.6751179018902818</v>
      </c>
      <c r="BV42" s="85">
        <f t="shared" si="29"/>
        <v>1.255768E-3</v>
      </c>
      <c r="BW42" s="85">
        <f t="shared" si="30"/>
        <v>1.4479986206485841E-2</v>
      </c>
      <c r="BX42" s="152">
        <f t="shared" si="31"/>
        <v>9.6895978880967668</v>
      </c>
      <c r="BY42" s="156">
        <f t="shared" si="32"/>
        <v>4.8315541142692275</v>
      </c>
      <c r="BZ42" s="85">
        <f t="shared" si="33"/>
        <v>1.255768E-3</v>
      </c>
      <c r="CA42" s="85">
        <f t="shared" si="34"/>
        <v>7.2310061375933914E-3</v>
      </c>
      <c r="CB42" s="152">
        <f t="shared" si="35"/>
        <v>4.8387851204068211</v>
      </c>
    </row>
    <row r="43" spans="1:80" ht="15.75" thickBot="1" x14ac:dyDescent="0.3">
      <c r="A43" s="13" t="s">
        <v>34</v>
      </c>
      <c r="B43" s="28">
        <v>3</v>
      </c>
      <c r="C43" s="79">
        <v>41964.363888888889</v>
      </c>
      <c r="D43" s="105">
        <v>41964.447916666664</v>
      </c>
      <c r="E43" s="183">
        <f t="shared" si="5"/>
        <v>8.4027777775190771E-2</v>
      </c>
      <c r="F43" s="14">
        <v>0.32</v>
      </c>
      <c r="G43" s="14">
        <f t="shared" si="6"/>
        <v>1.0036780722500001</v>
      </c>
      <c r="H43" s="14">
        <v>3693.7829999999999</v>
      </c>
      <c r="I43" s="14">
        <f>('High STDs'!H$20*'High Data'!H43)+'High STDs'!H$21</f>
        <v>1128.5164153852857</v>
      </c>
      <c r="J43" s="14">
        <v>8102.9560000000001</v>
      </c>
      <c r="K43" s="34"/>
      <c r="L43" s="74">
        <v>41964.622916666667</v>
      </c>
      <c r="M43" s="183">
        <f t="shared" si="7"/>
        <v>0.25902777777810115</v>
      </c>
      <c r="N43" s="14">
        <v>0.23</v>
      </c>
      <c r="O43" s="14">
        <f t="shared" si="0"/>
        <v>0.99755393485999999</v>
      </c>
      <c r="P43" s="14">
        <v>3575.2939999999999</v>
      </c>
      <c r="Q43" s="14">
        <f>('High STDs'!K$20*'High Data'!P43)+'High STDs'!K$21</f>
        <v>1090.8806289367114</v>
      </c>
      <c r="R43" s="14">
        <v>20663.108</v>
      </c>
      <c r="S43" s="28"/>
      <c r="T43" s="105">
        <v>41964.738888888889</v>
      </c>
      <c r="U43" s="183">
        <f t="shared" si="8"/>
        <v>0.375</v>
      </c>
      <c r="V43" s="14">
        <v>0.05</v>
      </c>
      <c r="W43" s="14">
        <f t="shared" si="1"/>
        <v>0.98530566007999998</v>
      </c>
      <c r="X43" s="14">
        <v>3555.348</v>
      </c>
      <c r="Y43" s="14">
        <f>('High STDs'!K$20*'High Data'!X43)+'High STDs'!K$21</f>
        <v>1084.8126561913575</v>
      </c>
      <c r="Z43" s="14">
        <v>28884.642</v>
      </c>
      <c r="AA43" s="34"/>
      <c r="AB43" s="74">
        <v>41965.554861111108</v>
      </c>
      <c r="AC43" s="183">
        <f t="shared" si="9"/>
        <v>1.1909722222189885</v>
      </c>
      <c r="AD43" s="14">
        <v>-0.21</v>
      </c>
      <c r="AE43" s="14">
        <f t="shared" si="2"/>
        <v>0.96761370761999987</v>
      </c>
      <c r="AF43" s="14">
        <v>2639.5320000000002</v>
      </c>
      <c r="AG43" s="14">
        <f>('High STDs'!K$43*'High Data'!AF43)+'High STDs'!K$44</f>
        <v>812.22787487877736</v>
      </c>
      <c r="AH43" s="14">
        <v>65185</v>
      </c>
      <c r="AI43" s="28"/>
      <c r="AJ43" s="105">
        <v>41966.59375</v>
      </c>
      <c r="AK43" s="183">
        <f t="shared" si="10"/>
        <v>2.2298611111109494</v>
      </c>
      <c r="AL43" s="14">
        <v>0.24</v>
      </c>
      <c r="AM43" s="14">
        <f t="shared" si="3"/>
        <v>0.99823439456999996</v>
      </c>
      <c r="AN43" s="14">
        <v>2008.3920000000001</v>
      </c>
      <c r="AO43" s="14">
        <f>('High STDs'!K$66*'High Data'!AN43)+'High STDs'!K$67</f>
        <v>606.19329947677022</v>
      </c>
      <c r="AP43" s="14">
        <v>94673.395999999993</v>
      </c>
      <c r="AQ43" s="34"/>
      <c r="AS43" s="217">
        <v>0.32608396140995022</v>
      </c>
      <c r="AT43" s="55">
        <v>58.22</v>
      </c>
      <c r="AU43" s="60">
        <f t="shared" si="11"/>
        <v>50.170835609634963</v>
      </c>
      <c r="AV43" s="14">
        <f t="shared" si="12"/>
        <v>8.0491643903650356</v>
      </c>
      <c r="AW43" s="28"/>
      <c r="AX43" s="55">
        <v>0.99260000000000004</v>
      </c>
      <c r="AY43" s="60">
        <v>6.4432</v>
      </c>
      <c r="AZ43" s="60">
        <v>6.5449999999999999</v>
      </c>
      <c r="BA43" s="14">
        <f t="shared" si="13"/>
        <v>5.5523999999999996</v>
      </c>
      <c r="BB43" s="34">
        <f t="shared" si="14"/>
        <v>13.825428358579595</v>
      </c>
      <c r="BC43" s="127"/>
      <c r="BD43" s="127">
        <v>153.85864239597043</v>
      </c>
      <c r="BE43" s="14">
        <f t="shared" si="15"/>
        <v>598.30622737634769</v>
      </c>
      <c r="BF43" s="14">
        <v>28</v>
      </c>
      <c r="BG43" s="34">
        <f t="shared" si="4"/>
        <v>301</v>
      </c>
      <c r="BI43" s="55">
        <f t="shared" si="16"/>
        <v>27.335901168719822</v>
      </c>
      <c r="BJ43" s="60">
        <f t="shared" si="17"/>
        <v>1.255768E-3</v>
      </c>
      <c r="BK43" s="60">
        <f t="shared" si="18"/>
        <v>1.1406911967213457E-2</v>
      </c>
      <c r="BL43" s="67">
        <f t="shared" si="19"/>
        <v>27.347308080687036</v>
      </c>
      <c r="BM43" s="157">
        <f t="shared" si="20"/>
        <v>26.424254581448842</v>
      </c>
      <c r="BN43" s="60">
        <f t="shared" si="21"/>
        <v>1.255768E-3</v>
      </c>
      <c r="BO43" s="60">
        <f t="shared" si="22"/>
        <v>1.102649383861303E-2</v>
      </c>
      <c r="BP43" s="163">
        <f t="shared" si="23"/>
        <v>26.435281075287456</v>
      </c>
      <c r="BQ43" s="55">
        <f t="shared" si="24"/>
        <v>26.277270894725202</v>
      </c>
      <c r="BR43" s="60">
        <f t="shared" si="25"/>
        <v>1.255768E-3</v>
      </c>
      <c r="BS43" s="60">
        <f t="shared" si="26"/>
        <v>1.0965159479642212E-2</v>
      </c>
      <c r="BT43" s="67">
        <f t="shared" si="27"/>
        <v>26.288236054204845</v>
      </c>
      <c r="BU43" s="157">
        <f t="shared" si="28"/>
        <v>19.67448644208271</v>
      </c>
      <c r="BV43" s="60">
        <f t="shared" si="29"/>
        <v>1.255768E-3</v>
      </c>
      <c r="BW43" s="60">
        <f t="shared" si="30"/>
        <v>8.2099043839747084E-3</v>
      </c>
      <c r="BX43" s="67">
        <f t="shared" si="31"/>
        <v>19.682696346466685</v>
      </c>
      <c r="BY43" s="157">
        <f t="shared" si="32"/>
        <v>14.683738665848058</v>
      </c>
      <c r="BZ43" s="60">
        <f t="shared" si="33"/>
        <v>1.255768E-3</v>
      </c>
      <c r="CA43" s="60">
        <f t="shared" si="34"/>
        <v>6.1273309878132421E-3</v>
      </c>
      <c r="CB43" s="67">
        <f t="shared" si="35"/>
        <v>14.68986599683587</v>
      </c>
    </row>
    <row r="44" spans="1:80" x14ac:dyDescent="0.25">
      <c r="A44" s="47" t="s">
        <v>35</v>
      </c>
      <c r="B44" s="110">
        <v>1</v>
      </c>
      <c r="C44" s="191">
        <v>41964.363888888889</v>
      </c>
      <c r="D44" s="106">
        <v>41964.45</v>
      </c>
      <c r="E44" s="188">
        <f t="shared" si="5"/>
        <v>8.611111110803904E-2</v>
      </c>
      <c r="F44" s="48">
        <v>0.27</v>
      </c>
      <c r="G44" s="48">
        <f t="shared" si="6"/>
        <v>1.0002757736999999</v>
      </c>
      <c r="H44" s="48">
        <v>4890.6779999999999</v>
      </c>
      <c r="I44" s="48">
        <f>('High STDs'!H$20*'High Data'!H44)+'High STDs'!H$21</f>
        <v>1502.8007868696077</v>
      </c>
      <c r="J44" s="48">
        <v>8886.0390000000007</v>
      </c>
      <c r="K44" s="49"/>
      <c r="L44" s="93">
        <v>41964.625</v>
      </c>
      <c r="M44" s="188">
        <f t="shared" si="7"/>
        <v>0.26111111111094942</v>
      </c>
      <c r="N44" s="48">
        <v>0.17</v>
      </c>
      <c r="O44" s="48">
        <f t="shared" si="0"/>
        <v>0.99347117659999995</v>
      </c>
      <c r="P44" s="48">
        <v>4226.4520000000002</v>
      </c>
      <c r="Q44" s="48">
        <f>('High STDs'!K$20*'High Data'!P44)+'High STDs'!K$21</f>
        <v>1288.9759361120443</v>
      </c>
      <c r="R44" s="48">
        <v>21683.201000000001</v>
      </c>
      <c r="S44" s="110"/>
      <c r="T44" s="106">
        <v>41964.740277777775</v>
      </c>
      <c r="U44" s="188">
        <f t="shared" si="8"/>
        <v>0.37638888888614019</v>
      </c>
      <c r="V44" s="48">
        <v>0.11</v>
      </c>
      <c r="W44" s="48">
        <f t="shared" si="1"/>
        <v>0.98938841833999991</v>
      </c>
      <c r="X44" s="48">
        <v>3850.6660000000002</v>
      </c>
      <c r="Y44" s="48">
        <f>('High STDs'!K$20*'High Data'!X44)+'High STDs'!K$21</f>
        <v>1174.6543074102706</v>
      </c>
      <c r="Z44" s="48">
        <v>29734.734</v>
      </c>
      <c r="AA44" s="49"/>
      <c r="AB44" s="93">
        <v>41965.556944444441</v>
      </c>
      <c r="AC44" s="188">
        <f t="shared" si="9"/>
        <v>1.1930555555518367</v>
      </c>
      <c r="AD44" s="48">
        <v>-0.27</v>
      </c>
      <c r="AE44" s="48">
        <f t="shared" si="2"/>
        <v>0.96353094935999994</v>
      </c>
      <c r="AF44" s="48">
        <v>1672.778</v>
      </c>
      <c r="AG44" s="48">
        <f>('High STDs'!K$43*'High Data'!AF44)+'High STDs'!K$44</f>
        <v>516.09794942613985</v>
      </c>
      <c r="AH44" s="48">
        <v>72538.857000000004</v>
      </c>
      <c r="AI44" s="110"/>
      <c r="AJ44" s="106">
        <v>41966.595833333333</v>
      </c>
      <c r="AK44" s="188">
        <f t="shared" si="10"/>
        <v>2.2319444444437977</v>
      </c>
      <c r="AL44" s="48">
        <v>0.28999999999999998</v>
      </c>
      <c r="AM44" s="48">
        <f t="shared" si="3"/>
        <v>1.0016366931199998</v>
      </c>
      <c r="AN44" s="48">
        <v>241.798</v>
      </c>
      <c r="AO44" s="48">
        <f>('High STDs'!K$66*'High Data'!AN44)+'High STDs'!K$67</f>
        <v>75.78804229672059</v>
      </c>
      <c r="AP44" s="48">
        <v>97519.774999999994</v>
      </c>
      <c r="AQ44" s="49"/>
      <c r="AS44" s="219">
        <v>0.41096234287016414</v>
      </c>
      <c r="AT44" s="47">
        <v>176.29</v>
      </c>
      <c r="AU44" s="48">
        <f t="shared" si="11"/>
        <v>78.110114774408927</v>
      </c>
      <c r="AV44" s="48">
        <f t="shared" si="12"/>
        <v>98.179885225591065</v>
      </c>
      <c r="AW44" s="110"/>
      <c r="AX44" s="47">
        <v>0.99339999999999995</v>
      </c>
      <c r="AY44" s="132">
        <v>5.8113999999999999</v>
      </c>
      <c r="AZ44" s="48">
        <v>3.5682999999999998</v>
      </c>
      <c r="BA44" s="48">
        <f t="shared" si="13"/>
        <v>2.5749</v>
      </c>
      <c r="BB44" s="49">
        <f t="shared" si="14"/>
        <v>55.692260040609831</v>
      </c>
      <c r="BC44" s="130"/>
      <c r="BD44" s="130">
        <v>190.06635554218249</v>
      </c>
      <c r="BE44" s="48">
        <f t="shared" si="15"/>
        <v>454.71156334982771</v>
      </c>
      <c r="BF44" s="48">
        <v>28</v>
      </c>
      <c r="BG44" s="49">
        <f t="shared" si="4"/>
        <v>301</v>
      </c>
      <c r="BI44" s="47">
        <f t="shared" si="16"/>
        <v>27.665556083703063</v>
      </c>
      <c r="BJ44" s="48">
        <f t="shared" si="17"/>
        <v>1.255768E-3</v>
      </c>
      <c r="BK44" s="48">
        <f t="shared" si="18"/>
        <v>0.18528204942172821</v>
      </c>
      <c r="BL44" s="49">
        <f t="shared" si="19"/>
        <v>27.850838133124793</v>
      </c>
      <c r="BM44" s="130">
        <f t="shared" si="20"/>
        <v>23.729183776469181</v>
      </c>
      <c r="BN44" s="48">
        <f t="shared" si="21"/>
        <v>1.255768E-3</v>
      </c>
      <c r="BO44" s="48">
        <f t="shared" si="22"/>
        <v>0.15891933593913671</v>
      </c>
      <c r="BP44" s="110">
        <f t="shared" si="23"/>
        <v>23.888103112408317</v>
      </c>
      <c r="BQ44" s="47">
        <f t="shared" si="24"/>
        <v>21.624599151505436</v>
      </c>
      <c r="BR44" s="48">
        <f t="shared" si="25"/>
        <v>1.255768E-3</v>
      </c>
      <c r="BS44" s="48">
        <f t="shared" si="26"/>
        <v>0.14482448993947702</v>
      </c>
      <c r="BT44" s="49">
        <f t="shared" si="27"/>
        <v>21.769423641444913</v>
      </c>
      <c r="BU44" s="130">
        <f t="shared" si="28"/>
        <v>9.5010176260786583</v>
      </c>
      <c r="BV44" s="48">
        <f t="shared" si="29"/>
        <v>1.255768E-3</v>
      </c>
      <c r="BW44" s="48">
        <f t="shared" si="30"/>
        <v>6.3630313882929543E-2</v>
      </c>
      <c r="BX44" s="49">
        <f t="shared" si="31"/>
        <v>9.5646479399615885</v>
      </c>
      <c r="BY44" s="130">
        <f t="shared" si="32"/>
        <v>1.3952071045966969</v>
      </c>
      <c r="BZ44" s="48">
        <f t="shared" si="33"/>
        <v>1.255768E-3</v>
      </c>
      <c r="CA44" s="48">
        <f t="shared" si="34"/>
        <v>9.3439955056500764E-3</v>
      </c>
      <c r="CB44" s="49">
        <f t="shared" si="35"/>
        <v>1.404551100102347</v>
      </c>
    </row>
    <row r="45" spans="1:80" x14ac:dyDescent="0.25">
      <c r="A45" s="50" t="s">
        <v>35</v>
      </c>
      <c r="B45" s="111">
        <v>2</v>
      </c>
      <c r="C45" s="192">
        <v>41964.363888888889</v>
      </c>
      <c r="D45" s="107">
        <v>41964.452777777777</v>
      </c>
      <c r="E45" s="187">
        <f t="shared" si="5"/>
        <v>8.8888888887595385E-2</v>
      </c>
      <c r="F45" s="51">
        <v>-0.03</v>
      </c>
      <c r="G45" s="51">
        <f t="shared" si="6"/>
        <v>0.9798619824</v>
      </c>
      <c r="H45" s="51">
        <v>3871.9760000000001</v>
      </c>
      <c r="I45" s="51">
        <f>('High STDs'!H$20*'High Data'!H45)+'High STDs'!H$21</f>
        <v>1184.2396450820477</v>
      </c>
      <c r="J45" s="51">
        <v>8830.2219999999998</v>
      </c>
      <c r="K45" s="52"/>
      <c r="L45" s="94">
        <v>41964.62777777778</v>
      </c>
      <c r="M45" s="187">
        <f t="shared" si="7"/>
        <v>0.26388888889050577</v>
      </c>
      <c r="N45" s="51">
        <v>-0.06</v>
      </c>
      <c r="O45" s="51">
        <f t="shared" si="0"/>
        <v>0.97782060326999987</v>
      </c>
      <c r="P45" s="51">
        <v>3115.4209999999998</v>
      </c>
      <c r="Q45" s="51">
        <f>('High STDs'!K$20*'High Data'!P45)+'High STDs'!K$21</f>
        <v>950.97805045861287</v>
      </c>
      <c r="R45" s="51">
        <v>21635.441999999999</v>
      </c>
      <c r="S45" s="111"/>
      <c r="T45" s="107">
        <v>41964.742361111108</v>
      </c>
      <c r="U45" s="187">
        <f t="shared" si="8"/>
        <v>0.37847222221898846</v>
      </c>
      <c r="V45" s="51">
        <v>-0.05</v>
      </c>
      <c r="W45" s="51">
        <f t="shared" si="1"/>
        <v>0.97850106297999984</v>
      </c>
      <c r="X45" s="51">
        <v>2678.61</v>
      </c>
      <c r="Y45" s="51">
        <f>('High STDs'!K$20*'High Data'!X45)+'High STDs'!K$21</f>
        <v>818.09139434356211</v>
      </c>
      <c r="Z45" s="51">
        <v>29413.455999999998</v>
      </c>
      <c r="AA45" s="52"/>
      <c r="AB45" s="94">
        <v>41965.559027777781</v>
      </c>
      <c r="AC45" s="187">
        <f t="shared" si="9"/>
        <v>1.195138888891961</v>
      </c>
      <c r="AD45" s="51">
        <v>-0.08</v>
      </c>
      <c r="AE45" s="51">
        <f t="shared" si="2"/>
        <v>0.97645968384999993</v>
      </c>
      <c r="AF45" s="51">
        <v>245.35</v>
      </c>
      <c r="AG45" s="51">
        <f>('High STDs'!K$43*'High Data'!AF45)+'High STDs'!K$44</f>
        <v>78.857299551396366</v>
      </c>
      <c r="AH45" s="51">
        <v>70722.322</v>
      </c>
      <c r="AI45" s="111"/>
      <c r="AJ45" s="107">
        <v>41966.597916666666</v>
      </c>
      <c r="AK45" s="187">
        <f t="shared" si="10"/>
        <v>2.234027777776646</v>
      </c>
      <c r="AL45" s="51">
        <v>0.1</v>
      </c>
      <c r="AM45" s="51">
        <f t="shared" si="3"/>
        <v>0.98870795862999994</v>
      </c>
      <c r="AN45" s="51">
        <v>0</v>
      </c>
      <c r="AO45" s="51">
        <f>('High STDs'!K$66*'High Data'!AN45)+'High STDs'!K$67</f>
        <v>3.1901899460267487</v>
      </c>
      <c r="AP45" s="51">
        <v>90745.645999999993</v>
      </c>
      <c r="AQ45" s="52"/>
      <c r="AS45" s="216">
        <v>0.2146272532490337</v>
      </c>
      <c r="AT45" s="50">
        <v>98.34</v>
      </c>
      <c r="AU45" s="51">
        <f t="shared" si="11"/>
        <v>40.793419825072881</v>
      </c>
      <c r="AV45" s="51">
        <f t="shared" si="12"/>
        <v>57.546580174927122</v>
      </c>
      <c r="AW45" s="111"/>
      <c r="AX45" s="50">
        <v>1.0318000000000001</v>
      </c>
      <c r="AY45" s="51">
        <v>6.1740000000000004</v>
      </c>
      <c r="AZ45" s="51">
        <v>3.5929000000000002</v>
      </c>
      <c r="BA45" s="51">
        <f t="shared" si="13"/>
        <v>2.5611000000000002</v>
      </c>
      <c r="BB45" s="52">
        <f t="shared" si="14"/>
        <v>58.517978620019441</v>
      </c>
      <c r="BC45" s="126"/>
      <c r="BD45" s="126">
        <v>190.06635554218249</v>
      </c>
      <c r="BE45" s="51">
        <f t="shared" si="15"/>
        <v>546.68697574056296</v>
      </c>
      <c r="BF45" s="51">
        <v>28</v>
      </c>
      <c r="BG45" s="52">
        <f t="shared" si="4"/>
        <v>301</v>
      </c>
      <c r="BI45" s="50">
        <f t="shared" si="16"/>
        <v>26.210802326876223</v>
      </c>
      <c r="BJ45" s="51">
        <f t="shared" si="17"/>
        <v>1.255768E-3</v>
      </c>
      <c r="BK45" s="51">
        <f t="shared" si="18"/>
        <v>8.5579260198173634E-2</v>
      </c>
      <c r="BL45" s="52">
        <f t="shared" si="19"/>
        <v>26.296381587074396</v>
      </c>
      <c r="BM45" s="126">
        <f t="shared" si="20"/>
        <v>21.048018280152988</v>
      </c>
      <c r="BN45" s="51">
        <f t="shared" si="21"/>
        <v>1.255768E-3</v>
      </c>
      <c r="BO45" s="51">
        <f t="shared" si="22"/>
        <v>6.8722575165359373E-2</v>
      </c>
      <c r="BP45" s="111">
        <f t="shared" si="23"/>
        <v>21.116740855318348</v>
      </c>
      <c r="BQ45" s="50">
        <f t="shared" si="24"/>
        <v>18.106834973399348</v>
      </c>
      <c r="BR45" s="51">
        <f t="shared" si="25"/>
        <v>1.255768E-3</v>
      </c>
      <c r="BS45" s="51">
        <f t="shared" si="26"/>
        <v>5.9119500510864717E-2</v>
      </c>
      <c r="BT45" s="52">
        <f t="shared" si="27"/>
        <v>18.165954473910212</v>
      </c>
      <c r="BU45" s="126">
        <f t="shared" si="28"/>
        <v>1.7453503597489457</v>
      </c>
      <c r="BV45" s="51">
        <f t="shared" si="29"/>
        <v>1.255768E-3</v>
      </c>
      <c r="BW45" s="51">
        <f t="shared" si="30"/>
        <v>5.6986348876765652E-3</v>
      </c>
      <c r="BX45" s="52">
        <f t="shared" si="31"/>
        <v>1.7510489946366223</v>
      </c>
      <c r="BY45" s="126">
        <f t="shared" si="32"/>
        <v>7.0608544822616345E-2</v>
      </c>
      <c r="BZ45" s="51">
        <f t="shared" si="33"/>
        <v>1.255768E-3</v>
      </c>
      <c r="CA45" s="51">
        <f t="shared" si="34"/>
        <v>2.3053956739786853E-4</v>
      </c>
      <c r="CB45" s="52">
        <f t="shared" si="35"/>
        <v>7.0839084390014212E-2</v>
      </c>
    </row>
    <row r="46" spans="1:80" ht="15.75" thickBot="1" x14ac:dyDescent="0.3">
      <c r="A46" s="92" t="s">
        <v>35</v>
      </c>
      <c r="B46" s="112">
        <v>3</v>
      </c>
      <c r="C46" s="193">
        <v>41964.364583333336</v>
      </c>
      <c r="D46" s="108">
        <v>41964.45416666667</v>
      </c>
      <c r="E46" s="189">
        <f t="shared" si="5"/>
        <v>8.9583333334303461E-2</v>
      </c>
      <c r="F46" s="53">
        <v>0.17</v>
      </c>
      <c r="G46" s="53">
        <f t="shared" si="6"/>
        <v>0.99347117659999995</v>
      </c>
      <c r="H46" s="53">
        <v>3134.415</v>
      </c>
      <c r="I46" s="53">
        <f>('High STDs'!H$20*'High Data'!H46)+'High STDs'!H$21</f>
        <v>953.59488901209318</v>
      </c>
      <c r="J46" s="53">
        <v>7071.1149999999998</v>
      </c>
      <c r="K46" s="54"/>
      <c r="L46" s="95">
        <v>41964.629861111112</v>
      </c>
      <c r="M46" s="189">
        <f t="shared" si="7"/>
        <v>0.26527777777664596</v>
      </c>
      <c r="N46" s="53">
        <v>0.12</v>
      </c>
      <c r="O46" s="53">
        <f t="shared" si="0"/>
        <v>0.99006887804999988</v>
      </c>
      <c r="P46" s="53">
        <v>3761.66</v>
      </c>
      <c r="Q46" s="53">
        <f>('High STDs'!K$20*'High Data'!P46)+'High STDs'!K$21</f>
        <v>1147.5768992997234</v>
      </c>
      <c r="R46" s="53">
        <v>22037.616000000002</v>
      </c>
      <c r="S46" s="112"/>
      <c r="T46" s="108">
        <v>41964.744444444441</v>
      </c>
      <c r="U46" s="189">
        <f t="shared" si="8"/>
        <v>0.37986111110512866</v>
      </c>
      <c r="V46" s="53">
        <v>0.1</v>
      </c>
      <c r="W46" s="53">
        <f t="shared" si="1"/>
        <v>0.98870795862999994</v>
      </c>
      <c r="X46" s="53">
        <v>3626.9879999999998</v>
      </c>
      <c r="Y46" s="53">
        <f>('High STDs'!K$20*'High Data'!X46)+'High STDs'!K$21</f>
        <v>1106.6069792374399</v>
      </c>
      <c r="Z46" s="53">
        <v>29829.333999999999</v>
      </c>
      <c r="AA46" s="54"/>
      <c r="AB46" s="95">
        <v>41965.561111111114</v>
      </c>
      <c r="AC46" s="189">
        <f t="shared" si="9"/>
        <v>1.1965277777781012</v>
      </c>
      <c r="AD46" s="53">
        <v>-0.25</v>
      </c>
      <c r="AE46" s="53">
        <f t="shared" si="2"/>
        <v>0.96489186877999988</v>
      </c>
      <c r="AF46" s="53">
        <v>3186.8879999999999</v>
      </c>
      <c r="AG46" s="53">
        <f>('High STDs'!K$43*'High Data'!AF46)+'High STDs'!K$44</f>
        <v>979.89047723268959</v>
      </c>
      <c r="AH46" s="53">
        <v>75483.360000000001</v>
      </c>
      <c r="AI46" s="112"/>
      <c r="AJ46" s="108">
        <v>41966.600694444445</v>
      </c>
      <c r="AK46" s="189">
        <f t="shared" si="10"/>
        <v>2.2361111111094942</v>
      </c>
      <c r="AL46" s="53">
        <v>0.27</v>
      </c>
      <c r="AM46" s="53">
        <f t="shared" si="3"/>
        <v>1.0002757736999999</v>
      </c>
      <c r="AN46" s="53">
        <v>2991.9560000000001</v>
      </c>
      <c r="AO46" s="53">
        <f>('High STDs'!K$66*'High Data'!AN46)+'High STDs'!K$67</f>
        <v>901.50026665374378</v>
      </c>
      <c r="AP46" s="53">
        <v>90317.873999999996</v>
      </c>
      <c r="AQ46" s="54"/>
      <c r="AS46" s="220">
        <v>0.2739171538743323</v>
      </c>
      <c r="AT46" s="92">
        <v>66.05</v>
      </c>
      <c r="AU46" s="53">
        <f t="shared" si="11"/>
        <v>35.532578935200476</v>
      </c>
      <c r="AV46" s="53">
        <f t="shared" si="12"/>
        <v>30.517421064799521</v>
      </c>
      <c r="AW46" s="112"/>
      <c r="AX46" s="92">
        <v>1.0011000000000001</v>
      </c>
      <c r="AY46" s="53">
        <v>6.0556000000000001</v>
      </c>
      <c r="AZ46" s="53">
        <v>4.2587999999999999</v>
      </c>
      <c r="BA46" s="53">
        <f t="shared" si="13"/>
        <v>3.2576999999999998</v>
      </c>
      <c r="BB46" s="54">
        <f t="shared" si="14"/>
        <v>46.203514102648789</v>
      </c>
      <c r="BC46" s="131"/>
      <c r="BD46" s="131">
        <v>129.72016696516241</v>
      </c>
      <c r="BE46" s="53">
        <f t="shared" si="15"/>
        <v>576.73035092180078</v>
      </c>
      <c r="BF46" s="53">
        <v>28</v>
      </c>
      <c r="BG46" s="54">
        <f t="shared" si="4"/>
        <v>301</v>
      </c>
      <c r="BI46" s="92">
        <f t="shared" si="16"/>
        <v>22.265821013276089</v>
      </c>
      <c r="BJ46" s="53">
        <f t="shared" si="17"/>
        <v>1.255768E-3</v>
      </c>
      <c r="BK46" s="53">
        <f t="shared" si="18"/>
        <v>3.6544426990481105E-2</v>
      </c>
      <c r="BL46" s="54">
        <f t="shared" si="19"/>
        <v>22.30236544026657</v>
      </c>
      <c r="BM46" s="131">
        <f t="shared" si="20"/>
        <v>26.795174904145238</v>
      </c>
      <c r="BN46" s="53">
        <f t="shared" si="21"/>
        <v>1.255768E-3</v>
      </c>
      <c r="BO46" s="53">
        <f t="shared" si="22"/>
        <v>4.3978360932563257E-2</v>
      </c>
      <c r="BP46" s="112">
        <f t="shared" si="23"/>
        <v>26.839153265077801</v>
      </c>
      <c r="BQ46" s="92">
        <f t="shared" si="24"/>
        <v>25.83855389291049</v>
      </c>
      <c r="BR46" s="53">
        <f t="shared" si="25"/>
        <v>1.255768E-3</v>
      </c>
      <c r="BS46" s="53">
        <f t="shared" si="26"/>
        <v>4.240827884658116E-2</v>
      </c>
      <c r="BT46" s="54">
        <f t="shared" si="27"/>
        <v>25.880962171757069</v>
      </c>
      <c r="BU46" s="131">
        <f t="shared" si="28"/>
        <v>22.879805911375925</v>
      </c>
      <c r="BV46" s="53">
        <f t="shared" si="29"/>
        <v>1.255768E-3</v>
      </c>
      <c r="BW46" s="53">
        <f t="shared" si="30"/>
        <v>3.7552147580190723E-2</v>
      </c>
      <c r="BX46" s="54">
        <f t="shared" si="31"/>
        <v>22.917358058956115</v>
      </c>
      <c r="BY46" s="131">
        <f t="shared" si="32"/>
        <v>21.049445432250394</v>
      </c>
      <c r="BZ46" s="53">
        <f t="shared" si="33"/>
        <v>1.255768E-3</v>
      </c>
      <c r="CA46" s="53">
        <f t="shared" si="34"/>
        <v>3.4548015154272908E-2</v>
      </c>
      <c r="CB46" s="54">
        <f t="shared" si="35"/>
        <v>21.083993447404666</v>
      </c>
    </row>
    <row r="47" spans="1:80" x14ac:dyDescent="0.25">
      <c r="A47" s="15" t="s">
        <v>36</v>
      </c>
      <c r="B47" s="26">
        <v>1</v>
      </c>
      <c r="C47" s="77">
        <v>41964.364583333336</v>
      </c>
      <c r="D47" s="104">
        <v>41964.456944444442</v>
      </c>
      <c r="E47" s="181">
        <f t="shared" si="5"/>
        <v>9.2361111106583849E-2</v>
      </c>
      <c r="F47" s="10">
        <v>0.06</v>
      </c>
      <c r="G47" s="10">
        <f t="shared" si="6"/>
        <v>0.98598611978999995</v>
      </c>
      <c r="H47" s="10">
        <v>3587.3069999999998</v>
      </c>
      <c r="I47" s="10">
        <f>('High STDs'!H$20*'High Data'!H47)+'High STDs'!H$21</f>
        <v>1095.220008651057</v>
      </c>
      <c r="J47" s="10">
        <v>9236.2119999999995</v>
      </c>
      <c r="K47" s="32"/>
      <c r="L47" s="72">
        <v>41964.631944444445</v>
      </c>
      <c r="M47" s="181">
        <f t="shared" si="7"/>
        <v>0.26736111110949423</v>
      </c>
      <c r="N47" s="10">
        <v>0.05</v>
      </c>
      <c r="O47" s="10">
        <f t="shared" si="0"/>
        <v>0.98530566007999998</v>
      </c>
      <c r="P47" s="10">
        <v>3304.5279999999998</v>
      </c>
      <c r="Q47" s="10">
        <f>('High STDs'!K$20*'High Data'!P47)+'High STDs'!K$21</f>
        <v>1008.5081879275615</v>
      </c>
      <c r="R47" s="10">
        <v>27312.761999999999</v>
      </c>
      <c r="S47" s="26"/>
      <c r="T47" s="104">
        <v>41964.746527777781</v>
      </c>
      <c r="U47" s="181">
        <f t="shared" si="8"/>
        <v>0.38194444444525288</v>
      </c>
      <c r="V47" s="10">
        <v>0.03</v>
      </c>
      <c r="W47" s="10">
        <f t="shared" si="1"/>
        <v>0.98394474065999993</v>
      </c>
      <c r="X47" s="10">
        <v>2468.0790000000002</v>
      </c>
      <c r="Y47" s="10">
        <f>('High STDs'!K$20*'High Data'!X47)+'High STDs'!K$21</f>
        <v>754.04364692292074</v>
      </c>
      <c r="Z47" s="10">
        <v>34555.968000000001</v>
      </c>
      <c r="AA47" s="32"/>
      <c r="AB47" s="72">
        <v>41965.563194444447</v>
      </c>
      <c r="AC47" s="181">
        <f t="shared" si="9"/>
        <v>1.1986111111109494</v>
      </c>
      <c r="AD47" s="10">
        <v>0.02</v>
      </c>
      <c r="AE47" s="10">
        <f t="shared" si="2"/>
        <v>0.98326428094999996</v>
      </c>
      <c r="AF47" s="10">
        <v>164.917</v>
      </c>
      <c r="AG47" s="10">
        <f>('High STDs'!K$43*'High Data'!AF47)+'High STDs'!K$44</f>
        <v>54.219575483089429</v>
      </c>
      <c r="AH47" s="10">
        <v>72382.990000000005</v>
      </c>
      <c r="AI47" s="26"/>
      <c r="AJ47" s="104">
        <v>41966.606944444444</v>
      </c>
      <c r="AK47" s="181">
        <f t="shared" si="10"/>
        <v>2.242361111108039</v>
      </c>
      <c r="AL47" s="10">
        <v>0</v>
      </c>
      <c r="AM47" s="10">
        <f t="shared" si="3"/>
        <v>0.98190336152999991</v>
      </c>
      <c r="AN47" s="10">
        <v>5.6310000000000002</v>
      </c>
      <c r="AO47" s="10">
        <f>('High STDs'!K$66*'High Data'!AN47)+'High STDs'!K$67</f>
        <v>4.8808511863461765</v>
      </c>
      <c r="AP47" s="10">
        <v>88629.224000000002</v>
      </c>
      <c r="AQ47" s="32"/>
      <c r="AS47" s="218">
        <v>1.133263899171618</v>
      </c>
      <c r="AT47" s="15">
        <v>289.95</v>
      </c>
      <c r="AU47" s="128">
        <f t="shared" si="11"/>
        <v>215.39533918307276</v>
      </c>
      <c r="AV47" s="10">
        <f t="shared" si="12"/>
        <v>74.554660816927225</v>
      </c>
      <c r="AW47" s="26"/>
      <c r="AX47" s="15">
        <v>0.99199999999999999</v>
      </c>
      <c r="AY47" s="128">
        <v>7.2026000000000003</v>
      </c>
      <c r="AZ47" s="128">
        <v>6.3426</v>
      </c>
      <c r="BA47" s="10">
        <f t="shared" si="13"/>
        <v>5.3506</v>
      </c>
      <c r="BB47" s="32">
        <f t="shared" si="14"/>
        <v>25.71293699497404</v>
      </c>
      <c r="BC47" s="129"/>
      <c r="BD47" s="129">
        <v>190.06635554218249</v>
      </c>
      <c r="BE47" s="10">
        <f t="shared" si="15"/>
        <v>222.19547161826216</v>
      </c>
      <c r="BF47" s="10">
        <v>28</v>
      </c>
      <c r="BG47" s="32">
        <f t="shared" si="4"/>
        <v>301</v>
      </c>
      <c r="BI47" s="15">
        <f t="shared" si="16"/>
        <v>9.8523212635102446</v>
      </c>
      <c r="BJ47" s="128">
        <f t="shared" si="17"/>
        <v>1.255768E-3</v>
      </c>
      <c r="BK47" s="128">
        <f t="shared" si="18"/>
        <v>0.10253817419725046</v>
      </c>
      <c r="BL47" s="154">
        <f t="shared" si="19"/>
        <v>9.9548594377074959</v>
      </c>
      <c r="BM47" s="158">
        <f t="shared" si="20"/>
        <v>9.0722837291667933</v>
      </c>
      <c r="BN47" s="128">
        <f t="shared" si="21"/>
        <v>1.255768E-3</v>
      </c>
      <c r="BO47" s="128">
        <f t="shared" si="22"/>
        <v>9.4419922423109134E-2</v>
      </c>
      <c r="BP47" s="164">
        <f t="shared" si="23"/>
        <v>9.1667036515899021</v>
      </c>
      <c r="BQ47" s="15">
        <f t="shared" si="24"/>
        <v>6.7831852938330011</v>
      </c>
      <c r="BR47" s="128">
        <f t="shared" si="25"/>
        <v>1.255768E-3</v>
      </c>
      <c r="BS47" s="128">
        <f t="shared" si="26"/>
        <v>7.0596097779242153E-2</v>
      </c>
      <c r="BT47" s="154">
        <f t="shared" si="27"/>
        <v>6.8537813916122436</v>
      </c>
      <c r="BU47" s="158">
        <f t="shared" si="28"/>
        <v>0.48774554172771328</v>
      </c>
      <c r="BV47" s="128">
        <f t="shared" si="29"/>
        <v>1.255768E-3</v>
      </c>
      <c r="BW47" s="128">
        <f t="shared" si="30"/>
        <v>5.076218688365202E-3</v>
      </c>
      <c r="BX47" s="154">
        <f t="shared" si="31"/>
        <v>0.4928217604160785</v>
      </c>
      <c r="BY47" s="158">
        <f t="shared" si="32"/>
        <v>4.390689865728032E-2</v>
      </c>
      <c r="BZ47" s="128">
        <f t="shared" si="33"/>
        <v>1.255768E-3</v>
      </c>
      <c r="CA47" s="128">
        <f t="shared" si="34"/>
        <v>4.5696167457060622E-4</v>
      </c>
      <c r="CB47" s="154">
        <f t="shared" si="35"/>
        <v>4.4363860331850927E-2</v>
      </c>
    </row>
    <row r="48" spans="1:80" x14ac:dyDescent="0.25">
      <c r="A48" s="16" t="s">
        <v>36</v>
      </c>
      <c r="B48" s="27">
        <v>2</v>
      </c>
      <c r="C48" s="78">
        <v>41964.365277777775</v>
      </c>
      <c r="D48" s="82">
        <v>41964.459027777775</v>
      </c>
      <c r="E48" s="182">
        <f t="shared" si="5"/>
        <v>9.375E-2</v>
      </c>
      <c r="F48" s="12">
        <v>0.12</v>
      </c>
      <c r="G48" s="12">
        <f t="shared" si="6"/>
        <v>0.99006887804999988</v>
      </c>
      <c r="H48" s="12">
        <v>3210.6370000000002</v>
      </c>
      <c r="I48" s="12">
        <f>('High STDs'!H$20*'High Data'!H48)+'High STDs'!H$21</f>
        <v>977.43048308114533</v>
      </c>
      <c r="J48" s="12">
        <v>11435.573</v>
      </c>
      <c r="K48" s="33"/>
      <c r="L48" s="73">
        <v>41964.634027777778</v>
      </c>
      <c r="M48" s="182">
        <f t="shared" si="7"/>
        <v>0.26875000000291038</v>
      </c>
      <c r="N48" s="12">
        <v>-0.04</v>
      </c>
      <c r="O48" s="12">
        <f t="shared" si="0"/>
        <v>0.97918152269000003</v>
      </c>
      <c r="P48" s="12">
        <v>1954.5989999999999</v>
      </c>
      <c r="Q48" s="12">
        <f>('High STDs'!K$20*'High Data'!P48)+'High STDs'!K$21</f>
        <v>597.83274522411671</v>
      </c>
      <c r="R48" s="12">
        <v>31623.165000000001</v>
      </c>
      <c r="S48" s="27"/>
      <c r="T48" s="82">
        <v>41964.749305555553</v>
      </c>
      <c r="U48" s="182">
        <f t="shared" si="8"/>
        <v>0.38402777777810115</v>
      </c>
      <c r="V48" s="12">
        <v>-0.11</v>
      </c>
      <c r="W48" s="12">
        <f t="shared" si="1"/>
        <v>0.97441830472000002</v>
      </c>
      <c r="X48" s="12">
        <v>1117.21</v>
      </c>
      <c r="Y48" s="12">
        <f>('High STDs'!K$20*'High Data'!X48)+'High STDs'!K$21</f>
        <v>343.08223739000476</v>
      </c>
      <c r="Z48" s="12">
        <v>41826.567000000003</v>
      </c>
      <c r="AA48" s="33"/>
      <c r="AB48" s="73">
        <v>41965.56527777778</v>
      </c>
      <c r="AC48" s="182">
        <f t="shared" si="9"/>
        <v>1.2000000000043656</v>
      </c>
      <c r="AD48" s="12">
        <v>-0.13</v>
      </c>
      <c r="AE48" s="12">
        <f t="shared" si="2"/>
        <v>0.97305738529999986</v>
      </c>
      <c r="AF48" s="12">
        <v>10.704000000000001</v>
      </c>
      <c r="AG48" s="12">
        <f>('High STDs'!K$43*'High Data'!AF48)+'High STDs'!K$44</f>
        <v>6.9820319158245265</v>
      </c>
      <c r="AH48" s="12">
        <v>84583.816000000006</v>
      </c>
      <c r="AI48" s="27"/>
      <c r="AJ48" s="82">
        <v>41966.609027777777</v>
      </c>
      <c r="AK48" s="182">
        <f t="shared" si="10"/>
        <v>2.2437500000014552</v>
      </c>
      <c r="AL48" s="12">
        <v>0.19</v>
      </c>
      <c r="AM48" s="12">
        <f t="shared" si="3"/>
        <v>0.99483209601999989</v>
      </c>
      <c r="AN48" s="12">
        <v>0</v>
      </c>
      <c r="AO48" s="12">
        <f>('High STDs'!K$66*'High Data'!AN48)+'High STDs'!K$67</f>
        <v>3.1901899460267487</v>
      </c>
      <c r="AP48" s="12">
        <v>106025.965</v>
      </c>
      <c r="AQ48" s="33"/>
      <c r="AS48" s="214">
        <v>1.2589537066613132</v>
      </c>
      <c r="AT48" s="16">
        <v>291.31</v>
      </c>
      <c r="AU48" s="85">
        <f t="shared" si="11"/>
        <v>239.2847428214377</v>
      </c>
      <c r="AV48" s="12">
        <f t="shared" si="12"/>
        <v>52.025257178562299</v>
      </c>
      <c r="AW48" s="27"/>
      <c r="AX48" s="16">
        <v>0.99050000000000005</v>
      </c>
      <c r="AY48" s="85">
        <v>7.0418000000000003</v>
      </c>
      <c r="AZ48" s="85">
        <v>6.7747000000000002</v>
      </c>
      <c r="BA48" s="12">
        <f t="shared" si="13"/>
        <v>5.7842000000000002</v>
      </c>
      <c r="BB48" s="33">
        <f t="shared" si="14"/>
        <v>17.859070124115995</v>
      </c>
      <c r="BC48" s="124"/>
      <c r="BD48" s="124">
        <v>190.06635554218249</v>
      </c>
      <c r="BE48" s="12">
        <f t="shared" si="15"/>
        <v>206.56893853393052</v>
      </c>
      <c r="BF48" s="12">
        <v>28</v>
      </c>
      <c r="BG48" s="33">
        <f t="shared" si="4"/>
        <v>301</v>
      </c>
      <c r="BI48" s="16">
        <f t="shared" si="16"/>
        <v>8.1743436000066048</v>
      </c>
      <c r="BJ48" s="85">
        <f t="shared" si="17"/>
        <v>1.255768E-3</v>
      </c>
      <c r="BK48" s="85">
        <f t="shared" si="18"/>
        <v>6.3857149305353994E-2</v>
      </c>
      <c r="BL48" s="152">
        <f t="shared" si="19"/>
        <v>8.2382007493119591</v>
      </c>
      <c r="BM48" s="156">
        <f t="shared" si="20"/>
        <v>4.9997318063912202</v>
      </c>
      <c r="BN48" s="85">
        <f t="shared" si="21"/>
        <v>1.255768E-3</v>
      </c>
      <c r="BO48" s="85">
        <f t="shared" si="22"/>
        <v>3.9057401556645284E-2</v>
      </c>
      <c r="BP48" s="162">
        <f t="shared" si="23"/>
        <v>5.0387892079478656</v>
      </c>
      <c r="BQ48" s="16">
        <f t="shared" si="24"/>
        <v>2.8692292086537146</v>
      </c>
      <c r="BR48" s="85">
        <f t="shared" si="25"/>
        <v>1.255768E-3</v>
      </c>
      <c r="BS48" s="85">
        <f t="shared" si="26"/>
        <v>2.2414129737357121E-2</v>
      </c>
      <c r="BT48" s="152">
        <f t="shared" si="27"/>
        <v>2.8916433383910718</v>
      </c>
      <c r="BU48" s="156">
        <f t="shared" si="28"/>
        <v>5.8391393448513809E-2</v>
      </c>
      <c r="BV48" s="85">
        <f t="shared" si="29"/>
        <v>1.255768E-3</v>
      </c>
      <c r="BW48" s="85">
        <f t="shared" si="30"/>
        <v>4.56147687453021E-4</v>
      </c>
      <c r="BX48" s="152">
        <f t="shared" si="31"/>
        <v>5.8847541135966831E-2</v>
      </c>
      <c r="BY48" s="156">
        <f t="shared" si="32"/>
        <v>2.6679860327155587E-2</v>
      </c>
      <c r="BZ48" s="85">
        <f t="shared" si="33"/>
        <v>1.255768E-3</v>
      </c>
      <c r="CA48" s="85">
        <f t="shared" si="34"/>
        <v>2.0842038305752018E-4</v>
      </c>
      <c r="CB48" s="152">
        <f t="shared" si="35"/>
        <v>2.6888280710213108E-2</v>
      </c>
    </row>
    <row r="49" spans="1:80" ht="15.75" thickBot="1" x14ac:dyDescent="0.3">
      <c r="A49" s="17" t="s">
        <v>36</v>
      </c>
      <c r="B49" s="29">
        <v>3</v>
      </c>
      <c r="C49" s="80">
        <v>41964.365277777775</v>
      </c>
      <c r="D49" s="83">
        <v>41964.461111111108</v>
      </c>
      <c r="E49" s="184">
        <f t="shared" si="5"/>
        <v>9.5833333332848269E-2</v>
      </c>
      <c r="F49" s="18">
        <v>0.25</v>
      </c>
      <c r="G49" s="18">
        <f t="shared" si="6"/>
        <v>0.99891485427999993</v>
      </c>
      <c r="H49" s="18">
        <v>2942.0230000000001</v>
      </c>
      <c r="I49" s="18">
        <f>('High STDs'!H$20*'High Data'!H49)+'High STDs'!H$21</f>
        <v>893.43145044930236</v>
      </c>
      <c r="J49" s="18">
        <v>13125.066000000001</v>
      </c>
      <c r="K49" s="38"/>
      <c r="L49" s="75">
        <v>41964.636111111111</v>
      </c>
      <c r="M49" s="184">
        <f t="shared" si="7"/>
        <v>0.27083333333575865</v>
      </c>
      <c r="N49" s="18">
        <v>0.14000000000000001</v>
      </c>
      <c r="O49" s="18">
        <f t="shared" si="0"/>
        <v>0.99142979746999993</v>
      </c>
      <c r="P49" s="18">
        <v>3160.4569999999999</v>
      </c>
      <c r="Q49" s="18">
        <f>('High STDs'!K$20*'High Data'!P49)+'High STDs'!K$21</f>
        <v>964.67890379059736</v>
      </c>
      <c r="R49" s="18">
        <v>48136.368999999999</v>
      </c>
      <c r="S49" s="29"/>
      <c r="T49" s="83">
        <v>41964.751388888886</v>
      </c>
      <c r="U49" s="184">
        <f t="shared" si="8"/>
        <v>0.38611111111094942</v>
      </c>
      <c r="V49" s="18">
        <v>-0.02</v>
      </c>
      <c r="W49" s="18">
        <f t="shared" si="1"/>
        <v>0.98054244210999997</v>
      </c>
      <c r="X49" s="18">
        <v>2452.31</v>
      </c>
      <c r="Y49" s="18">
        <f>('High STDs'!K$20*'High Data'!X49)+'High STDs'!K$21</f>
        <v>749.24640124852567</v>
      </c>
      <c r="Z49" s="18">
        <v>63343.235999999997</v>
      </c>
      <c r="AA49" s="38"/>
      <c r="AB49" s="75">
        <v>41965.567361111112</v>
      </c>
      <c r="AC49" s="184">
        <f t="shared" si="9"/>
        <v>1.2020833333372138</v>
      </c>
      <c r="AD49" s="18">
        <v>-0.31</v>
      </c>
      <c r="AE49" s="18">
        <f t="shared" si="2"/>
        <v>0.96080911051999995</v>
      </c>
      <c r="AF49" s="18">
        <v>210.07</v>
      </c>
      <c r="AG49" s="18">
        <f>('High STDs'!K$43*'High Data'!AF49)+'High STDs'!K$44</f>
        <v>68.05055474354549</v>
      </c>
      <c r="AH49" s="18">
        <v>102900.806</v>
      </c>
      <c r="AI49" s="29"/>
      <c r="AJ49" s="83">
        <v>41966.611805555556</v>
      </c>
      <c r="AK49" s="184">
        <f t="shared" si="10"/>
        <v>2.2465277777810115</v>
      </c>
      <c r="AL49" s="18">
        <v>0.28000000000000003</v>
      </c>
      <c r="AM49" s="18">
        <f t="shared" si="3"/>
        <v>1.00095623341</v>
      </c>
      <c r="AN49" s="18">
        <v>16.608000000000001</v>
      </c>
      <c r="AO49" s="18">
        <f>('High STDs'!K$66*'High Data'!AN49)+'High STDs'!K$67</f>
        <v>8.1766047709646035</v>
      </c>
      <c r="AP49" s="18">
        <v>124782.958</v>
      </c>
      <c r="AQ49" s="38"/>
      <c r="AS49" s="215">
        <v>0.50434738325729234</v>
      </c>
      <c r="AT49" s="17">
        <v>200.33</v>
      </c>
      <c r="AU49" s="123">
        <f t="shared" si="11"/>
        <v>95.859469062949898</v>
      </c>
      <c r="AV49" s="18">
        <f t="shared" si="12"/>
        <v>104.47053093705011</v>
      </c>
      <c r="AW49" s="29"/>
      <c r="AX49" s="17">
        <v>0.97330000000000005</v>
      </c>
      <c r="AY49" s="123">
        <v>6.3209</v>
      </c>
      <c r="AZ49" s="123">
        <v>3.9979</v>
      </c>
      <c r="BA49" s="18">
        <f t="shared" si="13"/>
        <v>3.0246</v>
      </c>
      <c r="BB49" s="38">
        <f t="shared" si="14"/>
        <v>52.149219256751408</v>
      </c>
      <c r="BC49" s="125"/>
      <c r="BD49" s="125">
        <v>190.06635554218249</v>
      </c>
      <c r="BE49" s="18">
        <f t="shared" si="15"/>
        <v>419.83355777501663</v>
      </c>
      <c r="BF49" s="18">
        <v>28</v>
      </c>
      <c r="BG49" s="38">
        <f t="shared" si="4"/>
        <v>301</v>
      </c>
      <c r="BI49" s="17">
        <f t="shared" si="16"/>
        <v>15.185894466257334</v>
      </c>
      <c r="BJ49" s="123">
        <f t="shared" si="17"/>
        <v>1.255768E-3</v>
      </c>
      <c r="BK49" s="123">
        <f t="shared" si="18"/>
        <v>0.11720994178442518</v>
      </c>
      <c r="BL49" s="153">
        <f t="shared" si="19"/>
        <v>15.30310440804176</v>
      </c>
      <c r="BM49" s="159">
        <f t="shared" si="20"/>
        <v>16.396906577915583</v>
      </c>
      <c r="BN49" s="123">
        <f t="shared" si="21"/>
        <v>1.255768E-3</v>
      </c>
      <c r="BO49" s="123">
        <f t="shared" si="22"/>
        <v>0.12655694860204067</v>
      </c>
      <c r="BP49" s="165">
        <f t="shared" si="23"/>
        <v>16.523463526517624</v>
      </c>
      <c r="BQ49" s="17">
        <f t="shared" si="24"/>
        <v>12.735142436346157</v>
      </c>
      <c r="BR49" s="123">
        <f t="shared" si="25"/>
        <v>1.255768E-3</v>
      </c>
      <c r="BS49" s="123">
        <f t="shared" si="26"/>
        <v>9.8294197085143961E-2</v>
      </c>
      <c r="BT49" s="153">
        <f t="shared" si="27"/>
        <v>12.833436633431301</v>
      </c>
      <c r="BU49" s="159">
        <f t="shared" si="28"/>
        <v>1.1566735670498873</v>
      </c>
      <c r="BV49" s="123">
        <f t="shared" si="29"/>
        <v>1.255768E-3</v>
      </c>
      <c r="BW49" s="123">
        <f t="shared" si="30"/>
        <v>8.9276032938818209E-3</v>
      </c>
      <c r="BX49" s="153">
        <f t="shared" si="31"/>
        <v>1.1656011703437692</v>
      </c>
      <c r="BY49" s="159">
        <f t="shared" si="32"/>
        <v>0.13897994869300903</v>
      </c>
      <c r="BZ49" s="123">
        <f t="shared" si="33"/>
        <v>1.255768E-3</v>
      </c>
      <c r="CA49" s="123">
        <f t="shared" si="34"/>
        <v>1.072694909852401E-3</v>
      </c>
      <c r="CB49" s="153">
        <f t="shared" si="35"/>
        <v>0.14005264360286143</v>
      </c>
    </row>
  </sheetData>
  <mergeCells count="11">
    <mergeCell ref="BY3:CB3"/>
    <mergeCell ref="AX3:BB3"/>
    <mergeCell ref="BI3:BL3"/>
    <mergeCell ref="BM3:BP3"/>
    <mergeCell ref="BQ3:BT3"/>
    <mergeCell ref="BU3:BX3"/>
    <mergeCell ref="D3:K3"/>
    <mergeCell ref="L3:S3"/>
    <mergeCell ref="T3:AA3"/>
    <mergeCell ref="AB3:AI3"/>
    <mergeCell ref="AJ3:AQ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U48"/>
  <sheetViews>
    <sheetView zoomScale="60" zoomScaleNormal="60" workbookViewId="0">
      <pane xSplit="2" ySplit="3" topLeftCell="H4" activePane="bottomRight" state="frozen"/>
      <selection pane="topRight" activeCell="C1" sqref="C1"/>
      <selection pane="bottomLeft" activeCell="A4" sqref="A4"/>
      <selection pane="bottomRight" activeCell="AH25" sqref="AH25"/>
    </sheetView>
  </sheetViews>
  <sheetFormatPr defaultRowHeight="15" x14ac:dyDescent="0.25"/>
  <cols>
    <col min="44" max="47" width="9.140625" style="61"/>
  </cols>
  <sheetData>
    <row r="2" spans="1:47" ht="15.75" thickBot="1" x14ac:dyDescent="0.3">
      <c r="I2" s="166" t="s">
        <v>118</v>
      </c>
      <c r="J2" s="166" t="s">
        <v>119</v>
      </c>
      <c r="K2" s="166" t="s">
        <v>120</v>
      </c>
      <c r="L2" s="166" t="s">
        <v>121</v>
      </c>
      <c r="M2" s="166" t="s">
        <v>141</v>
      </c>
      <c r="O2" s="166" t="s">
        <v>118</v>
      </c>
      <c r="P2" s="166" t="s">
        <v>119</v>
      </c>
      <c r="Q2" s="166" t="s">
        <v>120</v>
      </c>
      <c r="R2" s="166" t="s">
        <v>121</v>
      </c>
      <c r="S2" s="166" t="s">
        <v>141</v>
      </c>
      <c r="T2" s="166"/>
      <c r="U2" s="166"/>
      <c r="V2" s="166"/>
      <c r="W2" s="166"/>
      <c r="X2" s="166"/>
      <c r="Y2" s="166"/>
    </row>
    <row r="3" spans="1:47" ht="45.75" thickBot="1" x14ac:dyDescent="0.3">
      <c r="A3" s="19" t="s">
        <v>0</v>
      </c>
      <c r="B3" s="25" t="s">
        <v>50</v>
      </c>
      <c r="C3" s="19" t="s">
        <v>122</v>
      </c>
      <c r="D3" s="20" t="s">
        <v>123</v>
      </c>
      <c r="E3" s="20" t="s">
        <v>124</v>
      </c>
      <c r="F3" s="20" t="s">
        <v>138</v>
      </c>
      <c r="G3" s="22" t="s">
        <v>139</v>
      </c>
      <c r="H3" s="179"/>
      <c r="I3" s="20" t="s">
        <v>116</v>
      </c>
      <c r="J3" s="20" t="s">
        <v>116</v>
      </c>
      <c r="K3" s="20" t="s">
        <v>116</v>
      </c>
      <c r="L3" s="20" t="s">
        <v>116</v>
      </c>
      <c r="M3" s="20" t="s">
        <v>116</v>
      </c>
      <c r="N3" s="241"/>
      <c r="O3" s="133" t="s">
        <v>157</v>
      </c>
      <c r="P3" s="133" t="s">
        <v>157</v>
      </c>
      <c r="Q3" s="133" t="s">
        <v>157</v>
      </c>
      <c r="R3" s="133" t="s">
        <v>157</v>
      </c>
      <c r="S3" s="133" t="s">
        <v>157</v>
      </c>
      <c r="T3" s="242"/>
      <c r="U3" s="272" t="s">
        <v>156</v>
      </c>
      <c r="V3" s="273"/>
      <c r="W3" s="273"/>
      <c r="X3" s="273"/>
      <c r="Y3" s="274"/>
      <c r="Z3" s="251"/>
      <c r="AA3" s="240" t="s">
        <v>150</v>
      </c>
      <c r="AB3" s="212" t="s">
        <v>68</v>
      </c>
      <c r="AC3" s="212" t="s">
        <v>151</v>
      </c>
      <c r="AD3" s="212" t="s">
        <v>68</v>
      </c>
      <c r="AE3" s="212" t="s">
        <v>149</v>
      </c>
      <c r="AF3" s="213" t="s">
        <v>68</v>
      </c>
      <c r="AG3" s="134"/>
      <c r="AH3" s="133" t="s">
        <v>152</v>
      </c>
      <c r="AI3" s="230" t="s">
        <v>68</v>
      </c>
      <c r="AJ3" s="231"/>
      <c r="AK3" s="133" t="s">
        <v>158</v>
      </c>
      <c r="AL3" s="230" t="s">
        <v>68</v>
      </c>
      <c r="AM3" s="256"/>
      <c r="AN3" s="231" t="s">
        <v>97</v>
      </c>
      <c r="AO3" s="133" t="s">
        <v>172</v>
      </c>
      <c r="AP3" s="133" t="s">
        <v>125</v>
      </c>
      <c r="AQ3" s="91" t="s">
        <v>173</v>
      </c>
      <c r="AR3" s="207"/>
      <c r="AS3" s="207"/>
      <c r="AT3" s="207"/>
      <c r="AU3" s="207"/>
    </row>
    <row r="4" spans="1:47" x14ac:dyDescent="0.25">
      <c r="A4" s="9" t="s">
        <v>21</v>
      </c>
      <c r="B4" s="26">
        <v>1</v>
      </c>
      <c r="C4" s="196">
        <v>1.7361111109494232E-2</v>
      </c>
      <c r="D4" s="181">
        <v>0.18819444444670808</v>
      </c>
      <c r="E4" s="181">
        <v>0.28819444444525288</v>
      </c>
      <c r="F4" s="181">
        <v>1.1222222222204437</v>
      </c>
      <c r="G4" s="197">
        <v>2.1590277777795563</v>
      </c>
      <c r="H4" s="174"/>
      <c r="I4" s="9">
        <v>14.080992424778229</v>
      </c>
      <c r="J4" s="10">
        <v>10.945885452095142</v>
      </c>
      <c r="K4" s="10">
        <v>10.239266030238868</v>
      </c>
      <c r="L4" s="10">
        <v>7.385191081444102</v>
      </c>
      <c r="M4" s="32">
        <v>3.4363896444824955</v>
      </c>
      <c r="N4" s="174"/>
      <c r="O4" s="243">
        <f>LN(I4/I4)</f>
        <v>0</v>
      </c>
      <c r="P4" s="9">
        <f>LN(J4/I4)</f>
        <v>-0.2518622051120008</v>
      </c>
      <c r="Q4" s="10">
        <f>LN(K4/I4)</f>
        <v>-0.31859589265235211</v>
      </c>
      <c r="R4" s="10">
        <f>LN(L4/I4)</f>
        <v>-0.64534904304711416</v>
      </c>
      <c r="S4" s="32">
        <f>LN(M4/I4)</f>
        <v>-1.4104044346616007</v>
      </c>
      <c r="T4" s="174"/>
      <c r="U4" s="9"/>
      <c r="V4" s="10"/>
      <c r="W4" s="10"/>
      <c r="X4" s="10"/>
      <c r="Y4" s="32"/>
      <c r="Z4" s="129"/>
      <c r="AA4" s="124">
        <f>SLOPE(O4:Q4,C4:E4)</f>
        <v>-1.2083934069489275</v>
      </c>
      <c r="AB4" s="12">
        <f>RSQ(O4:Q4,C4:E4)</f>
        <v>0.97009025278123895</v>
      </c>
      <c r="AC4" s="12">
        <f>SLOPE(O4:R4,C4:F4)</f>
        <v>-0.51324409651294611</v>
      </c>
      <c r="AD4" s="12">
        <f>RSQ(O4:R4,C4:F4)</f>
        <v>0.90180500793116192</v>
      </c>
      <c r="AE4" s="12">
        <f>SLOPE(O4:S4,C4:G4)</f>
        <v>-0.60379199984072185</v>
      </c>
      <c r="AF4" s="33">
        <f>RSQ(O4:S4,C4:G4)</f>
        <v>0.97607442973396075</v>
      </c>
      <c r="AG4" s="233"/>
      <c r="AH4" s="174">
        <f>SLOPE(O4:S4,C4:G4)</f>
        <v>-0.60379199984072185</v>
      </c>
      <c r="AI4" s="243">
        <f>RSQ(O4:S4,C4:G4)</f>
        <v>0.97607442973396075</v>
      </c>
      <c r="AJ4" s="9"/>
      <c r="AK4" s="10">
        <f>SLOPE(I4:K4,C4:E4)</f>
        <v>-14.632908397887459</v>
      </c>
      <c r="AL4" s="26">
        <f>RSQ(I4:K4,C4:E4)</f>
        <v>0.96050125513699303</v>
      </c>
      <c r="AM4" s="243"/>
      <c r="AN4" s="9">
        <v>265.10660629872916</v>
      </c>
      <c r="AO4" s="10">
        <f>AK4/AN4</f>
        <v>-5.5196317444457452E-2</v>
      </c>
      <c r="AP4" s="10">
        <v>1.3948108045870988</v>
      </c>
      <c r="AQ4" s="32">
        <f>AO4*AP4</f>
        <v>-7.6988419944948622E-2</v>
      </c>
      <c r="AS4" s="238"/>
      <c r="AT4" s="61" t="s">
        <v>154</v>
      </c>
    </row>
    <row r="5" spans="1:47" x14ac:dyDescent="0.25">
      <c r="A5" s="11" t="s">
        <v>21</v>
      </c>
      <c r="B5" s="27">
        <v>2</v>
      </c>
      <c r="C5" s="198">
        <v>1.805555554892635E-2</v>
      </c>
      <c r="D5" s="182">
        <v>0.18958333333284827</v>
      </c>
      <c r="E5" s="182">
        <v>0.288888888884685</v>
      </c>
      <c r="F5" s="182">
        <v>1.1243055555532919</v>
      </c>
      <c r="G5" s="199">
        <v>2.1604166666656965</v>
      </c>
      <c r="H5" s="169"/>
      <c r="I5" s="11">
        <v>8.7688426163813524</v>
      </c>
      <c r="J5" s="12">
        <v>3.8185717440761726</v>
      </c>
      <c r="K5" s="12">
        <v>2.4079293752329956</v>
      </c>
      <c r="L5" s="12">
        <v>0.10210468388260341</v>
      </c>
      <c r="M5" s="33">
        <v>3.6621884161903512E-2</v>
      </c>
      <c r="N5" s="169"/>
      <c r="O5" s="244">
        <f t="shared" ref="O5:O48" si="0">LN(I5/I5)</f>
        <v>0</v>
      </c>
      <c r="P5" s="11">
        <f t="shared" ref="P5:P48" si="1">LN(J5/I5)</f>
        <v>-0.83132836318981473</v>
      </c>
      <c r="Q5" s="12">
        <f t="shared" ref="Q5:Q48" si="2">LN(K5/I5)</f>
        <v>-1.292437629114803</v>
      </c>
      <c r="R5" s="12">
        <f t="shared" ref="R5:R48" si="3">LN(L5/I5)</f>
        <v>-4.4529615063310954</v>
      </c>
      <c r="S5" s="33">
        <f t="shared" ref="S5:S48" si="4">LN(M5/I5)</f>
        <v>-5.4783141162507194</v>
      </c>
      <c r="T5" s="169"/>
      <c r="U5" s="11"/>
      <c r="V5" s="12"/>
      <c r="W5" s="12"/>
      <c r="X5" s="12"/>
      <c r="Y5" s="33"/>
      <c r="Z5" s="124"/>
      <c r="AA5" s="124">
        <f t="shared" ref="AA5:AA48" si="5">SLOPE(O5:Q5,C5:E5)</f>
        <v>-4.7802749841856924</v>
      </c>
      <c r="AB5" s="12">
        <f t="shared" ref="AB5:AB48" si="6">RSQ(O5:Q5,C5:E5)</f>
        <v>0.99987595023435372</v>
      </c>
      <c r="AC5" s="12">
        <f t="shared" ref="AC5:AC48" si="7">SLOPE(O5:R5,C5:F5)</f>
        <v>-3.951131064737353</v>
      </c>
      <c r="AD5" s="12">
        <f t="shared" ref="AD5:AD48" si="8">RSQ(O5:R5,C5:F5)</f>
        <v>0.99759839049927135</v>
      </c>
      <c r="AE5" s="12">
        <f t="shared" ref="AE5:AE48" si="9">SLOPE(O5:S5,C5:G5)</f>
        <v>-2.5868645580678793</v>
      </c>
      <c r="AF5" s="33">
        <f t="shared" ref="AF5:AF48" si="10">RSQ(O5:S5,C5:G5)</f>
        <v>0.92308567335251912</v>
      </c>
      <c r="AG5" s="234"/>
      <c r="AH5" s="169">
        <f>SLOPE(O5:Q5,C5:E5)</f>
        <v>-4.7802749841856924</v>
      </c>
      <c r="AI5" s="244">
        <f>RSQ(O5:Q5,C5:E5)</f>
        <v>0.99987595023435372</v>
      </c>
      <c r="AJ5" s="11"/>
      <c r="AK5" s="12">
        <f>SLOPE(I5:K5,C5:E5)</f>
        <v>-24.077448413810881</v>
      </c>
      <c r="AL5" s="27">
        <f>RSQ(I5:K5,C5:E5)</f>
        <v>0.97521229618705685</v>
      </c>
      <c r="AM5" s="244"/>
      <c r="AN5" s="11">
        <v>289.16534412348733</v>
      </c>
      <c r="AO5" s="12">
        <f t="shared" ref="AO5:AO48" si="11">AK5/AN5</f>
        <v>-8.3265332112304122E-2</v>
      </c>
      <c r="AP5" s="12">
        <v>1.521391533491635</v>
      </c>
      <c r="AQ5" s="33">
        <f t="shared" ref="AQ5:AQ48" si="12">AO5*AP5</f>
        <v>-0.12667917130902864</v>
      </c>
      <c r="AS5" s="239"/>
      <c r="AT5" s="61" t="s">
        <v>155</v>
      </c>
    </row>
    <row r="6" spans="1:47" ht="15.75" thickBot="1" x14ac:dyDescent="0.3">
      <c r="A6" s="13" t="s">
        <v>21</v>
      </c>
      <c r="B6" s="28">
        <v>3</v>
      </c>
      <c r="C6" s="200">
        <v>2.0138888889050577E-2</v>
      </c>
      <c r="D6" s="183">
        <v>0.19166666666569654</v>
      </c>
      <c r="E6" s="183">
        <v>0.29097222221753327</v>
      </c>
      <c r="F6" s="183">
        <v>1.1263888888861402</v>
      </c>
      <c r="G6" s="201">
        <v>2.1624999999985448</v>
      </c>
      <c r="H6" s="170"/>
      <c r="I6" s="13">
        <v>13.344454030281323</v>
      </c>
      <c r="J6" s="14">
        <v>12.241669313625934</v>
      </c>
      <c r="K6" s="14">
        <v>11.807580850266396</v>
      </c>
      <c r="L6" s="14">
        <v>10.225403573224606</v>
      </c>
      <c r="M6" s="34">
        <v>5.27241244938135</v>
      </c>
      <c r="N6" s="170"/>
      <c r="O6" s="245">
        <f t="shared" si="0"/>
        <v>0</v>
      </c>
      <c r="P6" s="13">
        <f t="shared" si="1"/>
        <v>-8.6255220471402827E-2</v>
      </c>
      <c r="Q6" s="14">
        <f t="shared" si="2"/>
        <v>-0.12235909995856617</v>
      </c>
      <c r="R6" s="14">
        <f t="shared" si="3"/>
        <v>-0.26622569967461579</v>
      </c>
      <c r="S6" s="34">
        <f t="shared" si="4"/>
        <v>-0.92861284199909866</v>
      </c>
      <c r="T6" s="170"/>
      <c r="U6" s="13"/>
      <c r="V6" s="14"/>
      <c r="W6" s="14"/>
      <c r="X6" s="14"/>
      <c r="Y6" s="34"/>
      <c r="Z6" s="127"/>
      <c r="AA6" s="127">
        <f t="shared" si="5"/>
        <v>-0.45740517652936441</v>
      </c>
      <c r="AB6" s="14">
        <f t="shared" si="6"/>
        <v>0.99367663107124826</v>
      </c>
      <c r="AC6" s="14">
        <f t="shared" si="7"/>
        <v>-0.21816770592215542</v>
      </c>
      <c r="AD6" s="14">
        <f t="shared" si="8"/>
        <v>0.93727295899837082</v>
      </c>
      <c r="AE6" s="14">
        <f t="shared" si="9"/>
        <v>-0.40601645184336332</v>
      </c>
      <c r="AF6" s="34">
        <f t="shared" si="10"/>
        <v>0.93672916229932024</v>
      </c>
      <c r="AG6" s="235"/>
      <c r="AH6" s="170">
        <f>SLOPE(O6:S6,C6:G6)</f>
        <v>-0.40601645184336332</v>
      </c>
      <c r="AI6" s="245">
        <f>RSQ(O6:S6,C6:G6)</f>
        <v>0.93672916229932024</v>
      </c>
      <c r="AJ6" s="13"/>
      <c r="AK6" s="14">
        <f>SLOPE(I6:M6,C6:G6)</f>
        <v>-3.4901705962354255</v>
      </c>
      <c r="AL6" s="28">
        <f>RSQ(I6:M6,C6:G6)</f>
        <v>0.96695821581983843</v>
      </c>
      <c r="AM6" s="245"/>
      <c r="AN6" s="13">
        <v>267.56457818263942</v>
      </c>
      <c r="AO6" s="14">
        <f t="shared" si="11"/>
        <v>-1.3044217661177247E-2</v>
      </c>
      <c r="AP6" s="14">
        <v>1.4077429822831391</v>
      </c>
      <c r="AQ6" s="34">
        <f t="shared" si="12"/>
        <v>-1.8362905871896051E-2</v>
      </c>
      <c r="AS6" s="237"/>
      <c r="AT6" s="61" t="s">
        <v>153</v>
      </c>
    </row>
    <row r="7" spans="1:47" x14ac:dyDescent="0.25">
      <c r="A7" s="47" t="s">
        <v>22</v>
      </c>
      <c r="B7" s="110">
        <v>1</v>
      </c>
      <c r="C7" s="202">
        <v>2.1527777782466728E-2</v>
      </c>
      <c r="D7" s="188">
        <v>0.19305555555911269</v>
      </c>
      <c r="E7" s="188">
        <v>0.2930555555576575</v>
      </c>
      <c r="F7" s="188">
        <v>1.1277777777795563</v>
      </c>
      <c r="G7" s="116">
        <v>2.163888888891961</v>
      </c>
      <c r="H7" s="171"/>
      <c r="I7" s="47">
        <v>20.014590556024498</v>
      </c>
      <c r="J7" s="48">
        <v>2.7467257077990439</v>
      </c>
      <c r="K7" s="48">
        <v>0.96619040597693229</v>
      </c>
      <c r="L7" s="48">
        <v>0.13650563581762826</v>
      </c>
      <c r="M7" s="49">
        <v>0.10267110614398431</v>
      </c>
      <c r="N7" s="171"/>
      <c r="O7" s="246">
        <f t="shared" si="0"/>
        <v>0</v>
      </c>
      <c r="P7" s="47">
        <f t="shared" si="1"/>
        <v>-1.9860519847990108</v>
      </c>
      <c r="Q7" s="48">
        <f t="shared" si="2"/>
        <v>-3.0308558919353605</v>
      </c>
      <c r="R7" s="48">
        <f t="shared" si="3"/>
        <v>-4.9878509125473771</v>
      </c>
      <c r="S7" s="49">
        <f t="shared" si="4"/>
        <v>-5.2726860793285404</v>
      </c>
      <c r="T7" s="171"/>
      <c r="U7" s="47"/>
      <c r="V7" s="48"/>
      <c r="W7" s="48"/>
      <c r="X7" s="48"/>
      <c r="Y7" s="49"/>
      <c r="Z7" s="176"/>
      <c r="AA7" s="130">
        <f t="shared" si="5"/>
        <v>-11.207379444549005</v>
      </c>
      <c r="AB7" s="48">
        <f t="shared" si="6"/>
        <v>0.99929892394864683</v>
      </c>
      <c r="AC7" s="48">
        <f t="shared" si="7"/>
        <v>-3.8609380265661071</v>
      </c>
      <c r="AD7" s="48">
        <f t="shared" si="8"/>
        <v>0.8344064286710805</v>
      </c>
      <c r="AE7" s="48">
        <f t="shared" si="9"/>
        <v>-2.0989191866584691</v>
      </c>
      <c r="AF7" s="49">
        <f t="shared" si="10"/>
        <v>0.73483898285636995</v>
      </c>
      <c r="AG7" s="176"/>
      <c r="AH7" s="171">
        <f>SLOPE(O7:Q7,C7:E7)</f>
        <v>-11.207379444549005</v>
      </c>
      <c r="AI7" s="246">
        <f>RSQ(O7:Q7,C7:E7)</f>
        <v>0.99929892394864683</v>
      </c>
      <c r="AJ7" s="47"/>
      <c r="AK7" s="48">
        <f>SLOPE(I7:J7,C7:D7)</f>
        <v>-100.67095296197867</v>
      </c>
      <c r="AL7" s="110">
        <f>RSQ(I7:J7,C7:D7)</f>
        <v>1</v>
      </c>
      <c r="AM7" s="246"/>
      <c r="AN7" s="47">
        <v>11.60065236987495</v>
      </c>
      <c r="AO7" s="48">
        <f t="shared" si="11"/>
        <v>-8.6780423852200865</v>
      </c>
      <c r="AP7" s="48">
        <v>6.1034749347316009E-2</v>
      </c>
      <c r="AQ7" s="49">
        <f t="shared" si="12"/>
        <v>-0.52966214180729232</v>
      </c>
    </row>
    <row r="8" spans="1:47" x14ac:dyDescent="0.25">
      <c r="A8" s="50" t="s">
        <v>22</v>
      </c>
      <c r="B8" s="111">
        <v>2</v>
      </c>
      <c r="C8" s="203">
        <v>2.3611111115314998E-2</v>
      </c>
      <c r="D8" s="187">
        <v>0.19513888889196096</v>
      </c>
      <c r="E8" s="187">
        <v>0.29513888889050577</v>
      </c>
      <c r="F8" s="187">
        <v>1.1298611111124046</v>
      </c>
      <c r="G8" s="117">
        <v>2.1659722222248092</v>
      </c>
      <c r="H8" s="172"/>
      <c r="I8" s="50">
        <v>29.567232342286676</v>
      </c>
      <c r="J8" s="51">
        <v>25.851473698123186</v>
      </c>
      <c r="K8" s="51">
        <v>24.623072945668429</v>
      </c>
      <c r="L8" s="51">
        <v>10.926434308483405</v>
      </c>
      <c r="M8" s="52">
        <v>2.0780046399249636</v>
      </c>
      <c r="N8" s="172"/>
      <c r="O8" s="247">
        <f t="shared" si="0"/>
        <v>0</v>
      </c>
      <c r="P8" s="50">
        <f t="shared" si="1"/>
        <v>-0.13429912374449474</v>
      </c>
      <c r="Q8" s="51">
        <f t="shared" si="2"/>
        <v>-0.18298280468999714</v>
      </c>
      <c r="R8" s="51">
        <f t="shared" si="3"/>
        <v>-0.99548171349052661</v>
      </c>
      <c r="S8" s="52">
        <f t="shared" si="4"/>
        <v>-2.6552586071178248</v>
      </c>
      <c r="T8" s="172"/>
      <c r="U8" s="50"/>
      <c r="V8" s="51"/>
      <c r="W8" s="51"/>
      <c r="X8" s="51"/>
      <c r="Y8" s="52"/>
      <c r="Z8" s="177"/>
      <c r="AA8" s="126">
        <f t="shared" si="5"/>
        <v>-0.68572621435167957</v>
      </c>
      <c r="AB8" s="51">
        <f t="shared" si="6"/>
        <v>0.98730657842120872</v>
      </c>
      <c r="AC8" s="51">
        <f t="shared" si="7"/>
        <v>-0.91559942990323973</v>
      </c>
      <c r="AD8" s="51">
        <f t="shared" si="8"/>
        <v>0.99619058920952153</v>
      </c>
      <c r="AE8" s="51">
        <f t="shared" si="9"/>
        <v>-1.2324696931266934</v>
      </c>
      <c r="AF8" s="52">
        <f t="shared" si="10"/>
        <v>0.98041241030590975</v>
      </c>
      <c r="AG8" s="177"/>
      <c r="AH8" s="172">
        <f>SLOPE(O8:S8,C8:G8)</f>
        <v>-1.2324696931266934</v>
      </c>
      <c r="AI8" s="247">
        <f>RSQ(O8:S8,C8:G8)</f>
        <v>0.98041241030590975</v>
      </c>
      <c r="AJ8" s="50"/>
      <c r="AK8" s="51">
        <f>SLOPE(I8:L8,C8:F8)</f>
        <v>-16.546614601769445</v>
      </c>
      <c r="AL8" s="111">
        <f>RSQ(I8:L8,C8:F8)</f>
        <v>0.99802547710548661</v>
      </c>
      <c r="AM8" s="247"/>
      <c r="AN8" s="50">
        <v>15.795075170291966</v>
      </c>
      <c r="AO8" s="51">
        <f t="shared" si="11"/>
        <v>-1.0475806175896525</v>
      </c>
      <c r="AP8" s="51">
        <v>9.8785121064188505E-2</v>
      </c>
      <c r="AQ8" s="52">
        <f t="shared" si="12"/>
        <v>-0.10348537813309118</v>
      </c>
    </row>
    <row r="9" spans="1:47" ht="15.75" thickBot="1" x14ac:dyDescent="0.3">
      <c r="A9" s="92" t="s">
        <v>22</v>
      </c>
      <c r="B9" s="112">
        <v>3</v>
      </c>
      <c r="C9" s="204">
        <v>2.5000000001455192E-2</v>
      </c>
      <c r="D9" s="189">
        <v>0.19652777777810115</v>
      </c>
      <c r="E9" s="189">
        <v>0.29722222222335404</v>
      </c>
      <c r="F9" s="189">
        <v>1.1312499999985448</v>
      </c>
      <c r="G9" s="118">
        <v>2.1673611111109494</v>
      </c>
      <c r="H9" s="173"/>
      <c r="I9" s="92">
        <v>28.546505964392349</v>
      </c>
      <c r="J9" s="53">
        <v>23.628391222326496</v>
      </c>
      <c r="K9" s="53">
        <v>20.627038118233422</v>
      </c>
      <c r="L9" s="53">
        <v>3.139622529025317</v>
      </c>
      <c r="M9" s="54">
        <v>0.16766886813831164</v>
      </c>
      <c r="N9" s="173"/>
      <c r="O9" s="248">
        <f t="shared" si="0"/>
        <v>0</v>
      </c>
      <c r="P9" s="92">
        <f t="shared" si="1"/>
        <v>-0.18908553869850137</v>
      </c>
      <c r="Q9" s="53">
        <f t="shared" si="2"/>
        <v>-0.32493180038673797</v>
      </c>
      <c r="R9" s="53">
        <f t="shared" si="3"/>
        <v>-2.2074319665713489</v>
      </c>
      <c r="S9" s="54">
        <f t="shared" si="4"/>
        <v>-5.1372988131661952</v>
      </c>
      <c r="T9" s="173"/>
      <c r="U9" s="92"/>
      <c r="V9" s="53"/>
      <c r="W9" s="53"/>
      <c r="X9" s="53"/>
      <c r="Y9" s="54"/>
      <c r="Z9" s="178"/>
      <c r="AA9" s="131">
        <f t="shared" si="5"/>
        <v>-1.183871507300208</v>
      </c>
      <c r="AB9" s="53">
        <f t="shared" si="6"/>
        <v>0.99700028805453278</v>
      </c>
      <c r="AC9" s="53">
        <f t="shared" si="7"/>
        <v>-2.0755693192165148</v>
      </c>
      <c r="AD9" s="53">
        <f t="shared" si="8"/>
        <v>0.9898994527051227</v>
      </c>
      <c r="AE9" s="53">
        <f t="shared" si="9"/>
        <v>-2.4340313084267353</v>
      </c>
      <c r="AF9" s="54">
        <f t="shared" si="10"/>
        <v>0.99197739772652083</v>
      </c>
      <c r="AG9" s="178"/>
      <c r="AH9" s="173">
        <f>SLOPE(O9:R9,C9:F9)</f>
        <v>-2.0755693192165148</v>
      </c>
      <c r="AI9" s="248">
        <f>RSQ(O9:R9,C9:F9)</f>
        <v>0.9898994527051227</v>
      </c>
      <c r="AJ9" s="62"/>
      <c r="AK9" s="63">
        <f>SLOPE(I9:L9,C9:F9)</f>
        <v>-22.411296672778491</v>
      </c>
      <c r="AL9" s="257">
        <f>RSQ(I9:L9,C9:F9)</f>
        <v>0.99519155646006463</v>
      </c>
      <c r="AM9" s="248"/>
      <c r="AN9" s="92">
        <v>15.880484909357349</v>
      </c>
      <c r="AO9" s="53">
        <f t="shared" si="11"/>
        <v>-1.4112476288159785</v>
      </c>
      <c r="AP9" s="53">
        <v>9.9319288285469279E-2</v>
      </c>
      <c r="AQ9" s="54">
        <f t="shared" si="12"/>
        <v>-0.14016411008855911</v>
      </c>
    </row>
    <row r="10" spans="1:47" x14ac:dyDescent="0.25">
      <c r="A10" s="9" t="s">
        <v>23</v>
      </c>
      <c r="B10" s="26">
        <v>1</v>
      </c>
      <c r="C10" s="196">
        <v>2.7777777781011537E-2</v>
      </c>
      <c r="D10" s="181">
        <v>0.19861111111094942</v>
      </c>
      <c r="E10" s="181">
        <v>0.29930555555620231</v>
      </c>
      <c r="F10" s="181">
        <v>1.1333333333313931</v>
      </c>
      <c r="G10" s="197">
        <v>2.1708333333299379</v>
      </c>
      <c r="H10" s="174"/>
      <c r="I10" s="9">
        <v>23.297291649052415</v>
      </c>
      <c r="J10" s="10">
        <v>6.8584643647013532</v>
      </c>
      <c r="K10" s="10">
        <v>3.4649158429184159</v>
      </c>
      <c r="L10" s="10">
        <v>0.16468993124834991</v>
      </c>
      <c r="M10" s="32">
        <v>0.12932791940352695</v>
      </c>
      <c r="N10" s="174"/>
      <c r="O10" s="243">
        <f t="shared" si="0"/>
        <v>0</v>
      </c>
      <c r="P10" s="9">
        <f t="shared" si="1"/>
        <v>-1.2228535524406006</v>
      </c>
      <c r="Q10" s="10">
        <f t="shared" si="2"/>
        <v>-1.9056487709884924</v>
      </c>
      <c r="R10" s="10">
        <f t="shared" si="3"/>
        <v>-4.9520278931344688</v>
      </c>
      <c r="S10" s="32">
        <f t="shared" si="4"/>
        <v>-5.1937412047625209</v>
      </c>
      <c r="T10" s="174"/>
      <c r="U10" s="9"/>
      <c r="V10" s="10"/>
      <c r="W10" s="10"/>
      <c r="X10" s="10"/>
      <c r="Y10" s="32"/>
      <c r="Z10" s="129"/>
      <c r="AA10" s="129">
        <f t="shared" si="5"/>
        <v>-7.0330761109625541</v>
      </c>
      <c r="AB10" s="10">
        <f t="shared" si="6"/>
        <v>0.99980013499849618</v>
      </c>
      <c r="AC10" s="10">
        <f t="shared" si="7"/>
        <v>-4.2333861457013917</v>
      </c>
      <c r="AD10" s="10">
        <f t="shared" si="8"/>
        <v>0.97659307370988002</v>
      </c>
      <c r="AE10" s="10">
        <f t="shared" si="9"/>
        <v>-2.3589420498588591</v>
      </c>
      <c r="AF10" s="32">
        <f t="shared" si="10"/>
        <v>0.83097641785823584</v>
      </c>
      <c r="AG10" s="233"/>
      <c r="AH10" s="174">
        <f>SLOPE(O10:Q10,C10:E10)</f>
        <v>-7.0330761109625541</v>
      </c>
      <c r="AI10" s="243">
        <f>RSQ(O10:Q10,C10:E10)</f>
        <v>0.99980013499849618</v>
      </c>
      <c r="AJ10" s="39"/>
      <c r="AK10" s="40">
        <f>SLOPE(I10:J10,C10:D10)</f>
        <v>-96.227281666406626</v>
      </c>
      <c r="AL10" s="168">
        <f>RSQ(I10:J10,C10:D10)</f>
        <v>1</v>
      </c>
      <c r="AM10" s="243"/>
      <c r="AN10" s="9">
        <v>13.744333850223484</v>
      </c>
      <c r="AO10" s="10">
        <f t="shared" si="11"/>
        <v>-7.0012328509352937</v>
      </c>
      <c r="AP10" s="10">
        <v>9.4915031632014854E-2</v>
      </c>
      <c r="AQ10" s="32">
        <f t="shared" si="12"/>
        <v>-0.66452223750962491</v>
      </c>
    </row>
    <row r="11" spans="1:47" x14ac:dyDescent="0.25">
      <c r="A11" s="11" t="s">
        <v>23</v>
      </c>
      <c r="B11" s="27">
        <v>2</v>
      </c>
      <c r="C11" s="198">
        <v>2.8472222220443655E-2</v>
      </c>
      <c r="D11" s="182">
        <v>0.19999999999708962</v>
      </c>
      <c r="E11" s="182">
        <v>0.3006944444423425</v>
      </c>
      <c r="F11" s="182">
        <v>1.1347222222175333</v>
      </c>
      <c r="G11" s="199">
        <v>2.1722222222160781</v>
      </c>
      <c r="H11" s="169"/>
      <c r="I11" s="11">
        <v>25.163793374980141</v>
      </c>
      <c r="J11" s="12">
        <v>25.042256768632335</v>
      </c>
      <c r="K11" s="12">
        <v>23.309888798661621</v>
      </c>
      <c r="L11" s="12">
        <v>21.435660024920338</v>
      </c>
      <c r="M11" s="33">
        <v>17.792234089171394</v>
      </c>
      <c r="N11" s="169"/>
      <c r="O11" s="244">
        <f t="shared" si="0"/>
        <v>0</v>
      </c>
      <c r="P11" s="11">
        <v>-4.8415218247579725E-3</v>
      </c>
      <c r="Q11" s="12">
        <f t="shared" si="2"/>
        <v>-7.6528508044228047E-2</v>
      </c>
      <c r="R11" s="12">
        <f t="shared" si="3"/>
        <v>-0.1603502990370774</v>
      </c>
      <c r="S11" s="33">
        <f t="shared" si="4"/>
        <v>-0.34664411556640962</v>
      </c>
      <c r="T11" s="169"/>
      <c r="U11" s="11"/>
      <c r="V11" s="12"/>
      <c r="W11" s="12"/>
      <c r="X11" s="12"/>
      <c r="Y11" s="33"/>
      <c r="Z11" s="124"/>
      <c r="AA11" s="124">
        <f t="shared" si="5"/>
        <v>-0.25409247183400019</v>
      </c>
      <c r="AB11" s="12">
        <f t="shared" si="6"/>
        <v>0.66599243588609247</v>
      </c>
      <c r="AC11" s="12">
        <f t="shared" si="7"/>
        <v>-0.14501918816176992</v>
      </c>
      <c r="AD11" s="12">
        <f t="shared" si="8"/>
        <v>0.89977244092087139</v>
      </c>
      <c r="AE11" s="12">
        <f t="shared" si="9"/>
        <v>-0.15888526816433349</v>
      </c>
      <c r="AF11" s="33">
        <f t="shared" si="10"/>
        <v>0.97717832850970687</v>
      </c>
      <c r="AG11" s="234"/>
      <c r="AH11" s="169">
        <f>SLOPE(O11:S11,C11:G11)</f>
        <v>-0.15888526816433349</v>
      </c>
      <c r="AI11" s="244">
        <f>RSQ(O11:S11,C11:G11)</f>
        <v>0.97717832850970687</v>
      </c>
      <c r="AJ11" s="11"/>
      <c r="AK11" s="12">
        <f>SLOPE(I11:M11,C11:G11)</f>
        <v>-3.379005422140037</v>
      </c>
      <c r="AL11" s="27">
        <f>RSQ(I11:M11,C11:G11)</f>
        <v>0.9725810874101668</v>
      </c>
      <c r="AM11" s="244"/>
      <c r="AN11" s="11">
        <v>10.87627652133364</v>
      </c>
      <c r="AO11" s="12">
        <f t="shared" si="11"/>
        <v>-0.310676674642482</v>
      </c>
      <c r="AP11" s="12">
        <v>0.15677746575930351</v>
      </c>
      <c r="AQ11" s="33">
        <f t="shared" si="12"/>
        <v>-4.8707101720975997E-2</v>
      </c>
    </row>
    <row r="12" spans="1:47" ht="15.75" thickBot="1" x14ac:dyDescent="0.3">
      <c r="A12" s="13" t="s">
        <v>23</v>
      </c>
      <c r="B12" s="28">
        <v>3</v>
      </c>
      <c r="C12" s="200">
        <v>3.0555555553291924E-2</v>
      </c>
      <c r="D12" s="183">
        <v>0.20208333332993789</v>
      </c>
      <c r="E12" s="183">
        <v>0.30347222222189885</v>
      </c>
      <c r="F12" s="183">
        <v>1.1368055555503815</v>
      </c>
      <c r="G12" s="201">
        <v>2.1743055555562023</v>
      </c>
      <c r="H12" s="170"/>
      <c r="I12" s="13">
        <v>24.639790265707632</v>
      </c>
      <c r="J12" s="14">
        <v>11.85628947979753</v>
      </c>
      <c r="K12" s="14">
        <v>7.4462690785905146</v>
      </c>
      <c r="L12" s="14">
        <v>0.30861105871323491</v>
      </c>
      <c r="M12" s="34">
        <v>0.12369245160075387</v>
      </c>
      <c r="N12" s="170"/>
      <c r="O12" s="245">
        <f t="shared" si="0"/>
        <v>0</v>
      </c>
      <c r="P12" s="13">
        <f t="shared" si="1"/>
        <v>-0.73150414211754333</v>
      </c>
      <c r="Q12" s="14">
        <f t="shared" si="2"/>
        <v>-1.1966495145536129</v>
      </c>
      <c r="R12" s="14">
        <f t="shared" si="3"/>
        <v>-4.3800361312760918</v>
      </c>
      <c r="S12" s="34">
        <f t="shared" si="4"/>
        <v>-5.294319649951917</v>
      </c>
      <c r="T12" s="170"/>
      <c r="U12" s="13"/>
      <c r="V12" s="14"/>
      <c r="W12" s="14"/>
      <c r="X12" s="14"/>
      <c r="Y12" s="34"/>
      <c r="Z12" s="127"/>
      <c r="AA12" s="127">
        <f t="shared" si="5"/>
        <v>-4.3720233202963152</v>
      </c>
      <c r="AB12" s="14">
        <f t="shared" si="6"/>
        <v>0.99962008617379738</v>
      </c>
      <c r="AC12" s="14">
        <f t="shared" si="7"/>
        <v>-3.9254415884423466</v>
      </c>
      <c r="AD12" s="14">
        <f t="shared" si="8"/>
        <v>0.99926031869200427</v>
      </c>
      <c r="AE12" s="14">
        <f t="shared" si="9"/>
        <v>-2.5282661766495407</v>
      </c>
      <c r="AF12" s="34">
        <f t="shared" si="10"/>
        <v>0.91714345387784124</v>
      </c>
      <c r="AG12" s="235"/>
      <c r="AH12" s="170">
        <f>SLOPE(O12:Q12,C12:E12)</f>
        <v>-4.3720233202963152</v>
      </c>
      <c r="AI12" s="245">
        <f>RSQ(O12:Q12,C12:E12)</f>
        <v>0.99962008617379738</v>
      </c>
      <c r="AJ12" s="13"/>
      <c r="AK12" s="14">
        <f>SLOPE(I12:K12,C12:E12)</f>
        <v>-64.213789346763534</v>
      </c>
      <c r="AL12" s="28">
        <f>RSQ(I12:K12,C12:E12)</f>
        <v>0.98400838940445534</v>
      </c>
      <c r="AM12" s="245"/>
      <c r="AN12" s="13">
        <v>16.573434670006932</v>
      </c>
      <c r="AO12" s="14">
        <f t="shared" si="11"/>
        <v>-3.8745010087119542</v>
      </c>
      <c r="AP12" s="14">
        <v>0.10365311546002556</v>
      </c>
      <c r="AQ12" s="34">
        <f t="shared" si="12"/>
        <v>-0.40160410040600569</v>
      </c>
    </row>
    <row r="13" spans="1:47" x14ac:dyDescent="0.25">
      <c r="A13" s="47" t="s">
        <v>24</v>
      </c>
      <c r="B13" s="110">
        <v>1</v>
      </c>
      <c r="C13" s="202">
        <v>3.3333333332848269E-2</v>
      </c>
      <c r="D13" s="188">
        <v>0.20416666666278616</v>
      </c>
      <c r="E13" s="188">
        <v>0.30555555555474712</v>
      </c>
      <c r="F13" s="188">
        <v>1.1381944444437977</v>
      </c>
      <c r="G13" s="116">
        <v>2.1763888888890506</v>
      </c>
      <c r="H13" s="171"/>
      <c r="I13" s="47">
        <v>6.3982157309195626</v>
      </c>
      <c r="J13" s="48">
        <v>4.9711476981072504</v>
      </c>
      <c r="K13" s="48">
        <v>4.4304547140431341</v>
      </c>
      <c r="L13" s="48">
        <v>1.6035668338521041</v>
      </c>
      <c r="M13" s="49">
        <v>9.0605475122885845E-2</v>
      </c>
      <c r="N13" s="171"/>
      <c r="O13" s="246">
        <f t="shared" si="0"/>
        <v>0</v>
      </c>
      <c r="P13" s="47">
        <f t="shared" si="1"/>
        <v>-0.25236842083017264</v>
      </c>
      <c r="Q13" s="48">
        <f t="shared" si="2"/>
        <v>-0.36751693640906891</v>
      </c>
      <c r="R13" s="48">
        <f t="shared" si="3"/>
        <v>-1.3837887401869922</v>
      </c>
      <c r="S13" s="49">
        <f t="shared" si="4"/>
        <v>-4.2572597953912821</v>
      </c>
      <c r="T13" s="171"/>
      <c r="U13" s="47"/>
      <c r="V13" s="48"/>
      <c r="W13" s="48"/>
      <c r="X13" s="48"/>
      <c r="Y13" s="49"/>
      <c r="Z13" s="176"/>
      <c r="AA13" s="130">
        <f t="shared" si="5"/>
        <v>-1.3633512822939893</v>
      </c>
      <c r="AB13" s="48">
        <f t="shared" si="6"/>
        <v>0.99563917359289578</v>
      </c>
      <c r="AC13" s="48">
        <f t="shared" si="7"/>
        <v>-1.2367985729455053</v>
      </c>
      <c r="AD13" s="48">
        <f t="shared" si="8"/>
        <v>0.99914601511203327</v>
      </c>
      <c r="AE13" s="48">
        <f t="shared" si="9"/>
        <v>-1.9341277740096547</v>
      </c>
      <c r="AF13" s="49">
        <f t="shared" si="10"/>
        <v>0.96313186134487672</v>
      </c>
      <c r="AG13" s="176"/>
      <c r="AH13" s="171">
        <f>SLOPE(O13:S13,C13:G13)</f>
        <v>-1.9341277740096547</v>
      </c>
      <c r="AI13" s="246">
        <f>RSQ(O13:S13,C13:G13)</f>
        <v>0.96313186134487672</v>
      </c>
      <c r="AJ13" s="47"/>
      <c r="AK13" s="48">
        <f>SLOPE(I13:K13,C13:E13)</f>
        <v>-7.3460339526888836</v>
      </c>
      <c r="AL13" s="110">
        <f>RSQ(I13:K13,C13:E13)</f>
        <v>0.9883386949927826</v>
      </c>
      <c r="AM13" s="246"/>
      <c r="AN13" s="47">
        <v>302.75648680965543</v>
      </c>
      <c r="AO13" s="48">
        <f t="shared" si="11"/>
        <v>-2.4263836689673881E-2</v>
      </c>
      <c r="AP13" s="48">
        <v>1.5928988902113346</v>
      </c>
      <c r="AQ13" s="49">
        <f t="shared" si="12"/>
        <v>-3.8649838535250586E-2</v>
      </c>
    </row>
    <row r="14" spans="1:47" x14ac:dyDescent="0.25">
      <c r="A14" s="50" t="s">
        <v>24</v>
      </c>
      <c r="B14" s="111">
        <v>2</v>
      </c>
      <c r="C14" s="203">
        <v>3.4722222226264421E-2</v>
      </c>
      <c r="D14" s="187">
        <v>0.20555555555620231</v>
      </c>
      <c r="E14" s="187">
        <v>0.30694444444816327</v>
      </c>
      <c r="F14" s="187">
        <v>1.1395833333372138</v>
      </c>
      <c r="G14" s="117">
        <v>2.1777777777824667</v>
      </c>
      <c r="H14" s="172"/>
      <c r="I14" s="50">
        <v>15.531366280145283</v>
      </c>
      <c r="J14" s="51">
        <v>8.6873882451202729</v>
      </c>
      <c r="K14" s="51">
        <v>6.236649517299619</v>
      </c>
      <c r="L14" s="51">
        <v>0.37643809028886027</v>
      </c>
      <c r="M14" s="52">
        <v>4.9144667305572425E-2</v>
      </c>
      <c r="N14" s="172"/>
      <c r="O14" s="247">
        <f t="shared" si="0"/>
        <v>0</v>
      </c>
      <c r="P14" s="50">
        <f t="shared" si="1"/>
        <v>-0.58098926318215383</v>
      </c>
      <c r="Q14" s="51">
        <f t="shared" si="2"/>
        <v>-0.91241850827006121</v>
      </c>
      <c r="R14" s="51">
        <f t="shared" si="3"/>
        <v>-3.7198632902060975</v>
      </c>
      <c r="S14" s="52">
        <f t="shared" si="4"/>
        <v>-5.7558485467552938</v>
      </c>
      <c r="T14" s="172"/>
      <c r="U14" s="50"/>
      <c r="V14" s="51"/>
      <c r="W14" s="51"/>
      <c r="X14" s="51"/>
      <c r="Y14" s="52"/>
      <c r="Z14" s="177"/>
      <c r="AA14" s="126">
        <f t="shared" si="5"/>
        <v>-3.3568779114192409</v>
      </c>
      <c r="AB14" s="51">
        <f t="shared" si="6"/>
        <v>0.99989207999148144</v>
      </c>
      <c r="AC14" s="51">
        <f t="shared" si="7"/>
        <v>-3.3657281893862807</v>
      </c>
      <c r="AD14" s="51">
        <f t="shared" si="8"/>
        <v>0.999994012964739</v>
      </c>
      <c r="AE14" s="51">
        <f t="shared" si="9"/>
        <v>-2.7240661397104731</v>
      </c>
      <c r="AF14" s="52">
        <f t="shared" si="10"/>
        <v>0.98395402735361392</v>
      </c>
      <c r="AG14" s="177"/>
      <c r="AH14" s="172">
        <f>SLOPE(O14:Q14,C14:E14)</f>
        <v>-3.3568779114192409</v>
      </c>
      <c r="AI14" s="247">
        <f>RSQ(O14:Q14,C14:E14)</f>
        <v>0.99989207999148144</v>
      </c>
      <c r="AJ14" s="50"/>
      <c r="AK14" s="51">
        <f>SLOPE(I14:K14,C14:E14)</f>
        <v>-34.762101299249238</v>
      </c>
      <c r="AL14" s="111">
        <f>RSQ(I14:K14,C14:E14)</f>
        <v>0.98562810714417393</v>
      </c>
      <c r="AM14" s="247"/>
      <c r="AN14" s="50">
        <v>202.87382893875366</v>
      </c>
      <c r="AO14" s="51">
        <f t="shared" si="11"/>
        <v>-0.1713483768758744</v>
      </c>
      <c r="AP14" s="51">
        <v>1.2688078743787212</v>
      </c>
      <c r="AQ14" s="52">
        <f t="shared" si="12"/>
        <v>-0.21740816984212222</v>
      </c>
    </row>
    <row r="15" spans="1:47" ht="15.75" thickBot="1" x14ac:dyDescent="0.3">
      <c r="A15" s="92" t="s">
        <v>24</v>
      </c>
      <c r="B15" s="112">
        <v>3</v>
      </c>
      <c r="C15" s="204">
        <v>3.6111111112404615E-2</v>
      </c>
      <c r="D15" s="189">
        <v>0.20763888888905058</v>
      </c>
      <c r="E15" s="189">
        <v>0.30972222222771961</v>
      </c>
      <c r="F15" s="189">
        <v>1.1416666666700621</v>
      </c>
      <c r="G15" s="118">
        <v>2.179861111115315</v>
      </c>
      <c r="H15" s="173"/>
      <c r="I15" s="92">
        <v>8.1097784446093168</v>
      </c>
      <c r="J15" s="53">
        <v>3.326156329952199</v>
      </c>
      <c r="K15" s="53">
        <v>2.0598886018706901</v>
      </c>
      <c r="L15" s="53">
        <v>4.1994607024776941E-2</v>
      </c>
      <c r="M15" s="54">
        <v>2.3171310539024381E-2</v>
      </c>
      <c r="N15" s="173"/>
      <c r="O15" s="248">
        <f t="shared" si="0"/>
        <v>0</v>
      </c>
      <c r="P15" s="92">
        <f t="shared" si="1"/>
        <v>-0.89125316690661227</v>
      </c>
      <c r="Q15" s="53">
        <f t="shared" si="2"/>
        <v>-1.3704186443862021</v>
      </c>
      <c r="R15" s="53">
        <f t="shared" si="3"/>
        <v>-5.2632846220789578</v>
      </c>
      <c r="S15" s="54">
        <f t="shared" si="4"/>
        <v>-5.8579109292096776</v>
      </c>
      <c r="T15" s="173"/>
      <c r="U15" s="92"/>
      <c r="V15" s="53"/>
      <c r="W15" s="53"/>
      <c r="X15" s="53"/>
      <c r="Y15" s="54"/>
      <c r="Z15" s="178"/>
      <c r="AA15" s="131">
        <f t="shared" si="5"/>
        <v>-5.028090327432122</v>
      </c>
      <c r="AB15" s="53">
        <f t="shared" si="6"/>
        <v>0.99930336154636035</v>
      </c>
      <c r="AC15" s="53">
        <f t="shared" si="7"/>
        <v>-4.7278509758082832</v>
      </c>
      <c r="AD15" s="53">
        <f t="shared" si="8"/>
        <v>0.99973410708962029</v>
      </c>
      <c r="AE15" s="53">
        <f t="shared" si="9"/>
        <v>-2.8242337026045234</v>
      </c>
      <c r="AF15" s="54">
        <f t="shared" si="10"/>
        <v>0.88202866352849618</v>
      </c>
      <c r="AG15" s="178"/>
      <c r="AH15" s="173">
        <f>SLOPE(O15:Q15,C15:E15)</f>
        <v>-5.028090327432122</v>
      </c>
      <c r="AI15" s="248">
        <f>RSQ(O15:Q15,C15:E15)</f>
        <v>0.99930336154636035</v>
      </c>
      <c r="AJ15" s="62"/>
      <c r="AK15" s="63">
        <f>SLOPE(I15:J15,C15:D15)</f>
        <v>-27.888323259723496</v>
      </c>
      <c r="AL15" s="257">
        <f>RSQ(I15:J15,C15:D15)</f>
        <v>1.0000000000000004</v>
      </c>
      <c r="AM15" s="248"/>
      <c r="AN15" s="92">
        <v>284.33457137274934</v>
      </c>
      <c r="AO15" s="53">
        <f t="shared" si="11"/>
        <v>-9.8082773139686927E-2</v>
      </c>
      <c r="AP15" s="53">
        <v>1.4959752901120122</v>
      </c>
      <c r="AQ15" s="54">
        <f t="shared" si="12"/>
        <v>-0.14672940500263384</v>
      </c>
    </row>
    <row r="16" spans="1:47" x14ac:dyDescent="0.25">
      <c r="A16" s="9" t="s">
        <v>26</v>
      </c>
      <c r="B16" s="26">
        <v>1</v>
      </c>
      <c r="C16" s="196">
        <v>3.8194444445252884E-2</v>
      </c>
      <c r="D16" s="181">
        <v>0.20902777777519077</v>
      </c>
      <c r="E16" s="181">
        <v>0.31111111111385981</v>
      </c>
      <c r="F16" s="181">
        <v>1.1430555555562023</v>
      </c>
      <c r="G16" s="197">
        <v>2.1812500000014552</v>
      </c>
      <c r="H16" s="174"/>
      <c r="I16" s="9">
        <v>18.844182027823713</v>
      </c>
      <c r="J16" s="10">
        <v>9.6197301928366006</v>
      </c>
      <c r="K16" s="10">
        <v>5.8192753905465642</v>
      </c>
      <c r="L16" s="10">
        <v>0.2128408906095941</v>
      </c>
      <c r="M16" s="32">
        <v>0.11628552370038568</v>
      </c>
      <c r="N16" s="174"/>
      <c r="O16" s="243">
        <f t="shared" si="0"/>
        <v>0</v>
      </c>
      <c r="P16" s="9">
        <f>LN(J16/I16)</f>
        <v>-0.67238800271270227</v>
      </c>
      <c r="Q16" s="10">
        <f>LN(K16/I16)</f>
        <v>-1.1750284698646785</v>
      </c>
      <c r="R16" s="10">
        <f t="shared" si="3"/>
        <v>-4.4834146053681305</v>
      </c>
      <c r="S16" s="32">
        <f t="shared" si="4"/>
        <v>-5.0879109214907512</v>
      </c>
      <c r="T16" s="174"/>
      <c r="U16" s="9"/>
      <c r="V16" s="10"/>
      <c r="W16" s="10"/>
      <c r="X16" s="10"/>
      <c r="Y16" s="32"/>
      <c r="Z16" s="129"/>
      <c r="AA16" s="129">
        <f t="shared" si="5"/>
        <v>-4.2674079646550593</v>
      </c>
      <c r="AB16" s="10">
        <f t="shared" si="6"/>
        <v>0.99625753999345756</v>
      </c>
      <c r="AC16" s="10">
        <f t="shared" si="7"/>
        <v>-4.0534695429084735</v>
      </c>
      <c r="AD16" s="10">
        <f t="shared" si="8"/>
        <v>0.99962744998355291</v>
      </c>
      <c r="AE16" s="10">
        <f t="shared" si="9"/>
        <v>-2.4634827337595406</v>
      </c>
      <c r="AF16" s="32">
        <f t="shared" si="10"/>
        <v>0.89075362966243843</v>
      </c>
      <c r="AG16" s="233"/>
      <c r="AH16" s="174">
        <f>SLOPE(O16:Q16,C16:E16)</f>
        <v>-4.2674079646550593</v>
      </c>
      <c r="AI16" s="243">
        <f>RSQ(O16:Q16,C16:E16)</f>
        <v>0.99625753999345756</v>
      </c>
      <c r="AJ16" s="39"/>
      <c r="AK16" s="40">
        <f>SLOPE(I16:K16,C16:E16)</f>
        <v>-48.370510938111757</v>
      </c>
      <c r="AL16" s="168">
        <f>RSQ(I16:K16,C16:E16)</f>
        <v>0.99164700097477143</v>
      </c>
      <c r="AM16" s="243"/>
      <c r="AN16" s="9">
        <v>132.40153108470349</v>
      </c>
      <c r="AO16" s="10">
        <f t="shared" si="11"/>
        <v>-0.36533196060374001</v>
      </c>
      <c r="AP16" s="10">
        <v>1.0206703720961228</v>
      </c>
      <c r="AQ16" s="32">
        <f t="shared" si="12"/>
        <v>-0.3728835081680254</v>
      </c>
    </row>
    <row r="17" spans="1:43" x14ac:dyDescent="0.25">
      <c r="A17" s="11" t="s">
        <v>26</v>
      </c>
      <c r="B17" s="27">
        <v>2</v>
      </c>
      <c r="C17" s="198">
        <v>4.0277777778101154E-2</v>
      </c>
      <c r="D17" s="182">
        <v>0.21111111110803904</v>
      </c>
      <c r="E17" s="182">
        <v>0.31319444444670808</v>
      </c>
      <c r="F17" s="182">
        <v>1.1451388888890506</v>
      </c>
      <c r="G17" s="199">
        <v>2.1847222222204437</v>
      </c>
      <c r="H17" s="169"/>
      <c r="I17" s="11">
        <v>23.765031720162877</v>
      </c>
      <c r="J17" s="12">
        <v>20.403330902207571</v>
      </c>
      <c r="K17" s="12">
        <v>19.209079097252552</v>
      </c>
      <c r="L17" s="12">
        <v>13.107326917606837</v>
      </c>
      <c r="M17" s="33">
        <v>4.9816358976803343</v>
      </c>
      <c r="N17" s="169"/>
      <c r="O17" s="244">
        <f t="shared" si="0"/>
        <v>0</v>
      </c>
      <c r="P17" s="11">
        <f t="shared" si="1"/>
        <v>-0.15251707776639212</v>
      </c>
      <c r="Q17" s="12">
        <f t="shared" si="2"/>
        <v>-0.21283220789320495</v>
      </c>
      <c r="R17" s="12">
        <f t="shared" si="3"/>
        <v>-0.59504386426692946</v>
      </c>
      <c r="S17" s="33">
        <f t="shared" si="4"/>
        <v>-1.5624569142034033</v>
      </c>
      <c r="T17" s="169"/>
      <c r="U17" s="11"/>
      <c r="V17" s="12"/>
      <c r="W17" s="12"/>
      <c r="X17" s="12"/>
      <c r="Y17" s="33"/>
      <c r="Z17" s="124"/>
      <c r="AA17" s="124">
        <f t="shared" si="5"/>
        <v>-0.79146972813141259</v>
      </c>
      <c r="AB17" s="12">
        <f t="shared" si="6"/>
        <v>0.98990144891013498</v>
      </c>
      <c r="AC17" s="12">
        <f t="shared" si="7"/>
        <v>-0.51013214502493853</v>
      </c>
      <c r="AD17" s="12">
        <f t="shared" si="8"/>
        <v>0.9821931108379266</v>
      </c>
      <c r="AE17" s="12">
        <f t="shared" si="9"/>
        <v>-0.69751861481864741</v>
      </c>
      <c r="AF17" s="33">
        <f t="shared" si="10"/>
        <v>0.97715896857587548</v>
      </c>
      <c r="AG17" s="234"/>
      <c r="AH17" s="169">
        <f>SLOPE(O17:S17,C17:G17)</f>
        <v>-0.69751861481864741</v>
      </c>
      <c r="AI17" s="244">
        <f>RSQ(O17:S17,C17:G17)</f>
        <v>0.97715896857587548</v>
      </c>
      <c r="AJ17" s="11"/>
      <c r="AK17" s="12">
        <f>SLOPE(I17:M17,C17:G17)</f>
        <v>-8.2243804083894076</v>
      </c>
      <c r="AL17" s="27">
        <f>RSQ(I17:M17,C17:G17)</f>
        <v>0.98543768965349487</v>
      </c>
      <c r="AM17" s="244"/>
      <c r="AN17" s="11">
        <v>133.02862728062556</v>
      </c>
      <c r="AO17" s="12">
        <f t="shared" si="11"/>
        <v>-6.1824139484202706E-2</v>
      </c>
      <c r="AP17" s="12">
        <v>0.8646158916329395</v>
      </c>
      <c r="AQ17" s="33">
        <f t="shared" si="12"/>
        <v>-5.3454133484573146E-2</v>
      </c>
    </row>
    <row r="18" spans="1:43" ht="15.75" thickBot="1" x14ac:dyDescent="0.3">
      <c r="A18" s="13" t="s">
        <v>26</v>
      </c>
      <c r="B18" s="28">
        <v>3</v>
      </c>
      <c r="C18" s="200">
        <v>4.1666666664241347E-2</v>
      </c>
      <c r="D18" s="183">
        <v>0.21250000000145519</v>
      </c>
      <c r="E18" s="183">
        <v>0.31458333333284827</v>
      </c>
      <c r="F18" s="183">
        <v>1.1465277777751908</v>
      </c>
      <c r="G18" s="201">
        <v>2.1861111111065838</v>
      </c>
      <c r="H18" s="170"/>
      <c r="I18" s="13">
        <v>19.670725857318114</v>
      </c>
      <c r="J18" s="14">
        <v>18.513567116732666</v>
      </c>
      <c r="K18" s="14">
        <v>18.020681158567616</v>
      </c>
      <c r="L18" s="14"/>
      <c r="M18" s="34">
        <v>5.0931636140110745</v>
      </c>
      <c r="N18" s="170"/>
      <c r="O18" s="245">
        <f t="shared" si="0"/>
        <v>0</v>
      </c>
      <c r="P18" s="13">
        <f t="shared" si="1"/>
        <v>-6.0627712494635923E-2</v>
      </c>
      <c r="Q18" s="14">
        <f t="shared" si="2"/>
        <v>-8.7611481856536777E-2</v>
      </c>
      <c r="R18" s="14">
        <v>-0.1594762464724595</v>
      </c>
      <c r="S18" s="34">
        <f t="shared" si="4"/>
        <v>-1.3512323608061934</v>
      </c>
      <c r="T18" s="170"/>
      <c r="U18" s="13"/>
      <c r="V18" s="14"/>
      <c r="W18" s="14"/>
      <c r="X18" s="14">
        <v>16.771068470143142</v>
      </c>
      <c r="Y18" s="34"/>
      <c r="Z18" s="127"/>
      <c r="AA18" s="127">
        <f t="shared" si="5"/>
        <v>-0.32450639116839486</v>
      </c>
      <c r="AB18" s="14">
        <f t="shared" si="6"/>
        <v>0.9945701998615516</v>
      </c>
      <c r="AC18" s="14">
        <f t="shared" si="7"/>
        <v>-0.12600645933217305</v>
      </c>
      <c r="AD18" s="14">
        <f t="shared" si="8"/>
        <v>0.87772376180080802</v>
      </c>
      <c r="AE18" s="14">
        <f t="shared" si="9"/>
        <v>-0.58923886467403397</v>
      </c>
      <c r="AF18" s="34">
        <f t="shared" si="10"/>
        <v>0.84546689427747568</v>
      </c>
      <c r="AG18" s="235"/>
      <c r="AH18" s="170">
        <f>SLOPE(O18:S18,C18:G18)</f>
        <v>-0.58923886467403397</v>
      </c>
      <c r="AI18" s="245">
        <f>RSQ(O18:S18,C18:G18)</f>
        <v>0.84546689427747568</v>
      </c>
      <c r="AJ18" s="13"/>
      <c r="AK18" s="14">
        <f>SLOPE(I18:M18,C18:G18)</f>
        <v>-6.8238342220179469</v>
      </c>
      <c r="AL18" s="28">
        <f>RSQ(I18:M18,C18:G18)</f>
        <v>0.99979349245251981</v>
      </c>
      <c r="AM18" s="245"/>
      <c r="AN18" s="13">
        <v>198.66428571428571</v>
      </c>
      <c r="AO18" s="14">
        <f t="shared" si="11"/>
        <v>-3.434857049158712E-2</v>
      </c>
      <c r="AP18" s="14">
        <v>1.155276801077489</v>
      </c>
      <c r="AQ18" s="34">
        <f t="shared" si="12"/>
        <v>-3.9682106639105402E-2</v>
      </c>
    </row>
    <row r="19" spans="1:43" x14ac:dyDescent="0.25">
      <c r="A19" s="47" t="s">
        <v>27</v>
      </c>
      <c r="B19" s="110">
        <v>1</v>
      </c>
      <c r="C19" s="202">
        <v>4.3749999997089617E-2</v>
      </c>
      <c r="D19" s="188">
        <v>0.21458333333430346</v>
      </c>
      <c r="E19" s="188">
        <v>0.31736111111240461</v>
      </c>
      <c r="F19" s="188">
        <v>1.148611111108039</v>
      </c>
      <c r="G19" s="116">
        <v>2.1881944444394321</v>
      </c>
      <c r="H19" s="171"/>
      <c r="I19" s="47">
        <v>16.855607954874323</v>
      </c>
      <c r="J19" s="48">
        <v>15.156218608433653</v>
      </c>
      <c r="K19" s="48">
        <v>14.454483650047038</v>
      </c>
      <c r="L19" s="48">
        <v>10.577595097353704</v>
      </c>
      <c r="M19" s="49">
        <v>5.8639496791347536</v>
      </c>
      <c r="N19" s="171"/>
      <c r="O19" s="246">
        <f t="shared" si="0"/>
        <v>0</v>
      </c>
      <c r="P19" s="47">
        <f t="shared" si="1"/>
        <v>-0.10627250080084151</v>
      </c>
      <c r="Q19" s="48">
        <f t="shared" si="2"/>
        <v>-0.15367876411051259</v>
      </c>
      <c r="R19" s="48">
        <f t="shared" si="3"/>
        <v>-0.46594532363651281</v>
      </c>
      <c r="S19" s="49">
        <f t="shared" si="4"/>
        <v>-1.0558600345136053</v>
      </c>
      <c r="T19" s="171"/>
      <c r="U19" s="47"/>
      <c r="V19" s="48"/>
      <c r="W19" s="48"/>
      <c r="X19" s="48"/>
      <c r="Y19" s="49"/>
      <c r="Z19" s="176"/>
      <c r="AA19" s="130">
        <f t="shared" si="5"/>
        <v>-0.56779705592901664</v>
      </c>
      <c r="AB19" s="48">
        <f t="shared" si="6"/>
        <v>0.99438261950633955</v>
      </c>
      <c r="AC19" s="48">
        <f t="shared" si="7"/>
        <v>-0.40548902927560609</v>
      </c>
      <c r="AD19" s="48">
        <f t="shared" si="8"/>
        <v>0.99058886491344711</v>
      </c>
      <c r="AE19" s="48">
        <f t="shared" si="9"/>
        <v>-0.47672476854909118</v>
      </c>
      <c r="AF19" s="49">
        <f t="shared" si="10"/>
        <v>0.9919549844037322</v>
      </c>
      <c r="AG19" s="176"/>
      <c r="AH19" s="171">
        <f>SLOPE(O19:S19,C19:G19)</f>
        <v>-0.47672476854909118</v>
      </c>
      <c r="AI19" s="246">
        <f>RSQ(O19:S19,C19:G19)</f>
        <v>0.9919549844037322</v>
      </c>
      <c r="AJ19" s="47"/>
      <c r="AK19" s="48">
        <f>SLOPE(I19:M19,C19:G19)</f>
        <v>-4.9042614426681768</v>
      </c>
      <c r="AL19" s="110">
        <f>RSQ(I19:M19,C19:G19)</f>
        <v>0.99085248617521238</v>
      </c>
      <c r="AM19" s="246"/>
      <c r="AN19" s="47">
        <v>213.84676222882567</v>
      </c>
      <c r="AO19" s="48">
        <f t="shared" si="11"/>
        <v>-2.2933531429484053E-2</v>
      </c>
      <c r="AP19" s="48">
        <v>1.2014057577996009</v>
      </c>
      <c r="AQ19" s="49">
        <f t="shared" si="12"/>
        <v>-2.7552476706060251E-2</v>
      </c>
    </row>
    <row r="20" spans="1:43" x14ac:dyDescent="0.25">
      <c r="A20" s="50" t="s">
        <v>27</v>
      </c>
      <c r="B20" s="111">
        <v>2</v>
      </c>
      <c r="C20" s="203">
        <v>4.5138888890505768E-2</v>
      </c>
      <c r="D20" s="187">
        <v>0.21597222222771961</v>
      </c>
      <c r="E20" s="187">
        <v>0.31875000000582077</v>
      </c>
      <c r="F20" s="187">
        <v>1.1500000000014552</v>
      </c>
      <c r="G20" s="117">
        <v>2.1895833333328483</v>
      </c>
      <c r="H20" s="172"/>
      <c r="I20" s="50">
        <v>24.714680395746822</v>
      </c>
      <c r="J20" s="51">
        <v>23.029918808004069</v>
      </c>
      <c r="K20" s="51">
        <v>22.38006758268553</v>
      </c>
      <c r="L20" s="51">
        <v>20.455042004645176</v>
      </c>
      <c r="M20" s="52">
        <v>17.195518824849788</v>
      </c>
      <c r="N20" s="172"/>
      <c r="O20" s="247">
        <f t="shared" si="0"/>
        <v>0</v>
      </c>
      <c r="P20" s="50">
        <f t="shared" si="1"/>
        <v>-7.06032267469901E-2</v>
      </c>
      <c r="Q20" s="51">
        <f t="shared" si="2"/>
        <v>-9.92266924254252E-2</v>
      </c>
      <c r="R20" s="51">
        <f t="shared" si="3"/>
        <v>-0.18916801019100221</v>
      </c>
      <c r="S20" s="52">
        <f t="shared" si="4"/>
        <v>-0.36274859864934356</v>
      </c>
      <c r="T20" s="172"/>
      <c r="U20" s="50"/>
      <c r="V20" s="51"/>
      <c r="W20" s="51"/>
      <c r="X20" s="51"/>
      <c r="Y20" s="52"/>
      <c r="Z20" s="177"/>
      <c r="AA20" s="126">
        <f t="shared" si="5"/>
        <v>-0.36779200298484827</v>
      </c>
      <c r="AB20" s="51">
        <f t="shared" si="6"/>
        <v>0.99063233037529219</v>
      </c>
      <c r="AC20" s="51">
        <f t="shared" si="7"/>
        <v>-0.15064053804652047</v>
      </c>
      <c r="AD20" s="51">
        <f t="shared" si="8"/>
        <v>0.8939628148781652</v>
      </c>
      <c r="AE20" s="51">
        <f t="shared" si="9"/>
        <v>-0.15429526387770567</v>
      </c>
      <c r="AF20" s="52">
        <f t="shared" si="10"/>
        <v>0.97483771277897591</v>
      </c>
      <c r="AG20" s="177"/>
      <c r="AH20" s="172">
        <f>SLOPE(O20:S20,C20:G20)</f>
        <v>-0.15429526387770567</v>
      </c>
      <c r="AI20" s="247">
        <f>RSQ(O20:S20,C20:G20)</f>
        <v>0.97483771277897591</v>
      </c>
      <c r="AJ20" s="50"/>
      <c r="AK20" s="51">
        <f>SLOPE(I20:M20,C20:G20)</f>
        <v>-3.1572858964463419</v>
      </c>
      <c r="AL20" s="111">
        <f>RSQ(I20:M20,C20:G20)</f>
        <v>0.96342513974319333</v>
      </c>
      <c r="AM20" s="247"/>
      <c r="AN20" s="50">
        <v>150.86717203761552</v>
      </c>
      <c r="AO20" s="51">
        <f t="shared" si="11"/>
        <v>-2.0927587186821132E-2</v>
      </c>
      <c r="AP20" s="51">
        <v>0.87732600387916859</v>
      </c>
      <c r="AQ20" s="52">
        <f t="shared" si="12"/>
        <v>-1.8360316437446674E-2</v>
      </c>
    </row>
    <row r="21" spans="1:43" ht="15.75" thickBot="1" x14ac:dyDescent="0.3">
      <c r="A21" s="92" t="s">
        <v>27</v>
      </c>
      <c r="B21" s="112">
        <v>3</v>
      </c>
      <c r="C21" s="204">
        <v>4.7222222223354038E-2</v>
      </c>
      <c r="D21" s="189">
        <v>0.21805555556056788</v>
      </c>
      <c r="E21" s="189">
        <v>0.32083333333866904</v>
      </c>
      <c r="F21" s="189">
        <v>1.1513888888948713</v>
      </c>
      <c r="G21" s="118">
        <v>2.1916666666729725</v>
      </c>
      <c r="H21" s="173"/>
      <c r="I21" s="92">
        <v>2.3455634504323299</v>
      </c>
      <c r="J21" s="53">
        <v>0.49290770117689398</v>
      </c>
      <c r="K21" s="53">
        <v>0.17481449517276462</v>
      </c>
      <c r="L21" s="53">
        <v>1.9445916150280598E-2</v>
      </c>
      <c r="M21" s="54">
        <v>1.1803713371993776E-2</v>
      </c>
      <c r="N21" s="173"/>
      <c r="O21" s="248">
        <f t="shared" si="0"/>
        <v>0</v>
      </c>
      <c r="P21" s="92">
        <f t="shared" si="1"/>
        <v>-1.5599589915813048</v>
      </c>
      <c r="Q21" s="53">
        <f t="shared" si="2"/>
        <v>-2.5965555452755393</v>
      </c>
      <c r="R21" s="53">
        <f t="shared" si="3"/>
        <v>-4.7926438479364197</v>
      </c>
      <c r="S21" s="54">
        <f t="shared" si="4"/>
        <v>-5.2918667548801066</v>
      </c>
      <c r="T21" s="173"/>
      <c r="U21" s="92"/>
      <c r="V21" s="53"/>
      <c r="W21" s="53"/>
      <c r="X21" s="53"/>
      <c r="Y21" s="54"/>
      <c r="Z21" s="178"/>
      <c r="AA21" s="131">
        <f t="shared" si="5"/>
        <v>-9.4535845290339804</v>
      </c>
      <c r="AB21" s="53">
        <f t="shared" si="6"/>
        <v>0.99928300459929553</v>
      </c>
      <c r="AC21" s="53">
        <f t="shared" si="7"/>
        <v>-3.8748034190089475</v>
      </c>
      <c r="AD21" s="53">
        <f t="shared" si="8"/>
        <v>0.89625518821193906</v>
      </c>
      <c r="AE21" s="53">
        <f t="shared" si="9"/>
        <v>-2.2223037220543587</v>
      </c>
      <c r="AF21" s="54">
        <f t="shared" si="10"/>
        <v>0.80534484143300911</v>
      </c>
      <c r="AG21" s="178"/>
      <c r="AH21" s="173">
        <f>SLOPE(O21:Q21,C21:E21)</f>
        <v>-9.4535845290339804</v>
      </c>
      <c r="AI21" s="248">
        <f>RSQ(O21:Q21,C21:E21)</f>
        <v>0.99928300459929553</v>
      </c>
      <c r="AJ21" s="62"/>
      <c r="AK21" s="63">
        <f>SLOPE(I21:K21,C21:E21)</f>
        <v>-8.2290071528046589</v>
      </c>
      <c r="AL21" s="257">
        <f>RSQ(I21:K21,C21:E21)</f>
        <v>0.94122369764965019</v>
      </c>
      <c r="AM21" s="248"/>
      <c r="AN21" s="92">
        <v>291.65570862239838</v>
      </c>
      <c r="AO21" s="53">
        <f t="shared" si="11"/>
        <v>-2.821479885195257E-2</v>
      </c>
      <c r="AP21" s="53">
        <v>1.5344941391148503</v>
      </c>
      <c r="AQ21" s="54">
        <f t="shared" si="12"/>
        <v>-4.3295443474625626E-2</v>
      </c>
    </row>
    <row r="22" spans="1:43" x14ac:dyDescent="0.25">
      <c r="A22" s="15" t="s">
        <v>28</v>
      </c>
      <c r="B22" s="26">
        <v>1</v>
      </c>
      <c r="C22" s="196">
        <v>4.8611111109494232E-2</v>
      </c>
      <c r="D22" s="181">
        <v>0.22013888888614019</v>
      </c>
      <c r="E22" s="181">
        <v>0.32222222222480923</v>
      </c>
      <c r="F22" s="181">
        <v>1.1527777777810115</v>
      </c>
      <c r="G22" s="197">
        <v>2.1937499999985448</v>
      </c>
      <c r="H22" s="174"/>
      <c r="I22" s="9">
        <v>16.978392387452455</v>
      </c>
      <c r="J22" s="10">
        <v>14.982643941479003</v>
      </c>
      <c r="K22" s="10">
        <v>13.611974672913034</v>
      </c>
      <c r="L22" s="10">
        <v>8.2094376622737677</v>
      </c>
      <c r="M22" s="32">
        <v>4.1659948639873594</v>
      </c>
      <c r="N22" s="174"/>
      <c r="O22" s="243">
        <f t="shared" si="0"/>
        <v>0</v>
      </c>
      <c r="P22" s="9">
        <f t="shared" si="1"/>
        <v>-0.12504903896141151</v>
      </c>
      <c r="Q22" s="10">
        <f t="shared" si="2"/>
        <v>-0.22099160357972344</v>
      </c>
      <c r="R22" s="10">
        <f t="shared" si="3"/>
        <v>-0.72665707269601942</v>
      </c>
      <c r="S22" s="32">
        <f t="shared" si="4"/>
        <v>-1.404986389574858</v>
      </c>
      <c r="T22" s="174"/>
      <c r="U22" s="9"/>
      <c r="V22" s="10"/>
      <c r="W22" s="10"/>
      <c r="X22" s="10"/>
      <c r="Y22" s="32"/>
      <c r="Z22" s="129"/>
      <c r="AA22" s="129">
        <f t="shared" si="5"/>
        <v>-0.79951718474740474</v>
      </c>
      <c r="AB22" s="10">
        <f t="shared" si="6"/>
        <v>0.99516307529723569</v>
      </c>
      <c r="AC22" s="10">
        <f t="shared" si="7"/>
        <v>-0.648041531238844</v>
      </c>
      <c r="AD22" s="10">
        <f t="shared" si="8"/>
        <v>0.99657173029134505</v>
      </c>
      <c r="AE22" s="10">
        <f t="shared" si="9"/>
        <v>-0.64701894275658567</v>
      </c>
      <c r="AF22" s="32">
        <f t="shared" si="10"/>
        <v>0.99921862410943663</v>
      </c>
      <c r="AG22" s="233"/>
      <c r="AH22" s="174">
        <f>SLOPE(O22:S22,C22:G22)</f>
        <v>-0.64701894275658567</v>
      </c>
      <c r="AI22" s="243">
        <f>RSQ(O22:S22,C22:G22)</f>
        <v>0.99921862410943663</v>
      </c>
      <c r="AJ22" s="39"/>
      <c r="AK22" s="40">
        <f>SLOPE(I22:K22,C22:E22)</f>
        <v>-12.234235423909832</v>
      </c>
      <c r="AL22" s="168">
        <f>RSQ(I22:K22,C22:E22)</f>
        <v>0.99850266537592391</v>
      </c>
      <c r="AM22" s="243"/>
      <c r="AN22" s="9">
        <v>220.86822811693776</v>
      </c>
      <c r="AO22" s="10">
        <f t="shared" si="11"/>
        <v>-5.5391558705457929E-2</v>
      </c>
      <c r="AP22" s="10">
        <v>1.2843976415849589</v>
      </c>
      <c r="AQ22" s="32">
        <f t="shared" si="12"/>
        <v>-7.1144787365004972E-2</v>
      </c>
    </row>
    <row r="23" spans="1:43" x14ac:dyDescent="0.25">
      <c r="A23" s="16" t="s">
        <v>28</v>
      </c>
      <c r="B23" s="27">
        <v>2</v>
      </c>
      <c r="C23" s="198">
        <v>5.0694444442342501E-2</v>
      </c>
      <c r="D23" s="182">
        <v>0.22222222222626442</v>
      </c>
      <c r="E23" s="182">
        <v>0.32499999999708962</v>
      </c>
      <c r="F23" s="182">
        <v>1.1548611111138598</v>
      </c>
      <c r="G23" s="199">
        <v>2.1958333333313931</v>
      </c>
      <c r="H23" s="169"/>
      <c r="I23" s="11">
        <v>11.81111683686434</v>
      </c>
      <c r="J23" s="12">
        <v>2.1784610326285754</v>
      </c>
      <c r="K23" s="12">
        <v>0.75772103023647541</v>
      </c>
      <c r="L23" s="12">
        <v>8.075852625786277E-2</v>
      </c>
      <c r="M23" s="33">
        <v>5.9776570997257798E-2</v>
      </c>
      <c r="N23" s="169"/>
      <c r="O23" s="244">
        <f t="shared" si="0"/>
        <v>0</v>
      </c>
      <c r="P23" s="11">
        <f t="shared" si="1"/>
        <v>-1.6904225136217939</v>
      </c>
      <c r="Q23" s="12">
        <f t="shared" si="2"/>
        <v>-2.7464811878581283</v>
      </c>
      <c r="R23" s="12">
        <f t="shared" si="3"/>
        <v>-4.9853329269091757</v>
      </c>
      <c r="S23" s="33">
        <f t="shared" si="4"/>
        <v>-5.2861826769269777</v>
      </c>
      <c r="T23" s="169"/>
      <c r="U23" s="11"/>
      <c r="V23" s="12"/>
      <c r="W23" s="12"/>
      <c r="X23" s="12"/>
      <c r="Y23" s="33"/>
      <c r="Z23" s="124"/>
      <c r="AA23" s="124">
        <f t="shared" si="5"/>
        <v>-9.9963806675739519</v>
      </c>
      <c r="AB23" s="12">
        <f t="shared" si="6"/>
        <v>0.99987601377760749</v>
      </c>
      <c r="AC23" s="12">
        <f t="shared" si="7"/>
        <v>-4.0054669556310367</v>
      </c>
      <c r="AD23" s="12">
        <f t="shared" si="8"/>
        <v>0.88848399079727292</v>
      </c>
      <c r="AE23" s="12">
        <f t="shared" si="9"/>
        <v>-2.1966762322511686</v>
      </c>
      <c r="AF23" s="33">
        <f t="shared" si="10"/>
        <v>0.77346357431274881</v>
      </c>
      <c r="AG23" s="234"/>
      <c r="AH23" s="169">
        <f>SLOPE(O23:Q23,C23:E23)</f>
        <v>-9.9963806675739519</v>
      </c>
      <c r="AI23" s="244">
        <f>RSQ(O23:Q23,C23:E23)</f>
        <v>0.99987601377760749</v>
      </c>
      <c r="AJ23" s="11"/>
      <c r="AK23" s="12">
        <f>SLOPE(I23:J23,C23:D23)</f>
        <v>-56.157993350617971</v>
      </c>
      <c r="AL23" s="27">
        <f>RSQ(I23:J23,C23:D23)</f>
        <v>1</v>
      </c>
      <c r="AM23" s="244"/>
      <c r="AN23" s="11">
        <v>233.83074284166656</v>
      </c>
      <c r="AO23" s="12">
        <f t="shared" si="11"/>
        <v>-0.24016514111082538</v>
      </c>
      <c r="AP23" s="12">
        <v>1.2302584651273076</v>
      </c>
      <c r="AQ23" s="33">
        <f t="shared" si="12"/>
        <v>-0.29546519788008729</v>
      </c>
    </row>
    <row r="24" spans="1:43" ht="15.75" thickBot="1" x14ac:dyDescent="0.3">
      <c r="A24" s="55" t="s">
        <v>28</v>
      </c>
      <c r="B24" s="28">
        <v>3</v>
      </c>
      <c r="C24" s="200">
        <v>5.2777777775190771E-2</v>
      </c>
      <c r="D24" s="183">
        <v>0.22430555555911269</v>
      </c>
      <c r="E24" s="183">
        <v>0.32708333333721384</v>
      </c>
      <c r="F24" s="183">
        <v>1.1569444444467081</v>
      </c>
      <c r="G24" s="201">
        <v>2.1972222222248092</v>
      </c>
      <c r="H24" s="170"/>
      <c r="I24" s="13">
        <v>17.60443275379637</v>
      </c>
      <c r="J24" s="14">
        <v>17.036483231895819</v>
      </c>
      <c r="K24" s="14">
        <v>16.370809733300717</v>
      </c>
      <c r="L24" s="14">
        <v>15.844119495016288</v>
      </c>
      <c r="M24" s="34">
        <v>14.422441426170321</v>
      </c>
      <c r="N24" s="170"/>
      <c r="O24" s="245">
        <f t="shared" si="0"/>
        <v>0</v>
      </c>
      <c r="P24" s="13">
        <f t="shared" si="1"/>
        <v>-3.279361434706296E-2</v>
      </c>
      <c r="Q24" s="14">
        <f t="shared" si="2"/>
        <v>-7.2650876718356808E-2</v>
      </c>
      <c r="R24" s="14">
        <f t="shared" si="3"/>
        <v>-0.10535230963962154</v>
      </c>
      <c r="S24" s="34">
        <f t="shared" si="4"/>
        <v>-0.19936530548425216</v>
      </c>
      <c r="T24" s="170"/>
      <c r="U24" s="13"/>
      <c r="V24" s="14"/>
      <c r="W24" s="14"/>
      <c r="X24" s="14"/>
      <c r="Y24" s="34"/>
      <c r="Z24" s="127"/>
      <c r="AA24" s="127">
        <f t="shared" si="5"/>
        <v>-0.25731458028149734</v>
      </c>
      <c r="AB24" s="14">
        <f t="shared" si="6"/>
        <v>0.96061579043277445</v>
      </c>
      <c r="AC24" s="14">
        <f t="shared" si="7"/>
        <v>-8.3233236919379866E-2</v>
      </c>
      <c r="AD24" s="14">
        <f t="shared" si="8"/>
        <v>0.78979284443456976</v>
      </c>
      <c r="AE24" s="14">
        <f t="shared" si="9"/>
        <v>-8.3422509970404332E-2</v>
      </c>
      <c r="AF24" s="34">
        <f t="shared" si="10"/>
        <v>0.94337963159854088</v>
      </c>
      <c r="AG24" s="235"/>
      <c r="AH24" s="170">
        <f>SLOPE(O24:S24,C24:G24)</f>
        <v>-8.3422509970404332E-2</v>
      </c>
      <c r="AI24" s="245">
        <f>RSQ(O24:S24,C24:G24)</f>
        <v>0.94337963159854088</v>
      </c>
      <c r="AJ24" s="13"/>
      <c r="AK24" s="14">
        <f>SLOPE(I24:M24,C24:G24)</f>
        <v>-1.3217984767719746</v>
      </c>
      <c r="AL24" s="28">
        <f>RSQ(I24:M24,C24:G24)</f>
        <v>0.93401988026274241</v>
      </c>
      <c r="AM24" s="245"/>
      <c r="AN24" s="13">
        <v>227.47755946135013</v>
      </c>
      <c r="AO24" s="14">
        <f t="shared" si="11"/>
        <v>-5.8106763581510842E-3</v>
      </c>
      <c r="AP24" s="14">
        <v>1.1968323315951872</v>
      </c>
      <c r="AQ24" s="34">
        <f t="shared" si="12"/>
        <v>-6.9544053338709928E-3</v>
      </c>
    </row>
    <row r="25" spans="1:43" x14ac:dyDescent="0.25">
      <c r="A25" s="47" t="s">
        <v>29</v>
      </c>
      <c r="B25" s="110">
        <v>1</v>
      </c>
      <c r="C25" s="202">
        <v>5.4166666668606922E-2</v>
      </c>
      <c r="D25" s="188">
        <v>0.22569444444525288</v>
      </c>
      <c r="E25" s="188">
        <v>0.33611111110803904</v>
      </c>
      <c r="F25" s="188">
        <v>1.1583333333328483</v>
      </c>
      <c r="G25" s="116">
        <v>2.1986111111109494</v>
      </c>
      <c r="H25" s="171"/>
      <c r="I25" s="47">
        <v>15.083053352060297</v>
      </c>
      <c r="J25" s="48">
        <v>1.6911754613727017</v>
      </c>
      <c r="K25" s="48">
        <v>0.47326333950161459</v>
      </c>
      <c r="L25" s="48">
        <v>0.13823973689397073</v>
      </c>
      <c r="M25" s="49">
        <v>9.7117667057184859E-2</v>
      </c>
      <c r="N25" s="171"/>
      <c r="O25" s="246">
        <f t="shared" si="0"/>
        <v>0</v>
      </c>
      <c r="P25" s="47">
        <f t="shared" si="1"/>
        <v>-2.1881479925777665</v>
      </c>
      <c r="Q25" s="48">
        <f t="shared" si="2"/>
        <v>-3.4616751212929837</v>
      </c>
      <c r="R25" s="48">
        <f t="shared" si="3"/>
        <v>-4.692337696194822</v>
      </c>
      <c r="S25" s="49">
        <f t="shared" si="4"/>
        <v>-5.0454037922105215</v>
      </c>
      <c r="T25" s="171"/>
      <c r="U25" s="47"/>
      <c r="V25" s="48"/>
      <c r="W25" s="48"/>
      <c r="X25" s="48"/>
      <c r="Y25" s="49"/>
      <c r="Z25" s="176"/>
      <c r="AA25" s="130">
        <f t="shared" si="5"/>
        <v>-12.319317762223244</v>
      </c>
      <c r="AB25" s="48">
        <f t="shared" si="6"/>
        <v>0.99927742973286382</v>
      </c>
      <c r="AC25" s="48">
        <f t="shared" si="7"/>
        <v>-3.4719038160302214</v>
      </c>
      <c r="AD25" s="48">
        <f t="shared" si="8"/>
        <v>0.7218363270044782</v>
      </c>
      <c r="AE25" s="48">
        <f t="shared" si="9"/>
        <v>-1.8705188124618115</v>
      </c>
      <c r="AF25" s="49">
        <f t="shared" si="10"/>
        <v>0.65992754177142654</v>
      </c>
      <c r="AG25" s="176"/>
      <c r="AH25" s="171">
        <f>SLOPE(O25:Q25,C25:E25)</f>
        <v>-12.319317762223244</v>
      </c>
      <c r="AI25" s="246">
        <f>RSQ(O25:Q25,C25:E25)</f>
        <v>0.99927742973286382</v>
      </c>
      <c r="AJ25" s="47"/>
      <c r="AK25" s="48">
        <f>SLOPE(I25:J25,C25:D25)</f>
        <v>-78.074105921932727</v>
      </c>
      <c r="AL25" s="110">
        <f>RSQ(I25:J25,C25:D25)</f>
        <v>0.99999999999999956</v>
      </c>
      <c r="AM25" s="246"/>
      <c r="AN25" s="47">
        <v>26.076339913663489</v>
      </c>
      <c r="AO25" s="48">
        <f t="shared" si="11"/>
        <v>-2.9940592192167057</v>
      </c>
      <c r="AP25" s="48">
        <v>0.18390894561134657</v>
      </c>
      <c r="AQ25" s="49">
        <f t="shared" si="12"/>
        <v>-0.55063427410407595</v>
      </c>
    </row>
    <row r="26" spans="1:43" x14ac:dyDescent="0.25">
      <c r="A26" s="50" t="s">
        <v>29</v>
      </c>
      <c r="B26" s="111">
        <v>2</v>
      </c>
      <c r="C26" s="203">
        <v>5.5555555562023073E-2</v>
      </c>
      <c r="D26" s="187">
        <v>0.22708333333866904</v>
      </c>
      <c r="E26" s="187">
        <v>0.33819444444816327</v>
      </c>
      <c r="F26" s="187">
        <v>1.1597222222262644</v>
      </c>
      <c r="G26" s="117">
        <v>2.2000000000043656</v>
      </c>
      <c r="H26" s="172"/>
      <c r="I26" s="50">
        <v>15.771354446105564</v>
      </c>
      <c r="J26" s="51">
        <v>2.1953672099346488</v>
      </c>
      <c r="K26" s="51">
        <v>0.78714225456335718</v>
      </c>
      <c r="L26" s="51">
        <v>0.11113810909290556</v>
      </c>
      <c r="M26" s="52">
        <v>9.543152148143226E-2</v>
      </c>
      <c r="N26" s="172"/>
      <c r="O26" s="247">
        <f t="shared" si="0"/>
        <v>0</v>
      </c>
      <c r="P26" s="50">
        <f t="shared" si="1"/>
        <v>-1.9718459584464763</v>
      </c>
      <c r="Q26" s="51">
        <f t="shared" si="2"/>
        <v>-2.9975415762197244</v>
      </c>
      <c r="R26" s="51">
        <f t="shared" si="3"/>
        <v>-4.9551769098168208</v>
      </c>
      <c r="S26" s="52">
        <f t="shared" si="4"/>
        <v>-5.1075416260524866</v>
      </c>
      <c r="T26" s="172"/>
      <c r="U26" s="50"/>
      <c r="V26" s="51"/>
      <c r="W26" s="51"/>
      <c r="X26" s="51"/>
      <c r="Y26" s="52"/>
      <c r="Z26" s="177"/>
      <c r="AA26" s="126">
        <f t="shared" si="5"/>
        <v>-10.681388133783173</v>
      </c>
      <c r="AB26" s="51">
        <f t="shared" si="6"/>
        <v>0.99670141388959554</v>
      </c>
      <c r="AC26" s="51">
        <f t="shared" si="7"/>
        <v>-3.8680117773164486</v>
      </c>
      <c r="AD26" s="51">
        <f t="shared" si="8"/>
        <v>0.84301448181830319</v>
      </c>
      <c r="AE26" s="51">
        <f t="shared" si="9"/>
        <v>-2.0337452249665802</v>
      </c>
      <c r="AF26" s="52">
        <f t="shared" si="10"/>
        <v>0.71903128870112543</v>
      </c>
      <c r="AG26" s="177"/>
      <c r="AH26" s="172">
        <f>SLOPE(O26:Q26,C26:E26)</f>
        <v>-10.681388133783173</v>
      </c>
      <c r="AI26" s="247">
        <f>RSQ(O26:Q26,C26:E26)</f>
        <v>0.99670141388959554</v>
      </c>
      <c r="AJ26" s="50"/>
      <c r="AK26" s="51">
        <f>SLOPE(I26:J26,C26:D26)</f>
        <v>-79.147455952287913</v>
      </c>
      <c r="AL26" s="111">
        <f>RSQ(I26:J26,C26:D26)</f>
        <v>1</v>
      </c>
      <c r="AM26" s="247"/>
      <c r="AN26" s="50">
        <v>34.27154756685664</v>
      </c>
      <c r="AO26" s="51">
        <f t="shared" si="11"/>
        <v>-2.3094217090105937</v>
      </c>
      <c r="AP26" s="51">
        <v>0.22274697757084988</v>
      </c>
      <c r="AQ26" s="52">
        <f t="shared" si="12"/>
        <v>-0.51441670561861652</v>
      </c>
    </row>
    <row r="27" spans="1:43" ht="15.75" thickBot="1" x14ac:dyDescent="0.3">
      <c r="A27" s="92" t="s">
        <v>29</v>
      </c>
      <c r="B27" s="112">
        <v>3</v>
      </c>
      <c r="C27" s="204">
        <v>5.7638888894871343E-2</v>
      </c>
      <c r="D27" s="189">
        <v>0.22986111111094942</v>
      </c>
      <c r="E27" s="189">
        <v>0.34027777778101154</v>
      </c>
      <c r="F27" s="189">
        <v>1.1625000000058208</v>
      </c>
      <c r="G27" s="118">
        <v>2.2020833333372138</v>
      </c>
      <c r="H27" s="173"/>
      <c r="I27" s="92">
        <v>16.287441149075924</v>
      </c>
      <c r="J27" s="53">
        <v>6.1879542108571455</v>
      </c>
      <c r="K27" s="53">
        <v>2.8914339701514207</v>
      </c>
      <c r="L27" s="53">
        <v>6.3972563451843031E-2</v>
      </c>
      <c r="M27" s="54">
        <v>5.523718766850564E-2</v>
      </c>
      <c r="N27" s="173"/>
      <c r="O27" s="248">
        <f t="shared" si="0"/>
        <v>0</v>
      </c>
      <c r="P27" s="92">
        <f t="shared" si="1"/>
        <v>-0.9677897961715104</v>
      </c>
      <c r="Q27" s="53">
        <f t="shared" si="2"/>
        <v>-1.7286417666779545</v>
      </c>
      <c r="R27" s="53">
        <f t="shared" si="3"/>
        <v>-5.5396953127912401</v>
      </c>
      <c r="S27" s="54">
        <f t="shared" si="4"/>
        <v>-5.6865131920666414</v>
      </c>
      <c r="T27" s="173"/>
      <c r="U27" s="92"/>
      <c r="V27" s="53"/>
      <c r="W27" s="53"/>
      <c r="X27" s="53"/>
      <c r="Y27" s="54"/>
      <c r="Z27" s="178"/>
      <c r="AA27" s="131">
        <f t="shared" si="5"/>
        <v>-6.0726531521525917</v>
      </c>
      <c r="AB27" s="53">
        <f t="shared" si="6"/>
        <v>0.99680200204998393</v>
      </c>
      <c r="AC27" s="53">
        <f t="shared" si="7"/>
        <v>-4.9362022176217568</v>
      </c>
      <c r="AD27" s="53">
        <f t="shared" si="8"/>
        <v>0.99658274786594836</v>
      </c>
      <c r="AE27" s="53">
        <f t="shared" si="9"/>
        <v>-2.7179359006107839</v>
      </c>
      <c r="AF27" s="54">
        <f t="shared" si="10"/>
        <v>0.83481014669308606</v>
      </c>
      <c r="AG27" s="178"/>
      <c r="AH27" s="173">
        <f>SLOPE(O27:Q27,C27:E27)</f>
        <v>-6.0726531521525917</v>
      </c>
      <c r="AI27" s="248">
        <f>RSQ(O27:Q27,C27:E27)</f>
        <v>0.99680200204998393</v>
      </c>
      <c r="AJ27" s="62"/>
      <c r="AK27" s="63">
        <f>SLOPE(I27:K27,C27:E27)</f>
        <v>-48.379504889293401</v>
      </c>
      <c r="AL27" s="257">
        <f>RSQ(I27:K27,C27:E27)</f>
        <v>0.97473740859211211</v>
      </c>
      <c r="AM27" s="248"/>
      <c r="AN27" s="92">
        <v>182.07122720347883</v>
      </c>
      <c r="AO27" s="53">
        <f t="shared" si="11"/>
        <v>-0.26571746471080532</v>
      </c>
      <c r="AP27" s="53">
        <v>0.95793506790880056</v>
      </c>
      <c r="AQ27" s="54">
        <f t="shared" si="12"/>
        <v>-0.25454007760229963</v>
      </c>
    </row>
    <row r="28" spans="1:43" x14ac:dyDescent="0.25">
      <c r="A28" s="9" t="s">
        <v>30</v>
      </c>
      <c r="B28" s="26">
        <v>1</v>
      </c>
      <c r="C28" s="196">
        <v>5.9722222227719612E-2</v>
      </c>
      <c r="D28" s="181">
        <v>0.23194444445107365</v>
      </c>
      <c r="E28" s="181">
        <v>0.34722222222626442</v>
      </c>
      <c r="F28" s="181">
        <v>1.164583333338669</v>
      </c>
      <c r="G28" s="197">
        <v>2.2055555555562023</v>
      </c>
      <c r="H28" s="174"/>
      <c r="I28" s="9">
        <v>15.167720806901258</v>
      </c>
      <c r="J28" s="10">
        <v>7.7944679422087884</v>
      </c>
      <c r="K28" s="10">
        <v>5.0417142522636729</v>
      </c>
      <c r="L28" s="10">
        <v>6.7732239937243574E-2</v>
      </c>
      <c r="M28" s="32">
        <v>5.2030379052665401E-2</v>
      </c>
      <c r="N28" s="174"/>
      <c r="O28" s="243">
        <f t="shared" si="0"/>
        <v>0</v>
      </c>
      <c r="P28" s="9">
        <f t="shared" si="1"/>
        <v>-0.66575529473644712</v>
      </c>
      <c r="Q28" s="10">
        <f t="shared" si="2"/>
        <v>-1.1014233849554771</v>
      </c>
      <c r="R28" s="10">
        <f t="shared" si="3"/>
        <v>-5.411362533360272</v>
      </c>
      <c r="S28" s="32">
        <f t="shared" si="4"/>
        <v>-5.6750970570604213</v>
      </c>
      <c r="T28" s="174"/>
      <c r="U28" s="9"/>
      <c r="V28" s="10"/>
      <c r="W28" s="10"/>
      <c r="X28" s="10"/>
      <c r="Y28" s="32"/>
      <c r="Z28" s="129"/>
      <c r="AA28" s="129">
        <f t="shared" si="5"/>
        <v>-3.8337423454306689</v>
      </c>
      <c r="AB28" s="10">
        <f t="shared" si="6"/>
        <v>0.9999619459470579</v>
      </c>
      <c r="AC28" s="10">
        <f t="shared" si="7"/>
        <v>-4.9958280288435803</v>
      </c>
      <c r="AD28" s="10">
        <f t="shared" si="8"/>
        <v>0.99667429746343272</v>
      </c>
      <c r="AE28" s="10">
        <f t="shared" si="9"/>
        <v>-2.8419919968767968</v>
      </c>
      <c r="AF28" s="32">
        <f t="shared" si="10"/>
        <v>0.85435771928756843</v>
      </c>
      <c r="AG28" s="233"/>
      <c r="AH28" s="174">
        <f>SLOPE(O28:Q28,C28:E28)</f>
        <v>-3.8337423454306689</v>
      </c>
      <c r="AI28" s="243">
        <f>RSQ(O28:Q28,C28:E28)</f>
        <v>0.9999619459470579</v>
      </c>
      <c r="AJ28" s="39"/>
      <c r="AK28" s="40">
        <f>SLOPE(I28:K28,C28:E28)</f>
        <v>-35.813628300924776</v>
      </c>
      <c r="AL28" s="168">
        <f>RSQ(I28:K28,C28:E28)</f>
        <v>0.97948285423455417</v>
      </c>
      <c r="AM28" s="243"/>
      <c r="AN28" s="9">
        <v>208.13950979834465</v>
      </c>
      <c r="AO28" s="10">
        <f t="shared" si="11"/>
        <v>-0.17206549749071046</v>
      </c>
      <c r="AP28" s="10">
        <v>1.1693420227225244</v>
      </c>
      <c r="AQ28" s="32">
        <f t="shared" si="12"/>
        <v>-0.20120341687654481</v>
      </c>
    </row>
    <row r="29" spans="1:43" x14ac:dyDescent="0.25">
      <c r="A29" s="11" t="s">
        <v>30</v>
      </c>
      <c r="B29" s="27">
        <v>2</v>
      </c>
      <c r="C29" s="198">
        <v>6.1111111113859806E-2</v>
      </c>
      <c r="D29" s="182">
        <v>0.23402777777664596</v>
      </c>
      <c r="E29" s="182">
        <v>0.34861111111240461</v>
      </c>
      <c r="F29" s="182">
        <v>1.1659722222248092</v>
      </c>
      <c r="G29" s="199">
        <v>2.2069444444423425</v>
      </c>
      <c r="H29" s="169"/>
      <c r="I29" s="11">
        <v>12.948830529181095</v>
      </c>
      <c r="J29" s="12">
        <v>8.84849029849914</v>
      </c>
      <c r="K29" s="12">
        <v>7.1802760334396494</v>
      </c>
      <c r="L29" s="12">
        <v>1.5760666159245205</v>
      </c>
      <c r="M29" s="33">
        <v>4.2028390784013617E-2</v>
      </c>
      <c r="N29" s="169"/>
      <c r="O29" s="244">
        <f t="shared" si="0"/>
        <v>0</v>
      </c>
      <c r="P29" s="11">
        <f t="shared" si="1"/>
        <v>-0.38075862071283084</v>
      </c>
      <c r="Q29" s="12">
        <f t="shared" si="2"/>
        <v>-0.58966765035081026</v>
      </c>
      <c r="R29" s="12">
        <f t="shared" si="3"/>
        <v>-2.1060732179106965</v>
      </c>
      <c r="S29" s="33">
        <f t="shared" si="4"/>
        <v>-5.7304153954570634</v>
      </c>
      <c r="T29" s="169"/>
      <c r="U29" s="11"/>
      <c r="V29" s="12"/>
      <c r="W29" s="12"/>
      <c r="X29" s="12"/>
      <c r="Y29" s="33"/>
      <c r="Z29" s="124"/>
      <c r="AA29" s="124">
        <f t="shared" si="5"/>
        <v>-2.0631330544661091</v>
      </c>
      <c r="AB29" s="12">
        <f t="shared" si="6"/>
        <v>0.99749345311474868</v>
      </c>
      <c r="AC29" s="12">
        <f t="shared" si="7"/>
        <v>-1.8846918483776924</v>
      </c>
      <c r="AD29" s="12">
        <f t="shared" si="8"/>
        <v>0.99927227834801713</v>
      </c>
      <c r="AE29" s="12">
        <f t="shared" si="9"/>
        <v>-2.6142174891641168</v>
      </c>
      <c r="AF29" s="33">
        <f t="shared" si="10"/>
        <v>0.9776341442278762</v>
      </c>
      <c r="AG29" s="234"/>
      <c r="AH29" s="169">
        <f>SLOPE(O29:Q29,C29:E29)</f>
        <v>-2.0631330544661091</v>
      </c>
      <c r="AI29" s="244">
        <f>RSQ(O29:Q29,C29:E29)</f>
        <v>0.99749345311474868</v>
      </c>
      <c r="AJ29" s="11"/>
      <c r="AK29" s="12">
        <f>SLOPE(I29:K29,C29:E29)</f>
        <v>-20.357326513875172</v>
      </c>
      <c r="AL29" s="27">
        <f>RSQ(I29:K29,C29:E29)</f>
        <v>0.985149740343918</v>
      </c>
      <c r="AM29" s="244"/>
      <c r="AN29" s="11">
        <v>239.63316657936093</v>
      </c>
      <c r="AO29" s="12">
        <f t="shared" si="11"/>
        <v>-8.4952040673106494E-2</v>
      </c>
      <c r="AP29" s="12">
        <v>1.2607868756981442</v>
      </c>
      <c r="AQ29" s="33">
        <f t="shared" si="12"/>
        <v>-0.1071064179444276</v>
      </c>
    </row>
    <row r="30" spans="1:43" ht="15.75" thickBot="1" x14ac:dyDescent="0.3">
      <c r="A30" s="13" t="s">
        <v>30</v>
      </c>
      <c r="B30" s="28">
        <v>3</v>
      </c>
      <c r="C30" s="200">
        <v>6.3194444446708076E-2</v>
      </c>
      <c r="D30" s="183">
        <v>0.23611111110949423</v>
      </c>
      <c r="E30" s="183">
        <v>0.35138888889196096</v>
      </c>
      <c r="F30" s="183">
        <v>1.1673611111109494</v>
      </c>
      <c r="G30" s="201">
        <v>2.2090277777824667</v>
      </c>
      <c r="H30" s="170"/>
      <c r="I30" s="13">
        <v>17.521381070638743</v>
      </c>
      <c r="J30" s="14">
        <v>16.998437350826972</v>
      </c>
      <c r="K30" s="14">
        <v>16.406088869017179</v>
      </c>
      <c r="L30" s="14">
        <v>13.890940845919163</v>
      </c>
      <c r="M30" s="34">
        <v>10.293824293017915</v>
      </c>
      <c r="N30" s="170"/>
      <c r="O30" s="245">
        <f t="shared" si="0"/>
        <v>0</v>
      </c>
      <c r="P30" s="13">
        <f t="shared" si="1"/>
        <v>-3.0300491342594025E-2</v>
      </c>
      <c r="Q30" s="14">
        <f t="shared" si="2"/>
        <v>-6.5769372207648835E-2</v>
      </c>
      <c r="R30" s="14">
        <f t="shared" si="3"/>
        <v>-0.23218502067461985</v>
      </c>
      <c r="S30" s="34">
        <f t="shared" si="4"/>
        <v>-0.53187777842271322</v>
      </c>
      <c r="T30" s="170"/>
      <c r="U30" s="13"/>
      <c r="V30" s="14"/>
      <c r="W30" s="14"/>
      <c r="X30" s="14"/>
      <c r="Y30" s="34"/>
      <c r="Z30" s="127"/>
      <c r="AA30" s="127">
        <f t="shared" si="5"/>
        <v>-0.22402916277356816</v>
      </c>
      <c r="AB30" s="14">
        <f t="shared" si="6"/>
        <v>0.9745232375863343</v>
      </c>
      <c r="AC30" s="14">
        <f t="shared" si="7"/>
        <v>-0.21137959739146936</v>
      </c>
      <c r="AD30" s="14">
        <f t="shared" si="8"/>
        <v>0.99806410254289135</v>
      </c>
      <c r="AE30" s="14">
        <f t="shared" si="9"/>
        <v>-0.24620030206969906</v>
      </c>
      <c r="AF30" s="34">
        <f t="shared" si="10"/>
        <v>0.99386934552684192</v>
      </c>
      <c r="AG30" s="235"/>
      <c r="AH30" s="170">
        <f>SLOPE(O30:S30,C30:G30)</f>
        <v>-0.24620030206969906</v>
      </c>
      <c r="AI30" s="245">
        <f>RSQ(O30:S30,C30:G30)</f>
        <v>0.99386934552684192</v>
      </c>
      <c r="AJ30" s="13"/>
      <c r="AK30" s="14">
        <f>SLOPE(I30:M30,C30:G30)</f>
        <v>-3.348113844924451</v>
      </c>
      <c r="AL30" s="28">
        <f>RSQ(I30:M30,C30:G30)</f>
        <v>0.99913143468955845</v>
      </c>
      <c r="AM30" s="245"/>
      <c r="AN30" s="13">
        <v>219.67965065315155</v>
      </c>
      <c r="AO30" s="14">
        <f t="shared" si="11"/>
        <v>-1.5240892067015942E-2</v>
      </c>
      <c r="AP30" s="14">
        <v>1.1558050346495794</v>
      </c>
      <c r="AQ30" s="34">
        <f t="shared" si="12"/>
        <v>-1.7615499783607862E-2</v>
      </c>
    </row>
    <row r="31" spans="1:43" x14ac:dyDescent="0.25">
      <c r="A31" s="47" t="s">
        <v>31</v>
      </c>
      <c r="B31" s="110">
        <v>1</v>
      </c>
      <c r="C31" s="202">
        <v>6.4583333332848269E-2</v>
      </c>
      <c r="D31" s="188">
        <v>0.23541666666278616</v>
      </c>
      <c r="E31" s="188">
        <v>0.35416666666424135</v>
      </c>
      <c r="F31" s="188">
        <v>1.1694444444437977</v>
      </c>
      <c r="G31" s="116">
        <v>2.2104166666686069</v>
      </c>
      <c r="H31" s="171"/>
      <c r="I31" s="47">
        <v>24.292958955016495</v>
      </c>
      <c r="J31" s="48">
        <v>15.073643633013203</v>
      </c>
      <c r="K31" s="48">
        <v>9.7636435949538001</v>
      </c>
      <c r="L31" s="48">
        <v>0.11849776398587787</v>
      </c>
      <c r="M31" s="49">
        <v>6.0870262441087911E-2</v>
      </c>
      <c r="N31" s="171"/>
      <c r="O31" s="246">
        <f t="shared" si="0"/>
        <v>0</v>
      </c>
      <c r="P31" s="47">
        <f t="shared" si="1"/>
        <v>-0.47723878944936693</v>
      </c>
      <c r="Q31" s="48">
        <f t="shared" si="2"/>
        <v>-0.91152090350799142</v>
      </c>
      <c r="R31" s="48">
        <f t="shared" si="3"/>
        <v>-5.3230477413243023</v>
      </c>
      <c r="S31" s="49">
        <f t="shared" si="4"/>
        <v>-5.9891970784060735</v>
      </c>
      <c r="T31" s="171"/>
      <c r="U31" s="47"/>
      <c r="V31" s="48"/>
      <c r="W31" s="48"/>
      <c r="X31" s="48"/>
      <c r="Y31" s="49"/>
      <c r="Z31" s="176"/>
      <c r="AA31" s="130">
        <f t="shared" si="5"/>
        <v>-3.1229177331939515</v>
      </c>
      <c r="AB31" s="48">
        <f t="shared" si="6"/>
        <v>0.99419454810460905</v>
      </c>
      <c r="AC31" s="48">
        <f t="shared" si="7"/>
        <v>-4.9917812652518494</v>
      </c>
      <c r="AD31" s="48">
        <f t="shared" si="8"/>
        <v>0.99119327259726475</v>
      </c>
      <c r="AE31" s="48">
        <f t="shared" si="9"/>
        <v>-3.031374312876796</v>
      </c>
      <c r="AF31" s="49">
        <f t="shared" si="10"/>
        <v>0.88656881129078646</v>
      </c>
      <c r="AG31" s="176"/>
      <c r="AH31" s="171">
        <f>SLOPE(O31:Q31,C31:E31)</f>
        <v>-3.1229177331939515</v>
      </c>
      <c r="AI31" s="246">
        <f>RSQ(O31:Q31,C31:E31)</f>
        <v>0.99419454810460905</v>
      </c>
      <c r="AJ31" s="47"/>
      <c r="AK31" s="48">
        <f>SLOPE(I31:K31,C31:E31)</f>
        <v>-50.438648629389476</v>
      </c>
      <c r="AL31" s="110">
        <f>RSQ(I31:K31,C31:E31)</f>
        <v>0.99743745633699687</v>
      </c>
      <c r="AM31" s="246"/>
      <c r="AN31" s="47">
        <v>68.46037217545414</v>
      </c>
      <c r="AO31" s="48">
        <f t="shared" si="11"/>
        <v>-0.73675685694670834</v>
      </c>
      <c r="AP31" s="48">
        <v>0.41259113374739692</v>
      </c>
      <c r="AQ31" s="49">
        <f t="shared" si="12"/>
        <v>-0.30397934690381112</v>
      </c>
    </row>
    <row r="32" spans="1:43" x14ac:dyDescent="0.25">
      <c r="A32" s="50" t="s">
        <v>31</v>
      </c>
      <c r="B32" s="111">
        <v>2</v>
      </c>
      <c r="C32" s="203">
        <v>6.5972222218988463E-2</v>
      </c>
      <c r="D32" s="187">
        <v>0.23888888888905058</v>
      </c>
      <c r="E32" s="187">
        <v>0.35555555555038154</v>
      </c>
      <c r="F32" s="187">
        <v>1.1736111111094942</v>
      </c>
      <c r="G32" s="117">
        <v>2.2118055555547471</v>
      </c>
      <c r="H32" s="172"/>
      <c r="I32" s="50">
        <v>14.802124156644862</v>
      </c>
      <c r="J32" s="51">
        <v>3.1042467332005184</v>
      </c>
      <c r="K32" s="51">
        <v>1.034372506657856</v>
      </c>
      <c r="L32" s="51">
        <v>0.12363608870945308</v>
      </c>
      <c r="M32" s="52">
        <v>9.4752199904438686E-2</v>
      </c>
      <c r="N32" s="172"/>
      <c r="O32" s="247">
        <f t="shared" si="0"/>
        <v>0</v>
      </c>
      <c r="P32" s="50">
        <f t="shared" si="1"/>
        <v>-1.5619996066183646</v>
      </c>
      <c r="Q32" s="51">
        <f t="shared" si="2"/>
        <v>-2.6609757254705428</v>
      </c>
      <c r="R32" s="51">
        <f t="shared" si="3"/>
        <v>-4.7851834912955207</v>
      </c>
      <c r="S32" s="52">
        <f t="shared" si="4"/>
        <v>-5.0512609118694334</v>
      </c>
      <c r="T32" s="172"/>
      <c r="U32" s="50"/>
      <c r="V32" s="51"/>
      <c r="W32" s="51"/>
      <c r="X32" s="51"/>
      <c r="Y32" s="52"/>
      <c r="Z32" s="177"/>
      <c r="AA32" s="126">
        <f t="shared" si="5"/>
        <v>-9.1770886256056645</v>
      </c>
      <c r="AB32" s="51">
        <f t="shared" si="6"/>
        <v>0.99986649824291784</v>
      </c>
      <c r="AC32" s="51">
        <f t="shared" si="7"/>
        <v>-3.8726418718196469</v>
      </c>
      <c r="AD32" s="51">
        <f t="shared" si="8"/>
        <v>0.89536072021956736</v>
      </c>
      <c r="AE32" s="51">
        <f t="shared" si="9"/>
        <v>-2.1143823310657139</v>
      </c>
      <c r="AF32" s="52">
        <f t="shared" si="10"/>
        <v>0.77348034884053285</v>
      </c>
      <c r="AG32" s="177"/>
      <c r="AH32" s="172">
        <f>SLOPE(O32:Q32,C32:E32)</f>
        <v>-9.1770886256056645</v>
      </c>
      <c r="AI32" s="247">
        <f>RSQ(O32:Q32,C32:E32)</f>
        <v>0.99986649824291784</v>
      </c>
      <c r="AJ32" s="50"/>
      <c r="AK32" s="51">
        <f>SLOPE(I32:J32,C32:D32)</f>
        <v>-67.650375459554539</v>
      </c>
      <c r="AL32" s="111">
        <f>RSQ(I32:J32,C32:D32)</f>
        <v>1</v>
      </c>
      <c r="AM32" s="247"/>
      <c r="AN32" s="50">
        <v>71.617474379605326</v>
      </c>
      <c r="AO32" s="51">
        <f t="shared" si="11"/>
        <v>-0.94460710944617576</v>
      </c>
      <c r="AP32" s="51">
        <v>0.46547579820242191</v>
      </c>
      <c r="AQ32" s="52">
        <f t="shared" si="12"/>
        <v>-0.43969174825714119</v>
      </c>
    </row>
    <row r="33" spans="1:43" ht="15.75" thickBot="1" x14ac:dyDescent="0.3">
      <c r="A33" s="92" t="s">
        <v>31</v>
      </c>
      <c r="B33" s="112">
        <v>3</v>
      </c>
      <c r="C33" s="204">
        <v>6.8055555551836733E-2</v>
      </c>
      <c r="D33" s="189">
        <v>0.24097222222189885</v>
      </c>
      <c r="E33" s="189">
        <v>0.35763888888322981</v>
      </c>
      <c r="F33" s="189">
        <v>1.1756944444423425</v>
      </c>
      <c r="G33" s="118">
        <v>2.2138888888875954</v>
      </c>
      <c r="H33" s="173"/>
      <c r="I33" s="92">
        <v>21.635391854881586</v>
      </c>
      <c r="J33" s="53">
        <v>13.197649779161676</v>
      </c>
      <c r="K33" s="53">
        <v>9.0031481430641254</v>
      </c>
      <c r="L33" s="53">
        <v>0.1486121905525587</v>
      </c>
      <c r="M33" s="54">
        <v>6.2705248759320917E-2</v>
      </c>
      <c r="N33" s="173"/>
      <c r="O33" s="248">
        <f t="shared" si="0"/>
        <v>0</v>
      </c>
      <c r="P33" s="92">
        <f t="shared" si="1"/>
        <v>-0.4942917188873851</v>
      </c>
      <c r="Q33" s="53">
        <f t="shared" si="2"/>
        <v>-0.87675617574778264</v>
      </c>
      <c r="R33" s="53">
        <f t="shared" si="3"/>
        <v>-4.9807455996375873</v>
      </c>
      <c r="S33" s="54">
        <f t="shared" si="4"/>
        <v>-5.8436406081713166</v>
      </c>
      <c r="T33" s="173"/>
      <c r="U33" s="92"/>
      <c r="V33" s="53"/>
      <c r="W33" s="53"/>
      <c r="X33" s="53"/>
      <c r="Y33" s="54"/>
      <c r="Z33" s="178"/>
      <c r="AA33" s="131">
        <f t="shared" si="5"/>
        <v>-3.0147345030711925</v>
      </c>
      <c r="AB33" s="53">
        <f t="shared" si="6"/>
        <v>0.9985434419854905</v>
      </c>
      <c r="AC33" s="53">
        <f t="shared" si="7"/>
        <v>-4.6430849289743659</v>
      </c>
      <c r="AD33" s="53">
        <f t="shared" si="8"/>
        <v>0.99236409148282512</v>
      </c>
      <c r="AE33" s="53">
        <f t="shared" si="9"/>
        <v>-2.9313758068121225</v>
      </c>
      <c r="AF33" s="54">
        <f t="shared" si="10"/>
        <v>0.90513012700160789</v>
      </c>
      <c r="AG33" s="178"/>
      <c r="AH33" s="173">
        <f>SLOPE(O33:Q33,C33:E33)</f>
        <v>-3.0147345030711925</v>
      </c>
      <c r="AI33" s="248">
        <f>RSQ(O33:Q33,C33:E33)</f>
        <v>0.9985434419854905</v>
      </c>
      <c r="AJ33" s="62"/>
      <c r="AK33" s="63">
        <f>SLOPE(I33:K33,C33:E33)</f>
        <v>-44.017281698880787</v>
      </c>
      <c r="AL33" s="257">
        <f>RSQ(I33:K33,C33:E33)</f>
        <v>0.99363327189754813</v>
      </c>
      <c r="AM33" s="248"/>
      <c r="AN33" s="92">
        <v>118.48284651437184</v>
      </c>
      <c r="AO33" s="53">
        <f t="shared" si="11"/>
        <v>-0.37150763164304579</v>
      </c>
      <c r="AP33" s="53">
        <v>0.68900398182558564</v>
      </c>
      <c r="AQ33" s="54">
        <f t="shared" si="12"/>
        <v>-0.25597023748065151</v>
      </c>
    </row>
    <row r="34" spans="1:43" x14ac:dyDescent="0.25">
      <c r="A34" s="15" t="s">
        <v>32</v>
      </c>
      <c r="B34" s="26">
        <v>1</v>
      </c>
      <c r="C34" s="196">
        <v>7.0833333331393078E-2</v>
      </c>
      <c r="D34" s="181">
        <v>0.24305555555474712</v>
      </c>
      <c r="E34" s="181">
        <v>0.35972222221607808</v>
      </c>
      <c r="F34" s="181">
        <v>1.1777777777751908</v>
      </c>
      <c r="G34" s="197">
        <v>2.2159722222204437</v>
      </c>
      <c r="H34" s="174"/>
      <c r="I34" s="9">
        <v>26.874268901095711</v>
      </c>
      <c r="J34" s="10">
        <v>25.956426585832407</v>
      </c>
      <c r="K34" s="10">
        <v>24.065362808534935</v>
      </c>
      <c r="L34" s="10">
        <v>17.229882467704037</v>
      </c>
      <c r="M34" s="32">
        <v>16.310861925729306</v>
      </c>
      <c r="N34" s="174"/>
      <c r="O34" s="243">
        <f t="shared" si="0"/>
        <v>0</v>
      </c>
      <c r="P34" s="9">
        <f t="shared" si="1"/>
        <v>-3.4750050813360675E-2</v>
      </c>
      <c r="Q34" s="10">
        <f t="shared" si="2"/>
        <v>-0.11039570356527385</v>
      </c>
      <c r="R34" s="10">
        <f t="shared" si="3"/>
        <v>-0.44452405325634131</v>
      </c>
      <c r="S34" s="32">
        <f t="shared" si="4"/>
        <v>-0.49933802070308414</v>
      </c>
      <c r="T34" s="174"/>
      <c r="U34" s="9"/>
      <c r="V34" s="10"/>
      <c r="W34" s="10"/>
      <c r="X34" s="10"/>
      <c r="Y34" s="32"/>
      <c r="Z34" s="129"/>
      <c r="AA34" s="129">
        <f t="shared" si="5"/>
        <v>-0.36852158702487098</v>
      </c>
      <c r="AB34" s="10">
        <f t="shared" si="6"/>
        <v>0.90028310896453334</v>
      </c>
      <c r="AC34" s="10">
        <f t="shared" si="7"/>
        <v>-0.41282775540477995</v>
      </c>
      <c r="AD34" s="10">
        <f t="shared" si="8"/>
        <v>0.99416859894690046</v>
      </c>
      <c r="AE34" s="10">
        <f t="shared" si="9"/>
        <v>-0.24897084473102574</v>
      </c>
      <c r="AF34" s="32">
        <f t="shared" si="10"/>
        <v>0.88404434333948489</v>
      </c>
      <c r="AG34" s="233"/>
      <c r="AH34" s="174">
        <f>SLOPE(O34:R34,C34:F34)</f>
        <v>-0.41282775540477995</v>
      </c>
      <c r="AI34" s="243">
        <f>RSQ(O34:R34,C34:F34)</f>
        <v>0.99416859894690046</v>
      </c>
      <c r="AJ34" s="39"/>
      <c r="AK34" s="40">
        <f>SLOPE(I34:L34,C34:F34)</f>
        <v>-8.8479716591566167</v>
      </c>
      <c r="AL34" s="168">
        <f>RSQ(I34:L34,C34:F34)</f>
        <v>0.99315811128817788</v>
      </c>
      <c r="AM34" s="243"/>
      <c r="AN34" s="9">
        <v>63.694547712117718</v>
      </c>
      <c r="AO34" s="10">
        <f t="shared" si="11"/>
        <v>-0.13891254396133051</v>
      </c>
      <c r="AP34" s="10">
        <v>0.49101499945820681</v>
      </c>
      <c r="AQ34" s="32">
        <f t="shared" si="12"/>
        <v>-6.820814269791084E-2</v>
      </c>
    </row>
    <row r="35" spans="1:43" x14ac:dyDescent="0.25">
      <c r="A35" s="16" t="s">
        <v>32</v>
      </c>
      <c r="B35" s="27">
        <v>2</v>
      </c>
      <c r="C35" s="198">
        <v>7.1527777778101154E-2</v>
      </c>
      <c r="D35" s="182">
        <v>0.24513888888759539</v>
      </c>
      <c r="E35" s="182">
        <v>0.36180555555620231</v>
      </c>
      <c r="F35" s="182">
        <v>1.1791666666686069</v>
      </c>
      <c r="G35" s="199">
        <v>2.2180555555605679</v>
      </c>
      <c r="H35" s="169"/>
      <c r="I35" s="11">
        <v>23.565213097464508</v>
      </c>
      <c r="J35" s="12">
        <v>21.661285027276463</v>
      </c>
      <c r="K35" s="12">
        <v>20.98333573452166</v>
      </c>
      <c r="L35" s="12">
        <v>14.487012973284063</v>
      </c>
      <c r="M35" s="33">
        <v>11.958615400600063</v>
      </c>
      <c r="N35" s="169"/>
      <c r="O35" s="244">
        <f t="shared" si="0"/>
        <v>0</v>
      </c>
      <c r="P35" s="11">
        <f t="shared" si="1"/>
        <v>-8.4245036280762506E-2</v>
      </c>
      <c r="Q35" s="12">
        <f t="shared" si="2"/>
        <v>-0.11604301704420301</v>
      </c>
      <c r="R35" s="12">
        <f t="shared" si="3"/>
        <v>-0.48651901222833194</v>
      </c>
      <c r="S35" s="33">
        <f t="shared" si="4"/>
        <v>-0.67831963065944412</v>
      </c>
      <c r="T35" s="169"/>
      <c r="U35" s="11"/>
      <c r="V35" s="12"/>
      <c r="W35" s="12"/>
      <c r="X35" s="12"/>
      <c r="Y35" s="33"/>
      <c r="Z35" s="124"/>
      <c r="AA35" s="124">
        <f t="shared" si="5"/>
        <v>-0.40636732386934316</v>
      </c>
      <c r="AB35" s="12">
        <f t="shared" si="6"/>
        <v>0.97983945849786758</v>
      </c>
      <c r="AC35" s="12">
        <f t="shared" si="7"/>
        <v>-0.43844415437021705</v>
      </c>
      <c r="AD35" s="12">
        <f t="shared" si="8"/>
        <v>0.9986246467977592</v>
      </c>
      <c r="AE35" s="12">
        <f t="shared" si="9"/>
        <v>-0.32289168989576533</v>
      </c>
      <c r="AF35" s="33">
        <f t="shared" si="10"/>
        <v>0.9631521461711815</v>
      </c>
      <c r="AG35" s="234"/>
      <c r="AH35" s="169">
        <f>SLOPE(O35:S35,C35:G35)</f>
        <v>-0.32289168989576533</v>
      </c>
      <c r="AI35" s="244">
        <f>RSQ(O35:S35,C35:G35)</f>
        <v>0.9631521461711815</v>
      </c>
      <c r="AJ35" s="11"/>
      <c r="AK35" s="12">
        <f>SLOPE(I35:L35,C35:F35)</f>
        <v>-8.0215394116665077</v>
      </c>
      <c r="AL35" s="27">
        <f>RSQ(I35:L35,C35:F35)</f>
        <v>0.99714040374804158</v>
      </c>
      <c r="AM35" s="244"/>
      <c r="AN35" s="11">
        <v>109.20887867763366</v>
      </c>
      <c r="AO35" s="12">
        <f t="shared" si="11"/>
        <v>-7.3451348542317246E-2</v>
      </c>
      <c r="AP35" s="12">
        <v>0.80445693325413681</v>
      </c>
      <c r="AQ35" s="33">
        <f t="shared" si="12"/>
        <v>-5.9088446591733242E-2</v>
      </c>
    </row>
    <row r="36" spans="1:43" ht="15.75" thickBot="1" x14ac:dyDescent="0.3">
      <c r="A36" s="55" t="s">
        <v>32</v>
      </c>
      <c r="B36" s="28">
        <v>3</v>
      </c>
      <c r="C36" s="200">
        <v>7.4305555557657499E-2</v>
      </c>
      <c r="D36" s="183">
        <v>0.24652777778101154</v>
      </c>
      <c r="E36" s="183">
        <v>0.36388888888905058</v>
      </c>
      <c r="F36" s="183">
        <v>1.1812500000014552</v>
      </c>
      <c r="G36" s="201">
        <v>2.2201388888934162</v>
      </c>
      <c r="H36" s="170"/>
      <c r="I36" s="13">
        <v>23.364029319894232</v>
      </c>
      <c r="J36" s="14">
        <v>17.807586737969579</v>
      </c>
      <c r="K36" s="14">
        <v>14.650203915925834</v>
      </c>
      <c r="L36" s="14">
        <v>3.509301472997632</v>
      </c>
      <c r="M36" s="34">
        <v>0.12192691635515172</v>
      </c>
      <c r="N36" s="170"/>
      <c r="O36" s="245">
        <f t="shared" si="0"/>
        <v>0</v>
      </c>
      <c r="P36" s="13">
        <f t="shared" si="1"/>
        <v>-0.27157304336903421</v>
      </c>
      <c r="Q36" s="14">
        <f t="shared" si="2"/>
        <v>-0.46674337655282055</v>
      </c>
      <c r="R36" s="14">
        <f t="shared" si="3"/>
        <v>-1.8957806239642871</v>
      </c>
      <c r="S36" s="34">
        <f t="shared" si="4"/>
        <v>-5.2555310911128856</v>
      </c>
      <c r="T36" s="170"/>
      <c r="U36" s="13"/>
      <c r="V36" s="14"/>
      <c r="W36" s="14"/>
      <c r="X36" s="14"/>
      <c r="Y36" s="34"/>
      <c r="Z36" s="127"/>
      <c r="AA36" s="127">
        <f t="shared" si="5"/>
        <v>-1.6091852379064708</v>
      </c>
      <c r="AB36" s="14">
        <f t="shared" si="6"/>
        <v>0.99978343724048502</v>
      </c>
      <c r="AC36" s="14">
        <f t="shared" si="7"/>
        <v>-1.7238728895779059</v>
      </c>
      <c r="AD36" s="14">
        <f t="shared" si="8"/>
        <v>0.99971330640340994</v>
      </c>
      <c r="AE36" s="14">
        <f t="shared" si="9"/>
        <v>-2.4174148727453404</v>
      </c>
      <c r="AF36" s="34">
        <f t="shared" si="10"/>
        <v>0.97633207489759488</v>
      </c>
      <c r="AG36" s="235"/>
      <c r="AH36" s="170">
        <f>SLOPE(O36:R36,C36:F36)</f>
        <v>-1.7238728895779059</v>
      </c>
      <c r="AI36" s="245">
        <f>RSQ(O36:R36,C36:F36)</f>
        <v>0.99971330640340994</v>
      </c>
      <c r="AJ36" s="13"/>
      <c r="AK36" s="14">
        <f>SLOPE(I36:K36,C36:E36)</f>
        <v>-30.252147484234307</v>
      </c>
      <c r="AL36" s="28">
        <f>RSQ(I36:K36,C36:E36)</f>
        <v>0.99763113528262737</v>
      </c>
      <c r="AM36" s="245"/>
      <c r="AN36" s="13">
        <v>72.971773695811919</v>
      </c>
      <c r="AO36" s="14">
        <f t="shared" si="11"/>
        <v>-0.41457327884535955</v>
      </c>
      <c r="AP36" s="14">
        <v>0.56253222149651705</v>
      </c>
      <c r="AQ36" s="34">
        <f t="shared" si="12"/>
        <v>-0.23321082752197511</v>
      </c>
    </row>
    <row r="37" spans="1:43" x14ac:dyDescent="0.25">
      <c r="A37" s="47" t="s">
        <v>33</v>
      </c>
      <c r="B37" s="110">
        <v>1</v>
      </c>
      <c r="C37" s="202">
        <v>7.5694444443797693E-2</v>
      </c>
      <c r="D37" s="188">
        <v>0.24930555555329192</v>
      </c>
      <c r="E37" s="188">
        <v>0.36527777777519077</v>
      </c>
      <c r="F37" s="188">
        <v>1.1826388888875954</v>
      </c>
      <c r="G37" s="116">
        <v>2.2222222222189885</v>
      </c>
      <c r="H37" s="171"/>
      <c r="I37" s="47">
        <v>19.209315744814504</v>
      </c>
      <c r="J37" s="48">
        <v>13.971724541224802</v>
      </c>
      <c r="K37" s="48">
        <v>10.991750247089517</v>
      </c>
      <c r="L37" s="48">
        <v>1.2906722419178325</v>
      </c>
      <c r="M37" s="49">
        <v>0.12463801582647781</v>
      </c>
      <c r="N37" s="171"/>
      <c r="O37" s="246">
        <f t="shared" si="0"/>
        <v>0</v>
      </c>
      <c r="P37" s="47">
        <f t="shared" si="1"/>
        <v>-0.31835974471377576</v>
      </c>
      <c r="Q37" s="48">
        <f t="shared" si="2"/>
        <v>-0.55825034251989436</v>
      </c>
      <c r="R37" s="48">
        <f t="shared" si="3"/>
        <v>-2.7002321560024702</v>
      </c>
      <c r="S37" s="49">
        <f t="shared" si="4"/>
        <v>-5.0377369726290908</v>
      </c>
      <c r="T37" s="171"/>
      <c r="U37" s="47"/>
      <c r="V37" s="48"/>
      <c r="W37" s="48"/>
      <c r="X37" s="48"/>
      <c r="Y37" s="49"/>
      <c r="Z37" s="176"/>
      <c r="AA37" s="130">
        <f t="shared" si="5"/>
        <v>-1.9203890022523846</v>
      </c>
      <c r="AB37" s="48">
        <f t="shared" si="6"/>
        <v>0.99888232118605225</v>
      </c>
      <c r="AC37" s="48">
        <f t="shared" si="7"/>
        <v>-2.4922886389980752</v>
      </c>
      <c r="AD37" s="48">
        <f t="shared" si="8"/>
        <v>0.99668480491766909</v>
      </c>
      <c r="AE37" s="48">
        <f t="shared" si="9"/>
        <v>-2.3918450637023954</v>
      </c>
      <c r="AF37" s="49">
        <f t="shared" si="10"/>
        <v>0.99866373993371149</v>
      </c>
      <c r="AG37" s="176"/>
      <c r="AH37" s="171">
        <f>SLOPE(O37:R37,C37:F37)</f>
        <v>-2.4922886389980752</v>
      </c>
      <c r="AI37" s="246">
        <f>RSQ(O37:R37,C37:F37)</f>
        <v>0.99668480491766909</v>
      </c>
      <c r="AJ37" s="47"/>
      <c r="AK37" s="48">
        <f>SLOPE(I37:K37,C37:E37)</f>
        <v>-28.51785158685669</v>
      </c>
      <c r="AL37" s="110">
        <f>RSQ(I37:K37,C37:E37)</f>
        <v>0.99816149308231217</v>
      </c>
      <c r="AM37" s="246"/>
      <c r="AN37" s="47">
        <v>144.26442905405406</v>
      </c>
      <c r="AO37" s="48">
        <f t="shared" si="11"/>
        <v>-0.1976776380279536</v>
      </c>
      <c r="AP37" s="48">
        <v>0.99625511110656362</v>
      </c>
      <c r="AQ37" s="49">
        <f t="shared" si="12"/>
        <v>-0.19693735723682199</v>
      </c>
    </row>
    <row r="38" spans="1:43" x14ac:dyDescent="0.25">
      <c r="A38" s="50" t="s">
        <v>33</v>
      </c>
      <c r="B38" s="111">
        <v>2</v>
      </c>
      <c r="C38" s="203">
        <v>7.7083333329937886E-2</v>
      </c>
      <c r="D38" s="187">
        <v>0.25138888888614019</v>
      </c>
      <c r="E38" s="187">
        <v>0.36666666666133096</v>
      </c>
      <c r="F38" s="187">
        <v>1.1840277777737356</v>
      </c>
      <c r="G38" s="117">
        <v>2.2229166666656965</v>
      </c>
      <c r="H38" s="172"/>
      <c r="I38" s="50">
        <v>22.740857817804226</v>
      </c>
      <c r="J38" s="51">
        <v>11.370519479230451</v>
      </c>
      <c r="K38" s="51">
        <v>6.9508812128217095</v>
      </c>
      <c r="L38" s="51">
        <v>0.13109485869800994</v>
      </c>
      <c r="M38" s="52">
        <v>6.6214451495864468E-2</v>
      </c>
      <c r="N38" s="172"/>
      <c r="O38" s="247">
        <f t="shared" si="0"/>
        <v>0</v>
      </c>
      <c r="P38" s="50">
        <f t="shared" si="1"/>
        <v>-0.69313921516406185</v>
      </c>
      <c r="Q38" s="51">
        <f t="shared" si="2"/>
        <v>-1.1852947657186084</v>
      </c>
      <c r="R38" s="51">
        <f t="shared" si="3"/>
        <v>-5.1559973160946688</v>
      </c>
      <c r="S38" s="52">
        <f t="shared" si="4"/>
        <v>-5.8390197497909977</v>
      </c>
      <c r="T38" s="172"/>
      <c r="U38" s="50"/>
      <c r="V38" s="51"/>
      <c r="W38" s="51"/>
      <c r="X38" s="51"/>
      <c r="Y38" s="52"/>
      <c r="Z38" s="177"/>
      <c r="AA38" s="126">
        <f t="shared" si="5"/>
        <v>-4.0837029172622952</v>
      </c>
      <c r="AB38" s="51">
        <f t="shared" si="6"/>
        <v>0.99961747678897628</v>
      </c>
      <c r="AC38" s="51">
        <f t="shared" si="7"/>
        <v>-4.7170899791255554</v>
      </c>
      <c r="AD38" s="51">
        <f t="shared" si="8"/>
        <v>0.99885760601892881</v>
      </c>
      <c r="AE38" s="51">
        <f t="shared" si="9"/>
        <v>-2.8703180381873592</v>
      </c>
      <c r="AF38" s="52">
        <f t="shared" si="10"/>
        <v>0.89096649880774015</v>
      </c>
      <c r="AG38" s="177"/>
      <c r="AH38" s="172">
        <f>SLOPE(O38:Q38,C38:E38)</f>
        <v>-4.0837029172622952</v>
      </c>
      <c r="AI38" s="247">
        <f>RSQ(O38:Q38,C38:E38)</f>
        <v>0.99961747678897628</v>
      </c>
      <c r="AJ38" s="50"/>
      <c r="AK38" s="51">
        <f>SLOPE(I38:K38,C38:E38)</f>
        <v>-55.390251968855807</v>
      </c>
      <c r="AL38" s="111">
        <f>RSQ(I38:K38,C38:E38)</f>
        <v>0.98274676939288441</v>
      </c>
      <c r="AM38" s="247"/>
      <c r="AN38" s="50">
        <v>30.968391460950556</v>
      </c>
      <c r="AO38" s="51">
        <f t="shared" si="11"/>
        <v>-1.7886060384731277</v>
      </c>
      <c r="AP38" s="51">
        <v>0.19368165498744103</v>
      </c>
      <c r="AQ38" s="52">
        <f t="shared" si="12"/>
        <v>-0.346420177652006</v>
      </c>
    </row>
    <row r="39" spans="1:43" ht="15.75" thickBot="1" x14ac:dyDescent="0.3">
      <c r="A39" s="92" t="s">
        <v>33</v>
      </c>
      <c r="B39" s="112">
        <v>3</v>
      </c>
      <c r="C39" s="204">
        <v>7.9166666662786156E-2</v>
      </c>
      <c r="D39" s="189">
        <v>0.25347222221898846</v>
      </c>
      <c r="E39" s="189">
        <v>0.36944444444088731</v>
      </c>
      <c r="F39" s="189">
        <v>1.1861111111065838</v>
      </c>
      <c r="G39" s="118">
        <v>2.2249999999985448</v>
      </c>
      <c r="H39" s="173"/>
      <c r="I39" s="92">
        <v>18.937614203443726</v>
      </c>
      <c r="J39" s="53">
        <v>14.8721699350096</v>
      </c>
      <c r="K39" s="53">
        <v>13.16198004653741</v>
      </c>
      <c r="L39" s="53">
        <v>4.2702296116715965</v>
      </c>
      <c r="M39" s="54">
        <v>1.0375683938115161</v>
      </c>
      <c r="N39" s="173"/>
      <c r="O39" s="248">
        <f t="shared" si="0"/>
        <v>0</v>
      </c>
      <c r="P39" s="92">
        <f t="shared" si="1"/>
        <v>-0.24165843693559497</v>
      </c>
      <c r="Q39" s="53">
        <f t="shared" si="2"/>
        <v>-0.36381773975367704</v>
      </c>
      <c r="R39" s="53">
        <f t="shared" si="3"/>
        <v>-1.489482514776284</v>
      </c>
      <c r="S39" s="54">
        <f t="shared" si="4"/>
        <v>-2.9042702211002744</v>
      </c>
      <c r="T39" s="173"/>
      <c r="U39" s="92"/>
      <c r="V39" s="53"/>
      <c r="W39" s="53"/>
      <c r="X39" s="53"/>
      <c r="Y39" s="54"/>
      <c r="Z39" s="178"/>
      <c r="AA39" s="131">
        <f t="shared" si="5"/>
        <v>-1.2639057749208509</v>
      </c>
      <c r="AB39" s="53">
        <f t="shared" si="6"/>
        <v>0.99483867895017164</v>
      </c>
      <c r="AC39" s="53">
        <f t="shared" si="7"/>
        <v>-1.3472294858409359</v>
      </c>
      <c r="AD39" s="53">
        <f t="shared" si="8"/>
        <v>0.99949018617944385</v>
      </c>
      <c r="AE39" s="53">
        <f t="shared" si="9"/>
        <v>-1.3555633488379726</v>
      </c>
      <c r="AF39" s="54">
        <f t="shared" si="10"/>
        <v>0.99987445984153089</v>
      </c>
      <c r="AG39" s="178"/>
      <c r="AH39" s="173">
        <f>SLOPE(O39:R39,C39:F39)</f>
        <v>-1.3472294858409359</v>
      </c>
      <c r="AI39" s="248">
        <f>RSQ(O39:R39,C39:F39)</f>
        <v>0.99949018617944385</v>
      </c>
      <c r="AJ39" s="62"/>
      <c r="AK39" s="63">
        <f>SLOPE(I39:L39,C39:F39)</f>
        <v>-12.445201926500221</v>
      </c>
      <c r="AL39" s="257">
        <f>RSQ(I39:L39,C39:F39)</f>
        <v>0.97438580298478594</v>
      </c>
      <c r="AM39" s="248"/>
      <c r="AN39" s="92">
        <v>155.0201054311554</v>
      </c>
      <c r="AO39" s="53">
        <f t="shared" si="11"/>
        <v>-8.0281211858852397E-2</v>
      </c>
      <c r="AP39" s="53">
        <v>0.81561044819818684</v>
      </c>
      <c r="AQ39" s="54">
        <f t="shared" si="12"/>
        <v>-6.54781951860922E-2</v>
      </c>
    </row>
    <row r="40" spans="1:43" x14ac:dyDescent="0.25">
      <c r="A40" s="9" t="s">
        <v>34</v>
      </c>
      <c r="B40" s="26">
        <v>1</v>
      </c>
      <c r="C40" s="196">
        <v>8.0555555556202307E-2</v>
      </c>
      <c r="D40" s="181">
        <v>0.25555555555911269</v>
      </c>
      <c r="E40" s="181">
        <v>0.37083333333430346</v>
      </c>
      <c r="F40" s="181">
        <v>1.1875</v>
      </c>
      <c r="G40" s="197">
        <v>2.226388888891961</v>
      </c>
      <c r="H40" s="174"/>
      <c r="I40" s="9">
        <v>11.581638868931291</v>
      </c>
      <c r="J40" s="10">
        <v>8.6637662452560775</v>
      </c>
      <c r="K40" s="10">
        <v>6.9260653117498761</v>
      </c>
      <c r="L40" s="10">
        <v>0.57111753120098696</v>
      </c>
      <c r="M40" s="32">
        <v>4.2692247434607707E-2</v>
      </c>
      <c r="N40" s="174"/>
      <c r="O40" s="243">
        <f t="shared" si="0"/>
        <v>0</v>
      </c>
      <c r="P40" s="9">
        <f t="shared" si="1"/>
        <v>-0.29027145861350095</v>
      </c>
      <c r="Q40" s="10">
        <f t="shared" si="2"/>
        <v>-0.51412911207179657</v>
      </c>
      <c r="R40" s="10">
        <f t="shared" si="3"/>
        <v>-3.0095812444752856</v>
      </c>
      <c r="S40" s="32">
        <f t="shared" si="4"/>
        <v>-5.6031589220853188</v>
      </c>
      <c r="T40" s="174"/>
      <c r="U40" s="9"/>
      <c r="V40" s="10"/>
      <c r="W40" s="10"/>
      <c r="X40" s="10"/>
      <c r="Y40" s="32"/>
      <c r="Z40" s="129"/>
      <c r="AA40" s="129">
        <f t="shared" si="5"/>
        <v>-1.7619918261492835</v>
      </c>
      <c r="AB40" s="10">
        <f t="shared" si="6"/>
        <v>0.99808381327905382</v>
      </c>
      <c r="AC40" s="10">
        <f t="shared" si="7"/>
        <v>-2.8139759680139154</v>
      </c>
      <c r="AD40" s="10">
        <f t="shared" si="8"/>
        <v>0.99124539487272822</v>
      </c>
      <c r="AE40" s="10">
        <f t="shared" si="9"/>
        <v>-2.6893595034190567</v>
      </c>
      <c r="AF40" s="32">
        <f t="shared" si="10"/>
        <v>0.99718093335389379</v>
      </c>
      <c r="AG40" s="233"/>
      <c r="AH40" s="174">
        <f>SLOPE(O40:R40,C40:F40)</f>
        <v>-2.8139759680139154</v>
      </c>
      <c r="AI40" s="243">
        <f>RSQ(O40:R40,C40:F40)</f>
        <v>0.99124539487272822</v>
      </c>
      <c r="AJ40" s="39"/>
      <c r="AK40" s="40">
        <f>SLOPE(I40:K40,C40:E40)</f>
        <v>-16.090135163720468</v>
      </c>
      <c r="AL40" s="168">
        <f>RSQ(I40:K40,C40:E40)</f>
        <v>0.99926612001332449</v>
      </c>
      <c r="AM40" s="243"/>
      <c r="AN40" s="9">
        <v>234.53280229012387</v>
      </c>
      <c r="AO40" s="10">
        <f t="shared" si="11"/>
        <v>-6.8605052285251364E-2</v>
      </c>
      <c r="AP40" s="10">
        <v>1.3176213477701604</v>
      </c>
      <c r="AQ40" s="32">
        <f t="shared" si="12"/>
        <v>-9.039548145593522E-2</v>
      </c>
    </row>
    <row r="41" spans="1:43" x14ac:dyDescent="0.25">
      <c r="A41" s="11" t="s">
        <v>34</v>
      </c>
      <c r="B41" s="27">
        <v>2</v>
      </c>
      <c r="C41" s="198">
        <v>8.2638888889050577E-2</v>
      </c>
      <c r="D41" s="182">
        <v>0.25763888889196096</v>
      </c>
      <c r="E41" s="182">
        <v>0.37291666666715173</v>
      </c>
      <c r="F41" s="182">
        <v>1.1895833333328483</v>
      </c>
      <c r="G41" s="199">
        <v>2.2284722222248092</v>
      </c>
      <c r="H41" s="169"/>
      <c r="I41" s="11">
        <v>25.686425271723074</v>
      </c>
      <c r="J41" s="12">
        <v>21.868601894898909</v>
      </c>
      <c r="K41" s="12">
        <v>19.354485845880117</v>
      </c>
      <c r="L41" s="12">
        <v>9.6895978880967668</v>
      </c>
      <c r="M41" s="33">
        <v>4.8387851204068211</v>
      </c>
      <c r="N41" s="169"/>
      <c r="O41" s="244">
        <f t="shared" si="0"/>
        <v>0</v>
      </c>
      <c r="P41" s="11">
        <f t="shared" si="1"/>
        <v>-0.1609107481537706</v>
      </c>
      <c r="Q41" s="12">
        <f t="shared" si="2"/>
        <v>-0.2830384335421906</v>
      </c>
      <c r="R41" s="12">
        <f t="shared" si="3"/>
        <v>-0.97490972538561249</v>
      </c>
      <c r="S41" s="33">
        <f t="shared" si="4"/>
        <v>-1.6692989717704991</v>
      </c>
      <c r="T41" s="169"/>
      <c r="U41" s="11"/>
      <c r="V41" s="12"/>
      <c r="W41" s="12"/>
      <c r="X41" s="12"/>
      <c r="Y41" s="33"/>
      <c r="Z41" s="124"/>
      <c r="AA41" s="124">
        <f t="shared" si="5"/>
        <v>-0.97052940779836938</v>
      </c>
      <c r="AB41" s="12">
        <f t="shared" si="6"/>
        <v>0.99845751742138533</v>
      </c>
      <c r="AC41" s="12">
        <f t="shared" si="7"/>
        <v>-0.87477618776418742</v>
      </c>
      <c r="AD41" s="12">
        <f t="shared" si="8"/>
        <v>0.99913491119557418</v>
      </c>
      <c r="AE41" s="12">
        <f t="shared" si="9"/>
        <v>-0.77833933940539723</v>
      </c>
      <c r="AF41" s="33">
        <f t="shared" si="10"/>
        <v>0.99526300495097975</v>
      </c>
      <c r="AG41" s="234"/>
      <c r="AH41" s="169">
        <f>SLOPE(O41:S41,C41:G41)</f>
        <v>-0.77833933940539723</v>
      </c>
      <c r="AI41" s="244">
        <f>RSQ(O41:S41,C41:G41)</f>
        <v>0.99526300495097975</v>
      </c>
      <c r="AJ41" s="11"/>
      <c r="AK41" s="12">
        <f>SLOPE(I41:K41,C41:E41)</f>
        <v>-21.813604379981523</v>
      </c>
      <c r="AL41" s="27">
        <f>RSQ(I41:K41,C41:E41)</f>
        <v>0.99999999249054095</v>
      </c>
      <c r="AM41" s="244"/>
      <c r="AN41" s="11">
        <v>45.743868576617302</v>
      </c>
      <c r="AO41" s="12">
        <f t="shared" si="11"/>
        <v>-0.47686400513864474</v>
      </c>
      <c r="AP41" s="12">
        <v>0.3158960470717731</v>
      </c>
      <c r="AQ41" s="33">
        <f t="shared" si="12"/>
        <v>-0.15063945421411157</v>
      </c>
    </row>
    <row r="42" spans="1:43" ht="15.75" thickBot="1" x14ac:dyDescent="0.3">
      <c r="A42" s="13" t="s">
        <v>34</v>
      </c>
      <c r="B42" s="28">
        <v>3</v>
      </c>
      <c r="C42" s="200">
        <v>8.4027777775190771E-2</v>
      </c>
      <c r="D42" s="183">
        <v>0.25902777777810115</v>
      </c>
      <c r="E42" s="183">
        <v>0.375</v>
      </c>
      <c r="F42" s="183">
        <v>1.1909722222189885</v>
      </c>
      <c r="G42" s="201">
        <v>2.2298611111109494</v>
      </c>
      <c r="H42" s="170"/>
      <c r="I42" s="13">
        <v>27.347308080687036</v>
      </c>
      <c r="J42" s="14">
        <v>26.435281075287456</v>
      </c>
      <c r="K42" s="14">
        <v>26.288236054204845</v>
      </c>
      <c r="L42" s="14">
        <v>19.682696346466685</v>
      </c>
      <c r="M42" s="34">
        <v>14.68986599683587</v>
      </c>
      <c r="N42" s="170"/>
      <c r="O42" s="245">
        <f t="shared" si="0"/>
        <v>0</v>
      </c>
      <c r="P42" s="13">
        <f t="shared" si="1"/>
        <v>-3.391857686047698E-2</v>
      </c>
      <c r="Q42" s="14">
        <f t="shared" si="2"/>
        <v>-3.9496558389402608E-2</v>
      </c>
      <c r="R42" s="14">
        <f t="shared" si="3"/>
        <v>-0.32887820747208013</v>
      </c>
      <c r="S42" s="34">
        <f t="shared" si="4"/>
        <v>-0.62146023110899318</v>
      </c>
      <c r="T42" s="170"/>
      <c r="U42" s="13"/>
      <c r="V42" s="14"/>
      <c r="W42" s="14"/>
      <c r="X42" s="14"/>
      <c r="Y42" s="34"/>
      <c r="Z42" s="127"/>
      <c r="AA42" s="127">
        <f t="shared" si="5"/>
        <v>-0.14040025487063573</v>
      </c>
      <c r="AB42" s="14">
        <f t="shared" si="6"/>
        <v>0.92565508525875961</v>
      </c>
      <c r="AC42" s="14">
        <f t="shared" si="7"/>
        <v>-0.30921596866005469</v>
      </c>
      <c r="AD42" s="14">
        <f t="shared" si="8"/>
        <v>0.98056872780609239</v>
      </c>
      <c r="AE42" s="14">
        <f t="shared" si="9"/>
        <v>-0.29993475174739087</v>
      </c>
      <c r="AF42" s="34">
        <f t="shared" si="10"/>
        <v>0.99496064410388274</v>
      </c>
      <c r="AG42" s="235"/>
      <c r="AH42" s="170">
        <f>SLOPE(O42:S42,C42:G42)</f>
        <v>-0.29993475174739087</v>
      </c>
      <c r="AI42" s="245">
        <f>RSQ(O42:S42,C42:G42)</f>
        <v>0.99496064410388274</v>
      </c>
      <c r="AJ42" s="13"/>
      <c r="AK42" s="14">
        <f>SLOPE(I42:M42,C42:G42)</f>
        <v>-6.1433970492729593</v>
      </c>
      <c r="AL42" s="28">
        <f>RSQ(I42:M42,C42:G42)</f>
        <v>0.98749955781318488</v>
      </c>
      <c r="AM42" s="245"/>
      <c r="AN42" s="13">
        <v>50.170835609634963</v>
      </c>
      <c r="AO42" s="14">
        <f t="shared" si="11"/>
        <v>-0.12244956606011087</v>
      </c>
      <c r="AP42" s="14">
        <v>0.32608396140995022</v>
      </c>
      <c r="AQ42" s="34">
        <f t="shared" si="12"/>
        <v>-3.992883957381034E-2</v>
      </c>
    </row>
    <row r="43" spans="1:43" x14ac:dyDescent="0.25">
      <c r="A43" s="47" t="s">
        <v>35</v>
      </c>
      <c r="B43" s="110">
        <v>1</v>
      </c>
      <c r="C43" s="202">
        <v>8.611111110803904E-2</v>
      </c>
      <c r="D43" s="188">
        <v>0.26111111111094942</v>
      </c>
      <c r="E43" s="188">
        <v>0.37638888888614019</v>
      </c>
      <c r="F43" s="188">
        <v>1.1930555555518367</v>
      </c>
      <c r="G43" s="116">
        <v>2.2319444444437977</v>
      </c>
      <c r="H43" s="171"/>
      <c r="I43" s="47">
        <v>27.850838133124793</v>
      </c>
      <c r="J43" s="48">
        <v>23.888103112408317</v>
      </c>
      <c r="K43" s="48">
        <v>21.769423641444913</v>
      </c>
      <c r="L43" s="48">
        <v>9.5646479399615885</v>
      </c>
      <c r="M43" s="49">
        <v>1.404551100102347</v>
      </c>
      <c r="N43" s="171"/>
      <c r="O43" s="246">
        <f t="shared" si="0"/>
        <v>0</v>
      </c>
      <c r="P43" s="47">
        <f t="shared" si="1"/>
        <v>-0.15348250318562878</v>
      </c>
      <c r="Q43" s="48">
        <f t="shared" si="2"/>
        <v>-0.24635666047031984</v>
      </c>
      <c r="R43" s="48">
        <f t="shared" si="3"/>
        <v>-1.0687892653655831</v>
      </c>
      <c r="S43" s="49">
        <f t="shared" si="4"/>
        <v>-2.9871453104394825</v>
      </c>
      <c r="T43" s="171"/>
      <c r="U43" s="47"/>
      <c r="V43" s="48"/>
      <c r="W43" s="48"/>
      <c r="X43" s="48"/>
      <c r="Y43" s="49"/>
      <c r="Z43" s="176"/>
      <c r="AA43" s="130">
        <f t="shared" si="5"/>
        <v>-0.85100446371168093</v>
      </c>
      <c r="AB43" s="48">
        <f t="shared" si="6"/>
        <v>0.9994773211988015</v>
      </c>
      <c r="AC43" s="48">
        <f t="shared" si="7"/>
        <v>-0.97503268154455491</v>
      </c>
      <c r="AD43" s="48">
        <f t="shared" si="8"/>
        <v>0.99896013150078022</v>
      </c>
      <c r="AE43" s="48">
        <f t="shared" si="9"/>
        <v>-1.3767231772064508</v>
      </c>
      <c r="AF43" s="49">
        <f t="shared" si="10"/>
        <v>0.97548108500394271</v>
      </c>
      <c r="AG43" s="176"/>
      <c r="AH43" s="171">
        <f>SLOPE(O43:S43,C43:G43)</f>
        <v>-1.3767231772064508</v>
      </c>
      <c r="AI43" s="246">
        <f>RSQ(O43:S43,C43:G43)</f>
        <v>0.97548108500394271</v>
      </c>
      <c r="AJ43" s="47"/>
      <c r="AK43" s="48">
        <f>SLOPE(I43:L43,C43:F43)</f>
        <v>-16.012894783359059</v>
      </c>
      <c r="AL43" s="110">
        <f>RSQ(I43:L43,C43:F43)</f>
        <v>0.99341475897513543</v>
      </c>
      <c r="AM43" s="246"/>
      <c r="AN43" s="47">
        <v>78.110114774408927</v>
      </c>
      <c r="AO43" s="48">
        <f t="shared" si="11"/>
        <v>-0.20500411284257047</v>
      </c>
      <c r="AP43" s="48">
        <v>0.41096234287016414</v>
      </c>
      <c r="AQ43" s="49">
        <f t="shared" si="12"/>
        <v>-8.4248970511802274E-2</v>
      </c>
    </row>
    <row r="44" spans="1:43" x14ac:dyDescent="0.25">
      <c r="A44" s="50" t="s">
        <v>35</v>
      </c>
      <c r="B44" s="111">
        <v>2</v>
      </c>
      <c r="C44" s="203">
        <v>8.8888888887595385E-2</v>
      </c>
      <c r="D44" s="187">
        <v>0.26388888889050577</v>
      </c>
      <c r="E44" s="187">
        <v>0.37847222221898846</v>
      </c>
      <c r="F44" s="187">
        <v>1.195138888891961</v>
      </c>
      <c r="G44" s="117">
        <v>2.234027777776646</v>
      </c>
      <c r="H44" s="172"/>
      <c r="I44" s="50">
        <v>26.296381587074396</v>
      </c>
      <c r="J44" s="51">
        <v>21.116740855318348</v>
      </c>
      <c r="K44" s="51">
        <v>18.165954473910212</v>
      </c>
      <c r="L44" s="51">
        <v>1.7510489946366223</v>
      </c>
      <c r="M44" s="52">
        <v>7.0839084390014212E-2</v>
      </c>
      <c r="N44" s="172"/>
      <c r="O44" s="247">
        <f t="shared" si="0"/>
        <v>0</v>
      </c>
      <c r="P44" s="50">
        <f t="shared" si="1"/>
        <v>-0.21936521611028598</v>
      </c>
      <c r="Q44" s="51">
        <f t="shared" si="2"/>
        <v>-0.36988213851627411</v>
      </c>
      <c r="R44" s="51">
        <f t="shared" si="3"/>
        <v>-2.7092163136195406</v>
      </c>
      <c r="S44" s="52">
        <f t="shared" si="4"/>
        <v>-5.9167757386710784</v>
      </c>
      <c r="T44" s="172"/>
      <c r="U44" s="50"/>
      <c r="V44" s="51"/>
      <c r="W44" s="51"/>
      <c r="X44" s="51"/>
      <c r="Y44" s="52"/>
      <c r="Z44" s="177"/>
      <c r="AA44" s="126">
        <f t="shared" si="5"/>
        <v>-1.2753210171777998</v>
      </c>
      <c r="AB44" s="51">
        <f t="shared" si="6"/>
        <v>0.99983560148422845</v>
      </c>
      <c r="AC44" s="51">
        <f t="shared" si="7"/>
        <v>-2.5606519689447795</v>
      </c>
      <c r="AD44" s="51">
        <f t="shared" si="8"/>
        <v>0.98445514642093424</v>
      </c>
      <c r="AE44" s="51">
        <f t="shared" si="9"/>
        <v>-2.827434471781809</v>
      </c>
      <c r="AF44" s="52">
        <f t="shared" si="10"/>
        <v>0.99447686746432928</v>
      </c>
      <c r="AG44" s="177"/>
      <c r="AH44" s="172">
        <f>SLOPE(O44:R44,C44:F44)</f>
        <v>-2.5606519689447795</v>
      </c>
      <c r="AI44" s="247">
        <f>RSQ(O44:R44,C44:F44)</f>
        <v>0.98445514642093424</v>
      </c>
      <c r="AJ44" s="50"/>
      <c r="AK44" s="51">
        <f>SLOPE(I44:L44,C44:F44)</f>
        <v>-21.552761588538328</v>
      </c>
      <c r="AL44" s="111">
        <f>RSQ(I44:L44,C44:F44)</f>
        <v>0.99393337240290902</v>
      </c>
      <c r="AM44" s="247"/>
      <c r="AN44" s="50">
        <v>40.793419825072881</v>
      </c>
      <c r="AO44" s="51">
        <f t="shared" si="11"/>
        <v>-0.52833917040932521</v>
      </c>
      <c r="AP44" s="51">
        <v>0.2146272532490337</v>
      </c>
      <c r="AQ44" s="52">
        <f t="shared" si="12"/>
        <v>-0.11339598492882662</v>
      </c>
    </row>
    <row r="45" spans="1:43" ht="15.75" thickBot="1" x14ac:dyDescent="0.3">
      <c r="A45" s="92" t="s">
        <v>35</v>
      </c>
      <c r="B45" s="112">
        <v>3</v>
      </c>
      <c r="C45" s="204">
        <v>8.9583333334303461E-2</v>
      </c>
      <c r="D45" s="189">
        <v>0.26527777777664596</v>
      </c>
      <c r="E45" s="189">
        <v>0.37986111110512866</v>
      </c>
      <c r="F45" s="189">
        <v>1.1965277777781012</v>
      </c>
      <c r="G45" s="118">
        <v>2.2361111111094942</v>
      </c>
      <c r="H45" s="173"/>
      <c r="I45" s="92">
        <v>22.30236544026657</v>
      </c>
      <c r="J45" s="53">
        <v>26.839153265077801</v>
      </c>
      <c r="K45" s="53">
        <v>25.880962171757069</v>
      </c>
      <c r="L45" s="53">
        <v>22.917358058956115</v>
      </c>
      <c r="M45" s="54">
        <v>21.083993447404666</v>
      </c>
      <c r="N45" s="173"/>
      <c r="O45" s="248"/>
      <c r="P45" s="92">
        <f>LN(J45/I45)</f>
        <v>0.18516901770979508</v>
      </c>
      <c r="Q45" s="53">
        <f t="shared" si="2"/>
        <v>0.14881490074410461</v>
      </c>
      <c r="R45" s="53">
        <f t="shared" si="3"/>
        <v>2.72018708736021E-2</v>
      </c>
      <c r="S45" s="54">
        <f t="shared" si="4"/>
        <v>-5.617859818752232E-2</v>
      </c>
      <c r="T45" s="173"/>
      <c r="U45" s="92">
        <v>22.30236544026657</v>
      </c>
      <c r="V45" s="53"/>
      <c r="W45" s="53"/>
      <c r="X45" s="53"/>
      <c r="Y45" s="54"/>
      <c r="Z45" s="178"/>
      <c r="AA45" s="131">
        <f t="shared" si="5"/>
        <v>-0.31727229353218422</v>
      </c>
      <c r="AB45" s="53">
        <f t="shared" si="6"/>
        <v>1</v>
      </c>
      <c r="AC45" s="53">
        <f t="shared" si="7"/>
        <v>-0.16195290692583575</v>
      </c>
      <c r="AD45" s="53">
        <f t="shared" si="8"/>
        <v>0.98828136155797741</v>
      </c>
      <c r="AE45" s="53">
        <f t="shared" si="9"/>
        <v>-0.11984936660852531</v>
      </c>
      <c r="AF45" s="54">
        <f t="shared" si="10"/>
        <v>0.96456529927342161</v>
      </c>
      <c r="AG45" s="178"/>
      <c r="AH45" s="173">
        <f>SLOPE(O45:S45,C45:G45)</f>
        <v>-0.11984936660852531</v>
      </c>
      <c r="AI45" s="248">
        <f>RSQ(O45:S45,C45:G45)</f>
        <v>0.96456529927342161</v>
      </c>
      <c r="AJ45" s="62"/>
      <c r="AK45" s="63">
        <f>SLOPE(I45:M45,C45:G45)</f>
        <v>-1.7876138645044253</v>
      </c>
      <c r="AL45" s="257">
        <f>RSQ(I45:M45,C45:G45)</f>
        <v>0.42418129139131749</v>
      </c>
      <c r="AM45" s="248"/>
      <c r="AN45" s="92">
        <v>35.532578935200476</v>
      </c>
      <c r="AO45" s="53">
        <f t="shared" si="11"/>
        <v>-5.0309150590066493E-2</v>
      </c>
      <c r="AP45" s="53">
        <v>0.2739171538743323</v>
      </c>
      <c r="AQ45" s="54">
        <f t="shared" si="12"/>
        <v>-1.37805393434662E-2</v>
      </c>
    </row>
    <row r="46" spans="1:43" x14ac:dyDescent="0.25">
      <c r="A46" s="15" t="s">
        <v>36</v>
      </c>
      <c r="B46" s="26">
        <v>1</v>
      </c>
      <c r="C46" s="196">
        <v>9.2361111106583849E-2</v>
      </c>
      <c r="D46" s="181">
        <v>0.26736111110949423</v>
      </c>
      <c r="E46" s="181">
        <v>0.38194444444525288</v>
      </c>
      <c r="F46" s="181">
        <v>1.1986111111109494</v>
      </c>
      <c r="G46" s="197">
        <v>2.242361111108039</v>
      </c>
      <c r="H46" s="174"/>
      <c r="I46" s="9">
        <v>9.9548594377074959</v>
      </c>
      <c r="J46" s="10">
        <v>9.1667036515899021</v>
      </c>
      <c r="K46" s="10">
        <v>6.8537813916122436</v>
      </c>
      <c r="L46" s="10">
        <v>0.4928217604160785</v>
      </c>
      <c r="M46" s="32">
        <v>4.4363860331850927E-2</v>
      </c>
      <c r="N46" s="174"/>
      <c r="O46" s="243">
        <f t="shared" si="0"/>
        <v>0</v>
      </c>
      <c r="P46" s="9">
        <f t="shared" si="1"/>
        <v>-8.2483066933092514E-2</v>
      </c>
      <c r="Q46" s="10">
        <f t="shared" si="2"/>
        <v>-0.37326028971293362</v>
      </c>
      <c r="R46" s="10">
        <f t="shared" si="3"/>
        <v>-3.0056685286975013</v>
      </c>
      <c r="S46" s="32">
        <f t="shared" si="4"/>
        <v>-5.4133909151245181</v>
      </c>
      <c r="T46" s="250"/>
      <c r="U46" s="39"/>
      <c r="V46" s="40"/>
      <c r="W46" s="40"/>
      <c r="X46" s="40"/>
      <c r="Y46" s="41"/>
      <c r="Z46" s="252"/>
      <c r="AA46" s="129">
        <f t="shared" si="5"/>
        <v>-1.2212149673199506</v>
      </c>
      <c r="AB46" s="10">
        <f t="shared" si="6"/>
        <v>0.82503482743164303</v>
      </c>
      <c r="AC46" s="10">
        <f t="shared" si="7"/>
        <v>-2.8947042037156407</v>
      </c>
      <c r="AD46" s="10">
        <f t="shared" si="8"/>
        <v>0.97735624684150857</v>
      </c>
      <c r="AE46" s="10">
        <f t="shared" si="9"/>
        <v>-2.657392075665197</v>
      </c>
      <c r="AF46" s="32">
        <f t="shared" si="10"/>
        <v>0.99153030417726185</v>
      </c>
      <c r="AG46" s="233"/>
      <c r="AH46" s="174">
        <f>SLOPE(P46:R46,D46:F46)</f>
        <v>-3.1702537618842785</v>
      </c>
      <c r="AI46" s="243">
        <f>RSQ(P46:R46,D46:F46)</f>
        <v>0.99948699983303213</v>
      </c>
      <c r="AJ46" s="39"/>
      <c r="AK46" s="40">
        <f>SLOPE(I46:L46,C46:F46)</f>
        <v>-8.6778904002566914</v>
      </c>
      <c r="AL46" s="168">
        <f>RSQ(I46:L46,C46:F46)</f>
        <v>0.98408015629225853</v>
      </c>
      <c r="AM46" s="243"/>
      <c r="AN46" s="9">
        <v>215.39533918307276</v>
      </c>
      <c r="AO46" s="10">
        <f t="shared" si="11"/>
        <v>-4.028819951800823E-2</v>
      </c>
      <c r="AP46" s="10">
        <v>1.133263899171618</v>
      </c>
      <c r="AQ46" s="32">
        <f t="shared" si="12"/>
        <v>-4.5657162076382103E-2</v>
      </c>
    </row>
    <row r="47" spans="1:43" x14ac:dyDescent="0.25">
      <c r="A47" s="16" t="s">
        <v>36</v>
      </c>
      <c r="B47" s="27">
        <v>2</v>
      </c>
      <c r="C47" s="198">
        <v>9.375E-2</v>
      </c>
      <c r="D47" s="182">
        <v>0.26875000000291038</v>
      </c>
      <c r="E47" s="182">
        <v>0.38402777777810115</v>
      </c>
      <c r="F47" s="182">
        <v>1.2000000000043656</v>
      </c>
      <c r="G47" s="199">
        <v>2.2437500000014552</v>
      </c>
      <c r="H47" s="169"/>
      <c r="I47" s="11">
        <v>8.2382007493119591</v>
      </c>
      <c r="J47" s="12">
        <v>5.0387892079478656</v>
      </c>
      <c r="K47" s="12">
        <v>2.8916433383910718</v>
      </c>
      <c r="L47" s="12">
        <v>5.8847541135966831E-2</v>
      </c>
      <c r="M47" s="33">
        <v>2.6888280710213108E-2</v>
      </c>
      <c r="N47" s="169"/>
      <c r="O47" s="244">
        <f t="shared" si="0"/>
        <v>0</v>
      </c>
      <c r="P47" s="11">
        <f t="shared" si="1"/>
        <v>-0.49161614770870488</v>
      </c>
      <c r="Q47" s="12">
        <f t="shared" si="2"/>
        <v>-1.0469569946952064</v>
      </c>
      <c r="R47" s="12">
        <f t="shared" si="3"/>
        <v>-4.9415871924477397</v>
      </c>
      <c r="S47" s="33">
        <f t="shared" si="4"/>
        <v>-5.7248467130449674</v>
      </c>
      <c r="T47" s="169"/>
      <c r="U47" s="11"/>
      <c r="V47" s="12"/>
      <c r="W47" s="12"/>
      <c r="X47" s="12"/>
      <c r="Y47" s="33"/>
      <c r="Z47" s="234"/>
      <c r="AA47" s="124">
        <f t="shared" si="5"/>
        <v>-3.5417131881051427</v>
      </c>
      <c r="AB47" s="12">
        <f t="shared" si="6"/>
        <v>0.9766651614341153</v>
      </c>
      <c r="AC47" s="12">
        <f t="shared" si="7"/>
        <v>-4.5901315139824357</v>
      </c>
      <c r="AD47" s="12">
        <f t="shared" si="8"/>
        <v>0.99588934553977748</v>
      </c>
      <c r="AE47" s="12">
        <f t="shared" si="9"/>
        <v>-2.8455367418292372</v>
      </c>
      <c r="AF47" s="33">
        <f t="shared" si="10"/>
        <v>0.89912679722831124</v>
      </c>
      <c r="AG47" s="234"/>
      <c r="AH47" s="169">
        <f>SLOPE(O47:Q47,C47:E47)</f>
        <v>-3.5417131881051427</v>
      </c>
      <c r="AI47" s="244">
        <f>RSQ(O47:Q47,C47:E47)</f>
        <v>0.9766651614341153</v>
      </c>
      <c r="AJ47" s="11"/>
      <c r="AK47" s="12">
        <f>SLOPE(I47:K47,C47:E47)</f>
        <v>-18.407639457449108</v>
      </c>
      <c r="AL47" s="27">
        <f>RSQ(I47:K47,C47:E47)</f>
        <v>0.99997412342923964</v>
      </c>
      <c r="AM47" s="244"/>
      <c r="AN47" s="11">
        <v>239.2847428214377</v>
      </c>
      <c r="AO47" s="12">
        <f t="shared" si="11"/>
        <v>-7.6927760794115924E-2</v>
      </c>
      <c r="AP47" s="12">
        <v>1.2589537066613132</v>
      </c>
      <c r="AQ47" s="33">
        <f t="shared" si="12"/>
        <v>-9.6848489596907089E-2</v>
      </c>
    </row>
    <row r="48" spans="1:43" ht="15.75" thickBot="1" x14ac:dyDescent="0.3">
      <c r="A48" s="17" t="s">
        <v>36</v>
      </c>
      <c r="B48" s="29">
        <v>3</v>
      </c>
      <c r="C48" s="205">
        <v>9.5833333332848269E-2</v>
      </c>
      <c r="D48" s="184">
        <v>0.27083333333575865</v>
      </c>
      <c r="E48" s="184">
        <v>0.38611111111094942</v>
      </c>
      <c r="F48" s="184">
        <v>1.2020833333372138</v>
      </c>
      <c r="G48" s="206">
        <v>2.2465277777810115</v>
      </c>
      <c r="H48" s="175"/>
      <c r="I48" s="42">
        <v>15.30310440804176</v>
      </c>
      <c r="J48" s="18">
        <v>16.523463526517624</v>
      </c>
      <c r="K48" s="18">
        <v>12.833436633431301</v>
      </c>
      <c r="L48" s="18">
        <v>1.1656011703437692</v>
      </c>
      <c r="M48" s="38">
        <v>0.14005264360286143</v>
      </c>
      <c r="N48" s="175"/>
      <c r="O48" s="249">
        <f t="shared" si="0"/>
        <v>0</v>
      </c>
      <c r="P48" s="42">
        <f t="shared" si="1"/>
        <v>7.6725692383974461E-2</v>
      </c>
      <c r="Q48" s="18">
        <f t="shared" si="2"/>
        <v>-0.17600170835133769</v>
      </c>
      <c r="R48" s="18">
        <f t="shared" si="3"/>
        <v>-2.574818730334691</v>
      </c>
      <c r="S48" s="38">
        <f t="shared" si="4"/>
        <v>-4.6937926116209212</v>
      </c>
      <c r="T48" s="175"/>
      <c r="U48" s="42">
        <v>15.30310440804176</v>
      </c>
      <c r="V48" s="18"/>
      <c r="W48" s="18"/>
      <c r="X48" s="18"/>
      <c r="Y48" s="38"/>
      <c r="Z48" s="236"/>
      <c r="AA48" s="125">
        <f t="shared" si="5"/>
        <v>-0.52113252456110859</v>
      </c>
      <c r="AB48" s="18">
        <f t="shared" si="6"/>
        <v>0.34555856350664904</v>
      </c>
      <c r="AC48" s="18">
        <f t="shared" si="7"/>
        <v>-2.5448196118589346</v>
      </c>
      <c r="AD48" s="18">
        <f t="shared" si="8"/>
        <v>0.95737429064699042</v>
      </c>
      <c r="AE48" s="18">
        <f t="shared" si="9"/>
        <v>-2.3475031569647102</v>
      </c>
      <c r="AF48" s="38">
        <f t="shared" si="10"/>
        <v>0.98631029745559473</v>
      </c>
      <c r="AG48" s="236"/>
      <c r="AH48" s="175">
        <f>SLOPE(P48:R48,D48:F48)</f>
        <v>-2.8815088721116791</v>
      </c>
      <c r="AI48" s="249">
        <f>RSQ(P48:R48,D48:F48)</f>
        <v>0.99925353285602903</v>
      </c>
      <c r="AJ48" s="42"/>
      <c r="AK48" s="18">
        <f>SLOPE(I48:L48,C48:F48)</f>
        <v>-14.000324637740007</v>
      </c>
      <c r="AL48" s="29">
        <f>RSQ(I48:L48,C48:F48)</f>
        <v>0.95348043605032173</v>
      </c>
      <c r="AM48" s="249"/>
      <c r="AN48" s="42">
        <v>95.859469062949898</v>
      </c>
      <c r="AO48" s="18">
        <f t="shared" si="11"/>
        <v>-0.14605051305412659</v>
      </c>
      <c r="AP48" s="18">
        <v>0.50434738325729234</v>
      </c>
      <c r="AQ48" s="38">
        <f t="shared" si="12"/>
        <v>-7.366019408223376E-2</v>
      </c>
    </row>
  </sheetData>
  <mergeCells count="1">
    <mergeCell ref="U3:Y3"/>
  </mergeCells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47"/>
  <sheetViews>
    <sheetView zoomScale="80" zoomScaleNormal="80" workbookViewId="0">
      <selection activeCell="L45" sqref="L45"/>
    </sheetView>
  </sheetViews>
  <sheetFormatPr defaultRowHeight="15" x14ac:dyDescent="0.25"/>
  <sheetData>
    <row r="1" spans="1:22" ht="15.75" thickBot="1" x14ac:dyDescent="0.3"/>
    <row r="2" spans="1:22" ht="30.75" thickBot="1" x14ac:dyDescent="0.3">
      <c r="A2" s="19" t="s">
        <v>0</v>
      </c>
      <c r="B2" s="20" t="s">
        <v>50</v>
      </c>
      <c r="C2" s="20" t="s">
        <v>150</v>
      </c>
      <c r="D2" s="20" t="s">
        <v>68</v>
      </c>
      <c r="E2" s="20" t="s">
        <v>145</v>
      </c>
      <c r="F2" s="20" t="s">
        <v>146</v>
      </c>
      <c r="G2" s="20" t="s">
        <v>147</v>
      </c>
      <c r="H2" s="20" t="s">
        <v>151</v>
      </c>
      <c r="I2" s="20" t="s">
        <v>68</v>
      </c>
      <c r="J2" s="20" t="s">
        <v>145</v>
      </c>
      <c r="K2" s="20" t="s">
        <v>146</v>
      </c>
      <c r="L2" s="20" t="s">
        <v>147</v>
      </c>
      <c r="M2" s="20" t="s">
        <v>149</v>
      </c>
      <c r="N2" s="20" t="s">
        <v>68</v>
      </c>
      <c r="O2" s="20" t="s">
        <v>145</v>
      </c>
      <c r="P2" s="20" t="s">
        <v>146</v>
      </c>
      <c r="Q2" s="20" t="s">
        <v>147</v>
      </c>
      <c r="R2" s="20" t="s">
        <v>142</v>
      </c>
      <c r="S2" s="20" t="s">
        <v>68</v>
      </c>
      <c r="T2" s="20" t="s">
        <v>145</v>
      </c>
      <c r="U2" s="20" t="s">
        <v>146</v>
      </c>
      <c r="V2" s="22" t="s">
        <v>147</v>
      </c>
    </row>
    <row r="3" spans="1:22" x14ac:dyDescent="0.25">
      <c r="A3" s="9" t="s">
        <v>21</v>
      </c>
      <c r="B3" s="10">
        <v>1</v>
      </c>
      <c r="C3" s="10">
        <v>-1.2083934069489264</v>
      </c>
      <c r="D3" s="10">
        <v>0.97009025278123862</v>
      </c>
      <c r="E3" s="128">
        <f>AVERAGE(C3:C5)</f>
        <v>-2.1486911892213278</v>
      </c>
      <c r="F3" s="128">
        <f>STDEV(C3:C5)</f>
        <v>2.3097447441214065</v>
      </c>
      <c r="G3" s="10">
        <f>F3/SQRT(3)</f>
        <v>1.3335317497778174</v>
      </c>
      <c r="H3" s="10">
        <v>-0.513244096512946</v>
      </c>
      <c r="I3" s="10">
        <v>0.90180500793116192</v>
      </c>
      <c r="J3" s="128">
        <f>AVERAGE(H3:H5)</f>
        <v>-1.5608476223908181</v>
      </c>
      <c r="K3" s="128">
        <f>STDEV(H3:H5)</f>
        <v>2.0752972606684619</v>
      </c>
      <c r="L3" s="10">
        <f>K3/SQRT(3)</f>
        <v>1.1981734320954296</v>
      </c>
      <c r="M3" s="10">
        <v>-0.60379199984072185</v>
      </c>
      <c r="N3" s="10">
        <v>0.97607442973396075</v>
      </c>
      <c r="O3" s="128">
        <f>AVERAGE(M3:M5)</f>
        <v>-1.198891003250655</v>
      </c>
      <c r="P3" s="128">
        <f>STDEV(M3:M5)</f>
        <v>1.2060811471457411</v>
      </c>
      <c r="Q3" s="10">
        <f>P3/SQRT(3)</f>
        <v>0.69633127496912628</v>
      </c>
      <c r="R3" s="10">
        <v>-0.57444649365145428</v>
      </c>
      <c r="S3" s="10">
        <v>0.97829862877649132</v>
      </c>
      <c r="T3" s="10">
        <f>AVERAGE(R3:R5)</f>
        <v>-1.1300090573142574</v>
      </c>
      <c r="U3" s="10">
        <f>STDEV(R3:R5)</f>
        <v>1.1050222139406836</v>
      </c>
      <c r="V3" s="32">
        <f>U3/SQRT(3)</f>
        <v>0.63798487267916992</v>
      </c>
    </row>
    <row r="4" spans="1:22" x14ac:dyDescent="0.25">
      <c r="A4" s="11" t="s">
        <v>21</v>
      </c>
      <c r="B4" s="12">
        <v>2</v>
      </c>
      <c r="C4" s="12">
        <v>-4.7802749841856924</v>
      </c>
      <c r="D4" s="12">
        <v>0.99987595023435372</v>
      </c>
      <c r="E4" s="85"/>
      <c r="F4" s="85"/>
      <c r="G4" s="12"/>
      <c r="H4" s="12">
        <v>-3.951131064737353</v>
      </c>
      <c r="I4" s="12">
        <v>0.99759839049927135</v>
      </c>
      <c r="J4" s="85"/>
      <c r="K4" s="85"/>
      <c r="L4" s="12"/>
      <c r="M4" s="12">
        <v>-2.5868645580678797</v>
      </c>
      <c r="N4" s="12">
        <v>0.92308567335251912</v>
      </c>
      <c r="O4" s="85"/>
      <c r="P4" s="85"/>
      <c r="Q4" s="12"/>
      <c r="R4" s="12">
        <v>-2.4025700995422405</v>
      </c>
      <c r="S4" s="12">
        <v>0.91304507126130585</v>
      </c>
      <c r="T4" s="12"/>
      <c r="U4" s="12"/>
      <c r="V4" s="33"/>
    </row>
    <row r="5" spans="1:22" ht="15.75" thickBot="1" x14ac:dyDescent="0.3">
      <c r="A5" s="13" t="s">
        <v>21</v>
      </c>
      <c r="B5" s="14">
        <v>3</v>
      </c>
      <c r="C5" s="14">
        <v>-0.45740517652936458</v>
      </c>
      <c r="D5" s="14">
        <v>0.99367663107124871</v>
      </c>
      <c r="E5" s="60"/>
      <c r="F5" s="60"/>
      <c r="G5" s="14"/>
      <c r="H5" s="14">
        <v>-0.21816770592215559</v>
      </c>
      <c r="I5" s="14">
        <v>0.93727295899837082</v>
      </c>
      <c r="J5" s="60"/>
      <c r="K5" s="60"/>
      <c r="L5" s="14"/>
      <c r="M5" s="14">
        <v>-0.40601645184336332</v>
      </c>
      <c r="N5" s="14">
        <v>0.93672916229932024</v>
      </c>
      <c r="O5" s="60"/>
      <c r="P5" s="60"/>
      <c r="Q5" s="14"/>
      <c r="R5" s="14">
        <v>-0.41301057874907715</v>
      </c>
      <c r="S5" s="14">
        <v>0.9245187137813885</v>
      </c>
      <c r="T5" s="14"/>
      <c r="U5" s="14"/>
      <c r="V5" s="34"/>
    </row>
    <row r="6" spans="1:22" x14ac:dyDescent="0.25">
      <c r="A6" s="47" t="s">
        <v>24</v>
      </c>
      <c r="B6" s="48">
        <v>1</v>
      </c>
      <c r="C6" s="48">
        <v>-1.3633512822939895</v>
      </c>
      <c r="D6" s="48">
        <v>0.995639173592896</v>
      </c>
      <c r="E6" s="48">
        <f>AVERAGE(C6:C8)</f>
        <v>-3.2494398403817839</v>
      </c>
      <c r="F6" s="48">
        <f>STDEV(C6:C8)</f>
        <v>1.8347302994094739</v>
      </c>
      <c r="G6" s="48">
        <f>F6/SQRT(3)</f>
        <v>1.0592820322544225</v>
      </c>
      <c r="H6" s="48">
        <v>-1.2367985729455053</v>
      </c>
      <c r="I6" s="48">
        <v>0.99914601511203327</v>
      </c>
      <c r="J6" s="48">
        <f>AVERAGE(H6:H8)</f>
        <v>-3.110125912713356</v>
      </c>
      <c r="K6" s="48">
        <f>STDEV(H6:H8)</f>
        <v>1.7595059285958028</v>
      </c>
      <c r="L6" s="48">
        <f>K6/SQRT(3)</f>
        <v>1.0158512215155293</v>
      </c>
      <c r="M6" s="48">
        <v>-1.9341277740096543</v>
      </c>
      <c r="N6" s="48">
        <v>0.96313186134487627</v>
      </c>
      <c r="O6" s="48">
        <f>AVERAGE(M6:M8)</f>
        <v>-2.4941425387748839</v>
      </c>
      <c r="P6" s="48">
        <f>STDEV(M6:M8)</f>
        <v>0.48756618805073704</v>
      </c>
      <c r="Q6" s="48">
        <f>P6/SQRT(3)</f>
        <v>0.28149646991885274</v>
      </c>
      <c r="R6" s="48">
        <v>-1.9986515570977872</v>
      </c>
      <c r="S6" s="48">
        <v>0.96090221615689941</v>
      </c>
      <c r="T6" s="48">
        <f>AVERAGE(R6:R8)</f>
        <v>-2.4208996260744144</v>
      </c>
      <c r="U6" s="48">
        <f>STDEV(R6:R8)</f>
        <v>0.36651854429718356</v>
      </c>
      <c r="V6" s="49">
        <f>U6/SQRT(3)</f>
        <v>0.21160958021296872</v>
      </c>
    </row>
    <row r="7" spans="1:22" x14ac:dyDescent="0.25">
      <c r="A7" s="50" t="s">
        <v>24</v>
      </c>
      <c r="B7" s="51">
        <v>2</v>
      </c>
      <c r="C7" s="51">
        <v>-3.3568779114192409</v>
      </c>
      <c r="D7" s="51">
        <v>0.99989207999148144</v>
      </c>
      <c r="E7" s="51"/>
      <c r="F7" s="51"/>
      <c r="G7" s="51"/>
      <c r="H7" s="51">
        <v>-3.3657281893862807</v>
      </c>
      <c r="I7" s="51">
        <v>0.999994012964739</v>
      </c>
      <c r="J7" s="51"/>
      <c r="K7" s="51"/>
      <c r="L7" s="51"/>
      <c r="M7" s="51">
        <v>-2.7240661397104735</v>
      </c>
      <c r="N7" s="51">
        <v>0.98395402735361437</v>
      </c>
      <c r="O7" s="51"/>
      <c r="P7" s="51"/>
      <c r="Q7" s="51"/>
      <c r="R7" s="51">
        <v>-2.6568383638222475</v>
      </c>
      <c r="S7" s="51">
        <v>0.98155299989879918</v>
      </c>
      <c r="T7" s="51"/>
      <c r="U7" s="51"/>
      <c r="V7" s="52"/>
    </row>
    <row r="8" spans="1:22" ht="15.75" thickBot="1" x14ac:dyDescent="0.3">
      <c r="A8" s="92" t="s">
        <v>24</v>
      </c>
      <c r="B8" s="53">
        <v>3</v>
      </c>
      <c r="C8" s="53">
        <v>-5.028090327432122</v>
      </c>
      <c r="D8" s="53">
        <v>0.99930336154636101</v>
      </c>
      <c r="E8" s="53"/>
      <c r="F8" s="53"/>
      <c r="G8" s="53"/>
      <c r="H8" s="53">
        <v>-4.7278509758082823</v>
      </c>
      <c r="I8" s="53">
        <v>0.99973410708962007</v>
      </c>
      <c r="J8" s="53"/>
      <c r="K8" s="53"/>
      <c r="L8" s="53"/>
      <c r="M8" s="53">
        <v>-2.8242337026045234</v>
      </c>
      <c r="N8" s="53">
        <v>0.88202866352849618</v>
      </c>
      <c r="O8" s="53"/>
      <c r="P8" s="53"/>
      <c r="Q8" s="53"/>
      <c r="R8" s="53">
        <v>-2.6072089573032082</v>
      </c>
      <c r="S8" s="53">
        <v>0.85674931525301135</v>
      </c>
      <c r="T8" s="53"/>
      <c r="U8" s="53"/>
      <c r="V8" s="54"/>
    </row>
    <row r="9" spans="1:22" x14ac:dyDescent="0.25">
      <c r="A9" s="9" t="s">
        <v>26</v>
      </c>
      <c r="B9" s="10">
        <v>1</v>
      </c>
      <c r="C9" s="10">
        <v>-4.2674079646550584</v>
      </c>
      <c r="D9" s="10">
        <v>0.99625753999345756</v>
      </c>
      <c r="E9" s="128">
        <f>AVERAGE(C9:C11)</f>
        <v>-1.7944613613182885</v>
      </c>
      <c r="F9" s="128">
        <f>STDEV(C9:C11)</f>
        <v>2.1543241090265557</v>
      </c>
      <c r="G9" s="10">
        <f>F9/SQRT(3)</f>
        <v>1.2437996042681827</v>
      </c>
      <c r="H9" s="10">
        <v>-4.0534695429084735</v>
      </c>
      <c r="I9" s="10">
        <v>0.99962744998355291</v>
      </c>
      <c r="J9" s="128">
        <f>AVERAGE(H9:H11)</f>
        <v>-1.5632027157551951</v>
      </c>
      <c r="K9" s="128">
        <f>STDEV(H9:H11)</f>
        <v>2.165169690443979</v>
      </c>
      <c r="L9" s="10">
        <f>K9/SQRT(3)</f>
        <v>1.25006130361905</v>
      </c>
      <c r="M9" s="10">
        <v>-2.4634827337595406</v>
      </c>
      <c r="N9" s="10">
        <v>0.89075362966243843</v>
      </c>
      <c r="O9" s="128">
        <f>AVERAGE(M9:M11)</f>
        <v>-1.250080071084074</v>
      </c>
      <c r="P9" s="128">
        <f>STDEV(M9:M11)</f>
        <v>1.0522312685022144</v>
      </c>
      <c r="Q9" s="10">
        <f>P9/SQRT(3)</f>
        <v>0.6075060061194949</v>
      </c>
      <c r="R9" s="10">
        <v>-2.2925474766618086</v>
      </c>
      <c r="S9" s="10">
        <v>0.86653208032060813</v>
      </c>
      <c r="T9" s="10">
        <f>AVERAGE(R9:R11)</f>
        <v>-1.2070672383985803</v>
      </c>
      <c r="U9" s="10">
        <f>STDEV(R9:R11)</f>
        <v>0.9407850512630348</v>
      </c>
      <c r="V9" s="32">
        <f>U9/SQRT(3)</f>
        <v>0.54316250259628907</v>
      </c>
    </row>
    <row r="10" spans="1:22" x14ac:dyDescent="0.25">
      <c r="A10" s="11" t="s">
        <v>26</v>
      </c>
      <c r="B10" s="12">
        <v>2</v>
      </c>
      <c r="C10" s="12">
        <v>-0.79146972813141259</v>
      </c>
      <c r="D10" s="12">
        <v>0.98990144891013476</v>
      </c>
      <c r="E10" s="85"/>
      <c r="F10" s="85"/>
      <c r="G10" s="12"/>
      <c r="H10" s="12">
        <v>-0.51013214502493875</v>
      </c>
      <c r="I10" s="12">
        <v>0.98219311083792726</v>
      </c>
      <c r="J10" s="85"/>
      <c r="K10" s="85"/>
      <c r="L10" s="12"/>
      <c r="M10" s="12">
        <v>-0.69751861481864741</v>
      </c>
      <c r="N10" s="12">
        <v>0.97715896857587548</v>
      </c>
      <c r="O10" s="85"/>
      <c r="P10" s="85"/>
      <c r="Q10" s="12"/>
      <c r="R10" s="12">
        <v>-0.70142161933091662</v>
      </c>
      <c r="S10" s="12">
        <v>0.97158859349151461</v>
      </c>
      <c r="T10" s="12"/>
      <c r="U10" s="12"/>
      <c r="V10" s="33"/>
    </row>
    <row r="11" spans="1:22" ht="15.75" thickBot="1" x14ac:dyDescent="0.3">
      <c r="A11" s="13" t="s">
        <v>26</v>
      </c>
      <c r="B11" s="14">
        <v>3</v>
      </c>
      <c r="C11" s="14">
        <v>-0.32450639116839486</v>
      </c>
      <c r="D11" s="14">
        <v>0.9945701998615516</v>
      </c>
      <c r="E11" s="60"/>
      <c r="F11" s="60"/>
      <c r="G11" s="14"/>
      <c r="H11" s="14">
        <v>-0.12600645933217305</v>
      </c>
      <c r="I11" s="14">
        <v>0.87772376180080802</v>
      </c>
      <c r="J11" s="60"/>
      <c r="K11" s="60"/>
      <c r="L11" s="14"/>
      <c r="M11" s="14">
        <v>-0.58923886467403386</v>
      </c>
      <c r="N11" s="14">
        <v>0.84546689427747546</v>
      </c>
      <c r="O11" s="60"/>
      <c r="P11" s="60"/>
      <c r="Q11" s="14"/>
      <c r="R11" s="14">
        <v>-0.62723261920301587</v>
      </c>
      <c r="S11" s="14">
        <v>0.84183618010246419</v>
      </c>
      <c r="T11" s="14"/>
      <c r="U11" s="14"/>
      <c r="V11" s="34"/>
    </row>
    <row r="12" spans="1:22" x14ac:dyDescent="0.25">
      <c r="A12" s="47" t="s">
        <v>27</v>
      </c>
      <c r="B12" s="48">
        <v>1</v>
      </c>
      <c r="C12" s="48">
        <v>-0.56779705592901586</v>
      </c>
      <c r="D12" s="48">
        <v>0.9943826195063391</v>
      </c>
      <c r="E12" s="48">
        <f>AVERAGE(C12:C14)</f>
        <v>-3.4630578626492809</v>
      </c>
      <c r="F12" s="48">
        <f>STDEV(C12:C14)</f>
        <v>5.1889120064615106</v>
      </c>
      <c r="G12" s="48">
        <f>F12/SQRT(3)</f>
        <v>2.9958197437318344</v>
      </c>
      <c r="H12" s="48">
        <v>-0.40548902927560615</v>
      </c>
      <c r="I12" s="48">
        <v>0.99058886491344733</v>
      </c>
      <c r="J12" s="48">
        <f>AVERAGE(H12:H14)</f>
        <v>-1.4769776621103581</v>
      </c>
      <c r="K12" s="48">
        <f>STDEV(H12:H14)</f>
        <v>2.0804838881147711</v>
      </c>
      <c r="L12" s="48">
        <f>K12/SQRT(3)</f>
        <v>1.2011679328477425</v>
      </c>
      <c r="M12" s="48">
        <v>-0.47672476854909118</v>
      </c>
      <c r="N12" s="48">
        <v>0.9919549844037322</v>
      </c>
      <c r="O12" s="48">
        <f>AVERAGE(M12:M14)</f>
        <v>-0.95110791816038509</v>
      </c>
      <c r="P12" s="48">
        <f>STDEV(M12:M14)</f>
        <v>1.1126294420196208</v>
      </c>
      <c r="Q12" s="48">
        <f>P12/SQRT(3)</f>
        <v>0.64237690785833124</v>
      </c>
      <c r="R12" s="48">
        <v>-0.47519178199417694</v>
      </c>
      <c r="S12" s="48">
        <v>0.9897753351057117</v>
      </c>
      <c r="T12" s="48">
        <f>AVERAGE(R12:R14)</f>
        <v>-0.79904116975226769</v>
      </c>
      <c r="U12" s="48">
        <f>STDEV(R12:R14)</f>
        <v>0.86458409054808483</v>
      </c>
      <c r="V12" s="49">
        <f>U12/SQRT(3)</f>
        <v>0.49916785741500458</v>
      </c>
    </row>
    <row r="13" spans="1:22" x14ac:dyDescent="0.25">
      <c r="A13" s="50" t="s">
        <v>27</v>
      </c>
      <c r="B13" s="51">
        <v>2</v>
      </c>
      <c r="C13" s="51">
        <v>-0.36779200298484849</v>
      </c>
      <c r="D13" s="51">
        <v>0.99063233037529175</v>
      </c>
      <c r="E13" s="51"/>
      <c r="F13" s="51"/>
      <c r="G13" s="51"/>
      <c r="H13" s="51">
        <v>-0.1506405380465205</v>
      </c>
      <c r="I13" s="51">
        <v>0.89396281487816498</v>
      </c>
      <c r="J13" s="51"/>
      <c r="K13" s="51"/>
      <c r="L13" s="51"/>
      <c r="M13" s="51">
        <v>-0.15429526387770573</v>
      </c>
      <c r="N13" s="51">
        <v>0.97483771277897613</v>
      </c>
      <c r="O13" s="51"/>
      <c r="P13" s="51"/>
      <c r="Q13" s="51"/>
      <c r="R13" s="51">
        <v>-0.14313530039379779</v>
      </c>
      <c r="S13" s="51">
        <v>0.99042255784524713</v>
      </c>
      <c r="T13" s="51"/>
      <c r="U13" s="51"/>
      <c r="V13" s="52"/>
    </row>
    <row r="14" spans="1:22" ht="15.75" thickBot="1" x14ac:dyDescent="0.3">
      <c r="A14" s="92" t="s">
        <v>27</v>
      </c>
      <c r="B14" s="53">
        <v>3</v>
      </c>
      <c r="C14" s="53">
        <v>-9.4535845290339786</v>
      </c>
      <c r="D14" s="53">
        <v>0.99928300459929531</v>
      </c>
      <c r="E14" s="53"/>
      <c r="F14" s="53"/>
      <c r="G14" s="53"/>
      <c r="H14" s="53">
        <v>-3.8748034190089475</v>
      </c>
      <c r="I14" s="53">
        <v>0.89625518821193906</v>
      </c>
      <c r="J14" s="53"/>
      <c r="K14" s="53"/>
      <c r="L14" s="53"/>
      <c r="M14" s="53">
        <v>-2.2223037220543587</v>
      </c>
      <c r="N14" s="53">
        <v>0.80534484143300911</v>
      </c>
      <c r="O14" s="53"/>
      <c r="P14" s="53"/>
      <c r="Q14" s="53"/>
      <c r="R14" s="53">
        <v>-1.7787964268688283</v>
      </c>
      <c r="S14" s="53">
        <v>0.8414082295450005</v>
      </c>
      <c r="T14" s="53"/>
      <c r="U14" s="53"/>
      <c r="V14" s="54"/>
    </row>
    <row r="15" spans="1:22" x14ac:dyDescent="0.25">
      <c r="A15" s="15" t="s">
        <v>28</v>
      </c>
      <c r="B15" s="10">
        <v>1</v>
      </c>
      <c r="C15" s="10">
        <v>-0.7995171847474043</v>
      </c>
      <c r="D15" s="10">
        <v>0.99516307529723591</v>
      </c>
      <c r="E15" s="128">
        <f>AVERAGE(C15:C17)</f>
        <v>-3.684404144200951</v>
      </c>
      <c r="F15" s="128">
        <f>STDEV(C15:C17)</f>
        <v>5.473050487596594</v>
      </c>
      <c r="G15" s="10">
        <f>F15/SQRT(3)</f>
        <v>3.1598671723023064</v>
      </c>
      <c r="H15" s="10">
        <v>-0.64804153123884389</v>
      </c>
      <c r="I15" s="10">
        <v>0.99657173029134505</v>
      </c>
      <c r="J15" s="128">
        <f>AVERAGE(H15:H17)</f>
        <v>-1.5789139079297534</v>
      </c>
      <c r="K15" s="128">
        <f>STDEV(H15:H17)</f>
        <v>2.120347111280203</v>
      </c>
      <c r="L15" s="10">
        <f>K15/SQRT(3)</f>
        <v>1.2241829754730706</v>
      </c>
      <c r="M15" s="10">
        <v>-0.64701894275658567</v>
      </c>
      <c r="N15" s="10">
        <v>0.99921862410943707</v>
      </c>
      <c r="O15" s="128">
        <f>AVERAGE(M15:M17)</f>
        <v>-0.97570589499271954</v>
      </c>
      <c r="P15" s="128">
        <f>STDEV(M15:M17)</f>
        <v>1.0942973353303413</v>
      </c>
      <c r="Q15" s="10">
        <f>P15/SQRT(3)</f>
        <v>0.63179286112646282</v>
      </c>
      <c r="R15" s="10">
        <v>-0.64060082399180895</v>
      </c>
      <c r="S15" s="10">
        <v>0.9994558972817148</v>
      </c>
      <c r="T15" s="10">
        <f>AVERAGE(R15:R17)</f>
        <v>-0.80946427667543885</v>
      </c>
      <c r="U15" s="10">
        <f>STDEV(R15:R17)</f>
        <v>0.83094634457552086</v>
      </c>
      <c r="V15" s="32">
        <f>U15/SQRT(3)</f>
        <v>0.47974709572281254</v>
      </c>
    </row>
    <row r="16" spans="1:22" x14ac:dyDescent="0.25">
      <c r="A16" s="16" t="s">
        <v>28</v>
      </c>
      <c r="B16" s="12">
        <v>2</v>
      </c>
      <c r="C16" s="12">
        <v>-9.9963806675739502</v>
      </c>
      <c r="D16" s="12">
        <v>0.99987601377760749</v>
      </c>
      <c r="E16" s="85"/>
      <c r="F16" s="85"/>
      <c r="G16" s="12"/>
      <c r="H16" s="12">
        <v>-4.0054669556310358</v>
      </c>
      <c r="I16" s="12">
        <v>0.88848399079727247</v>
      </c>
      <c r="J16" s="85"/>
      <c r="K16" s="85"/>
      <c r="L16" s="12"/>
      <c r="M16" s="12">
        <v>-2.1966762322511686</v>
      </c>
      <c r="N16" s="12">
        <v>0.77346357431274881</v>
      </c>
      <c r="O16" s="85"/>
      <c r="P16" s="85"/>
      <c r="Q16" s="12"/>
      <c r="R16" s="12">
        <v>-1.711872578674676</v>
      </c>
      <c r="S16" s="12">
        <v>0.80773166604261948</v>
      </c>
      <c r="T16" s="12"/>
      <c r="U16" s="12"/>
      <c r="V16" s="33"/>
    </row>
    <row r="17" spans="1:22" ht="15.75" thickBot="1" x14ac:dyDescent="0.3">
      <c r="A17" s="55" t="s">
        <v>28</v>
      </c>
      <c r="B17" s="14">
        <v>3</v>
      </c>
      <c r="C17" s="14">
        <v>-0.25731458028149762</v>
      </c>
      <c r="D17" s="14">
        <v>0.96061579043277423</v>
      </c>
      <c r="E17" s="60"/>
      <c r="F17" s="60"/>
      <c r="G17" s="14"/>
      <c r="H17" s="14">
        <v>-8.3233236919379727E-2</v>
      </c>
      <c r="I17" s="14">
        <v>0.7897928444345681</v>
      </c>
      <c r="J17" s="60"/>
      <c r="K17" s="60"/>
      <c r="L17" s="14"/>
      <c r="M17" s="14">
        <v>-8.3422509970404207E-2</v>
      </c>
      <c r="N17" s="14">
        <v>0.94337963159853999</v>
      </c>
      <c r="O17" s="60"/>
      <c r="P17" s="60"/>
      <c r="Q17" s="14"/>
      <c r="R17" s="14">
        <v>-7.5919427359831815E-2</v>
      </c>
      <c r="S17" s="14">
        <v>0.95558909049612872</v>
      </c>
      <c r="T17" s="14"/>
      <c r="U17" s="14"/>
      <c r="V17" s="34"/>
    </row>
    <row r="18" spans="1:22" x14ac:dyDescent="0.25">
      <c r="A18" s="47" t="s">
        <v>30</v>
      </c>
      <c r="B18" s="48">
        <v>1</v>
      </c>
      <c r="C18" s="48">
        <v>-3.8337423454306681</v>
      </c>
      <c r="D18" s="48">
        <v>0.99996194594705767</v>
      </c>
      <c r="E18" s="48">
        <f>AVERAGE(C18:C20)</f>
        <v>-2.040301520890115</v>
      </c>
      <c r="F18" s="48">
        <f>STDEV(C18:C20)</f>
        <v>1.8049648956298798</v>
      </c>
      <c r="G18" s="48">
        <f>F18/SQRT(3)</f>
        <v>1.0420969683697359</v>
      </c>
      <c r="H18" s="48">
        <v>-4.9958280288435795</v>
      </c>
      <c r="I18" s="48">
        <v>0.99667429746343228</v>
      </c>
      <c r="J18" s="48">
        <f>AVERAGE(H18:H20)</f>
        <v>-2.3639664915375804</v>
      </c>
      <c r="K18" s="48">
        <f>STDEV(H18:H20)</f>
        <v>2.4279651636685742</v>
      </c>
      <c r="L18" s="48">
        <f>K18/SQRT(3)</f>
        <v>1.4017863408270852</v>
      </c>
      <c r="M18" s="48">
        <v>-2.8419919968767977</v>
      </c>
      <c r="N18" s="48">
        <v>0.85435771928756865</v>
      </c>
      <c r="O18" s="48">
        <f>AVERAGE(M18:M20)</f>
        <v>-1.9008032627035376</v>
      </c>
      <c r="P18" s="48">
        <f>STDEV(M18:M20)</f>
        <v>1.4374468771382953</v>
      </c>
      <c r="Q18" s="48">
        <f>P18/SQRT(3)</f>
        <v>0.82991034146158182</v>
      </c>
      <c r="R18" s="48">
        <v>-2.6703841807988455</v>
      </c>
      <c r="S18" s="48">
        <v>0.81484084032233817</v>
      </c>
      <c r="T18" s="48">
        <f>AVERAGE(R18:R20)</f>
        <v>-1.867111434858435</v>
      </c>
      <c r="U18" s="48">
        <f>STDEV(R18:R20)</f>
        <v>1.4003093609806421</v>
      </c>
      <c r="V18" s="49">
        <f>U18/SQRT(3)</f>
        <v>0.80846898651092658</v>
      </c>
    </row>
    <row r="19" spans="1:22" x14ac:dyDescent="0.25">
      <c r="A19" s="50" t="s">
        <v>30</v>
      </c>
      <c r="B19" s="51">
        <v>2</v>
      </c>
      <c r="C19" s="51">
        <v>-2.0631330544661077</v>
      </c>
      <c r="D19" s="51">
        <v>0.99749345311474824</v>
      </c>
      <c r="E19" s="51"/>
      <c r="F19" s="51"/>
      <c r="G19" s="51"/>
      <c r="H19" s="51">
        <v>-1.8846918483776924</v>
      </c>
      <c r="I19" s="51">
        <v>0.99927227834801691</v>
      </c>
      <c r="J19" s="51"/>
      <c r="K19" s="51"/>
      <c r="L19" s="51"/>
      <c r="M19" s="51">
        <v>-2.6142174891641159</v>
      </c>
      <c r="N19" s="51">
        <v>0.97763414422787598</v>
      </c>
      <c r="O19" s="51"/>
      <c r="P19" s="51"/>
      <c r="Q19" s="51"/>
      <c r="R19" s="51">
        <v>-2.6807655531585386</v>
      </c>
      <c r="S19" s="51">
        <v>0.97569348317861704</v>
      </c>
      <c r="T19" s="51"/>
      <c r="U19" s="51"/>
      <c r="V19" s="52"/>
    </row>
    <row r="20" spans="1:22" ht="15.75" thickBot="1" x14ac:dyDescent="0.3">
      <c r="A20" s="92" t="s">
        <v>30</v>
      </c>
      <c r="B20" s="53">
        <v>3</v>
      </c>
      <c r="C20" s="53">
        <v>-0.22402916277356916</v>
      </c>
      <c r="D20" s="53">
        <v>0.9745232375863343</v>
      </c>
      <c r="E20" s="53"/>
      <c r="F20" s="53"/>
      <c r="G20" s="53"/>
      <c r="H20" s="53">
        <v>-0.2113795973914695</v>
      </c>
      <c r="I20" s="53">
        <v>0.99806410254289091</v>
      </c>
      <c r="J20" s="53"/>
      <c r="K20" s="53"/>
      <c r="L20" s="53"/>
      <c r="M20" s="53">
        <v>-0.24620030206969892</v>
      </c>
      <c r="N20" s="53">
        <v>0.99386934552684192</v>
      </c>
      <c r="O20" s="53"/>
      <c r="P20" s="53"/>
      <c r="Q20" s="53"/>
      <c r="R20" s="53">
        <v>-0.25018457061792104</v>
      </c>
      <c r="S20" s="53">
        <v>0.9935902184494726</v>
      </c>
      <c r="T20" s="53"/>
      <c r="U20" s="53"/>
      <c r="V20" s="54"/>
    </row>
    <row r="21" spans="1:22" x14ac:dyDescent="0.25">
      <c r="A21" s="15" t="s">
        <v>32</v>
      </c>
      <c r="B21" s="10">
        <v>1</v>
      </c>
      <c r="C21" s="10">
        <v>-0.36852158702487009</v>
      </c>
      <c r="D21" s="10">
        <v>0.90028310896453267</v>
      </c>
      <c r="E21" s="128">
        <f>AVERAGE(C21:C23)</f>
        <v>-0.79469138293356156</v>
      </c>
      <c r="F21" s="128">
        <f>STDEV(C21:C23)</f>
        <v>0.70562614378351818</v>
      </c>
      <c r="G21" s="10">
        <f>F21/SQRT(3)</f>
        <v>0.40739344406065181</v>
      </c>
      <c r="H21" s="10">
        <v>-0.41282775540478028</v>
      </c>
      <c r="I21" s="10">
        <v>0.99416859894690046</v>
      </c>
      <c r="J21" s="128">
        <f>AVERAGE(H21:H23)</f>
        <v>-0.85838159978430106</v>
      </c>
      <c r="K21" s="128">
        <f>STDEV(H21:H23)</f>
        <v>0.74964686986969886</v>
      </c>
      <c r="L21" s="10">
        <f>K21/SQRT(3)</f>
        <v>0.43280882211643101</v>
      </c>
      <c r="M21" s="10">
        <v>-0.24897084473102574</v>
      </c>
      <c r="N21" s="10">
        <v>0.88404434333948445</v>
      </c>
      <c r="O21" s="128">
        <f>AVERAGE(M21:M23)</f>
        <v>-0.996425802457377</v>
      </c>
      <c r="P21" s="128">
        <f>STDEV(M21:M23)</f>
        <v>1.2311675459684011</v>
      </c>
      <c r="Q21" s="10">
        <f>P21/SQRT(3)</f>
        <v>0.71081491408238739</v>
      </c>
      <c r="R21" s="10">
        <v>-0.2367183938993225</v>
      </c>
      <c r="S21" s="10">
        <v>0.85262529677838372</v>
      </c>
      <c r="T21" s="10">
        <f>AVERAGE(R21:R23)</f>
        <v>-1.0153101164703031</v>
      </c>
      <c r="U21" s="10">
        <f>STDEV(R21:R23)</f>
        <v>1.285093649558559</v>
      </c>
      <c r="V21" s="32">
        <f>U21/SQRT(3)</f>
        <v>0.74194916450651272</v>
      </c>
    </row>
    <row r="22" spans="1:22" x14ac:dyDescent="0.25">
      <c r="A22" s="16" t="s">
        <v>32</v>
      </c>
      <c r="B22" s="12">
        <v>2</v>
      </c>
      <c r="C22" s="12">
        <v>-0.40636732386934399</v>
      </c>
      <c r="D22" s="12">
        <v>0.97983945849786802</v>
      </c>
      <c r="E22" s="12"/>
      <c r="F22" s="12"/>
      <c r="G22" s="12"/>
      <c r="H22" s="12">
        <v>-0.43844415437021705</v>
      </c>
      <c r="I22" s="12">
        <v>0.99862464679775875</v>
      </c>
      <c r="J22" s="12"/>
      <c r="K22" s="12"/>
      <c r="L22" s="12"/>
      <c r="M22" s="12">
        <v>-0.32289168989576522</v>
      </c>
      <c r="N22" s="12">
        <v>0.9631521461711815</v>
      </c>
      <c r="O22" s="12"/>
      <c r="P22" s="12"/>
      <c r="Q22" s="12"/>
      <c r="R22" s="12">
        <v>-0.31061699915788205</v>
      </c>
      <c r="S22" s="12">
        <v>0.95637960274566536</v>
      </c>
      <c r="T22" s="12"/>
      <c r="U22" s="12"/>
      <c r="V22" s="33"/>
    </row>
    <row r="23" spans="1:22" ht="15.75" thickBot="1" x14ac:dyDescent="0.3">
      <c r="A23" s="55" t="s">
        <v>32</v>
      </c>
      <c r="B23" s="14">
        <v>3</v>
      </c>
      <c r="C23" s="14">
        <v>-1.6091852379064708</v>
      </c>
      <c r="D23" s="14">
        <v>0.99978343724048457</v>
      </c>
      <c r="E23" s="14"/>
      <c r="F23" s="14"/>
      <c r="G23" s="14"/>
      <c r="H23" s="14">
        <v>-1.7238728895779059</v>
      </c>
      <c r="I23" s="14">
        <v>0.99971330640341016</v>
      </c>
      <c r="J23" s="14"/>
      <c r="K23" s="14"/>
      <c r="L23" s="14"/>
      <c r="M23" s="14">
        <v>-2.4174148727453404</v>
      </c>
      <c r="N23" s="14">
        <v>0.97633207489759488</v>
      </c>
      <c r="O23" s="14"/>
      <c r="P23" s="14"/>
      <c r="Q23" s="14"/>
      <c r="R23" s="14">
        <v>-2.4985949563537049</v>
      </c>
      <c r="S23" s="14">
        <v>0.97646911653471136</v>
      </c>
      <c r="T23" s="14"/>
      <c r="U23" s="14"/>
      <c r="V23" s="34"/>
    </row>
    <row r="24" spans="1:22" x14ac:dyDescent="0.25">
      <c r="A24" s="47" t="s">
        <v>34</v>
      </c>
      <c r="B24" s="48">
        <v>1</v>
      </c>
      <c r="C24" s="48">
        <v>-1.7619918261492828</v>
      </c>
      <c r="D24" s="48">
        <v>0.99808381327905382</v>
      </c>
      <c r="E24" s="48">
        <f>AVERAGE(C24:C26)</f>
        <v>-0.95764049627276282</v>
      </c>
      <c r="F24" s="48">
        <f>STDEV(C24:C26)</f>
        <v>0.8108726157916073</v>
      </c>
      <c r="G24" s="48">
        <f>F24/SQRT(3)</f>
        <v>0.46815752300578051</v>
      </c>
      <c r="H24" s="48">
        <v>-2.8139759680139154</v>
      </c>
      <c r="I24" s="48">
        <v>0.99124539487272822</v>
      </c>
      <c r="J24" s="48">
        <f>AVERAGE(H24:H26)</f>
        <v>-1.3326560414793855</v>
      </c>
      <c r="K24" s="48">
        <f>STDEV(H24:H26)</f>
        <v>1.3136575405787754</v>
      </c>
      <c r="L24" s="48">
        <f>K24/SQRT(3)</f>
        <v>0.7584405346761377</v>
      </c>
      <c r="M24" s="48">
        <v>-2.6893595034190572</v>
      </c>
      <c r="N24" s="48">
        <v>0.99718093335389424</v>
      </c>
      <c r="O24" s="48">
        <f>AVERAGE(M24:M26)</f>
        <v>-1.2558778648572817</v>
      </c>
      <c r="P24" s="48">
        <f>STDEV(M24:M26)</f>
        <v>1.2642665634443437</v>
      </c>
      <c r="Q24" s="48">
        <f>P24/SQRT(3)</f>
        <v>0.729924640732035</v>
      </c>
      <c r="R24" s="48">
        <v>-2.7328354625693665</v>
      </c>
      <c r="S24" s="48">
        <v>0.99767168396607397</v>
      </c>
      <c r="T24" s="48">
        <f>AVERAGE(R24:R26)</f>
        <v>-1.2678160233879243</v>
      </c>
      <c r="U24" s="48">
        <f>STDEV(R24:R26)</f>
        <v>1.289160392402803</v>
      </c>
      <c r="V24" s="49">
        <f>U24/SQRT(3)</f>
        <v>0.7442970995823619</v>
      </c>
    </row>
    <row r="25" spans="1:22" x14ac:dyDescent="0.25">
      <c r="A25" s="50" t="s">
        <v>34</v>
      </c>
      <c r="B25" s="51">
        <v>2</v>
      </c>
      <c r="C25" s="51">
        <v>-0.97052940779836905</v>
      </c>
      <c r="D25" s="51">
        <v>0.99845751742138533</v>
      </c>
      <c r="E25" s="51"/>
      <c r="F25" s="51"/>
      <c r="G25" s="51"/>
      <c r="H25" s="51">
        <v>-0.87477618776418731</v>
      </c>
      <c r="I25" s="51">
        <v>0.99913491119557374</v>
      </c>
      <c r="J25" s="51"/>
      <c r="K25" s="51"/>
      <c r="L25" s="51"/>
      <c r="M25" s="51">
        <v>-0.77833933940539723</v>
      </c>
      <c r="N25" s="51">
        <v>0.99526300495098019</v>
      </c>
      <c r="O25" s="51"/>
      <c r="P25" s="51"/>
      <c r="Q25" s="51"/>
      <c r="R25" s="51">
        <v>-0.76382993376907082</v>
      </c>
      <c r="S25" s="51">
        <v>0.99536707382867318</v>
      </c>
      <c r="T25" s="51"/>
      <c r="U25" s="51"/>
      <c r="V25" s="52"/>
    </row>
    <row r="26" spans="1:22" ht="15.75" thickBot="1" x14ac:dyDescent="0.3">
      <c r="A26" s="92" t="s">
        <v>34</v>
      </c>
      <c r="B26" s="53">
        <v>3</v>
      </c>
      <c r="C26" s="53">
        <v>-0.14040025487063673</v>
      </c>
      <c r="D26" s="53">
        <v>0.92565508525876194</v>
      </c>
      <c r="E26" s="53"/>
      <c r="F26" s="53"/>
      <c r="G26" s="53"/>
      <c r="H26" s="53">
        <v>-0.30921596866005441</v>
      </c>
      <c r="I26" s="53">
        <v>0.98056872780609239</v>
      </c>
      <c r="J26" s="53"/>
      <c r="K26" s="53"/>
      <c r="L26" s="53"/>
      <c r="M26" s="53">
        <v>-0.29993475174739076</v>
      </c>
      <c r="N26" s="53">
        <v>0.99496064410388274</v>
      </c>
      <c r="O26" s="53"/>
      <c r="P26" s="53"/>
      <c r="Q26" s="53"/>
      <c r="R26" s="53">
        <v>-0.30678267382533542</v>
      </c>
      <c r="S26" s="53">
        <v>0.99611938560457192</v>
      </c>
      <c r="T26" s="53"/>
      <c r="U26" s="53"/>
      <c r="V26" s="54"/>
    </row>
    <row r="27" spans="1:22" x14ac:dyDescent="0.25">
      <c r="A27" s="15" t="s">
        <v>35</v>
      </c>
      <c r="B27" s="128">
        <v>1</v>
      </c>
      <c r="C27" s="128">
        <v>-0.8510044637116807</v>
      </c>
      <c r="D27" s="128">
        <v>0.99947732119880128</v>
      </c>
      <c r="E27" s="128">
        <f>AVERAGE(C27:C29)</f>
        <v>-0.52278375889589646</v>
      </c>
      <c r="F27" s="128">
        <f>STDEV(C27:C29)</f>
        <v>0.95970801053530719</v>
      </c>
      <c r="G27" s="10">
        <f>F27/SQRT(3)</f>
        <v>0.5540876782259998</v>
      </c>
      <c r="H27" s="128">
        <v>-0.97503268154455491</v>
      </c>
      <c r="I27" s="128">
        <v>0.99896013150078022</v>
      </c>
      <c r="J27" s="128">
        <f>AVERAGE(H27:H29)</f>
        <v>-1.1952697945656872</v>
      </c>
      <c r="K27" s="128">
        <f>STDEV(H27:H29)</f>
        <v>1.2696712329608382</v>
      </c>
      <c r="L27" s="10">
        <f>K27/SQRT(3)</f>
        <v>0.73304502813226402</v>
      </c>
      <c r="M27" s="10">
        <v>-1.3767231772064508</v>
      </c>
      <c r="N27" s="10">
        <v>0.97548108500394271</v>
      </c>
      <c r="O27" s="128">
        <f>AVERAGE(M27:M29)</f>
        <v>-1.4267054504238448</v>
      </c>
      <c r="P27" s="128">
        <f>STDEV(M27:M29)</f>
        <v>1.376418685669943</v>
      </c>
      <c r="Q27" s="10">
        <f>P27/SQRT(3)</f>
        <v>0.79467569868917254</v>
      </c>
      <c r="R27" s="10">
        <v>-1.4262428651412355</v>
      </c>
      <c r="S27" s="10">
        <v>0.97620205651245884</v>
      </c>
      <c r="T27" s="10">
        <f>AVERAGE(R27:R29)</f>
        <v>-1.4899921206716085</v>
      </c>
      <c r="U27" s="10">
        <f>STDEV(R27:R29)</f>
        <v>1.4031039571728479</v>
      </c>
      <c r="V27" s="32">
        <f>U27/SQRT(3)</f>
        <v>0.81008244737477286</v>
      </c>
    </row>
    <row r="28" spans="1:22" x14ac:dyDescent="0.25">
      <c r="A28" s="16" t="s">
        <v>35</v>
      </c>
      <c r="B28" s="85">
        <v>2</v>
      </c>
      <c r="C28" s="85">
        <v>-1.2753210171777993</v>
      </c>
      <c r="D28" s="85">
        <v>0.99983560148422801</v>
      </c>
      <c r="E28" s="85"/>
      <c r="F28" s="85"/>
      <c r="G28" s="85"/>
      <c r="H28" s="85">
        <v>-2.56065196894478</v>
      </c>
      <c r="I28" s="85">
        <v>0.98445514642093379</v>
      </c>
      <c r="J28" s="85"/>
      <c r="K28" s="85"/>
      <c r="L28" s="85"/>
      <c r="M28" s="12">
        <v>-2.8274344717818094</v>
      </c>
      <c r="N28" s="12">
        <v>0.99447686746432973</v>
      </c>
      <c r="O28" s="85"/>
      <c r="P28" s="85"/>
      <c r="Q28" s="85"/>
      <c r="R28" s="12">
        <v>-2.9238841302650647</v>
      </c>
      <c r="S28" s="12">
        <v>0.99837684388889825</v>
      </c>
      <c r="T28" s="12"/>
      <c r="U28" s="12"/>
      <c r="V28" s="33"/>
    </row>
    <row r="29" spans="1:22" ht="15.75" thickBot="1" x14ac:dyDescent="0.3">
      <c r="A29" s="55" t="s">
        <v>35</v>
      </c>
      <c r="B29" s="60">
        <v>3</v>
      </c>
      <c r="C29" s="60">
        <v>0.55797420420179034</v>
      </c>
      <c r="D29" s="60">
        <v>0.6913950494096901</v>
      </c>
      <c r="E29" s="60"/>
      <c r="F29" s="60"/>
      <c r="G29" s="60"/>
      <c r="H29" s="60">
        <v>-5.0124733207726202E-2</v>
      </c>
      <c r="I29" s="60">
        <v>7.3855626505290387E-2</v>
      </c>
      <c r="J29" s="60"/>
      <c r="K29" s="60"/>
      <c r="L29" s="60"/>
      <c r="M29" s="14">
        <v>-7.5958702283274199E-2</v>
      </c>
      <c r="N29" s="14">
        <v>0.4399088508649438</v>
      </c>
      <c r="O29" s="60"/>
      <c r="P29" s="60"/>
      <c r="Q29" s="60"/>
      <c r="R29" s="14">
        <v>-0.11984936660852526</v>
      </c>
      <c r="S29" s="14">
        <v>0.96456529927342161</v>
      </c>
      <c r="T29" s="14"/>
      <c r="U29" s="14"/>
      <c r="V29" s="34"/>
    </row>
    <row r="30" spans="1:22" x14ac:dyDescent="0.25">
      <c r="A30" s="47" t="s">
        <v>22</v>
      </c>
      <c r="B30" s="48">
        <v>1</v>
      </c>
      <c r="C30" s="48">
        <v>-11.207379444549005</v>
      </c>
      <c r="D30" s="48">
        <v>0.99929892394864661</v>
      </c>
      <c r="E30" s="48">
        <f>AVERAGE(C30:C32)</f>
        <v>-4.3589923887336317</v>
      </c>
      <c r="F30" s="48">
        <f>STDEV(C30:C32)</f>
        <v>5.9361048788676536</v>
      </c>
      <c r="G30" s="48">
        <f>F30/SQRT(3)</f>
        <v>3.4272117497520909</v>
      </c>
      <c r="H30" s="48">
        <v>-3.8609380265661075</v>
      </c>
      <c r="I30" s="48">
        <v>0.83440642867108072</v>
      </c>
      <c r="J30" s="48">
        <f>AVERAGE(H30:H32)</f>
        <v>-2.2840355918952877</v>
      </c>
      <c r="K30" s="48">
        <f>STDEV(H30:H32)</f>
        <v>1.4836942078411683</v>
      </c>
      <c r="L30" s="48">
        <f>K30/SQRT(3)</f>
        <v>0.8566112502921871</v>
      </c>
      <c r="M30" s="48">
        <v>-2.0989191866584691</v>
      </c>
      <c r="N30" s="48">
        <v>0.73483898285636995</v>
      </c>
      <c r="O30" s="48">
        <f>AVERAGE(M30:M32)</f>
        <v>-1.921806729403966</v>
      </c>
      <c r="P30" s="48">
        <f>STDEV(M30:M32)</f>
        <v>0.62005176858602429</v>
      </c>
      <c r="Q30" s="48">
        <f>P30/SQRT(3)</f>
        <v>0.35798705550464466</v>
      </c>
      <c r="R30" s="48">
        <v>-1.5451479272287891</v>
      </c>
      <c r="S30" s="48">
        <v>0.80311980864570698</v>
      </c>
      <c r="T30" s="48">
        <f>AVERAGE(R30:R32)</f>
        <v>-1.7791666456389728</v>
      </c>
      <c r="U30" s="48">
        <f>STDEV(R30:R32)</f>
        <v>0.65314857430278195</v>
      </c>
      <c r="V30" s="49">
        <f>U30/SQRT(3)</f>
        <v>0.37709550519453144</v>
      </c>
    </row>
    <row r="31" spans="1:22" x14ac:dyDescent="0.25">
      <c r="A31" s="50" t="s">
        <v>22</v>
      </c>
      <c r="B31" s="51">
        <v>2</v>
      </c>
      <c r="C31" s="51">
        <v>-0.68572621435168013</v>
      </c>
      <c r="D31" s="51">
        <v>0.98730657842120784</v>
      </c>
      <c r="E31" s="51"/>
      <c r="F31" s="51"/>
      <c r="G31" s="51"/>
      <c r="H31" s="51">
        <v>-0.91559942990324006</v>
      </c>
      <c r="I31" s="51">
        <v>0.99619058920952197</v>
      </c>
      <c r="J31" s="51"/>
      <c r="K31" s="51"/>
      <c r="L31" s="51"/>
      <c r="M31" s="51">
        <v>-1.2324696931266934</v>
      </c>
      <c r="N31" s="51">
        <v>0.98041241030590975</v>
      </c>
      <c r="O31" s="51"/>
      <c r="P31" s="51"/>
      <c r="Q31" s="51"/>
      <c r="R31" s="51">
        <v>-1.2752657941944106</v>
      </c>
      <c r="S31" s="51">
        <v>0.98188065561272453</v>
      </c>
      <c r="T31" s="51"/>
      <c r="U31" s="51"/>
      <c r="V31" s="52"/>
    </row>
    <row r="32" spans="1:22" ht="15.75" thickBot="1" x14ac:dyDescent="0.3">
      <c r="A32" s="92" t="s">
        <v>22</v>
      </c>
      <c r="B32" s="53">
        <v>3</v>
      </c>
      <c r="C32" s="53">
        <v>-1.1838715073002084</v>
      </c>
      <c r="D32" s="53">
        <v>0.99700028805453211</v>
      </c>
      <c r="E32" s="53"/>
      <c r="F32" s="53"/>
      <c r="G32" s="53"/>
      <c r="H32" s="53">
        <v>-2.0755693192165148</v>
      </c>
      <c r="I32" s="53">
        <v>0.9898994527051227</v>
      </c>
      <c r="J32" s="53"/>
      <c r="K32" s="53"/>
      <c r="L32" s="53"/>
      <c r="M32" s="53">
        <v>-2.4340313084267353</v>
      </c>
      <c r="N32" s="53">
        <v>0.99197739772652083</v>
      </c>
      <c r="O32" s="53"/>
      <c r="P32" s="53"/>
      <c r="Q32" s="53"/>
      <c r="R32" s="53">
        <v>-2.5170862154937188</v>
      </c>
      <c r="S32" s="53">
        <v>0.99549833921882169</v>
      </c>
      <c r="T32" s="53"/>
      <c r="U32" s="53"/>
      <c r="V32" s="54"/>
    </row>
    <row r="33" spans="1:22" x14ac:dyDescent="0.25">
      <c r="A33" s="15" t="s">
        <v>23</v>
      </c>
      <c r="B33" s="128">
        <v>1</v>
      </c>
      <c r="C33" s="128">
        <v>-7.0330761109625533</v>
      </c>
      <c r="D33" s="128">
        <v>0.99980013499849618</v>
      </c>
      <c r="E33" s="128">
        <f>AVERAGE(C33:C35)</f>
        <v>-3.8863973010309558</v>
      </c>
      <c r="F33" s="128">
        <f>STDEV(C33:C35)</f>
        <v>3.4154837531210407</v>
      </c>
      <c r="G33" s="10">
        <f>F33/SQRT(3)</f>
        <v>1.9719304642772262</v>
      </c>
      <c r="H33" s="128">
        <v>-4.2333861457013908</v>
      </c>
      <c r="I33" s="128">
        <v>0.97659307370988002</v>
      </c>
      <c r="J33" s="128">
        <f>AVERAGE(H33:H35)</f>
        <v>-2.7679489741018357</v>
      </c>
      <c r="K33" s="128">
        <f>STDEV(H33:H35)</f>
        <v>2.27673625153751</v>
      </c>
      <c r="L33" s="10">
        <f>K33/SQRT(3)</f>
        <v>1.314474287698961</v>
      </c>
      <c r="M33" s="10">
        <v>-2.3589420498588596</v>
      </c>
      <c r="N33" s="10">
        <v>0.83097641785823595</v>
      </c>
      <c r="O33" s="128">
        <f>AVERAGE(M33:M35)</f>
        <v>-1.6820311648909112</v>
      </c>
      <c r="P33" s="128">
        <f>STDEV(M33:M35)</f>
        <v>1.3217971599359011</v>
      </c>
      <c r="Q33" s="10">
        <f>P33/SQRT(3)</f>
        <v>0.76313994610307534</v>
      </c>
      <c r="R33" s="10">
        <v>-2.0233881091528216</v>
      </c>
      <c r="S33" s="10">
        <v>0.81799521610544979</v>
      </c>
      <c r="T33" s="10">
        <f>AVERAGE(R33:R35)</f>
        <v>-1.5146789309190749</v>
      </c>
      <c r="U33" s="10">
        <f>STDEV(R33:R35)</f>
        <v>1.1863797180282147</v>
      </c>
      <c r="V33" s="32">
        <f>U33/SQRT(3)</f>
        <v>0.68495664956470215</v>
      </c>
    </row>
    <row r="34" spans="1:22" x14ac:dyDescent="0.25">
      <c r="A34" s="16" t="s">
        <v>23</v>
      </c>
      <c r="B34" s="85">
        <v>2</v>
      </c>
      <c r="C34" s="85">
        <v>-0.25409247183400058</v>
      </c>
      <c r="D34" s="85">
        <v>0.66599243588609158</v>
      </c>
      <c r="E34" s="85"/>
      <c r="F34" s="85"/>
      <c r="G34" s="85"/>
      <c r="H34" s="85">
        <v>-0.14501918816177004</v>
      </c>
      <c r="I34" s="85">
        <v>0.89977244092087116</v>
      </c>
      <c r="J34" s="85"/>
      <c r="K34" s="85"/>
      <c r="L34" s="85"/>
      <c r="M34" s="12">
        <v>-0.15888526816433357</v>
      </c>
      <c r="N34" s="12">
        <v>0.97717832850970732</v>
      </c>
      <c r="O34" s="85"/>
      <c r="P34" s="85"/>
      <c r="Q34" s="85"/>
      <c r="R34" s="12">
        <v>-0.15877631092280944</v>
      </c>
      <c r="S34" s="12">
        <v>0.97112304719745302</v>
      </c>
      <c r="T34" s="12"/>
      <c r="U34" s="12"/>
      <c r="V34" s="33"/>
    </row>
    <row r="35" spans="1:22" ht="15.75" thickBot="1" x14ac:dyDescent="0.3">
      <c r="A35" s="55" t="s">
        <v>23</v>
      </c>
      <c r="B35" s="60">
        <v>3</v>
      </c>
      <c r="C35" s="60">
        <v>-4.3720233202963152</v>
      </c>
      <c r="D35" s="60">
        <v>0.99962008617379738</v>
      </c>
      <c r="E35" s="60"/>
      <c r="F35" s="60"/>
      <c r="G35" s="60"/>
      <c r="H35" s="60">
        <v>-3.9254415884423466</v>
      </c>
      <c r="I35" s="60">
        <v>0.99926031869200427</v>
      </c>
      <c r="J35" s="60"/>
      <c r="K35" s="60"/>
      <c r="L35" s="60"/>
      <c r="M35" s="14">
        <v>-2.5282661766495407</v>
      </c>
      <c r="N35" s="14">
        <v>0.91714345387784135</v>
      </c>
      <c r="O35" s="60"/>
      <c r="P35" s="60"/>
      <c r="Q35" s="60"/>
      <c r="R35" s="14">
        <v>-2.3618723726815936</v>
      </c>
      <c r="S35" s="14">
        <v>0.90217929868451685</v>
      </c>
      <c r="T35" s="14"/>
      <c r="U35" s="14"/>
      <c r="V35" s="34"/>
    </row>
    <row r="36" spans="1:22" x14ac:dyDescent="0.25">
      <c r="A36" s="47" t="s">
        <v>29</v>
      </c>
      <c r="B36" s="48">
        <v>1</v>
      </c>
      <c r="C36" s="48">
        <v>-12.319317762223244</v>
      </c>
      <c r="D36" s="48">
        <v>0.99927742973286338</v>
      </c>
      <c r="E36" s="48">
        <f>AVERAGE(C36:C38)</f>
        <v>-9.6911196827196715</v>
      </c>
      <c r="F36" s="48">
        <f>STDEV(C36:C38)</f>
        <v>3.2389316744192151</v>
      </c>
      <c r="G36" s="48">
        <f>F36/SQRT(3)</f>
        <v>1.8699980741127393</v>
      </c>
      <c r="H36" s="48">
        <v>-3.4719038160302214</v>
      </c>
      <c r="I36" s="48">
        <v>0.7218363270044782</v>
      </c>
      <c r="J36" s="48">
        <f>AVERAGE(H36:H38)</f>
        <v>-4.0920392703228083</v>
      </c>
      <c r="K36" s="48">
        <f>STDEV(H36:H38)</f>
        <v>0.75741909828239251</v>
      </c>
      <c r="L36" s="48">
        <f>K36/SQRT(3)</f>
        <v>0.43729612028270298</v>
      </c>
      <c r="M36" s="48">
        <v>-1.8705188124618115</v>
      </c>
      <c r="N36" s="48">
        <v>0.65992754177142654</v>
      </c>
      <c r="O36" s="48">
        <f>AVERAGE(M36:M38)</f>
        <v>-2.2073999793463916</v>
      </c>
      <c r="P36" s="48">
        <f>STDEV(M36:M38)</f>
        <v>0.44960639520669227</v>
      </c>
      <c r="Q36" s="48">
        <f>P36/SQRT(3)</f>
        <v>0.25958037330196104</v>
      </c>
      <c r="R36" s="48">
        <v>-1.2440193708400862</v>
      </c>
      <c r="S36" s="48">
        <v>0.76609217787914741</v>
      </c>
      <c r="T36" s="48">
        <f>AVERAGE(R36:R38)</f>
        <v>-1.7181050832397597</v>
      </c>
      <c r="U36" s="48">
        <f>STDEV(R36:R38)</f>
        <v>0.62940083802072821</v>
      </c>
      <c r="V36" s="49">
        <f>U36/SQRT(3)</f>
        <v>0.36338474325944348</v>
      </c>
    </row>
    <row r="37" spans="1:22" x14ac:dyDescent="0.25">
      <c r="A37" s="50" t="s">
        <v>29</v>
      </c>
      <c r="B37" s="51">
        <v>2</v>
      </c>
      <c r="C37" s="51">
        <v>-10.681388133783177</v>
      </c>
      <c r="D37" s="51">
        <v>0.99670141388959554</v>
      </c>
      <c r="E37" s="51"/>
      <c r="F37" s="51"/>
      <c r="G37" s="51"/>
      <c r="H37" s="51">
        <v>-3.8680117773164486</v>
      </c>
      <c r="I37" s="51">
        <v>0.84301448181830319</v>
      </c>
      <c r="J37" s="51"/>
      <c r="K37" s="51"/>
      <c r="L37" s="51"/>
      <c r="M37" s="51">
        <v>-2.0337452249665802</v>
      </c>
      <c r="N37" s="51">
        <v>0.71903128870112543</v>
      </c>
      <c r="O37" s="51"/>
      <c r="P37" s="51"/>
      <c r="Q37" s="51"/>
      <c r="R37" s="51">
        <v>-1.4780971372444163</v>
      </c>
      <c r="S37" s="51">
        <v>0.77754659374117285</v>
      </c>
      <c r="T37" s="51"/>
      <c r="U37" s="51"/>
      <c r="V37" s="52"/>
    </row>
    <row r="38" spans="1:22" ht="15.75" thickBot="1" x14ac:dyDescent="0.3">
      <c r="A38" s="92" t="s">
        <v>29</v>
      </c>
      <c r="B38" s="53">
        <v>3</v>
      </c>
      <c r="C38" s="53">
        <v>-6.0726531521525917</v>
      </c>
      <c r="D38" s="53">
        <v>0.99680200204998393</v>
      </c>
      <c r="E38" s="53"/>
      <c r="F38" s="53"/>
      <c r="G38" s="53"/>
      <c r="H38" s="53">
        <v>-4.9362022176217559</v>
      </c>
      <c r="I38" s="53">
        <v>0.99658274786594836</v>
      </c>
      <c r="J38" s="53"/>
      <c r="K38" s="53"/>
      <c r="L38" s="53"/>
      <c r="M38" s="53">
        <v>-2.7179359006107839</v>
      </c>
      <c r="N38" s="53">
        <v>0.83481014669308606</v>
      </c>
      <c r="O38" s="53"/>
      <c r="P38" s="53"/>
      <c r="Q38" s="53"/>
      <c r="R38" s="53">
        <v>-2.4321987416347772</v>
      </c>
      <c r="S38" s="53">
        <v>0.79943986604765727</v>
      </c>
      <c r="T38" s="53"/>
      <c r="U38" s="53"/>
      <c r="V38" s="54"/>
    </row>
    <row r="39" spans="1:22" x14ac:dyDescent="0.25">
      <c r="A39" s="15" t="s">
        <v>31</v>
      </c>
      <c r="B39" s="128">
        <v>1</v>
      </c>
      <c r="C39" s="128">
        <v>-3.1229177331939515</v>
      </c>
      <c r="D39" s="128">
        <v>0.9941945481046095</v>
      </c>
      <c r="E39" s="128">
        <f>AVERAGE(C39:C41)</f>
        <v>-5.104913620623603</v>
      </c>
      <c r="F39" s="128">
        <f>STDEV(C39:C41)</f>
        <v>3.5270218111347771</v>
      </c>
      <c r="G39" s="10">
        <f>F39/SQRT(3)</f>
        <v>2.0363269920963449</v>
      </c>
      <c r="H39" s="128">
        <v>-4.9917812652518494</v>
      </c>
      <c r="I39" s="128">
        <v>0.99119327259726475</v>
      </c>
      <c r="J39" s="128">
        <f>AVERAGE(H39:H41)</f>
        <v>-4.5025026886819548</v>
      </c>
      <c r="K39" s="128">
        <f>STDEV(H39:H41)</f>
        <v>0.57266113033553268</v>
      </c>
      <c r="L39" s="10">
        <f>K39/SQRT(3)</f>
        <v>0.33062605775365517</v>
      </c>
      <c r="M39" s="10">
        <v>-3.031374312876796</v>
      </c>
      <c r="N39" s="10">
        <v>0.88656881129078646</v>
      </c>
      <c r="O39" s="128">
        <f>AVERAGE(M39:M41)</f>
        <v>-2.6923774835848775</v>
      </c>
      <c r="P39" s="128">
        <f>STDEV(M39:M41)</f>
        <v>0.50304942357141158</v>
      </c>
      <c r="Q39" s="10">
        <f>P39/SQRT(3)</f>
        <v>0.29043572011464058</v>
      </c>
      <c r="R39" s="10">
        <v>-2.9234562617661699</v>
      </c>
      <c r="S39" s="10">
        <v>0.85526569657912532</v>
      </c>
      <c r="T39" s="10">
        <f>AVERAGE(R39:R41)</f>
        <v>-2.4699696456796709</v>
      </c>
      <c r="U39" s="10">
        <f>STDEV(R39:R41)</f>
        <v>0.70965639025781924</v>
      </c>
      <c r="V39" s="32">
        <f>U39/SQRT(3)</f>
        <v>0.40972030794749009</v>
      </c>
    </row>
    <row r="40" spans="1:22" x14ac:dyDescent="0.25">
      <c r="A40" s="16" t="s">
        <v>31</v>
      </c>
      <c r="B40" s="85">
        <v>2</v>
      </c>
      <c r="C40" s="85">
        <v>-9.1770886256056645</v>
      </c>
      <c r="D40" s="85">
        <v>0.99986649824291784</v>
      </c>
      <c r="E40" s="85"/>
      <c r="F40" s="85"/>
      <c r="G40" s="85"/>
      <c r="H40" s="85">
        <v>-3.8726418718196474</v>
      </c>
      <c r="I40" s="85">
        <v>0.89536072021956714</v>
      </c>
      <c r="J40" s="85"/>
      <c r="K40" s="85"/>
      <c r="L40" s="85"/>
      <c r="M40" s="12">
        <v>-2.1143823310657139</v>
      </c>
      <c r="N40" s="12">
        <v>0.77348034884053263</v>
      </c>
      <c r="O40" s="85"/>
      <c r="P40" s="85"/>
      <c r="Q40" s="85"/>
      <c r="R40" s="12">
        <v>-1.6521471475048692</v>
      </c>
      <c r="S40" s="12">
        <v>0.79900737397684873</v>
      </c>
      <c r="T40" s="12"/>
      <c r="U40" s="12"/>
      <c r="V40" s="33"/>
    </row>
    <row r="41" spans="1:22" ht="15.75" thickBot="1" x14ac:dyDescent="0.3">
      <c r="A41" s="55" t="s">
        <v>31</v>
      </c>
      <c r="B41" s="60">
        <v>3</v>
      </c>
      <c r="C41" s="60">
        <v>-3.0147345030711934</v>
      </c>
      <c r="D41" s="60">
        <v>0.9985434419854905</v>
      </c>
      <c r="E41" s="60"/>
      <c r="F41" s="60"/>
      <c r="G41" s="60"/>
      <c r="H41" s="60">
        <v>-4.6430849289743659</v>
      </c>
      <c r="I41" s="60">
        <v>0.99236409148282467</v>
      </c>
      <c r="J41" s="60"/>
      <c r="K41" s="60"/>
      <c r="L41" s="60"/>
      <c r="M41" s="14">
        <v>-2.9313758068121225</v>
      </c>
      <c r="N41" s="14">
        <v>0.90513012700160789</v>
      </c>
      <c r="O41" s="60"/>
      <c r="P41" s="60"/>
      <c r="Q41" s="60"/>
      <c r="R41" s="14">
        <v>-2.834305527767973</v>
      </c>
      <c r="S41" s="14">
        <v>0.87892318596360985</v>
      </c>
      <c r="T41" s="14"/>
      <c r="U41" s="14"/>
      <c r="V41" s="34"/>
    </row>
    <row r="42" spans="1:22" x14ac:dyDescent="0.25">
      <c r="A42" s="47" t="s">
        <v>33</v>
      </c>
      <c r="B42" s="48">
        <v>1</v>
      </c>
      <c r="C42" s="48">
        <v>-1.9203890022523846</v>
      </c>
      <c r="D42" s="48">
        <v>0.99888232118605225</v>
      </c>
      <c r="E42" s="48">
        <f>AVERAGE(C42:C44)</f>
        <v>-2.4226658981451767</v>
      </c>
      <c r="F42" s="48">
        <f>STDEV(C42:C44)</f>
        <v>1.4754746833138197</v>
      </c>
      <c r="G42" s="48">
        <f>F42/SQRT(3)</f>
        <v>0.85186570559371166</v>
      </c>
      <c r="H42" s="48">
        <v>-2.4922886389980747</v>
      </c>
      <c r="I42" s="48">
        <v>0.99668480491766864</v>
      </c>
      <c r="J42" s="48">
        <f>AVERAGE(H42:H44)</f>
        <v>-2.8522027013215223</v>
      </c>
      <c r="K42" s="48">
        <f>STDEV(H42:H44)</f>
        <v>1.7135178829658413</v>
      </c>
      <c r="L42" s="48">
        <f>K42/SQRT(3)</f>
        <v>0.98930001099156617</v>
      </c>
      <c r="M42" s="48">
        <v>-2.3918450637023954</v>
      </c>
      <c r="N42" s="48">
        <v>0.99866373993371171</v>
      </c>
      <c r="O42" s="48">
        <f>AVERAGE(M42:M44)</f>
        <v>-2.205908816909242</v>
      </c>
      <c r="P42" s="48">
        <f>STDEV(M42:M44)</f>
        <v>0.7743059202473731</v>
      </c>
      <c r="Q42" s="48">
        <f>P42/SQRT(3)</f>
        <v>0.44704573148994181</v>
      </c>
      <c r="R42" s="48">
        <v>-2.4123483014775382</v>
      </c>
      <c r="S42" s="48">
        <v>0.99865508820110016</v>
      </c>
      <c r="T42" s="48">
        <f>AVERAGE(R42:R44)</f>
        <v>-2.1588873999078761</v>
      </c>
      <c r="U42" s="48">
        <f>STDEV(R42:R44)</f>
        <v>0.70847734917530392</v>
      </c>
      <c r="V42" s="49">
        <f>U42/SQRT(3)</f>
        <v>0.40903958826111425</v>
      </c>
    </row>
    <row r="43" spans="1:22" x14ac:dyDescent="0.25">
      <c r="A43" s="50" t="s">
        <v>33</v>
      </c>
      <c r="B43" s="51">
        <v>2</v>
      </c>
      <c r="C43" s="51">
        <v>-4.0837029172622952</v>
      </c>
      <c r="D43" s="51">
        <v>0.99961747678897628</v>
      </c>
      <c r="E43" s="51"/>
      <c r="F43" s="51"/>
      <c r="G43" s="51"/>
      <c r="H43" s="51">
        <v>-4.7170899791255563</v>
      </c>
      <c r="I43" s="51">
        <v>0.99885760601892926</v>
      </c>
      <c r="J43" s="51"/>
      <c r="K43" s="51"/>
      <c r="L43" s="51"/>
      <c r="M43" s="51">
        <v>-2.8703180381873583</v>
      </c>
      <c r="N43" s="51">
        <v>0.8909664988077397</v>
      </c>
      <c r="O43" s="51"/>
      <c r="P43" s="51"/>
      <c r="Q43" s="51"/>
      <c r="R43" s="51">
        <v>-2.7057728135636672</v>
      </c>
      <c r="S43" s="51">
        <v>0.8629125124996021</v>
      </c>
      <c r="T43" s="51"/>
      <c r="U43" s="51"/>
      <c r="V43" s="52"/>
    </row>
    <row r="44" spans="1:22" ht="15.75" thickBot="1" x14ac:dyDescent="0.3">
      <c r="A44" s="92" t="s">
        <v>33</v>
      </c>
      <c r="B44" s="53">
        <v>3</v>
      </c>
      <c r="C44" s="53">
        <v>-1.2639057749208509</v>
      </c>
      <c r="D44" s="53">
        <v>0.99483867895017164</v>
      </c>
      <c r="E44" s="53"/>
      <c r="F44" s="53"/>
      <c r="G44" s="53"/>
      <c r="H44" s="53">
        <v>-1.3472294858409359</v>
      </c>
      <c r="I44" s="53">
        <v>0.99949018617944385</v>
      </c>
      <c r="J44" s="53"/>
      <c r="K44" s="53"/>
      <c r="L44" s="53"/>
      <c r="M44" s="53">
        <v>-1.3555633488379726</v>
      </c>
      <c r="N44" s="53">
        <v>0.99987445984153089</v>
      </c>
      <c r="O44" s="53"/>
      <c r="P44" s="53"/>
      <c r="Q44" s="53"/>
      <c r="R44" s="53">
        <v>-1.3585410846824224</v>
      </c>
      <c r="S44" s="53">
        <v>0.99986244069077967</v>
      </c>
      <c r="T44" s="53"/>
      <c r="U44" s="53"/>
      <c r="V44" s="54"/>
    </row>
    <row r="45" spans="1:22" x14ac:dyDescent="0.25">
      <c r="A45" s="15" t="s">
        <v>36</v>
      </c>
      <c r="B45" s="128">
        <v>1</v>
      </c>
      <c r="C45" s="128">
        <v>-1.2212149673199504</v>
      </c>
      <c r="D45" s="128">
        <v>0.82503482743164258</v>
      </c>
      <c r="E45" s="128">
        <f>AVERAGE(C45:C47)</f>
        <v>-1.7613535599954002</v>
      </c>
      <c r="F45" s="128">
        <f>STDEV(C45:C47)</f>
        <v>1.5810721554429743</v>
      </c>
      <c r="G45" s="10">
        <f>F45/SQRT(3)</f>
        <v>0.91283243455322305</v>
      </c>
      <c r="H45" s="128">
        <v>-2.8947042037156407</v>
      </c>
      <c r="I45" s="128">
        <v>0.97735624684150857</v>
      </c>
      <c r="J45" s="128">
        <f>AVERAGE(H45:H47)</f>
        <v>-3.3432184431856711</v>
      </c>
      <c r="K45" s="128">
        <f>STDEV(H45:H47)</f>
        <v>1.0939373663503529</v>
      </c>
      <c r="L45" s="10">
        <f>K45/SQRT(3)</f>
        <v>0.63158503293896651</v>
      </c>
      <c r="M45" s="10">
        <v>-2.6573920756651974</v>
      </c>
      <c r="N45" s="10">
        <v>0.99153030417726229</v>
      </c>
      <c r="O45" s="128">
        <f>AVERAGE(M45:M47)</f>
        <v>-2.6168106581530481</v>
      </c>
      <c r="P45" s="128">
        <f>STDEV(M45:M47)</f>
        <v>0.25148459495309994</v>
      </c>
      <c r="Q45" s="10">
        <f>P45/SQRT(3)</f>
        <v>0.14519469859321626</v>
      </c>
      <c r="R45" s="10">
        <v>-2.7327808643052145</v>
      </c>
      <c r="S45" s="10">
        <v>0.99324098673429295</v>
      </c>
      <c r="T45" s="10">
        <f>AVERAGE(R45:R47)</f>
        <v>-2.6358364650995654</v>
      </c>
      <c r="U45" s="10">
        <f>STDEV(R45:R47)</f>
        <v>0.16143535708229206</v>
      </c>
      <c r="V45" s="32">
        <f>U45/SQRT(3)</f>
        <v>9.3204746868184682E-2</v>
      </c>
    </row>
    <row r="46" spans="1:22" x14ac:dyDescent="0.25">
      <c r="A46" s="16" t="s">
        <v>36</v>
      </c>
      <c r="B46" s="85">
        <v>2</v>
      </c>
      <c r="C46" s="85">
        <v>-3.5417131881051427</v>
      </c>
      <c r="D46" s="85">
        <v>0.9766651614341153</v>
      </c>
      <c r="E46" s="85"/>
      <c r="F46" s="85"/>
      <c r="G46" s="85"/>
      <c r="H46" s="85">
        <v>-4.5901315139824366</v>
      </c>
      <c r="I46" s="85">
        <v>0.99588934553977704</v>
      </c>
      <c r="J46" s="85"/>
      <c r="K46" s="85"/>
      <c r="L46" s="85"/>
      <c r="M46" s="12">
        <v>-2.8455367418292377</v>
      </c>
      <c r="N46" s="12">
        <v>0.89912679722831146</v>
      </c>
      <c r="O46" s="85"/>
      <c r="P46" s="85"/>
      <c r="Q46" s="85"/>
      <c r="R46" s="12">
        <v>-2.7252508569887306</v>
      </c>
      <c r="S46" s="12">
        <v>0.87166337304535491</v>
      </c>
      <c r="T46" s="12"/>
      <c r="U46" s="12"/>
      <c r="V46" s="33"/>
    </row>
    <row r="47" spans="1:22" ht="15.75" thickBot="1" x14ac:dyDescent="0.3">
      <c r="A47" s="17" t="s">
        <v>36</v>
      </c>
      <c r="B47" s="123">
        <v>3</v>
      </c>
      <c r="C47" s="123">
        <v>-0.5211325245611077</v>
      </c>
      <c r="D47" s="123">
        <v>0.34555856350664788</v>
      </c>
      <c r="E47" s="123"/>
      <c r="F47" s="123"/>
      <c r="G47" s="123"/>
      <c r="H47" s="123">
        <v>-2.544819611858935</v>
      </c>
      <c r="I47" s="123">
        <v>0.95737429064699087</v>
      </c>
      <c r="J47" s="123"/>
      <c r="K47" s="123"/>
      <c r="L47" s="123"/>
      <c r="M47" s="18">
        <v>-2.3475031569647098</v>
      </c>
      <c r="N47" s="18">
        <v>0.98631029745559429</v>
      </c>
      <c r="O47" s="123"/>
      <c r="P47" s="123"/>
      <c r="Q47" s="123"/>
      <c r="R47" s="18">
        <v>-2.4494776740047506</v>
      </c>
      <c r="S47" s="18">
        <v>0.9917770359128848</v>
      </c>
      <c r="T47" s="18"/>
      <c r="U47" s="18"/>
      <c r="V47" s="38"/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Subsample</vt:lpstr>
      <vt:lpstr>Low STDs</vt:lpstr>
      <vt:lpstr>Low Data</vt:lpstr>
      <vt:lpstr>Low Summary</vt:lpstr>
      <vt:lpstr>Low Graphs</vt:lpstr>
      <vt:lpstr>High STDs</vt:lpstr>
      <vt:lpstr>High Data</vt:lpstr>
      <vt:lpstr>High Summary</vt:lpstr>
      <vt:lpstr>High Graphs</vt:lpstr>
      <vt:lpstr>Sites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Anya Hopple</dc:creator>
  <cp:lastModifiedBy>Hopple, Anya</cp:lastModifiedBy>
  <cp:lastPrinted>2014-11-23T20:26:29Z</cp:lastPrinted>
  <dcterms:created xsi:type="dcterms:W3CDTF">2014-11-19T18:32:42Z</dcterms:created>
  <dcterms:modified xsi:type="dcterms:W3CDTF">2019-07-08T17:46:12Z</dcterms:modified>
</cp:coreProperties>
</file>