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eigh\Documents\HVI share\HVI\"/>
    </mc:Choice>
  </mc:AlternateContent>
  <xr:revisionPtr revIDLastSave="0" documentId="13_ncr:1_{7CBD1B73-3AB4-4881-B07D-E4F8334644F2}" xr6:coauthVersionLast="36" xr6:coauthVersionMax="47" xr10:uidLastSave="{00000000-0000-0000-0000-000000000000}"/>
  <bookViews>
    <workbookView xWindow="28680" yWindow="-120" windowWidth="25440" windowHeight="15990" activeTab="4" xr2:uid="{84D0EFE8-BE55-4288-8C02-3F60F3E82B53}"/>
  </bookViews>
  <sheets>
    <sheet name="notes" sheetId="1" r:id="rId1"/>
    <sheet name="mat_param" sheetId="4" r:id="rId2"/>
    <sheet name="sim_results" sheetId="2" r:id="rId3"/>
    <sheet name="plots" sheetId="3" r:id="rId4"/>
    <sheet name="Sheet1" sheetId="5" r:id="rId5"/>
  </sheets>
  <definedNames>
    <definedName name="density">mat_param!$C$10:$C$36</definedName>
    <definedName name="rho">mat_param!$D$10:$D$36</definedName>
    <definedName name="ton_mm3">mat_param!$E$10:$E$36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12" i="3" l="1"/>
  <c r="BE13" i="3"/>
  <c r="BE14" i="3"/>
  <c r="BE15" i="3"/>
  <c r="G37" i="2"/>
  <c r="H37" i="2"/>
  <c r="I37" i="2"/>
  <c r="F37" i="2"/>
  <c r="G33" i="2"/>
  <c r="H33" i="2"/>
  <c r="I33" i="2"/>
  <c r="F33" i="2"/>
  <c r="C6" i="2"/>
  <c r="I30" i="2"/>
  <c r="H30" i="2"/>
  <c r="G30" i="2"/>
  <c r="F30" i="2"/>
  <c r="G5" i="5" l="1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AM13" i="2" l="1"/>
  <c r="AN13" i="2"/>
  <c r="AO13" i="2"/>
  <c r="AP13" i="2"/>
  <c r="AP10" i="2"/>
  <c r="AM9" i="2"/>
  <c r="AN9" i="2"/>
  <c r="AO9" i="2"/>
  <c r="AP8" i="2"/>
  <c r="AP9" i="2" s="1"/>
  <c r="AO4" i="2"/>
  <c r="AN4" i="2"/>
  <c r="AM4" i="2"/>
  <c r="AP4" i="2"/>
  <c r="V17" i="2"/>
  <c r="AK17" i="2"/>
  <c r="AP20" i="2" l="1"/>
  <c r="AP22" i="2" s="1"/>
  <c r="AP23" i="2" s="1"/>
  <c r="AL20" i="2"/>
  <c r="AL22" i="2" s="1"/>
  <c r="AL23" i="2" s="1"/>
  <c r="AK20" i="2"/>
  <c r="AK22" i="2" s="1"/>
  <c r="AK23" i="2" s="1"/>
  <c r="AJ20" i="2"/>
  <c r="AJ22" i="2" s="1"/>
  <c r="AJ23" i="2" s="1"/>
  <c r="AI20" i="2"/>
  <c r="AI22" i="2" s="1"/>
  <c r="AI23" i="2" s="1"/>
  <c r="AH20" i="2"/>
  <c r="AH22" i="2" s="1"/>
  <c r="AH23" i="2" s="1"/>
  <c r="AG20" i="2"/>
  <c r="AG22" i="2" s="1"/>
  <c r="AG23" i="2" s="1"/>
  <c r="AF20" i="2"/>
  <c r="AF22" i="2" s="1"/>
  <c r="AF23" i="2" s="1"/>
  <c r="AE20" i="2"/>
  <c r="AE22" i="2" s="1"/>
  <c r="AE23" i="2" s="1"/>
  <c r="AD20" i="2"/>
  <c r="AD22" i="2" s="1"/>
  <c r="AD23" i="2" s="1"/>
  <c r="AC20" i="2"/>
  <c r="AC22" i="2" s="1"/>
  <c r="AC23" i="2" s="1"/>
  <c r="AB20" i="2"/>
  <c r="AB22" i="2" s="1"/>
  <c r="AB23" i="2" s="1"/>
  <c r="AA20" i="2"/>
  <c r="AA22" i="2" s="1"/>
  <c r="AA23" i="2" s="1"/>
  <c r="Z20" i="2"/>
  <c r="Z22" i="2" s="1"/>
  <c r="Z23" i="2" s="1"/>
  <c r="Y20" i="2"/>
  <c r="Y22" i="2" s="1"/>
  <c r="Y23" i="2" s="1"/>
  <c r="X20" i="2"/>
  <c r="X22" i="2" s="1"/>
  <c r="X23" i="2" s="1"/>
  <c r="W20" i="2"/>
  <c r="W22" i="2" s="1"/>
  <c r="W23" i="2" s="1"/>
  <c r="V20" i="2"/>
  <c r="V22" i="2" s="1"/>
  <c r="V23" i="2" s="1"/>
  <c r="U20" i="2"/>
  <c r="U22" i="2" s="1"/>
  <c r="U23" i="2" s="1"/>
  <c r="T20" i="2"/>
  <c r="T22" i="2" s="1"/>
  <c r="T23" i="2" s="1"/>
  <c r="S20" i="2"/>
  <c r="S22" i="2" s="1"/>
  <c r="S23" i="2" s="1"/>
  <c r="R20" i="2"/>
  <c r="R22" i="2" s="1"/>
  <c r="R23" i="2" s="1"/>
  <c r="Q20" i="2"/>
  <c r="Q22" i="2" s="1"/>
  <c r="Q23" i="2" s="1"/>
  <c r="P20" i="2"/>
  <c r="P22" i="2" s="1"/>
  <c r="P23" i="2" s="1"/>
  <c r="O20" i="2"/>
  <c r="O22" i="2" s="1"/>
  <c r="O23" i="2" s="1"/>
  <c r="N20" i="2"/>
  <c r="N22" i="2" s="1"/>
  <c r="N23" i="2" s="1"/>
  <c r="M20" i="2"/>
  <c r="M22" i="2" s="1"/>
  <c r="M23" i="2" s="1"/>
  <c r="L20" i="2"/>
  <c r="L22" i="2" s="1"/>
  <c r="L23" i="2" s="1"/>
  <c r="K20" i="2"/>
  <c r="K22" i="2" s="1"/>
  <c r="K23" i="2" s="1"/>
  <c r="J20" i="2"/>
  <c r="J22" i="2" s="1"/>
  <c r="J23" i="2" s="1"/>
  <c r="I20" i="2"/>
  <c r="I22" i="2" s="1"/>
  <c r="H20" i="2"/>
  <c r="H22" i="2" s="1"/>
  <c r="H23" i="2" s="1"/>
  <c r="G20" i="2"/>
  <c r="G22" i="2" s="1"/>
  <c r="G23" i="2" s="1"/>
  <c r="F20" i="2"/>
  <c r="F22" i="2" s="1"/>
  <c r="F23" i="2" s="1"/>
  <c r="AP18" i="2"/>
  <c r="AP19" i="2" s="1"/>
  <c r="AL18" i="2"/>
  <c r="AL19" i="2" s="1"/>
  <c r="AK18" i="2"/>
  <c r="AK19" i="2" s="1"/>
  <c r="AJ18" i="2"/>
  <c r="AJ19" i="2" s="1"/>
  <c r="AI18" i="2"/>
  <c r="AI19" i="2" s="1"/>
  <c r="AH18" i="2"/>
  <c r="AH19" i="2" s="1"/>
  <c r="AG18" i="2"/>
  <c r="AG19" i="2" s="1"/>
  <c r="AF18" i="2"/>
  <c r="AF19" i="2" s="1"/>
  <c r="AE18" i="2"/>
  <c r="AE19" i="2" s="1"/>
  <c r="AD18" i="2"/>
  <c r="AD19" i="2" s="1"/>
  <c r="AC18" i="2"/>
  <c r="AC19" i="2" s="1"/>
  <c r="AB18" i="2"/>
  <c r="AB19" i="2" s="1"/>
  <c r="AA18" i="2"/>
  <c r="AA19" i="2" s="1"/>
  <c r="Z18" i="2"/>
  <c r="Z19" i="2" s="1"/>
  <c r="Y18" i="2"/>
  <c r="Y19" i="2" s="1"/>
  <c r="X18" i="2"/>
  <c r="X19" i="2" s="1"/>
  <c r="W18" i="2"/>
  <c r="W19" i="2" s="1"/>
  <c r="V18" i="2"/>
  <c r="V19" i="2" s="1"/>
  <c r="U18" i="2"/>
  <c r="U19" i="2" s="1"/>
  <c r="T18" i="2"/>
  <c r="T19" i="2" s="1"/>
  <c r="S18" i="2"/>
  <c r="S19" i="2" s="1"/>
  <c r="R18" i="2"/>
  <c r="R19" i="2" s="1"/>
  <c r="Q18" i="2"/>
  <c r="Q19" i="2" s="1"/>
  <c r="P18" i="2"/>
  <c r="P19" i="2" s="1"/>
  <c r="O18" i="2"/>
  <c r="O19" i="2" s="1"/>
  <c r="N18" i="2"/>
  <c r="N19" i="2" s="1"/>
  <c r="M18" i="2"/>
  <c r="M19" i="2" s="1"/>
  <c r="L18" i="2"/>
  <c r="L19" i="2" s="1"/>
  <c r="K18" i="2"/>
  <c r="K19" i="2" s="1"/>
  <c r="J18" i="2"/>
  <c r="J19" i="2" s="1"/>
  <c r="I18" i="2"/>
  <c r="I19" i="2" s="1"/>
  <c r="H18" i="2"/>
  <c r="H19" i="2" s="1"/>
  <c r="G18" i="2"/>
  <c r="G19" i="2" s="1"/>
  <c r="F18" i="2"/>
  <c r="F19" i="2" s="1"/>
  <c r="AL13" i="2"/>
  <c r="AK13" i="2"/>
  <c r="AI13" i="2"/>
  <c r="AG13" i="2"/>
  <c r="AF13" i="2"/>
  <c r="AE13" i="2"/>
  <c r="AD13" i="2"/>
  <c r="AC13" i="2"/>
  <c r="AB13" i="2"/>
  <c r="AA13" i="2"/>
  <c r="Z13" i="2"/>
  <c r="X13" i="2"/>
  <c r="W13" i="2"/>
  <c r="V13" i="2"/>
  <c r="R13" i="2"/>
  <c r="Q13" i="2"/>
  <c r="O13" i="2"/>
  <c r="M13" i="2"/>
  <c r="L13" i="2"/>
  <c r="K13" i="2"/>
  <c r="J13" i="2"/>
  <c r="I13" i="2"/>
  <c r="H13" i="2"/>
  <c r="G13" i="2"/>
  <c r="F13" i="2"/>
  <c r="AE10" i="2"/>
  <c r="AD10" i="2"/>
  <c r="X10" i="2"/>
  <c r="W10" i="2"/>
  <c r="M10" i="2"/>
  <c r="L10" i="2"/>
  <c r="K10" i="2"/>
  <c r="I10" i="2"/>
  <c r="G10" i="2"/>
  <c r="AL9" i="2"/>
  <c r="AK9" i="2"/>
  <c r="AI9" i="2"/>
  <c r="AG9" i="2"/>
  <c r="AF9" i="2"/>
  <c r="AB9" i="2"/>
  <c r="Z9" i="2"/>
  <c r="W9" i="2"/>
  <c r="V9" i="2"/>
  <c r="R9" i="2"/>
  <c r="Q9" i="2"/>
  <c r="J9" i="2"/>
  <c r="F9" i="2"/>
  <c r="AE8" i="2"/>
  <c r="AE9" i="2" s="1"/>
  <c r="AD8" i="2"/>
  <c r="AD9" i="2" s="1"/>
  <c r="X8" i="2"/>
  <c r="X9" i="2" s="1"/>
  <c r="M8" i="2"/>
  <c r="M9" i="2" s="1"/>
  <c r="L8" i="2"/>
  <c r="L9" i="2" s="1"/>
  <c r="K8" i="2"/>
  <c r="K9" i="2" s="1"/>
  <c r="I8" i="2"/>
  <c r="I9" i="2" s="1"/>
  <c r="H8" i="2"/>
  <c r="H9" i="2" s="1"/>
  <c r="G8" i="2"/>
  <c r="G9" i="2" s="1"/>
  <c r="AI5" i="2"/>
  <c r="AG5" i="2"/>
  <c r="AF5" i="2"/>
  <c r="AE5" i="2"/>
  <c r="AD5" i="2"/>
  <c r="AC5" i="2"/>
  <c r="AB5" i="2"/>
  <c r="AA5" i="2"/>
  <c r="Z5" i="2"/>
  <c r="X5" i="2"/>
  <c r="W5" i="2"/>
  <c r="V5" i="2"/>
  <c r="R5" i="2"/>
  <c r="M5" i="2"/>
  <c r="L5" i="2"/>
  <c r="K5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V4" i="2"/>
  <c r="U4" i="2"/>
  <c r="T4" i="2"/>
  <c r="S4" i="2"/>
  <c r="R4" i="2"/>
  <c r="P4" i="2"/>
  <c r="O4" i="2"/>
  <c r="N4" i="2"/>
  <c r="M4" i="2"/>
  <c r="L4" i="2"/>
  <c r="K4" i="2"/>
  <c r="AL3" i="2"/>
  <c r="AK3" i="2"/>
  <c r="AJ3" i="2"/>
  <c r="AI3" i="2"/>
  <c r="AD3" i="2"/>
  <c r="AC3" i="2"/>
  <c r="AB3" i="2"/>
  <c r="AA3" i="2"/>
  <c r="Z3" i="2"/>
  <c r="Y3" i="2"/>
  <c r="X3" i="2"/>
  <c r="W3" i="2"/>
  <c r="V3" i="2"/>
  <c r="AH20" i="4"/>
  <c r="AG20" i="4"/>
  <c r="AF20" i="4"/>
  <c r="AD20" i="4"/>
  <c r="AC20" i="4"/>
  <c r="AB20" i="4"/>
  <c r="AA20" i="4"/>
  <c r="AH19" i="4"/>
  <c r="AG19" i="4"/>
  <c r="AF19" i="4"/>
  <c r="T19" i="4"/>
  <c r="AM13" i="4"/>
  <c r="AL13" i="4"/>
  <c r="AL10" i="4" s="1"/>
  <c r="AQ11" i="4"/>
  <c r="AK11" i="4"/>
  <c r="AJ11" i="4"/>
  <c r="AI11" i="4"/>
  <c r="AE11" i="4"/>
  <c r="AD11" i="4"/>
  <c r="AC11" i="4"/>
  <c r="AB11" i="4"/>
  <c r="AA11" i="4"/>
  <c r="Z11" i="4"/>
  <c r="Y11" i="4"/>
  <c r="X11" i="4"/>
  <c r="W11" i="4"/>
  <c r="V11" i="4"/>
  <c r="U11" i="4"/>
  <c r="T11" i="4"/>
  <c r="Q11" i="4"/>
  <c r="P11" i="4"/>
  <c r="O11" i="4"/>
  <c r="N11" i="4"/>
  <c r="M11" i="4"/>
  <c r="L11" i="4"/>
  <c r="K11" i="4"/>
  <c r="AQ10" i="4"/>
  <c r="AK10" i="4"/>
  <c r="AJ10" i="4"/>
  <c r="AI10" i="4"/>
  <c r="AE10" i="4"/>
  <c r="AD10" i="4"/>
  <c r="AC10" i="4"/>
  <c r="AB10" i="4"/>
  <c r="AA10" i="4"/>
  <c r="Z10" i="4"/>
  <c r="Y10" i="4"/>
  <c r="X10" i="4"/>
  <c r="W10" i="4"/>
  <c r="V10" i="4"/>
  <c r="U10" i="4"/>
  <c r="T10" i="4"/>
  <c r="Q10" i="4"/>
  <c r="P10" i="4"/>
  <c r="O10" i="4"/>
  <c r="N10" i="4"/>
  <c r="M10" i="4"/>
  <c r="L10" i="4"/>
  <c r="K10" i="4"/>
  <c r="Y8" i="4"/>
  <c r="W4" i="2" s="1"/>
  <c r="AL6" i="2" l="1"/>
  <c r="AN6" i="2"/>
  <c r="AM6" i="2"/>
  <c r="AP6" i="2"/>
  <c r="AO6" i="2"/>
  <c r="AK50" i="3"/>
  <c r="F6" i="2"/>
  <c r="N6" i="2"/>
  <c r="V6" i="2"/>
  <c r="AD6" i="2"/>
  <c r="G6" i="2"/>
  <c r="BD12" i="3" s="1"/>
  <c r="O6" i="2"/>
  <c r="W6" i="2"/>
  <c r="AE6" i="2"/>
  <c r="H6" i="2"/>
  <c r="P6" i="2"/>
  <c r="X6" i="2"/>
  <c r="AF6" i="2"/>
  <c r="AP7" i="3"/>
  <c r="I6" i="2"/>
  <c r="Q6" i="2"/>
  <c r="Y6" i="2"/>
  <c r="AG6" i="2"/>
  <c r="BD13" i="3" s="1"/>
  <c r="AD10" i="3"/>
  <c r="J6" i="2"/>
  <c r="R6" i="2"/>
  <c r="BD14" i="3" s="1"/>
  <c r="Z6" i="2"/>
  <c r="AH6" i="2"/>
  <c r="K6" i="2"/>
  <c r="S6" i="2"/>
  <c r="AA6" i="2"/>
  <c r="AI6" i="2"/>
  <c r="AD29" i="3"/>
  <c r="D6" i="2"/>
  <c r="L6" i="2"/>
  <c r="T6" i="2"/>
  <c r="AB6" i="2"/>
  <c r="AJ6" i="2"/>
  <c r="AP29" i="3"/>
  <c r="E6" i="2"/>
  <c r="M6" i="2"/>
  <c r="U6" i="2"/>
  <c r="AC6" i="2"/>
  <c r="AK6" i="2"/>
  <c r="BD15" i="3" s="1"/>
  <c r="AD12" i="3" l="1"/>
</calcChain>
</file>

<file path=xl/sharedStrings.xml><?xml version="1.0" encoding="utf-8"?>
<sst xmlns="http://schemas.openxmlformats.org/spreadsheetml/2006/main" count="466" uniqueCount="275">
  <si>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</si>
  <si>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</si>
  <si>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</si>
  <si>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</si>
  <si>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</si>
  <si>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</si>
  <si>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</si>
  <si>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</si>
  <si>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</si>
  <si>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</si>
  <si>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</si>
  <si>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</si>
  <si>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</si>
  <si>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</si>
  <si>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</si>
  <si>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</si>
  <si>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</si>
  <si>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</si>
  <si>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</si>
  <si>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</si>
  <si>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</si>
  <si>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</si>
  <si>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</si>
  <si>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</si>
  <si>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</si>
  <si>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</si>
  <si>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</si>
  <si>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</si>
  <si>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</si>
  <si>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</si>
  <si>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</si>
  <si>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</si>
  <si>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</si>
  <si>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</si>
  <si>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</si>
  <si>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</si>
  <si>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</si>
  <si>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</si>
  <si>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</si>
  <si>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</si>
  <si>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</si>
  <si>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>mm</t>
  </si>
  <si>
    <t xml:space="preserve">Debris cloud diameter </t>
  </si>
  <si>
    <t xml:space="preserve">Target hole diameter </t>
  </si>
  <si>
    <t xml:space="preserve">Target hole radius 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</si>
  <si>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</si>
  <si>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</si>
  <si>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</si>
  <si>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</si>
  <si>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</si>
  <si>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</si>
  <si>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</si>
  <si>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</si>
  <si>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</si>
  <si>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</si>
  <si>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</si>
  <si>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</si>
  <si>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</si>
  <si>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</si>
  <si>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</si>
  <si>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</si>
  <si>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</si>
  <si>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</si>
  <si>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</si>
  <si>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</si>
  <si>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</si>
  <si>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</si>
  <si>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</si>
  <si>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</si>
  <si>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</si>
  <si>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</si>
  <si>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</si>
  <si>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</si>
  <si>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</si>
  <si>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</si>
  <si>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</si>
  <si>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</si>
  <si>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</si>
  <si>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</si>
  <si>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</si>
  <si>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</si>
  <si>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</si>
  <si>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</si>
  <si>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</si>
  <si>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</si>
  <si>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</si>
  <si>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</si>
  <si>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</si>
  <si>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</si>
  <si>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</si>
  <si>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</si>
  <si>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</si>
  <si>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</si>
  <si>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</si>
  <si>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</si>
  <si>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</si>
  <si>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</si>
  <si>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</si>
  <si>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</si>
  <si>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</si>
  <si>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</si>
  <si>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</si>
  <si>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</si>
  <si>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</si>
  <si>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</si>
  <si>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</si>
  <si>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</si>
  <si>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</si>
  <si>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</si>
  <si>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</si>
  <si>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</si>
  <si>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</si>
  <si>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</si>
  <si>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</si>
  <si>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</si>
  <si>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</si>
  <si>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</si>
  <si>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</si>
  <si>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Rannveig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</si>
  <si>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</si>
  <si>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</si>
  <si>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</si>
  <si>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</si>
  <si>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</si>
  <si>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</si>
  <si>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</si>
  <si>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</si>
  <si>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</si>
  <si>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</si>
  <si>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</si>
  <si>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</si>
  <si>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</si>
  <si>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</si>
  <si>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</si>
  <si>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</si>
  <si>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</si>
  <si>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</si>
  <si>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</si>
  <si>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−0.02</t>
  </si>
  <si>
    <t>Tensile strength</t>
  </si>
  <si>
    <t>MODIFIED JOHNSON-COOK</t>
  </si>
  <si>
    <t>ORIGINAL JOHNSON-COOK</t>
  </si>
  <si>
    <t>S2</t>
  </si>
  <si>
    <t>Mie-Gruneisen EOS constants</t>
  </si>
  <si>
    <t>S3</t>
  </si>
  <si>
    <t>gamma0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</si>
  <si>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</si>
  <si>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</si>
  <si>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</si>
  <si>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</si>
  <si>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</si>
  <si>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</si>
  <si>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</si>
  <si>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</si>
  <si>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</si>
  <si>
    <t>T4</t>
  </si>
  <si>
    <t>M1</t>
  </si>
  <si>
    <t>M2</t>
  </si>
  <si>
    <t>OFHC COPPER</t>
  </si>
  <si>
    <t>Ti-6Al-4V</t>
  </si>
  <si>
    <t>Failure Modeling of Titanium  6Al-4V and Aluminum 2024-T3 With the Johnson-Cook Material Model</t>
  </si>
  <si>
    <t>On the influence of fracture criterion in projectile impact of steel platesS. Deya,*, T. Børvika,b, O.S. Hopperstada, M. Langseth</t>
  </si>
  <si>
    <t>Ballistic impact simulation of GT model vehicle door using finite element method</t>
  </si>
  <si>
    <t>Determination and verification of Johnson–Cook model parameters at high-speed deformation of titanium alloys
Author links open overlay panelA.E.BuzyurkinaI.L.GladkybE.I.Krausa</t>
  </si>
  <si>
    <t>On the dynamic response of blast-loaded steel plates with andwithout pre-formed holesTaggedPD1XXV. AuneD2XXa,b,*,D3XXG. ValsamosD4XXc,D5XXF. CasadeiD6XXc,1,D7XXM. LangsethD8XXa,b,D9XXT. BørvikD10XXa</t>
  </si>
  <si>
    <t>Effects of heat treatment on the ballistic properties of AA6070 aluminium alloy J.K. Holmen a , J. Johnsen a , S. Jupp b , O.S. Hopperstad a , T. Børvik</t>
  </si>
  <si>
    <t>ARMOC IRON</t>
  </si>
  <si>
    <t xml:space="preserve">FRACTURE CHARACTERISTICS OF THREE METALS SUBJECTED TO VARIOUS STRAINS, STRAIN RATES, TEMPERATURES AND PRESSURES </t>
  </si>
  <si>
    <t>MILD STEEL</t>
  </si>
  <si>
    <t>S6</t>
  </si>
  <si>
    <t>The characterization and ballistic evaluation of mild steel</t>
  </si>
  <si>
    <t>Chip Fracture Behavior in theHigh Speed Machining ofTitanium Alloys</t>
  </si>
  <si>
    <t>A6</t>
  </si>
  <si>
    <r>
      <t>Study of the constitutive behavior of 7075-T651 aluminum alloy</t>
    </r>
    <r>
      <rPr>
        <sz val="10"/>
        <color theme="1"/>
        <rFont val="Courier New"/>
        <family val="3"/>
      </rPr>
      <t>TaggedPD1XX</t>
    </r>
    <r>
      <rPr>
        <sz val="10"/>
        <color theme="1"/>
        <rFont val="Times New Roman"/>
        <family val="1"/>
      </rPr>
      <t>K. Senthil</t>
    </r>
    <r>
      <rPr>
        <sz val="10"/>
        <color theme="1"/>
        <rFont val="Courier New"/>
        <family val="3"/>
      </rPr>
      <t>D2XX</t>
    </r>
    <r>
      <rPr>
        <sz val="10"/>
        <color theme="1"/>
        <rFont val="Times New Roman"/>
        <family val="1"/>
      </rPr>
      <t>a,</t>
    </r>
    <r>
      <rPr>
        <sz val="10"/>
        <color theme="1"/>
        <rFont val="Courier New"/>
        <family val="3"/>
      </rPr>
      <t>D3XX</t>
    </r>
    <r>
      <rPr>
        <sz val="10"/>
        <color theme="1"/>
        <rFont val="Times New Roman"/>
        <family val="1"/>
      </rPr>
      <t>M.A. Iqbal</t>
    </r>
    <r>
      <rPr>
        <sz val="10"/>
        <color theme="1"/>
        <rFont val="Courier New"/>
        <family val="3"/>
      </rPr>
      <t>D4XX</t>
    </r>
    <r>
      <rPr>
        <sz val="10"/>
        <color theme="1"/>
        <rFont val="Times New Roman"/>
        <family val="1"/>
      </rPr>
      <t>a,*,</t>
    </r>
    <r>
      <rPr>
        <sz val="10"/>
        <color theme="1"/>
        <rFont val="Courier New"/>
        <family val="3"/>
      </rPr>
      <t>D5XX</t>
    </r>
    <r>
      <rPr>
        <sz val="10"/>
        <color theme="1"/>
        <rFont val="Times New Roman"/>
        <family val="1"/>
      </rPr>
      <t>P.S. Chandel</t>
    </r>
    <r>
      <rPr>
        <sz val="10"/>
        <color theme="1"/>
        <rFont val="Courier New"/>
        <family val="3"/>
      </rPr>
      <t>D6XX</t>
    </r>
    <r>
      <rPr>
        <sz val="10"/>
        <color theme="1"/>
        <rFont val="Times New Roman"/>
        <family val="1"/>
      </rPr>
      <t>b,</t>
    </r>
    <r>
      <rPr>
        <sz val="10"/>
        <color theme="1"/>
        <rFont val="Courier New"/>
        <family val="3"/>
      </rPr>
      <t>D7XX</t>
    </r>
    <r>
      <rPr>
        <sz val="10"/>
        <color theme="1"/>
        <rFont val="Times New Roman"/>
        <family val="1"/>
      </rPr>
      <t>N.K Gupta</t>
    </r>
  </si>
  <si>
    <t>A7</t>
  </si>
  <si>
    <t>A8</t>
  </si>
  <si>
    <t>MISC.</t>
  </si>
  <si>
    <t>MJC</t>
  </si>
  <si>
    <t>OJC</t>
  </si>
  <si>
    <r>
      <t>Ballistic resistance of 2024 aluminium plates against hemispherical, sphereand blunt nose projectiles</t>
    </r>
    <r>
      <rPr>
        <sz val="11"/>
        <color theme="1"/>
        <rFont val="Times New Roman"/>
        <family val="1"/>
      </rPr>
      <t>K. Senthil</t>
    </r>
    <r>
      <rPr>
        <sz val="7"/>
        <color theme="1"/>
        <rFont val="Times New Roman"/>
        <family val="1"/>
      </rPr>
      <t>a,</t>
    </r>
    <r>
      <rPr>
        <sz val="7"/>
        <color theme="1"/>
        <rFont val="Courier New"/>
        <family val="3"/>
      </rPr>
      <t>⁎</t>
    </r>
    <r>
      <rPr>
        <sz val="11"/>
        <color theme="1"/>
        <rFont val="Times New Roman"/>
        <family val="1"/>
      </rPr>
      <t>, M.A. Iqbal</t>
    </r>
    <r>
      <rPr>
        <sz val="7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, B. Arindam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R. Mittal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N.K. Gupta</t>
    </r>
  </si>
  <si>
    <r>
      <t>Modeling the effect of laser heating on the strength and failure of7075-T6 aluminum</t>
    </r>
    <r>
      <rPr>
        <sz val="11"/>
        <color theme="1"/>
        <rFont val="Times New Roman"/>
        <family val="1"/>
      </rPr>
      <t>J.N. Florando</t>
    </r>
    <r>
      <rPr>
        <sz val="7"/>
        <color theme="1"/>
        <rFont val="Arial"/>
        <family val="2"/>
      </rPr>
      <t>n</t>
    </r>
    <r>
      <rPr>
        <sz val="11"/>
        <color theme="1"/>
        <rFont val="Times New Roman"/>
        <family val="1"/>
      </rPr>
      <t>, J.D. Margraf, J.F. Reus, A.T. Anderson, R.C. McCallen, M.M. LeBlanc,J.R. Stanley, A.M. Rubenchik, S.S. Wu, W.H. Lowdermilk</t>
    </r>
  </si>
  <si>
    <t>AA7075-T651</t>
  </si>
  <si>
    <t>AA2024-O</t>
  </si>
  <si>
    <t>AA7075-T6</t>
  </si>
  <si>
    <t>List of parameters</t>
  </si>
  <si>
    <t>error</t>
  </si>
  <si>
    <t>S7</t>
  </si>
  <si>
    <t>Strength and ductility of Weldox 460 E steel at high strain rates, elevated temperatures and various stress triaxialities</t>
  </si>
  <si>
    <t>S8</t>
  </si>
  <si>
    <t>DP590</t>
  </si>
  <si>
    <t>Numerical modelling of electrohydraulic free-forming and die-forming of DP590 steel</t>
  </si>
  <si>
    <t>A9</t>
  </si>
  <si>
    <t>AA5083-H116</t>
  </si>
  <si>
    <t>S9</t>
  </si>
  <si>
    <t>S10</t>
  </si>
  <si>
    <t>S11</t>
  </si>
  <si>
    <t>S12</t>
  </si>
  <si>
    <t>AISI 1020</t>
  </si>
  <si>
    <t>AISI 1045</t>
  </si>
  <si>
    <t>AISI 52100</t>
  </si>
  <si>
    <t>AISI 304</t>
  </si>
  <si>
    <t>Investigation of notch-induced precise splitting of different bar materials under high-speed load</t>
  </si>
  <si>
    <t>S13</t>
  </si>
  <si>
    <t>ARMOX 500T</t>
  </si>
  <si>
    <t>An investigation of the constitutive behavior of Armox 500T steel and armor piercing incendiary projectile material</t>
  </si>
  <si>
    <t>M3</t>
  </si>
  <si>
    <t>BRASS</t>
  </si>
  <si>
    <t>Assault riffle bullet-experimental characterization and computer (FE) modeling</t>
  </si>
  <si>
    <t>M4</t>
  </si>
  <si>
    <t>Protection effectiveness of perforated plates made of high strength steel</t>
  </si>
  <si>
    <t>A10</t>
  </si>
  <si>
    <t>2024-T351</t>
  </si>
  <si>
    <t>Effect of the Lode parameter in predicting shear cracking of 2024-T351 aluminum alloy Taylor rods</t>
  </si>
  <si>
    <t>TUNGSTEN ALLOY</t>
  </si>
  <si>
    <t>Investigation on high-velocity impact performance of multi-layered alumina ceramic armors with polymeric interlayers</t>
  </si>
  <si>
    <t>A11</t>
  </si>
  <si>
    <t>Al-4.8Cu-1.2Mg</t>
  </si>
  <si>
    <t>High strain rate tensile behavior of Al-4.8Cu-1.2Mg alloy</t>
  </si>
  <si>
    <t>Flow and fracture characteristics of aluminium alloy AA5083-H116 as function of strain rate, temperature and triaxiality</t>
  </si>
  <si>
    <t>Damage Paramenters D1</t>
  </si>
  <si>
    <t>M5</t>
  </si>
  <si>
    <t>COMPOSITE (TAPE)</t>
  </si>
  <si>
    <t>A12</t>
  </si>
  <si>
    <t>M6</t>
  </si>
  <si>
    <t>M7</t>
  </si>
  <si>
    <t>SOFT IRON</t>
  </si>
  <si>
    <t>COMPOSITE (WOVEN)</t>
  </si>
  <si>
    <t>AA 2014-T652</t>
  </si>
  <si>
    <t>weird results</t>
  </si>
  <si>
    <t>M8</t>
  </si>
  <si>
    <t>Copper</t>
  </si>
  <si>
    <t>Global energy start</t>
  </si>
  <si>
    <t>Global energy end</t>
  </si>
  <si>
    <t>Differnce in global energy</t>
  </si>
  <si>
    <t>Kinetic energy start</t>
  </si>
  <si>
    <t>kinetic energy end</t>
  </si>
  <si>
    <t>% diff kinetic energy</t>
  </si>
  <si>
    <t>M9</t>
  </si>
  <si>
    <t>Q3</t>
  </si>
  <si>
    <t>C3</t>
  </si>
  <si>
    <t>AlSi10Mg -0</t>
  </si>
  <si>
    <t>AlSi10Mg -45</t>
  </si>
  <si>
    <t>AlSi10Mg -90</t>
  </si>
  <si>
    <t>Voce hardening parameter C3</t>
  </si>
  <si>
    <t>Voce hardening parameter Q3</t>
  </si>
  <si>
    <t>On the ballistic perforation resistance of additive manufactured AlSi10Mg aluminium plates</t>
  </si>
  <si>
    <t>running</t>
  </si>
  <si>
    <t>CPU time</t>
  </si>
  <si>
    <t>6h 18min</t>
  </si>
  <si>
    <t>1h 19min</t>
  </si>
  <si>
    <t>1h 41min</t>
  </si>
  <si>
    <t>1h 39min</t>
  </si>
  <si>
    <t>MATERIAL</t>
  </si>
  <si>
    <t>STEEL 4340</t>
  </si>
  <si>
    <t xml:space="preserve">VELOCITY </t>
  </si>
  <si>
    <t>t/d</t>
  </si>
  <si>
    <t>target hole diameter</t>
  </si>
  <si>
    <t xml:space="preserve">% solid mat </t>
  </si>
  <si>
    <t>residual velocity</t>
  </si>
  <si>
    <t>% conversion due to temp</t>
  </si>
  <si>
    <t>cloud diameter</t>
  </si>
  <si>
    <t>t</t>
  </si>
  <si>
    <t>d</t>
  </si>
  <si>
    <t>target hole radius</t>
  </si>
  <si>
    <t>OG mass</t>
  </si>
  <si>
    <t>Final mass</t>
  </si>
  <si>
    <t>AISI 4340</t>
  </si>
  <si>
    <t>SPH RESULTS</t>
  </si>
  <si>
    <t>AA6070-O (SPH)</t>
  </si>
  <si>
    <t>AISI 4340 (SPH)</t>
  </si>
  <si>
    <t>Ti-6Al-4V (SPH)</t>
  </si>
  <si>
    <t>TUNGSTEN ALLOY (SPH)</t>
  </si>
  <si>
    <t>AA6070 - O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</si>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</sst>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sz val="7"/>
      <color theme="1"/>
      <name val="Courier New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2E2E2E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01F1E"/>
      <name val="Segoe U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indexed="64"/>
      </bottom>
      <diagonal/>
    </border>
  </borders>
  <cellStyleXfs count="5">
    <xf numFmtId="0" fontId="0" fillId="0" borderId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22" fillId="14" borderId="39" applyNumberFormat="0" applyAlignment="0" applyProtection="0"/>
    <xf numFmtId="0" fontId="27" fillId="15" borderId="0" applyNumberFormat="0" applyBorder="0" applyAlignment="0" applyProtection="0"/>
  </cellStyleXfs>
  <cellXfs count="283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11" fontId="2" fillId="0" borderId="8" xfId="0" applyNumberFormat="1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8" fillId="2" borderId="10" xfId="0" applyFont="1" applyFill="1" applyBorder="1" applyAlignment="1">
      <alignment wrapText="1"/>
    </xf>
    <xf numFmtId="11" fontId="2" fillId="0" borderId="11" xfId="0" applyNumberFormat="1" applyFont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11" fontId="2" fillId="0" borderId="9" xfId="0" applyNumberFormat="1" applyFont="1" applyBorder="1" applyAlignment="1">
      <alignment horizontal="right" wrapText="1"/>
    </xf>
    <xf numFmtId="11" fontId="9" fillId="7" borderId="9" xfId="0" applyNumberFormat="1" applyFont="1" applyFill="1" applyBorder="1" applyAlignment="1">
      <alignment horizontal="right" wrapText="1"/>
    </xf>
    <xf numFmtId="11" fontId="2" fillId="0" borderId="14" xfId="0" applyNumberFormat="1" applyFont="1" applyBorder="1" applyAlignment="1">
      <alignment horizontal="right"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horizontal="right" wrapText="1"/>
    </xf>
    <xf numFmtId="0" fontId="2" fillId="2" borderId="9" xfId="0" applyFont="1" applyFill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2" fillId="5" borderId="9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2" fillId="6" borderId="11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0" xfId="0" applyFill="1" applyBorder="1"/>
    <xf numFmtId="0" fontId="2" fillId="5" borderId="17" xfId="0" applyFont="1" applyFill="1" applyBorder="1" applyAlignment="1">
      <alignment wrapText="1"/>
    </xf>
    <xf numFmtId="0" fontId="2" fillId="5" borderId="18" xfId="0" applyFont="1" applyFill="1" applyBorder="1" applyAlignment="1">
      <alignment wrapText="1"/>
    </xf>
    <xf numFmtId="0" fontId="2" fillId="0" borderId="19" xfId="0" applyFont="1" applyBorder="1" applyAlignment="1">
      <alignment horizontal="right" wrapText="1"/>
    </xf>
    <xf numFmtId="0" fontId="2" fillId="0" borderId="17" xfId="0" applyFont="1" applyBorder="1" applyAlignment="1">
      <alignment horizontal="right" wrapText="1"/>
    </xf>
    <xf numFmtId="0" fontId="2" fillId="0" borderId="18" xfId="0" applyFont="1" applyBorder="1" applyAlignment="1">
      <alignment horizontal="right" wrapText="1"/>
    </xf>
    <xf numFmtId="0" fontId="2" fillId="0" borderId="20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3" xfId="0" applyFont="1" applyBorder="1" applyAlignment="1">
      <alignment horizontal="right" wrapText="1"/>
    </xf>
    <xf numFmtId="0" fontId="2" fillId="5" borderId="24" xfId="0" applyFont="1" applyFill="1" applyBorder="1" applyAlignment="1">
      <alignment wrapText="1"/>
    </xf>
    <xf numFmtId="0" fontId="2" fillId="5" borderId="25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2" fillId="0" borderId="5" xfId="0" applyFont="1" applyBorder="1" applyAlignment="1">
      <alignment horizontal="right"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0" fillId="5" borderId="30" xfId="0" applyFill="1" applyBorder="1"/>
    <xf numFmtId="0" fontId="0" fillId="5" borderId="29" xfId="0" applyFill="1" applyBorder="1"/>
    <xf numFmtId="0" fontId="0" fillId="0" borderId="31" xfId="0" applyBorder="1"/>
    <xf numFmtId="0" fontId="0" fillId="0" borderId="32" xfId="0" applyBorder="1"/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2" fillId="5" borderId="33" xfId="0" applyFont="1" applyFill="1" applyBorder="1" applyAlignment="1">
      <alignment wrapText="1"/>
    </xf>
    <xf numFmtId="0" fontId="0" fillId="5" borderId="33" xfId="0" applyFill="1" applyBorder="1"/>
    <xf numFmtId="0" fontId="2" fillId="5" borderId="17" xfId="0" applyFont="1" applyFill="1" applyBorder="1" applyAlignment="1">
      <alignment vertical="top" wrapText="1"/>
    </xf>
    <xf numFmtId="0" fontId="2" fillId="5" borderId="20" xfId="0" applyFont="1" applyFill="1" applyBorder="1" applyAlignment="1">
      <alignment vertical="top" wrapText="1"/>
    </xf>
    <xf numFmtId="0" fontId="2" fillId="5" borderId="34" xfId="0" applyFont="1" applyFill="1" applyBorder="1" applyAlignment="1">
      <alignment wrapText="1"/>
    </xf>
    <xf numFmtId="0" fontId="2" fillId="5" borderId="32" xfId="0" applyFont="1" applyFill="1" applyBorder="1" applyAlignment="1">
      <alignment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2" fontId="0" fillId="0" borderId="0" xfId="0" applyNumberFormat="1" applyBorder="1"/>
    <xf numFmtId="0" fontId="2" fillId="0" borderId="32" xfId="0" applyFont="1" applyBorder="1" applyAlignment="1">
      <alignment wrapText="1"/>
    </xf>
    <xf numFmtId="0" fontId="2" fillId="0" borderId="26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8" fillId="4" borderId="9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12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8" fillId="4" borderId="10" xfId="0" applyFont="1" applyFill="1" applyBorder="1" applyAlignment="1">
      <alignment horizontal="center" wrapText="1"/>
    </xf>
    <xf numFmtId="0" fontId="8" fillId="4" borderId="35" xfId="0" applyFont="1" applyFill="1" applyBorder="1" applyAlignment="1">
      <alignment horizontal="center" wrapText="1"/>
    </xf>
    <xf numFmtId="0" fontId="8" fillId="4" borderId="36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/>
    </xf>
    <xf numFmtId="0" fontId="0" fillId="0" borderId="12" xfId="0" applyBorder="1"/>
    <xf numFmtId="0" fontId="0" fillId="0" borderId="5" xfId="0" applyBorder="1"/>
    <xf numFmtId="0" fontId="8" fillId="4" borderId="26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1" fontId="0" fillId="0" borderId="12" xfId="0" applyNumberFormat="1" applyBorder="1"/>
    <xf numFmtId="11" fontId="0" fillId="0" borderId="0" xfId="0" applyNumberFormat="1"/>
    <xf numFmtId="11" fontId="0" fillId="0" borderId="14" xfId="0" applyNumberFormat="1" applyBorder="1"/>
    <xf numFmtId="11" fontId="0" fillId="0" borderId="0" xfId="0" applyNumberFormat="1" applyFill="1" applyBorder="1" applyAlignment="1">
      <alignment horizontal="right"/>
    </xf>
    <xf numFmtId="0" fontId="8" fillId="4" borderId="6" xfId="0" applyFont="1" applyFill="1" applyBorder="1" applyAlignment="1">
      <alignment horizontal="center" vertical="center" wrapText="1"/>
    </xf>
    <xf numFmtId="11" fontId="2" fillId="0" borderId="38" xfId="0" applyNumberFormat="1" applyFont="1" applyBorder="1" applyAlignment="1">
      <alignment horizontal="right" wrapText="1"/>
    </xf>
    <xf numFmtId="0" fontId="2" fillId="0" borderId="38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1" fillId="4" borderId="7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5" fillId="0" borderId="0" xfId="0" applyFont="1"/>
    <xf numFmtId="11" fontId="2" fillId="0" borderId="37" xfId="0" applyNumberFormat="1" applyFont="1" applyBorder="1" applyAlignment="1">
      <alignment horizontal="right" wrapText="1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0" fillId="10" borderId="1" xfId="0" applyFill="1" applyBorder="1"/>
    <xf numFmtId="0" fontId="0" fillId="9" borderId="1" xfId="0" applyFill="1" applyBorder="1"/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8" fillId="11" borderId="12" xfId="1" applyBorder="1" applyAlignment="1">
      <alignment horizontal="center" wrapText="1"/>
    </xf>
    <xf numFmtId="0" fontId="18" fillId="11" borderId="6" xfId="1" applyBorder="1" applyAlignment="1">
      <alignment horizontal="center" wrapText="1"/>
    </xf>
    <xf numFmtId="0" fontId="18" fillId="11" borderId="9" xfId="1" applyBorder="1" applyAlignment="1">
      <alignment horizontal="center" wrapText="1"/>
    </xf>
    <xf numFmtId="0" fontId="18" fillId="11" borderId="16" xfId="1" applyBorder="1" applyAlignment="1">
      <alignment horizontal="center" wrapText="1"/>
    </xf>
    <xf numFmtId="0" fontId="18" fillId="11" borderId="28" xfId="1" applyBorder="1" applyAlignment="1">
      <alignment horizontal="center" wrapText="1"/>
    </xf>
    <xf numFmtId="0" fontId="19" fillId="12" borderId="0" xfId="2" applyBorder="1" applyAlignment="1">
      <alignment horizontal="center" wrapText="1"/>
    </xf>
    <xf numFmtId="0" fontId="18" fillId="11" borderId="0" xfId="1" applyBorder="1" applyAlignment="1">
      <alignment horizontal="center" wrapText="1"/>
    </xf>
    <xf numFmtId="2" fontId="2" fillId="0" borderId="5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19" fillId="12" borderId="5" xfId="2" applyBorder="1" applyAlignment="1">
      <alignment horizontal="center" vertical="center"/>
    </xf>
    <xf numFmtId="0" fontId="20" fillId="0" borderId="5" xfId="0" applyFont="1" applyBorder="1"/>
    <xf numFmtId="0" fontId="20" fillId="0" borderId="0" xfId="0" applyFont="1" applyBorder="1"/>
    <xf numFmtId="11" fontId="21" fillId="0" borderId="0" xfId="0" applyNumberFormat="1" applyFont="1" applyFill="1" applyBorder="1" applyAlignment="1">
      <alignment horizontal="right" wrapText="1"/>
    </xf>
    <xf numFmtId="11" fontId="0" fillId="0" borderId="5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1" fillId="5" borderId="0" xfId="0" applyFont="1" applyFill="1" applyBorder="1" applyAlignment="1">
      <alignment horizontal="center"/>
    </xf>
    <xf numFmtId="0" fontId="2" fillId="0" borderId="37" xfId="0" applyFont="1" applyBorder="1" applyAlignment="1">
      <alignment horizontal="right" wrapText="1"/>
    </xf>
    <xf numFmtId="0" fontId="2" fillId="0" borderId="37" xfId="0" applyFont="1" applyBorder="1" applyAlignment="1">
      <alignment horizontal="center" wrapText="1"/>
    </xf>
    <xf numFmtId="0" fontId="1" fillId="4" borderId="0" xfId="0" applyFont="1" applyFill="1" applyBorder="1" applyAlignment="1">
      <alignment horizontal="center"/>
    </xf>
    <xf numFmtId="0" fontId="0" fillId="0" borderId="37" xfId="0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5" borderId="0" xfId="0" applyFill="1" applyBorder="1"/>
    <xf numFmtId="2" fontId="0" fillId="0" borderId="0" xfId="0" applyNumberFormat="1" applyFill="1" applyBorder="1"/>
    <xf numFmtId="11" fontId="0" fillId="0" borderId="0" xfId="0" applyNumberFormat="1" applyFill="1" applyBorder="1"/>
    <xf numFmtId="164" fontId="0" fillId="0" borderId="0" xfId="0" applyNumberFormat="1" applyBorder="1"/>
    <xf numFmtId="0" fontId="1" fillId="5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11" fontId="2" fillId="0" borderId="5" xfId="0" applyNumberFormat="1" applyFont="1" applyBorder="1"/>
    <xf numFmtId="0" fontId="0" fillId="5" borderId="5" xfId="0" applyFill="1" applyBorder="1"/>
    <xf numFmtId="2" fontId="0" fillId="0" borderId="5" xfId="0" applyNumberFormat="1" applyBorder="1"/>
    <xf numFmtId="11" fontId="0" fillId="0" borderId="5" xfId="0" applyNumberFormat="1" applyBorder="1"/>
    <xf numFmtId="164" fontId="0" fillId="0" borderId="5" xfId="0" applyNumberFormat="1" applyBorder="1"/>
    <xf numFmtId="0" fontId="0" fillId="13" borderId="5" xfId="0" applyFill="1" applyBorder="1"/>
    <xf numFmtId="2" fontId="0" fillId="13" borderId="5" xfId="0" applyNumberFormat="1" applyFill="1" applyBorder="1"/>
    <xf numFmtId="11" fontId="2" fillId="13" borderId="5" xfId="0" applyNumberFormat="1" applyFont="1" applyFill="1" applyBorder="1" applyAlignment="1">
      <alignment horizontal="right" wrapText="1"/>
    </xf>
    <xf numFmtId="164" fontId="0" fillId="13" borderId="5" xfId="0" applyNumberFormat="1" applyFill="1" applyBorder="1"/>
    <xf numFmtId="11" fontId="2" fillId="13" borderId="0" xfId="0" applyNumberFormat="1" applyFont="1" applyFill="1" applyBorder="1"/>
    <xf numFmtId="0" fontId="0" fillId="13" borderId="0" xfId="0" applyFill="1" applyBorder="1"/>
    <xf numFmtId="0" fontId="2" fillId="13" borderId="0" xfId="0" applyFont="1" applyFill="1" applyBorder="1" applyAlignment="1">
      <alignment horizontal="right" wrapText="1"/>
    </xf>
    <xf numFmtId="11" fontId="2" fillId="13" borderId="0" xfId="0" applyNumberFormat="1" applyFont="1" applyFill="1" applyBorder="1" applyAlignment="1">
      <alignment horizontal="right" wrapText="1"/>
    </xf>
    <xf numFmtId="164" fontId="0" fillId="13" borderId="0" xfId="0" applyNumberFormat="1" applyFill="1" applyBorder="1"/>
    <xf numFmtId="0" fontId="19" fillId="12" borderId="16" xfId="2" applyBorder="1" applyAlignment="1">
      <alignment horizontal="center" wrapText="1"/>
    </xf>
    <xf numFmtId="0" fontId="0" fillId="0" borderId="37" xfId="0" applyFont="1" applyFill="1" applyBorder="1"/>
    <xf numFmtId="2" fontId="0" fillId="13" borderId="0" xfId="0" applyNumberFormat="1" applyFill="1" applyBorder="1"/>
    <xf numFmtId="2" fontId="2" fillId="0" borderId="0" xfId="0" applyNumberFormat="1" applyFont="1" applyBorder="1" applyAlignment="1">
      <alignment horizontal="right" wrapText="1"/>
    </xf>
    <xf numFmtId="164" fontId="0" fillId="0" borderId="37" xfId="0" applyNumberFormat="1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11" fontId="2" fillId="0" borderId="0" xfId="0" applyNumberFormat="1" applyFont="1" applyFill="1" applyBorder="1" applyAlignment="1">
      <alignment horizontal="right" wrapText="1"/>
    </xf>
    <xf numFmtId="11" fontId="24" fillId="0" borderId="0" xfId="0" applyNumberFormat="1" applyFont="1"/>
    <xf numFmtId="0" fontId="23" fillId="5" borderId="0" xfId="0" applyFont="1" applyFill="1" applyBorder="1"/>
    <xf numFmtId="0" fontId="1" fillId="4" borderId="1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/>
    <xf numFmtId="0" fontId="22" fillId="14" borderId="39" xfId="3" applyAlignment="1">
      <alignment horizontal="center" wrapText="1"/>
    </xf>
    <xf numFmtId="0" fontId="19" fillId="12" borderId="0" xfId="2" applyAlignment="1">
      <alignment horizontal="center"/>
    </xf>
    <xf numFmtId="0" fontId="0" fillId="4" borderId="0" xfId="0" applyFill="1" applyBorder="1"/>
    <xf numFmtId="0" fontId="1" fillId="4" borderId="6" xfId="0" applyFont="1" applyFill="1" applyBorder="1" applyAlignment="1">
      <alignment horizontal="center" vertical="top"/>
    </xf>
    <xf numFmtId="0" fontId="1" fillId="4" borderId="0" xfId="0" applyFont="1" applyFill="1"/>
    <xf numFmtId="11" fontId="0" fillId="0" borderId="0" xfId="0" applyNumberFormat="1" applyFont="1" applyFill="1" applyBorder="1"/>
    <xf numFmtId="2" fontId="26" fillId="0" borderId="0" xfId="2" applyNumberFormat="1" applyFont="1" applyFill="1" applyBorder="1"/>
    <xf numFmtId="2" fontId="26" fillId="0" borderId="0" xfId="0" applyNumberFormat="1" applyFont="1" applyFill="1" applyBorder="1"/>
    <xf numFmtId="2" fontId="26" fillId="0" borderId="0" xfId="1" applyNumberFormat="1" applyFont="1" applyFill="1" applyBorder="1"/>
    <xf numFmtId="11" fontId="0" fillId="0" borderId="37" xfId="0" applyNumberFormat="1" applyFill="1" applyBorder="1"/>
    <xf numFmtId="11" fontId="0" fillId="0" borderId="37" xfId="0" applyNumberFormat="1" applyBorder="1"/>
    <xf numFmtId="2" fontId="26" fillId="0" borderId="37" xfId="0" applyNumberFormat="1" applyFont="1" applyFill="1" applyBorder="1"/>
    <xf numFmtId="11" fontId="0" fillId="0" borderId="37" xfId="0" applyNumberFormat="1" applyFont="1" applyFill="1" applyBorder="1"/>
    <xf numFmtId="2" fontId="0" fillId="0" borderId="0" xfId="0" applyNumberFormat="1"/>
    <xf numFmtId="2" fontId="0" fillId="0" borderId="37" xfId="0" applyNumberFormat="1" applyBorder="1"/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4" borderId="4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8" fillId="11" borderId="0" xfId="1" applyAlignment="1">
      <alignment horizontal="center"/>
    </xf>
    <xf numFmtId="0" fontId="27" fillId="15" borderId="0" xfId="4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11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1" fillId="4" borderId="2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5">
    <cellStyle name="Bad" xfId="2" builtinId="27"/>
    <cellStyle name="Good" xfId="1" builtinId="26"/>
    <cellStyle name="Input" xfId="3" builtinId="20"/>
    <cellStyle name="Neutral" xfId="4" builtinId="28"/>
    <cellStyle name="Normal" xfId="0" builtinId="0"/>
  </cellStyles>
  <dxfs count="13"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bulk modulus and percentage of converted particles due to temperature</c:v>
            </c:pt>
          </c:strCache>
        </c:strRef>
      </c:tx>
      <c:layout>
        <c:manualLayout>
          <c:xMode val="edge"/>
          <c:yMode val="edge"/>
          <c:x val="2.9733070713815674E-2"/>
          <c:y val="3.4279965884488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56140.350877192977</c:v>
                </c:pt>
              </c:numCache>
            </c:numRef>
          </c:xVal>
          <c:yVal>
            <c:numRef>
              <c:f>sim_results!$K$15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A-48B1-A3A2-A261A415EE39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69607.843137254895</c:v>
                </c:pt>
              </c:numCache>
            </c:numRef>
          </c:xVal>
          <c:yVal>
            <c:numRef>
              <c:f>sim_results!$L$15</c:f>
              <c:numCache>
                <c:formatCode>General</c:formatCode>
                <c:ptCount val="1"/>
                <c:pt idx="0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A-48B1-A3A2-A261A415EE39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70294.117647058825</c:v>
                </c:pt>
              </c:numCache>
            </c:numRef>
          </c:xVal>
          <c:yVal>
            <c:numRef>
              <c:f>sim_results!$M$15</c:f>
              <c:numCache>
                <c:formatCode>General</c:formatCode>
                <c:ptCount val="1"/>
                <c:pt idx="0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BA-48B1-A3A2-A261A415EE39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205880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sim_results!$AD$15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sim_results!$AE$15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3-462C-BD90-A62F20AD3B3A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199019.60784313726</c:v>
                </c:pt>
              </c:numCache>
            </c:numRef>
          </c:xVal>
          <c:yVal>
            <c:numRef>
              <c:f>sim_results!$V$15</c:f>
              <c:numCache>
                <c:formatCode>General</c:formatCode>
                <c:ptCount val="1"/>
                <c:pt idx="0">
                  <c:v>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2-4916-A9C4-0059315FFAF5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2-4916-A9C4-0059315FFAF5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22-4F54-9594-7CA0BDE7AF84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2-4916-A9C4-0059315FFAF5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196078.43137254901</c:v>
                </c:pt>
              </c:numCache>
            </c:numRef>
          </c:xVal>
          <c:yVal>
            <c:numRef>
              <c:f>sim_results!$W$15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1-4A8B-8585-1317914EDA61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sim_results!$X$15</c:f>
              <c:numCache>
                <c:formatCode>General</c:formatCode>
                <c:ptCount val="1"/>
                <c:pt idx="0">
                  <c:v>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F1-4A8B-8585-1317914EDA61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59999.999999999993</c:v>
                </c:pt>
              </c:numCache>
            </c:numRef>
          </c:xVal>
          <c:yVal>
            <c:numRef>
              <c:f>sim_results!$O$15</c:f>
              <c:numCache>
                <c:formatCode>General</c:formatCode>
                <c:ptCount val="1"/>
                <c:pt idx="0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6-4659-A8BA-4959F1D4FA1F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sim_results!$AA$15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6-4659-A8BA-4959F1D4FA1F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197058.82352941175</c:v>
                </c:pt>
              </c:numCache>
            </c:numRef>
          </c:xVal>
          <c:yVal>
            <c:numRef>
              <c:f>sim_results!$AC$15</c:f>
              <c:numCache>
                <c:formatCode>General</c:formatCode>
                <c:ptCount val="1"/>
                <c:pt idx="0">
                  <c:v>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6-4659-A8BA-4959F1D4FA1F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163492.06349206346</c:v>
                </c:pt>
              </c:numCache>
            </c:numRef>
          </c:xVal>
          <c:yVal>
            <c:numRef>
              <c:f>sim_results!$Z$15</c:f>
              <c:numCache>
                <c:formatCode>General</c:formatCode>
                <c:ptCount val="1"/>
                <c:pt idx="0">
                  <c:v>24.3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C3-4609-BBCD-73DEFF245A0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153174.60317460314</c:v>
                </c:pt>
              </c:numCache>
            </c:numRef>
          </c:xVal>
          <c:yVal>
            <c:numRef>
              <c:f>sim_results!$AB$15</c:f>
              <c:numCache>
                <c:formatCode>General</c:formatCode>
                <c:ptCount val="1"/>
                <c:pt idx="0">
                  <c:v>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C3-4609-BBCD-73DEFF245A0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50-42BA-98E0-4B8DB84B86AD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sim_results!$AP$15</c:f>
              <c:numCache>
                <c:formatCode>General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88-4F81-870C-64168A3FB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09572839943268"/>
          <c:y val="6.1933226417845155E-3"/>
          <c:w val="0.15447315880638085"/>
          <c:h val="0.97969938697158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bulk modulus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93-4350-9677-50A4552054C7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193-4350-9677-50A4552054C7}"/>
            </c:ext>
          </c:extLst>
        </c:ser>
        <c:ser>
          <c:idx val="6"/>
          <c:order val="14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193-4350-9677-50A4552054C7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193-4350-9677-50A4552054C7}"/>
            </c:ext>
          </c:extLst>
        </c:ser>
        <c:ser>
          <c:idx val="25"/>
          <c:order val="25"/>
          <c:tx>
            <c:strRef>
              <c:f>sim_results!$F$31</c:f>
              <c:strCache>
                <c:ptCount val="1"/>
                <c:pt idx="0">
                  <c:v>AA6070-O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sim_results!$F$33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47-4A8F-9F60-A92ADCFED8B9}"/>
            </c:ext>
          </c:extLst>
        </c:ser>
        <c:ser>
          <c:idx val="27"/>
          <c:order val="26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sim_results!$H$33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47-4A8F-9F60-A92ADCFED8B9}"/>
            </c:ext>
          </c:extLst>
        </c:ser>
        <c:ser>
          <c:idx val="26"/>
          <c:order val="27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sim_results!$G$33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47-4A8F-9F60-A92ADCFED8B9}"/>
            </c:ext>
          </c:extLst>
        </c:ser>
        <c:ser>
          <c:idx val="28"/>
          <c:order val="28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sim_results!$I$33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47-4A8F-9F60-A92ADCFED8B9}"/>
            </c:ext>
          </c:extLst>
        </c:ser>
        <c:ser>
          <c:idx val="29"/>
          <c:order val="29"/>
          <c:tx>
            <c:v>bestfit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plots!$BD$12:$BD$15</c:f>
              <c:numCache>
                <c:formatCode>General</c:formatCode>
                <c:ptCount val="4"/>
                <c:pt idx="0">
                  <c:v>58333.33</c:v>
                </c:pt>
                <c:pt idx="1">
                  <c:v>117881.03958333335</c:v>
                </c:pt>
                <c:pt idx="2">
                  <c:v>174999.99999999997</c:v>
                </c:pt>
                <c:pt idx="3">
                  <c:v>310000</c:v>
                </c:pt>
              </c:numCache>
            </c:numRef>
          </c:xVal>
          <c:yVal>
            <c:numRef>
              <c:f>plots!$BE$12:$BE$15</c:f>
              <c:numCache>
                <c:formatCode>0.00</c:formatCode>
                <c:ptCount val="4"/>
                <c:pt idx="0">
                  <c:v>11.46923</c:v>
                </c:pt>
                <c:pt idx="1">
                  <c:v>13.5</c:v>
                </c:pt>
                <c:pt idx="2" formatCode="General">
                  <c:v>15.44</c:v>
                </c:pt>
                <c:pt idx="3">
                  <c:v>15.72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647-4A8F-9F60-A92ADCFED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11.72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193-4350-9677-50A4552054C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11.062585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193-4350-9677-50A4552054C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11.23072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193-4350-9677-50A4552054C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10.84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193-4350-9677-50A4552054C7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square"/>
                    <c:size val="5"/>
                    <c:spPr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2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2193-4350-9677-50A4552054C7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56140.350877192977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16.135379999999998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193-4350-9677-50A4552054C7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69607.843137254895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14.226765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193-4350-9677-50A4552054C7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70294.117647058825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14.096309999999999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193-4350-9677-50A4552054C7}"/>
                  </c:ext>
                </c:extLst>
              </c15:ser>
            </c15:filteredScatterSeries>
            <c15:filteredScatterSeries>
              <c15:ser>
                <c:idx val="1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59999.999999999993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13.96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193-4350-9677-50A4552054C7}"/>
                  </c:ext>
                </c:extLst>
              </c15:ser>
            </c15:filteredScatterSeries>
            <c15:filteredScatterSeries>
              <c15:ser>
                <c:idx val="5"/>
                <c:order val="9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205880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13.92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193-4350-9677-50A4552054C7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12.26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193-4350-9677-50A4552054C7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11.561835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193-4350-9677-50A4552054C7}"/>
                  </c:ext>
                </c:extLst>
              </c15:ser>
            </c15:filteredScatterSeries>
            <c15:filteredScatterSeries>
              <c15:ser>
                <c:idx val="9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11.266354999999999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193-4350-9677-50A4552054C7}"/>
                  </c:ext>
                </c:extLst>
              </c15:ser>
            </c15:filteredScatterSeries>
            <c15:filteredScatterSeries>
              <c15:ser>
                <c:idx val="10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5">
                          <a:lumMod val="60000"/>
                        </a:schemeClr>
                      </a:solidFill>
                      <a:ln w="9525">
                        <a:solidFill>
                          <a:schemeClr val="accent5">
                            <a:lumMod val="6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0-2193-4350-9677-50A4552054C7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199019.60784313726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14.76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193-4350-9677-50A4552054C7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17.04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193-4350-9677-50A4552054C7}"/>
                  </c:ext>
                </c:extLst>
              </c15:ser>
            </c15:filteredScatterSeries>
            <c15:filteredScatte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196078.43137254901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193-4350-9677-50A4552054C7}"/>
                  </c:ext>
                </c:extLst>
              </c15:ser>
            </c15:filteredScatterSeries>
            <c15:filteredScatte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18.006875000000001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193-4350-9677-50A4552054C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15.78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193-4350-9677-50A4552054C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197058.82352941175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193-4350-9677-50A4552054C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163492.06349206346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14.693474999999999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193-4350-9677-50A4552054C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153174.60317460314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16.799492000000001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2193-4350-9677-50A4552054C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14.808106666666665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193-4350-9677-50A4552054C7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610290814923977"/>
          <c:y val="0.19802586698965599"/>
          <c:w val="0.22364633632225325"/>
          <c:h val="0.596733909702209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bulk modulus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5-4E77-81C4-C596BD54DD25}"/>
            </c:ext>
          </c:extLst>
        </c:ser>
        <c:ser>
          <c:idx val="11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88.4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735-4E77-81C4-C596BD54DD25}"/>
            </c:ext>
          </c:extLst>
        </c:ser>
        <c:ser>
          <c:idx val="9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735-4E77-81C4-C596BD54DD25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735-4E77-81C4-C596BD54DD25}"/>
            </c:ext>
          </c:extLst>
        </c:ser>
        <c:ser>
          <c:idx val="25"/>
          <c:order val="25"/>
          <c:tx>
            <c:strRef>
              <c:f>sim_results!$F$31</c:f>
              <c:strCache>
                <c:ptCount val="1"/>
                <c:pt idx="0">
                  <c:v>AA6070-O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sim_results!$F$34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E-418D-B31C-7AAFE9ED74E1}"/>
            </c:ext>
          </c:extLst>
        </c:ser>
        <c:ser>
          <c:idx val="27"/>
          <c:order val="26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sim_results!$H$34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EE-418D-B31C-7AAFE9ED74E1}"/>
            </c:ext>
          </c:extLst>
        </c:ser>
        <c:ser>
          <c:idx val="26"/>
          <c:order val="27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sim_results!$G$34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EE-418D-B31C-7AAFE9ED74E1}"/>
            </c:ext>
          </c:extLst>
        </c:ser>
        <c:ser>
          <c:idx val="28"/>
          <c:order val="28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sim_results!$I$34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EE-418D-B31C-7AAFE9ED7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62.2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735-4E77-81C4-C596BD54DD2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54.277700000000003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735-4E77-81C4-C596BD54DD2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52.011650000000003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735-4E77-81C4-C596BD54DD2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735-4E77-81C4-C596BD54DD25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56140.350877192977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46.737460000000006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35-4E77-81C4-C596BD54DD25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69607.843137254895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45.220349999999996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35-4E77-81C4-C596BD54DD25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70294.117647058825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48.886066666666665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35-4E77-81C4-C596BD54DD25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205880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735-4E77-81C4-C596BD54DD25}"/>
                  </c:ext>
                </c:extLst>
              </c15:ser>
            </c15:filteredScatterSeries>
            <c15:filteredScatterSeries>
              <c15:ser>
                <c:idx val="6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74.283479999999997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735-4E77-81C4-C596BD54DD25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73.549899999999994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735-4E77-81C4-C596BD54DD25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92.1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735-4E77-81C4-C596BD54DD25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199019.60784313726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98.93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735-4E77-81C4-C596BD54DD25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97.7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735-4E77-81C4-C596BD54DD25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196078.43137254901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97.299875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735-4E77-81C4-C596BD54DD25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93.104100000000003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735-4E77-81C4-C596BD54DD25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59999.999999999993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50.75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735-4E77-81C4-C596BD54DD25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98.64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735-4E77-81C4-C596BD54DD25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197058.82352941175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95.86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735-4E77-81C4-C596BD54DD25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163492.06349206346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92.917879999999997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735-4E77-81C4-C596BD54DD25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153174.60317460314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101.23480000000001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735-4E77-81C4-C596BD54DD25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47.780433333333328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735-4E77-81C4-C596BD54DD25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63461436582449"/>
          <c:y val="0.19848494962812147"/>
          <c:w val="0.19469451116875114"/>
          <c:h val="0.47688122694881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bulk modulus and percentage of solid material in debris cloud</c:v>
            </c:pt>
          </c:strCache>
        </c:strRef>
      </c:tx>
      <c:layout>
        <c:manualLayout>
          <c:xMode val="edge"/>
          <c:yMode val="edge"/>
          <c:x val="9.0595980391702122E-2"/>
          <c:y val="3.4320072084940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8F-4521-8B31-C79BB2327E27}"/>
            </c:ext>
          </c:extLst>
        </c:ser>
        <c:ser>
          <c:idx val="11"/>
          <c:order val="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D8F-4521-8B31-C79BB2327E27}"/>
            </c:ext>
          </c:extLst>
        </c:ser>
        <c:ser>
          <c:idx val="6"/>
          <c:order val="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D8F-4521-8B31-C79BB2327E27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D8F-4521-8B31-C79BB2327E27}"/>
            </c:ext>
          </c:extLst>
        </c:ser>
        <c:ser>
          <c:idx val="25"/>
          <c:order val="25"/>
          <c:tx>
            <c:strRef>
              <c:f>sim_results!$F$31</c:f>
              <c:strCache>
                <c:ptCount val="1"/>
                <c:pt idx="0">
                  <c:v>AA6070-O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sim_results!$F$37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1-4156-89A9-FC7C5B14B9F5}"/>
            </c:ext>
          </c:extLst>
        </c:ser>
        <c:ser>
          <c:idx val="27"/>
          <c:order val="26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sim_results!$H$37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C1-4156-89A9-FC7C5B14B9F5}"/>
            </c:ext>
          </c:extLst>
        </c:ser>
        <c:ser>
          <c:idx val="26"/>
          <c:order val="27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6C1-4156-89A9-FC7C5B14B9F5}"/>
              </c:ext>
            </c:extLst>
          </c:dPt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sim_results!$G$37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C1-4156-89A9-FC7C5B14B9F5}"/>
            </c:ext>
          </c:extLst>
        </c:ser>
        <c:ser>
          <c:idx val="28"/>
          <c:order val="28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sim_results!$I$37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C1-4156-89A9-FC7C5B14B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25.9016393442623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D8F-4521-8B31-C79BB2327E27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9.3442622950819683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D8F-4521-8B31-C79BB2327E27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15.163934426229508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D8F-4521-8B31-C79BB2327E27}"/>
                  </c:ext>
                </c:extLst>
              </c15:ser>
            </c15:filteredScatterSeries>
            <c15:filteredScatterSeries>
              <c15:ser>
                <c:idx val="4"/>
                <c:order val="6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28.442622950819676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D8F-4521-8B31-C79BB2327E27}"/>
                  </c:ext>
                </c:extLst>
              </c15:ser>
            </c15:filteredScatterSeries>
            <c15:filteredScatterSeries>
              <c15:ser>
                <c:idx val="1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56140.350877192977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9.5081967213114762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D8F-4521-8B31-C79BB2327E27}"/>
                  </c:ext>
                </c:extLst>
              </c15:ser>
            </c15:filteredScatterSeries>
            <c15:filteredScatterSeries>
              <c15:ser>
                <c:idx val="14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69607.843137254895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9.8360655737704921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D8F-4521-8B31-C79BB2327E27}"/>
                  </c:ext>
                </c:extLst>
              </c15:ser>
            </c15:filteredScatterSeries>
            <c15:filteredScatterSeries>
              <c15:ser>
                <c:idx val="1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70294.117647058825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9.0983606557377055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D8F-4521-8B31-C79BB2327E27}"/>
                  </c:ext>
                </c:extLst>
              </c15:ser>
            </c15:filteredScatterSeries>
            <c15:filteredScatterSeries>
              <c15:ser>
                <c:idx val="5"/>
                <c:order val="10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205880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5.7377049180327875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D8F-4521-8B31-C79BB2327E27}"/>
                  </c:ext>
                </c:extLst>
              </c15:ser>
            </c15:filteredScatterSeries>
            <c15:filteredScatterSeries>
              <c15:ser>
                <c:idx val="7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7.8934426229508192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D8F-4521-8B31-C79BB2327E27}"/>
                  </c:ext>
                </c:extLst>
              </c15:ser>
            </c15:filteredScatterSeries>
            <c15:filteredScatterSeries>
              <c15:ser>
                <c:idx val="8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7.6639344262295088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D8F-4521-8B31-C79BB2327E27}"/>
                  </c:ext>
                </c:extLst>
              </c15:ser>
            </c15:filteredScatterSeries>
            <c15:filteredScatterSeries>
              <c15:ser>
                <c:idx val="9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5.8934426229508201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D8F-4521-8B31-C79BB2327E27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199019.60784313726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2.7540983606557381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D8F-4521-8B31-C79BB2327E27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2.540983606557377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D8F-4521-8B31-C79BB2327E27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196078.43137254901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3.5655737704918034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D8F-4521-8B31-C79BB2327E27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3.4672131147540988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D8F-4521-8B31-C79BB2327E27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59999.999999999993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8.7704918032786896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D8F-4521-8B31-C79BB2327E2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3.6311475409836063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D8F-4521-8B31-C79BB2327E2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197058.82352941175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3.5737704918032791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D8F-4521-8B31-C79BB2327E2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163492.06349206346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3.5737704918032791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D8F-4521-8B31-C79BB2327E2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153174.60317460314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3.0491803278688527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5D8F-4521-8B31-C79BB2327E2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8.7704918032786896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5D8F-4521-8B31-C79BB2327E27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29511682397167"/>
          <c:y val="0.18055007674942317"/>
          <c:w val="0.19631625435483502"/>
          <c:h val="0.4746178792245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bulk modulus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A-42EB-80DB-5F054479B592}"/>
            </c:ext>
          </c:extLst>
        </c:ser>
        <c:ser>
          <c:idx val="16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83A-42EB-80DB-5F054479B592}"/>
            </c:ext>
          </c:extLst>
        </c:ser>
        <c:ser>
          <c:idx val="6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83A-42EB-80DB-5F054479B592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83A-42EB-80DB-5F054479B592}"/>
            </c:ext>
          </c:extLst>
        </c:ser>
        <c:ser>
          <c:idx val="26"/>
          <c:order val="26"/>
          <c:tx>
            <c:strRef>
              <c:f>sim_results!$F$31</c:f>
              <c:strCache>
                <c:ptCount val="1"/>
                <c:pt idx="0">
                  <c:v>AA6070-O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sim_results!$F$38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24-411F-9624-78C3874BAD9B}"/>
            </c:ext>
          </c:extLst>
        </c:ser>
        <c:ser>
          <c:idx val="28"/>
          <c:order val="27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sim_results!$H$38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24-411F-9624-78C3874BAD9B}"/>
            </c:ext>
          </c:extLst>
        </c:ser>
        <c:ser>
          <c:idx val="27"/>
          <c:order val="28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sim_results!$G$38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24-411F-9624-78C3874BAD9B}"/>
            </c:ext>
          </c:extLst>
        </c:ser>
        <c:ser>
          <c:idx val="29"/>
          <c:order val="29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sim_results!$I$38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24-411F-9624-78C3874BA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6470000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83A-42EB-80DB-5F054479B59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6250000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83A-42EB-80DB-5F054479B59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6280000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3A-42EB-80DB-5F054479B59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6450000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3A-42EB-80DB-5F054479B592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56140.350877192977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3A-42EB-80DB-5F054479B592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69607.843137254895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83A-42EB-80DB-5F054479B592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70294.117647058825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83A-42EB-80DB-5F054479B592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205880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6070000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83A-42EB-80DB-5F054479B592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83A-42EB-80DB-5F054479B592}"/>
                  </c:ext>
                </c:extLst>
              </c15:ser>
            </c15:filteredScatterSeries>
            <c15:filteredScatte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6060000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83A-42EB-80DB-5F054479B592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6040000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83A-42EB-80DB-5F054479B592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199019.60784313726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83A-42EB-80DB-5F054479B592}"/>
                  </c:ext>
                </c:extLst>
              </c15:ser>
            </c15:filteredScatterSeries>
            <c15:filteredScatterSeries>
              <c15:ser>
                <c:idx val="1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83A-42EB-80DB-5F054479B592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diamond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683A-42EB-80DB-5F054479B59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83A-42EB-80DB-5F054479B59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196078.43137254901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83A-42EB-80DB-5F054479B59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83A-42EB-80DB-5F054479B59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59999.999999999993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83A-42EB-80DB-5F054479B59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5680000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83A-42EB-80DB-5F054479B59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197058.82352941175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83A-42EB-80DB-5F054479B59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163492.06349206346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5610000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83A-42EB-80DB-5F054479B59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153174.60317460314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5730000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83A-42EB-80DB-5F054479B592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6330000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83A-42EB-80DB-5F054479B592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79499039460775"/>
          <c:y val="0.17989699801791231"/>
          <c:w val="0.19458449578624876"/>
          <c:h val="0.47562115355007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bulk modulus and percentage of converted particles due to temperature</c:v>
            </c:pt>
          </c:strCache>
        </c:strRef>
      </c:tx>
      <c:layout>
        <c:manualLayout>
          <c:xMode val="edge"/>
          <c:yMode val="edge"/>
          <c:x val="8.248759543202136E-2"/>
          <c:y val="3.4279882531814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7-4759-A757-D2DE09873EC2}"/>
            </c:ext>
          </c:extLst>
        </c:ser>
        <c:ser>
          <c:idx val="16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C17-4759-A757-D2DE09873EC2}"/>
            </c:ext>
          </c:extLst>
        </c:ser>
        <c:ser>
          <c:idx val="6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C17-4759-A757-D2DE09873EC2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C17-4759-A757-D2DE09873EC2}"/>
            </c:ext>
          </c:extLst>
        </c:ser>
        <c:ser>
          <c:idx val="26"/>
          <c:order val="26"/>
          <c:tx>
            <c:strRef>
              <c:f>sim_results!$F$31</c:f>
              <c:strCache>
                <c:ptCount val="1"/>
                <c:pt idx="0">
                  <c:v>AA6070-O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sim_results!$F$39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29-4FA6-B25B-657351893BD6}"/>
            </c:ext>
          </c:extLst>
        </c:ser>
        <c:ser>
          <c:idx val="28"/>
          <c:order val="27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sim_results!$H$39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29-4FA6-B25B-657351893BD6}"/>
            </c:ext>
          </c:extLst>
        </c:ser>
        <c:ser>
          <c:idx val="27"/>
          <c:order val="28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sim_results!$G$39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29-4FA6-B25B-657351893BD6}"/>
            </c:ext>
          </c:extLst>
        </c:ser>
        <c:ser>
          <c:idx val="29"/>
          <c:order val="29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sim_results!$I$39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29-4FA6-B25B-657351893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C17-4759-A757-D2DE09873EC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C17-4759-A757-D2DE09873EC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C17-4759-A757-D2DE09873EC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C17-4759-A757-D2DE09873EC2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56140.350877192977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17-4759-A757-D2DE09873EC2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69607.843137254895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17-4759-A757-D2DE09873EC2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70294.117647058825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17-4759-A757-D2DE09873EC2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205880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4.96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C17-4759-A757-D2DE09873EC2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C17-4759-A757-D2DE09873EC2}"/>
                  </c:ext>
                </c:extLst>
              </c15:ser>
            </c15:filteredScatterSeries>
            <c15:filteredScatte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C17-4759-A757-D2DE09873EC2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circle"/>
                    <c:size val="5"/>
                    <c:spPr>
                      <a:solidFill>
                        <a:schemeClr val="accent2"/>
                      </a:solidFill>
                      <a:ln w="9525">
                        <a:solidFill>
                          <a:schemeClr val="accent2"/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C17-4759-A757-D2DE09873EC2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199019.60784313726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C17-4759-A757-D2DE09873EC2}"/>
                  </c:ext>
                </c:extLst>
              </c15:ser>
            </c15:filteredScatterSeries>
            <c15:filteredScatterSeries>
              <c15:ser>
                <c:idx val="1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C17-4759-A757-D2DE09873EC2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CC17-4759-A757-D2DE09873EC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C17-4759-A757-D2DE09873EC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196078.43137254901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C17-4759-A757-D2DE09873EC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C17-4759-A757-D2DE09873EC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59999.999999999993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C17-4759-A757-D2DE09873EC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C17-4759-A757-D2DE09873EC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197058.82352941175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C17-4759-A757-D2DE09873EC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163492.06349206346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24.3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C17-4759-A757-D2DE09873EC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153174.60317460314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C17-4759-A757-D2DE09873EC2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C17-4759-A757-D2DE09873EC2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17742114943611"/>
          <c:y val="0.18958809766799267"/>
          <c:w val="0.1946394879316008"/>
          <c:h val="0.47612438297960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bulk modulus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5FF-47C0-B9A6-F48312F6E206}"/>
              </c:ext>
            </c:extLst>
          </c:dPt>
          <c:xVal>
            <c:numRef>
              <c:f>sim_results!$K$6</c:f>
              <c:numCache>
                <c:formatCode>General</c:formatCode>
                <c:ptCount val="1"/>
                <c:pt idx="0">
                  <c:v>56140.350877192977</c:v>
                </c:pt>
              </c:numCache>
            </c:numRef>
          </c:xVal>
          <c:yVal>
            <c:numRef>
              <c:f>sim_results!$K$9</c:f>
              <c:numCache>
                <c:formatCode>0.00</c:formatCode>
                <c:ptCount val="1"/>
                <c:pt idx="0">
                  <c:v>16.135379999999998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F-47C0-B9A6-F48312F6E206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69607.843137254895</c:v>
                </c:pt>
              </c:numCache>
            </c:numRef>
          </c:xVal>
          <c:yVal>
            <c:numRef>
              <c:f>sim_results!$L$9</c:f>
              <c:numCache>
                <c:formatCode>0.00</c:formatCode>
                <c:ptCount val="1"/>
                <c:pt idx="0">
                  <c:v>14.226765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5-43D2-9B5B-E4D658A19EF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70294.117647058825</c:v>
                </c:pt>
              </c:numCache>
            </c:numRef>
          </c:xVal>
          <c:yVal>
            <c:numRef>
              <c:f>sim_results!$M$9</c:f>
              <c:numCache>
                <c:formatCode>0.00</c:formatCode>
                <c:ptCount val="1"/>
                <c:pt idx="0">
                  <c:v>14.096309999999999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5-43D2-9B5B-E4D658A19EFA}"/>
            </c:ext>
          </c:extLst>
        </c:ser>
        <c:ser>
          <c:idx val="18"/>
          <c:order val="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59999.999999999993</c:v>
                </c:pt>
              </c:numCache>
            </c:numRef>
          </c:xVal>
          <c:yVal>
            <c:numRef>
              <c:f>sim_results!$O$9</c:f>
              <c:numCache>
                <c:formatCode>General</c:formatCode>
                <c:ptCount val="1"/>
                <c:pt idx="0">
                  <c:v>13.96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C-439C-841F-9BDCA2BA4042}"/>
            </c:ext>
          </c:extLst>
        </c:ser>
        <c:ser>
          <c:idx val="5"/>
          <c:order val="9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205880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10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11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sim_results!$AF$9</c:f>
              <c:numCache>
                <c:formatCode>0.00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12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sim_results!$AE$9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13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sim_results!$AD$9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ser>
          <c:idx val="11"/>
          <c:order val="14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1-4729-A2A3-46720C28A00C}"/>
            </c:ext>
          </c:extLst>
        </c:ser>
        <c:ser>
          <c:idx val="10"/>
          <c:order val="15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B21-4729-A2A3-46720C28A00C}"/>
              </c:ext>
            </c:extLst>
          </c:dPt>
          <c:xVal>
            <c:numRef>
              <c:f>sim_results!$V$6</c:f>
              <c:numCache>
                <c:formatCode>General</c:formatCode>
                <c:ptCount val="1"/>
                <c:pt idx="0">
                  <c:v>199019.60784313726</c:v>
                </c:pt>
              </c:numCache>
            </c:numRef>
          </c:xVal>
          <c:yVal>
            <c:numRef>
              <c:f>sim_results!$V$9</c:f>
              <c:numCache>
                <c:formatCode>General</c:formatCode>
                <c:ptCount val="1"/>
                <c:pt idx="0">
                  <c:v>14.76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729-A2A3-46720C28A00C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sim_results!$AI$9</c:f>
              <c:numCache>
                <c:formatCode>0.00</c:formatCode>
                <c:ptCount val="1"/>
                <c:pt idx="0">
                  <c:v>17.04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1-4729-A2A3-46720C28A00C}"/>
            </c:ext>
          </c:extLst>
        </c:ser>
        <c:ser>
          <c:idx val="16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196078.43137254901</c:v>
                </c:pt>
              </c:numCache>
            </c:numRef>
          </c:xVal>
          <c:yVal>
            <c:numRef>
              <c:f>sim_results!$W$9</c:f>
              <c:numCache>
                <c:formatCode>General</c:formatCode>
                <c:ptCount val="1"/>
                <c:pt idx="0">
                  <c:v>16.46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3B-43EB-A5B9-F7F8BEF8D0B5}"/>
            </c:ext>
          </c:extLst>
        </c:ser>
        <c:ser>
          <c:idx val="17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sim_results!$X$9</c:f>
              <c:numCache>
                <c:formatCode>0.00</c:formatCode>
                <c:ptCount val="1"/>
                <c:pt idx="0">
                  <c:v>18.006875000000001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3B-43EB-A5B9-F7F8BEF8D0B5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sim_results!$AA$9</c:f>
              <c:numCache>
                <c:formatCode>0.00</c:formatCode>
                <c:ptCount val="1"/>
                <c:pt idx="0">
                  <c:v>15.78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1C-439C-841F-9BDCA2BA4042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197058.82352941175</c:v>
                </c:pt>
              </c:numCache>
            </c:numRef>
          </c:xVal>
          <c:yVal>
            <c:numRef>
              <c:f>sim_results!$AC$9</c:f>
              <c:numCache>
                <c:formatCode>General</c:formatCode>
                <c:ptCount val="1"/>
                <c:pt idx="0">
                  <c:v>16.68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1C-439C-841F-9BDCA2BA4042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163492.06349206346</c:v>
                </c:pt>
              </c:numCache>
            </c:numRef>
          </c:xVal>
          <c:yVal>
            <c:numRef>
              <c:f>sim_results!$Z$9</c:f>
              <c:numCache>
                <c:formatCode>0.00</c:formatCode>
                <c:ptCount val="1"/>
                <c:pt idx="0">
                  <c:v>14.693474999999999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4C-4808-A136-4984C3FADFBA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153174.60317460314</c:v>
                </c:pt>
              </c:numCache>
            </c:numRef>
          </c:xVal>
          <c:yVal>
            <c:numRef>
              <c:f>sim_results!$AB$9</c:f>
              <c:numCache>
                <c:formatCode>0.00</c:formatCode>
                <c:ptCount val="1"/>
                <c:pt idx="0">
                  <c:v>16.799492000000001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4C-4808-A136-4984C3FADFBA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E-40C0-A990-58B183C83D85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sim_results!$AP$9</c:f>
              <c:numCache>
                <c:formatCode>0.00</c:formatCode>
                <c:ptCount val="1"/>
                <c:pt idx="0">
                  <c:v>14.808106666666665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CE-4D5B-85C5-4D9EF6DE1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36989997083189"/>
          <c:y val="0"/>
          <c:w val="0.15607209401835179"/>
          <c:h val="0.98438847819125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bulk modulus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56140.350877192977</c:v>
                </c:pt>
              </c:numCache>
            </c:numRef>
          </c:xVal>
          <c:yVal>
            <c:numRef>
              <c:f>sim_results!$K$10</c:f>
              <c:numCache>
                <c:formatCode>0.00</c:formatCode>
                <c:ptCount val="1"/>
                <c:pt idx="0">
                  <c:v>46.737460000000006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E-40E4-8DF3-3D07E58DDF63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69607.843137254895</c:v>
                </c:pt>
              </c:numCache>
            </c:numRef>
          </c:xVal>
          <c:yVal>
            <c:numRef>
              <c:f>sim_results!$L$10</c:f>
              <c:numCache>
                <c:formatCode>0.00</c:formatCode>
                <c:ptCount val="1"/>
                <c:pt idx="0">
                  <c:v>45.220349999999996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C-46A4-95B7-16E011798BE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70294.117647058825</c:v>
                </c:pt>
              </c:numCache>
            </c:numRef>
          </c:xVal>
          <c:yVal>
            <c:numRef>
              <c:f>sim_results!$M$10</c:f>
              <c:numCache>
                <c:formatCode>0.00</c:formatCode>
                <c:ptCount val="1"/>
                <c:pt idx="0">
                  <c:v>48.886066666666665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C-46A4-95B7-16E011798BEA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205880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sim_results!$AD$10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sim_results!$AE$10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sim_results!$AF$10</c:f>
              <c:numCache>
                <c:formatCode>General</c:formatCode>
                <c:ptCount val="1"/>
                <c:pt idx="0">
                  <c:v>92.1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88.4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B-461E-93ED-C17FCBEE2905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199019.60784313726</c:v>
                </c:pt>
              </c:numCache>
            </c:numRef>
          </c:xVal>
          <c:yVal>
            <c:numRef>
              <c:f>sim_results!$V$10</c:f>
              <c:numCache>
                <c:formatCode>General</c:formatCode>
                <c:ptCount val="1"/>
                <c:pt idx="0">
                  <c:v>98.93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B-461E-93ED-C17FCBEE2905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sim_results!$AI$10</c:f>
              <c:numCache>
                <c:formatCode>General</c:formatCode>
                <c:ptCount val="1"/>
                <c:pt idx="0">
                  <c:v>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B-461E-93ED-C17FCBEE2905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196078.43137254901</c:v>
                </c:pt>
              </c:numCache>
            </c:numRef>
          </c:xVal>
          <c:yVal>
            <c:numRef>
              <c:f>sim_results!$W$10</c:f>
              <c:numCache>
                <c:formatCode>0.00</c:formatCode>
                <c:ptCount val="1"/>
                <c:pt idx="0">
                  <c:v>97.299875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6-42CC-947B-DDA47D175D83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sim_results!$X$10</c:f>
              <c:numCache>
                <c:formatCode>0.00</c:formatCode>
                <c:ptCount val="1"/>
                <c:pt idx="0">
                  <c:v>93.104100000000003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6-42CC-947B-DDA47D175D83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59999.999999999993</c:v>
                </c:pt>
              </c:numCache>
            </c:numRef>
          </c:xVal>
          <c:yVal>
            <c:numRef>
              <c:f>sim_results!$O$10</c:f>
              <c:numCache>
                <c:formatCode>General</c:formatCode>
                <c:ptCount val="1"/>
                <c:pt idx="0">
                  <c:v>50.75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D-4B73-AFA5-D182D2CE827D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sim_results!$AA$10</c:f>
              <c:numCache>
                <c:formatCode>0.00</c:formatCode>
                <c:ptCount val="1"/>
                <c:pt idx="0">
                  <c:v>98.64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D-4B73-AFA5-D182D2CE827D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197058.82352941175</c:v>
                </c:pt>
              </c:numCache>
            </c:numRef>
          </c:xVal>
          <c:yVal>
            <c:numRef>
              <c:f>sim_results!$AC$10</c:f>
              <c:numCache>
                <c:formatCode>General</c:formatCode>
                <c:ptCount val="1"/>
                <c:pt idx="0">
                  <c:v>95.86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9D-4B73-AFA5-D182D2CE827D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163492.06349206346</c:v>
                </c:pt>
              </c:numCache>
            </c:numRef>
          </c:xVal>
          <c:yVal>
            <c:numRef>
              <c:f>sim_results!$Z$10</c:f>
              <c:numCache>
                <c:formatCode>0.00</c:formatCode>
                <c:ptCount val="1"/>
                <c:pt idx="0">
                  <c:v>92.917879999999997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D-4753-B127-414F95EC2C6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153174.60317460314</c:v>
                </c:pt>
              </c:numCache>
            </c:numRef>
          </c:xVal>
          <c:yVal>
            <c:numRef>
              <c:f>sim_results!$AB$10</c:f>
              <c:numCache>
                <c:formatCode>0.00</c:formatCode>
                <c:ptCount val="1"/>
                <c:pt idx="0">
                  <c:v>101.23480000000001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6D-4753-B127-414F95EC2C6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8-46FF-932A-4DEB351994AE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sim_results!$AP$10</c:f>
              <c:numCache>
                <c:formatCode>0.00</c:formatCode>
                <c:ptCount val="1"/>
                <c:pt idx="0">
                  <c:v>47.780433333333328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D1-4214-94DA-8022EAEF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68300732583441"/>
          <c:y val="1.1266128775143665E-2"/>
          <c:w val="0.15451713116334115"/>
          <c:h val="0.97628043590727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bulk modulus and percentage of solid material in debris cloud</c:v>
            </c:pt>
          </c:strCache>
        </c:strRef>
      </c:tx>
      <c:layout>
        <c:manualLayout>
          <c:xMode val="edge"/>
          <c:yMode val="edge"/>
          <c:x val="2.9785770044225144E-2"/>
          <c:y val="3.4320093954998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56140.350877192977</c:v>
                </c:pt>
              </c:numCache>
            </c:numRef>
          </c:xVal>
          <c:yVal>
            <c:numRef>
              <c:f>sim_results!$K$13</c:f>
              <c:numCache>
                <c:formatCode>0.0</c:formatCode>
                <c:ptCount val="1"/>
                <c:pt idx="0">
                  <c:v>9.5081967213114762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8-466E-A601-ED4421A25E1C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69607.843137254895</c:v>
                </c:pt>
              </c:numCache>
            </c:numRef>
          </c:xVal>
          <c:yVal>
            <c:numRef>
              <c:f>sim_results!$L$13</c:f>
              <c:numCache>
                <c:formatCode>0.0</c:formatCode>
                <c:ptCount val="1"/>
                <c:pt idx="0">
                  <c:v>9.8360655737704921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F8-466E-A601-ED4421A25E1C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70294.117647058825</c:v>
                </c:pt>
              </c:numCache>
            </c:numRef>
          </c:xVal>
          <c:yVal>
            <c:numRef>
              <c:f>sim_results!$M$13</c:f>
              <c:numCache>
                <c:formatCode>0.0</c:formatCode>
                <c:ptCount val="1"/>
                <c:pt idx="0">
                  <c:v>9.0983606557377055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F8-466E-A601-ED4421A25E1C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205880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sim_results!$AD$13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sim_results!$AE$13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sim_results!$AF$13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750-8B80-9162142EBC1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199019.60784313726</c:v>
                </c:pt>
              </c:numCache>
            </c:numRef>
          </c:xVal>
          <c:yVal>
            <c:numRef>
              <c:f>sim_results!$V$13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750-8B80-9162142EBC14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sim_results!$AI$13</c:f>
              <c:numCache>
                <c:formatCode>0.0</c:formatCode>
                <c:ptCount val="1"/>
                <c:pt idx="0">
                  <c:v>2.540983606557377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750-8B80-9162142EBC14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196078.43137254901</c:v>
                </c:pt>
              </c:numCache>
            </c:numRef>
          </c:xVal>
          <c:yVal>
            <c:numRef>
              <c:f>sim_results!$W$13</c:f>
              <c:numCache>
                <c:formatCode>0.0</c:formatCode>
                <c:ptCount val="1"/>
                <c:pt idx="0">
                  <c:v>3.5655737704918034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C-4F19-B81E-C06489438C0D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sim_results!$X$13</c:f>
              <c:numCache>
                <c:formatCode>0.0</c:formatCode>
                <c:ptCount val="1"/>
                <c:pt idx="0">
                  <c:v>3.4672131147540988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C-4F19-B81E-C06489438C0D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59999.999999999993</c:v>
                </c:pt>
              </c:numCache>
            </c:numRef>
          </c:xVal>
          <c:yVal>
            <c:numRef>
              <c:f>sim_results!$O$13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3-4C30-ADC5-8D1514FAB094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sim_results!$AA$13</c:f>
              <c:numCache>
                <c:formatCode>0.0</c:formatCode>
                <c:ptCount val="1"/>
                <c:pt idx="0">
                  <c:v>3.6311475409836063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E3-4C30-ADC5-8D1514FAB094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197058.82352941175</c:v>
                </c:pt>
              </c:numCache>
            </c:numRef>
          </c:xVal>
          <c:yVal>
            <c:numRef>
              <c:f>sim_results!$AC$13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E3-4C30-ADC5-8D1514FAB094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163492.06349206346</c:v>
                </c:pt>
              </c:numCache>
            </c:numRef>
          </c:xVal>
          <c:yVal>
            <c:numRef>
              <c:f>sim_results!$Z$13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B-4623-9A48-4D83DC77DA7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153174.60317460314</c:v>
                </c:pt>
              </c:numCache>
            </c:numRef>
          </c:xVal>
          <c:yVal>
            <c:numRef>
              <c:f>sim_results!$AB$13</c:f>
              <c:numCache>
                <c:formatCode>0.0</c:formatCode>
                <c:ptCount val="1"/>
                <c:pt idx="0">
                  <c:v>3.0491803278688527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2B-4623-9A48-4D83DC77DA7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E-40AA-B707-1411B20778E1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sim_results!$AP$13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2-450B-9BC9-ECEE0454E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68117603335023"/>
          <c:y val="8.2826202563298975E-3"/>
          <c:w val="0.15571392108276846"/>
          <c:h val="0.77125405373982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bulk modulus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56140.350877192977</c:v>
                </c:pt>
              </c:numCache>
            </c:numRef>
          </c:xVal>
          <c:yVal>
            <c:numRef>
              <c:f>sim_results!$K$14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5-4872-95D5-F95622D6225B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69607.843137254895</c:v>
                </c:pt>
              </c:numCache>
            </c:numRef>
          </c:xVal>
          <c:yVal>
            <c:numRef>
              <c:f>sim_results!$L$14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5-4872-95D5-F95622D6225B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70294.117647058825</c:v>
                </c:pt>
              </c:numCache>
            </c:numRef>
          </c:xVal>
          <c:yVal>
            <c:numRef>
              <c:f>sim_results!$M$14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5-4872-95D5-F95622D6225B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205880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sim_results!$AD$14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sim_results!$AE$14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sim_results!$AF$14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71F-877D-7C11CF11BF9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199019.60784313726</c:v>
                </c:pt>
              </c:numCache>
            </c:numRef>
          </c:xVal>
          <c:yVal>
            <c:numRef>
              <c:f>sim_results!$V$14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8-478F-9442-E07DEE24EAE3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8-478F-9442-E07DEE24EAE3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85-4B1B-89F9-DE1A178C3E51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8-478F-9442-E07DEE24EAE3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196078.43137254901</c:v>
                </c:pt>
              </c:numCache>
            </c:numRef>
          </c:xVal>
          <c:yVal>
            <c:numRef>
              <c:f>sim_results!$W$14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72-45DA-9A60-5D39E13DAF46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sim_results!$X$14</c:f>
              <c:numCache>
                <c:formatCode>0.00E+00</c:formatCode>
                <c:ptCount val="1"/>
                <c:pt idx="0">
                  <c:v>5750000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72-45DA-9A60-5D39E13DAF46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59999.999999999993</c:v>
                </c:pt>
              </c:numCache>
            </c:numRef>
          </c:xVal>
          <c:yVal>
            <c:numRef>
              <c:f>sim_results!$O$14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E7-4D34-9010-334D197620C3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sim_results!$AA$14</c:f>
              <c:numCache>
                <c:formatCode>0.00E+00</c:formatCode>
                <c:ptCount val="1"/>
                <c:pt idx="0">
                  <c:v>5680000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E7-4D34-9010-334D197620C3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197058.82352941175</c:v>
                </c:pt>
              </c:numCache>
            </c:numRef>
          </c:xVal>
          <c:yVal>
            <c:numRef>
              <c:f>sim_results!$AC$14</c:f>
              <c:numCache>
                <c:formatCode>0.00E+00</c:formatCode>
                <c:ptCount val="1"/>
                <c:pt idx="0">
                  <c:v>5700000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E7-4D34-9010-334D197620C3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163492.06349206346</c:v>
                </c:pt>
              </c:numCache>
            </c:numRef>
          </c:xVal>
          <c:yVal>
            <c:numRef>
              <c:f>sim_results!$Z$14</c:f>
              <c:numCache>
                <c:formatCode>0.00E+00</c:formatCode>
                <c:ptCount val="1"/>
                <c:pt idx="0">
                  <c:v>5610000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C0-43FD-B787-6FCD081BECF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153174.60317460314</c:v>
                </c:pt>
              </c:numCache>
            </c:numRef>
          </c:xVal>
          <c:yVal>
            <c:numRef>
              <c:f>sim_results!$AB$14</c:f>
              <c:numCache>
                <c:formatCode>0.00E+00</c:formatCode>
                <c:ptCount val="1"/>
                <c:pt idx="0">
                  <c:v>5730000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C0-43FD-B787-6FCD081BECF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30-47D7-BDD7-F6B278B05669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sim_results!$AP$14</c:f>
              <c:numCache>
                <c:formatCode>0.00E+00</c:formatCode>
                <c:ptCount val="1"/>
                <c:pt idx="0">
                  <c:v>6330000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D6-4D11-B771-069323A1F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5716132651038"/>
          <c:y val="2.1357674957772049E-2"/>
          <c:w val="0.15442921146953406"/>
          <c:h val="0.97722388436480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676017</xdr:colOff>
      <xdr:row>4</xdr:row>
      <xdr:rowOff>79664</xdr:rowOff>
    </xdr:from>
    <xdr:to>
      <xdr:col>37</xdr:col>
      <xdr:colOff>176832</xdr:colOff>
      <xdr:row>23</xdr:row>
      <xdr:rowOff>51614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400748</xdr:colOff>
      <xdr:row>4</xdr:row>
      <xdr:rowOff>72882</xdr:rowOff>
    </xdr:from>
    <xdr:to>
      <xdr:col>49</xdr:col>
      <xdr:colOff>387338</xdr:colOff>
      <xdr:row>23</xdr:row>
      <xdr:rowOff>48642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675773</xdr:colOff>
      <xdr:row>24</xdr:row>
      <xdr:rowOff>64284</xdr:rowOff>
    </xdr:from>
    <xdr:to>
      <xdr:col>37</xdr:col>
      <xdr:colOff>191828</xdr:colOff>
      <xdr:row>43</xdr:row>
      <xdr:rowOff>57189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410979</xdr:colOff>
      <xdr:row>24</xdr:row>
      <xdr:rowOff>64260</xdr:rowOff>
    </xdr:from>
    <xdr:to>
      <xdr:col>49</xdr:col>
      <xdr:colOff>401379</xdr:colOff>
      <xdr:row>43</xdr:row>
      <xdr:rowOff>49545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477884</xdr:colOff>
      <xdr:row>44</xdr:row>
      <xdr:rowOff>97903</xdr:rowOff>
    </xdr:from>
    <xdr:to>
      <xdr:col>45</xdr:col>
      <xdr:colOff>466379</xdr:colOff>
      <xdr:row>63</xdr:row>
      <xdr:rowOff>79378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53</xdr:col>
      <xdr:colOff>565970</xdr:colOff>
      <xdr:row>3</xdr:row>
      <xdr:rowOff>189585</xdr:rowOff>
    </xdr:from>
    <xdr:to>
      <xdr:col>64</xdr:col>
      <xdr:colOff>481653</xdr:colOff>
      <xdr:row>22</xdr:row>
      <xdr:rowOff>161535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D5FB80E-EFB0-4F72-80F8-759B1B4DC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65</xdr:col>
      <xdr:colOff>27659</xdr:colOff>
      <xdr:row>4</xdr:row>
      <xdr:rowOff>10584</xdr:rowOff>
    </xdr:from>
    <xdr:to>
      <xdr:col>76</xdr:col>
      <xdr:colOff>14250</xdr:colOff>
      <xdr:row>22</xdr:row>
      <xdr:rowOff>176844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73A9777-0EBA-4FF4-B51A-3024E887E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53</xdr:col>
      <xdr:colOff>582083</xdr:colOff>
      <xdr:row>23</xdr:row>
      <xdr:rowOff>97235</xdr:rowOff>
    </xdr:from>
    <xdr:to>
      <xdr:col>64</xdr:col>
      <xdr:colOff>513006</xdr:colOff>
      <xdr:row>42</xdr:row>
      <xdr:rowOff>90140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6C2D51-C42F-4812-91BC-AA4CC60E3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65</xdr:col>
      <xdr:colOff>37888</xdr:colOff>
      <xdr:row>23</xdr:row>
      <xdr:rowOff>76045</xdr:rowOff>
    </xdr:from>
    <xdr:to>
      <xdr:col>76</xdr:col>
      <xdr:colOff>28289</xdr:colOff>
      <xdr:row>42</xdr:row>
      <xdr:rowOff>61330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66A12C4-DA5B-40DE-8519-D77EBBE1B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63</xdr:col>
      <xdr:colOff>221211</xdr:colOff>
      <xdr:row>44</xdr:row>
      <xdr:rowOff>25021</xdr:rowOff>
    </xdr:from>
    <xdr:to>
      <xdr:col>74</xdr:col>
      <xdr:colOff>209706</xdr:colOff>
      <xdr:row>63</xdr:row>
      <xdr:rowOff>6496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C463A9F-A8C1-4081-BAC6-3C7AB6FBF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7" workbookViewId="0">
      <selection activeCell="D36" sqref="D36"/>
    </sheetView>
  </sheetViews>
  <sheetFormatPr defaultRowHeight="15"/>
  <cols>
    <col min="2" max="3" width="24.5703125" customWidth="1"/>
    <col min="4" max="4" width="25.5703125" customWidth="1"/>
    <col min="5" max="5" width="78.85546875" customWidth="1"/>
  </cols>
  <sheetData>
    <row r="2" spans="3:4">
      <c r="C2" s="12" t="s">
        <v>32</v>
      </c>
    </row>
    <row r="4" spans="3:4" ht="17.25" customHeight="1">
      <c r="C4" s="24" t="s">
        <v>33</v>
      </c>
    </row>
    <row r="5" spans="3:4" ht="21" customHeight="1">
      <c r="C5" s="17" t="s">
        <v>23</v>
      </c>
      <c r="D5" s="7" t="s">
        <v>0</v>
      </c>
    </row>
    <row r="6" spans="3:4">
      <c r="C6" s="18"/>
      <c r="D6" s="9" t="s">
        <v>25</v>
      </c>
    </row>
    <row r="7" spans="3:4">
      <c r="C7" s="19"/>
      <c r="D7" s="8"/>
    </row>
    <row r="8" spans="3:4">
      <c r="C8" s="19"/>
      <c r="D8" s="2"/>
    </row>
    <row r="9" spans="3:4">
      <c r="C9" s="20"/>
      <c r="D9" s="2"/>
    </row>
    <row r="10" spans="3:4">
      <c r="C10" s="21" t="s">
        <v>24</v>
      </c>
      <c r="D10" s="3"/>
    </row>
    <row r="11" spans="3:4">
      <c r="C11" s="22"/>
      <c r="D11" s="3"/>
    </row>
    <row r="12" spans="3:4">
      <c r="C12" s="23"/>
      <c r="D12" s="3"/>
    </row>
    <row r="13" spans="3:4">
      <c r="C13" s="17" t="s">
        <v>22</v>
      </c>
      <c r="D13" s="2"/>
    </row>
    <row r="14" spans="3:4">
      <c r="C14" s="19"/>
      <c r="D14" s="2"/>
    </row>
    <row r="15" spans="3:4">
      <c r="C15" s="20"/>
      <c r="D15" s="2"/>
    </row>
    <row r="18" spans="3:5">
      <c r="C18" s="4" t="s">
        <v>13</v>
      </c>
      <c r="D18" s="13" t="s">
        <v>21</v>
      </c>
      <c r="E18" s="13" t="s">
        <v>1</v>
      </c>
    </row>
    <row r="19" spans="3:5">
      <c r="C19" s="1"/>
      <c r="D19" s="1" t="s">
        <v>18</v>
      </c>
      <c r="E19" s="14" t="s">
        <v>3</v>
      </c>
    </row>
    <row r="20" spans="3:5">
      <c r="C20" s="1"/>
      <c r="D20" s="1"/>
      <c r="E20" s="15" t="s">
        <v>19</v>
      </c>
    </row>
    <row r="21" spans="3:5">
      <c r="C21" s="1"/>
      <c r="D21" s="1"/>
      <c r="E21" s="15" t="s">
        <v>20</v>
      </c>
    </row>
    <row r="22" spans="3:5">
      <c r="C22" s="10"/>
      <c r="D22" s="10" t="s">
        <v>15</v>
      </c>
      <c r="E22" s="13" t="s">
        <v>4</v>
      </c>
    </row>
    <row r="23" spans="3:5">
      <c r="C23" s="10"/>
      <c r="D23" s="10"/>
      <c r="E23" s="16" t="s">
        <v>16</v>
      </c>
    </row>
    <row r="24" spans="3:5">
      <c r="C24" s="10"/>
      <c r="D24" s="10"/>
      <c r="E24" s="16" t="s">
        <v>17</v>
      </c>
    </row>
    <row r="25" spans="3:5">
      <c r="C25" s="1"/>
      <c r="D25" s="1" t="s">
        <v>14</v>
      </c>
      <c r="E25" s="14" t="s">
        <v>6</v>
      </c>
    </row>
    <row r="26" spans="3:5">
      <c r="C26" s="1"/>
      <c r="D26" s="1"/>
      <c r="E26" s="15" t="s">
        <v>5</v>
      </c>
    </row>
    <row r="27" spans="3:5">
      <c r="C27" s="1"/>
      <c r="D27" s="1"/>
      <c r="E27" s="15" t="s">
        <v>2</v>
      </c>
    </row>
    <row r="28" spans="3:5">
      <c r="C28" s="4" t="s">
        <v>12</v>
      </c>
      <c r="D28" s="10"/>
      <c r="E28" s="13" t="s">
        <v>7</v>
      </c>
    </row>
    <row r="29" spans="3:5">
      <c r="C29" s="10"/>
      <c r="D29" s="10"/>
      <c r="E29" s="16" t="s">
        <v>8</v>
      </c>
    </row>
    <row r="30" spans="3:5">
      <c r="C30" s="10"/>
      <c r="D30" s="10"/>
      <c r="E30" s="16" t="s">
        <v>9</v>
      </c>
    </row>
    <row r="31" spans="3:5">
      <c r="C31" s="10"/>
      <c r="D31" s="10"/>
      <c r="E31" s="16" t="s">
        <v>10</v>
      </c>
    </row>
    <row r="32" spans="3:5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2:BO76"/>
  <sheetViews>
    <sheetView zoomScale="80" zoomScaleNormal="80" workbookViewId="0">
      <pane xSplit="5" topLeftCell="S1" activePane="topRight" state="frozen"/>
      <selection pane="topRight" activeCell="T9" sqref="T9"/>
    </sheetView>
  </sheetViews>
  <sheetFormatPr defaultRowHeight="15"/>
  <cols>
    <col min="3" max="3" width="33.140625" customWidth="1"/>
    <col min="4" max="4" width="11.7109375" customWidth="1"/>
    <col min="5" max="5" width="13.140625" customWidth="1"/>
    <col min="6" max="6" width="15.5703125" customWidth="1"/>
    <col min="7" max="7" width="13.140625" customWidth="1"/>
    <col min="8" max="8" width="16.28515625" customWidth="1"/>
    <col min="9" max="9" width="13.85546875" customWidth="1"/>
    <col min="10" max="10" width="13.42578125" customWidth="1"/>
    <col min="11" max="11" width="16.85546875" customWidth="1"/>
    <col min="12" max="13" width="13.42578125" customWidth="1"/>
    <col min="14" max="18" width="18.42578125" customWidth="1"/>
    <col min="19" max="19" width="16.85546875" customWidth="1"/>
    <col min="20" max="20" width="14.85546875" customWidth="1"/>
    <col min="21" max="23" width="18.28515625" bestFit="1" customWidth="1"/>
    <col min="24" max="24" width="16.7109375" customWidth="1"/>
    <col min="25" max="25" width="18.28515625" bestFit="1" customWidth="1"/>
    <col min="26" max="31" width="16.7109375" customWidth="1"/>
    <col min="32" max="32" width="14" customWidth="1"/>
    <col min="33" max="33" width="15.85546875" customWidth="1"/>
    <col min="34" max="34" width="14.28515625" customWidth="1"/>
    <col min="35" max="35" width="18.85546875" customWidth="1"/>
    <col min="36" max="36" width="22.5703125" customWidth="1"/>
    <col min="37" max="37" width="21.42578125" customWidth="1"/>
    <col min="38" max="38" width="21" customWidth="1"/>
    <col min="39" max="39" width="22.7109375" customWidth="1"/>
    <col min="40" max="40" width="27.42578125" customWidth="1"/>
    <col min="41" max="41" width="28.28515625" bestFit="1" customWidth="1"/>
    <col min="42" max="42" width="15" bestFit="1" customWidth="1"/>
    <col min="43" max="43" width="15" customWidth="1"/>
    <col min="44" max="44" width="16.28515625" customWidth="1"/>
    <col min="45" max="45" width="15.7109375" customWidth="1"/>
    <col min="46" max="46" width="16.28515625" customWidth="1"/>
  </cols>
  <sheetData>
    <row r="2" spans="2:46">
      <c r="AM2">
        <v>12</v>
      </c>
    </row>
    <row r="3" spans="2:46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</row>
    <row r="4" spans="2:46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</row>
    <row r="5" spans="2:46" ht="15" customHeight="1">
      <c r="B5" s="25"/>
      <c r="C5" s="71"/>
      <c r="D5" s="71"/>
      <c r="E5" s="71"/>
      <c r="F5" s="275" t="s">
        <v>140</v>
      </c>
      <c r="G5" s="276"/>
      <c r="H5" s="276"/>
      <c r="I5" s="276"/>
      <c r="J5" s="276"/>
      <c r="K5" s="276" t="s">
        <v>178</v>
      </c>
      <c r="L5" s="276"/>
      <c r="M5" s="276"/>
      <c r="N5" s="162"/>
      <c r="O5" s="162"/>
      <c r="P5" s="178"/>
      <c r="Q5" s="213"/>
      <c r="R5" s="237"/>
      <c r="S5" s="123" t="s">
        <v>177</v>
      </c>
      <c r="T5" s="271" t="s">
        <v>141</v>
      </c>
      <c r="U5" s="271"/>
      <c r="V5" s="271"/>
      <c r="W5" s="271"/>
      <c r="X5" s="271"/>
      <c r="Y5" s="271"/>
      <c r="Z5" s="271"/>
      <c r="AA5" s="271"/>
      <c r="AB5" s="271"/>
      <c r="AC5" s="271"/>
      <c r="AD5" s="271"/>
      <c r="AE5" s="271"/>
      <c r="AF5" s="271"/>
      <c r="AG5" s="271"/>
      <c r="AH5" s="271"/>
      <c r="AI5" s="271"/>
      <c r="AJ5" s="271"/>
      <c r="AK5" s="271"/>
      <c r="AL5" s="144"/>
      <c r="AM5" s="174"/>
      <c r="AN5" s="219"/>
      <c r="AO5" s="220"/>
      <c r="AP5" s="220"/>
      <c r="AQ5" s="223"/>
      <c r="AR5" s="1"/>
      <c r="AS5" s="223"/>
      <c r="AT5" s="223"/>
    </row>
    <row r="6" spans="2:46">
      <c r="B6" s="25"/>
      <c r="C6" s="256"/>
      <c r="D6" s="256"/>
      <c r="E6" s="257"/>
      <c r="F6" s="267" t="s">
        <v>49</v>
      </c>
      <c r="G6" s="266"/>
      <c r="H6" s="266"/>
      <c r="I6" s="266"/>
      <c r="J6" s="266"/>
      <c r="K6" s="266"/>
      <c r="L6" s="113"/>
      <c r="M6" s="111"/>
      <c r="N6" s="161"/>
      <c r="O6" s="161"/>
      <c r="P6" s="177"/>
      <c r="Q6" s="212"/>
      <c r="R6" s="236"/>
      <c r="S6" s="267" t="s">
        <v>56</v>
      </c>
      <c r="T6" s="266"/>
      <c r="U6" s="266"/>
      <c r="V6" s="266"/>
      <c r="W6" s="266"/>
      <c r="X6" s="136"/>
      <c r="Y6" s="148"/>
      <c r="Z6" s="163"/>
      <c r="AA6" s="163"/>
      <c r="AB6" s="163"/>
      <c r="AC6" s="163"/>
      <c r="AD6" s="163"/>
      <c r="AE6" s="163"/>
      <c r="AF6" s="266" t="s">
        <v>125</v>
      </c>
      <c r="AG6" s="266"/>
      <c r="AH6" s="266"/>
      <c r="AI6" s="266"/>
      <c r="AJ6" s="272" t="s">
        <v>176</v>
      </c>
      <c r="AK6" s="273"/>
      <c r="AL6" s="274"/>
      <c r="AM6" s="120"/>
      <c r="AN6" s="219"/>
      <c r="AO6" s="220"/>
      <c r="AP6" s="220"/>
      <c r="AQ6" s="223"/>
      <c r="AR6" s="1"/>
      <c r="AS6" s="223"/>
      <c r="AT6" s="223"/>
    </row>
    <row r="7" spans="2:46">
      <c r="B7" s="25"/>
      <c r="C7" s="41"/>
      <c r="D7" s="41"/>
      <c r="E7" s="51"/>
      <c r="F7" s="112" t="s">
        <v>50</v>
      </c>
      <c r="G7" s="113" t="s">
        <v>51</v>
      </c>
      <c r="H7" s="113" t="s">
        <v>52</v>
      </c>
      <c r="I7" s="113" t="s">
        <v>53</v>
      </c>
      <c r="J7" s="110" t="s">
        <v>54</v>
      </c>
      <c r="K7" s="111" t="s">
        <v>172</v>
      </c>
      <c r="L7" s="113" t="s">
        <v>174</v>
      </c>
      <c r="M7" s="111" t="s">
        <v>175</v>
      </c>
      <c r="N7" s="161" t="s">
        <v>191</v>
      </c>
      <c r="O7" s="161" t="s">
        <v>210</v>
      </c>
      <c r="P7" s="177" t="s">
        <v>215</v>
      </c>
      <c r="Q7" s="212" t="s">
        <v>222</v>
      </c>
      <c r="R7" s="236"/>
      <c r="S7" s="114" t="s">
        <v>55</v>
      </c>
      <c r="T7" s="111" t="s">
        <v>142</v>
      </c>
      <c r="U7" s="110" t="s">
        <v>144</v>
      </c>
      <c r="V7" s="111" t="s">
        <v>147</v>
      </c>
      <c r="W7" s="111" t="s">
        <v>148</v>
      </c>
      <c r="X7" s="123" t="s">
        <v>169</v>
      </c>
      <c r="Y7" s="147" t="s">
        <v>186</v>
      </c>
      <c r="Z7" s="162" t="s">
        <v>188</v>
      </c>
      <c r="AA7" s="162" t="s">
        <v>193</v>
      </c>
      <c r="AB7" s="162" t="s">
        <v>194</v>
      </c>
      <c r="AC7" s="162" t="s">
        <v>195</v>
      </c>
      <c r="AD7" s="162" t="s">
        <v>196</v>
      </c>
      <c r="AE7" s="162" t="s">
        <v>202</v>
      </c>
      <c r="AF7" s="112" t="s">
        <v>126</v>
      </c>
      <c r="AG7" s="113" t="s">
        <v>127</v>
      </c>
      <c r="AH7" s="113" t="s">
        <v>128</v>
      </c>
      <c r="AI7" s="120" t="s">
        <v>155</v>
      </c>
      <c r="AJ7" s="124" t="s">
        <v>156</v>
      </c>
      <c r="AK7" s="131" t="s">
        <v>157</v>
      </c>
      <c r="AL7" s="131" t="s">
        <v>205</v>
      </c>
      <c r="AM7" s="120" t="s">
        <v>208</v>
      </c>
      <c r="AN7" s="219" t="s">
        <v>220</v>
      </c>
      <c r="AO7" s="224" t="s">
        <v>223</v>
      </c>
      <c r="AP7" s="224" t="s">
        <v>224</v>
      </c>
      <c r="AQ7" s="224" t="s">
        <v>229</v>
      </c>
      <c r="AR7" s="268" t="s">
        <v>237</v>
      </c>
      <c r="AS7" s="269"/>
      <c r="AT7" s="269"/>
    </row>
    <row r="8" spans="2:46" ht="19.5" customHeight="1" thickBot="1">
      <c r="B8" s="25"/>
      <c r="C8" s="42" t="s">
        <v>61</v>
      </c>
      <c r="D8" s="42" t="s">
        <v>62</v>
      </c>
      <c r="E8" s="43" t="s">
        <v>63</v>
      </c>
      <c r="F8" s="115" t="s">
        <v>48</v>
      </c>
      <c r="G8" s="116" t="s">
        <v>57</v>
      </c>
      <c r="H8" s="116" t="s">
        <v>58</v>
      </c>
      <c r="I8" s="116" t="s">
        <v>59</v>
      </c>
      <c r="J8" s="117" t="s">
        <v>60</v>
      </c>
      <c r="K8" s="119" t="s">
        <v>181</v>
      </c>
      <c r="L8" s="116" t="s">
        <v>182</v>
      </c>
      <c r="M8" s="119" t="s">
        <v>183</v>
      </c>
      <c r="N8" s="119" t="s">
        <v>192</v>
      </c>
      <c r="O8" s="119" t="s">
        <v>211</v>
      </c>
      <c r="P8" s="119" t="s">
        <v>216</v>
      </c>
      <c r="Q8" s="119" t="s">
        <v>227</v>
      </c>
      <c r="R8" s="119"/>
      <c r="S8" s="118" t="s">
        <v>47</v>
      </c>
      <c r="T8" s="119" t="s">
        <v>266</v>
      </c>
      <c r="U8" s="117" t="s">
        <v>146</v>
      </c>
      <c r="V8" s="119" t="s">
        <v>149</v>
      </c>
      <c r="W8" s="119" t="s">
        <v>150</v>
      </c>
      <c r="X8" s="119" t="s">
        <v>168</v>
      </c>
      <c r="Y8" s="119" t="str">
        <f>U8</f>
        <v>WELDOX 460 E</v>
      </c>
      <c r="Z8" s="119" t="s">
        <v>189</v>
      </c>
      <c r="AA8" s="119" t="s">
        <v>197</v>
      </c>
      <c r="AB8" s="119" t="s">
        <v>198</v>
      </c>
      <c r="AC8" s="119" t="s">
        <v>199</v>
      </c>
      <c r="AD8" s="119" t="s">
        <v>200</v>
      </c>
      <c r="AE8" s="119" t="s">
        <v>203</v>
      </c>
      <c r="AF8" s="115" t="s">
        <v>129</v>
      </c>
      <c r="AG8" s="116" t="s">
        <v>130</v>
      </c>
      <c r="AH8" s="116" t="s">
        <v>131</v>
      </c>
      <c r="AI8" s="117" t="s">
        <v>159</v>
      </c>
      <c r="AJ8" s="125" t="s">
        <v>158</v>
      </c>
      <c r="AK8" s="135" t="s">
        <v>166</v>
      </c>
      <c r="AL8" s="135" t="s">
        <v>206</v>
      </c>
      <c r="AM8" s="218" t="s">
        <v>213</v>
      </c>
      <c r="AN8" s="135" t="s">
        <v>221</v>
      </c>
      <c r="AO8" s="135" t="s">
        <v>226</v>
      </c>
      <c r="AP8" s="135" t="s">
        <v>225</v>
      </c>
      <c r="AQ8" s="135" t="s">
        <v>230</v>
      </c>
      <c r="AR8" s="239" t="s">
        <v>240</v>
      </c>
      <c r="AS8" s="239" t="s">
        <v>241</v>
      </c>
      <c r="AT8" s="239" t="s">
        <v>242</v>
      </c>
    </row>
    <row r="9" spans="2:46" ht="16.5" customHeight="1">
      <c r="B9" s="25"/>
      <c r="C9" s="36" t="s">
        <v>64</v>
      </c>
      <c r="D9" s="36" t="s">
        <v>65</v>
      </c>
      <c r="E9" s="52" t="s">
        <v>46</v>
      </c>
      <c r="F9" s="48">
        <v>2.7000000000000002E-9</v>
      </c>
      <c r="G9" s="37">
        <v>2.7000000000000002E-9</v>
      </c>
      <c r="H9" s="37">
        <v>2.7000000000000002E-9</v>
      </c>
      <c r="I9" s="37">
        <v>2.7000000000000002E-9</v>
      </c>
      <c r="J9" s="44">
        <v>2.7000000000000002E-9</v>
      </c>
      <c r="K9" s="27">
        <v>2.7099999999999999E-9</v>
      </c>
      <c r="L9" s="27">
        <v>2.7099999999999999E-9</v>
      </c>
      <c r="M9" s="27">
        <v>2.81E-9</v>
      </c>
      <c r="N9" s="27">
        <v>2.6599999999999999E-9</v>
      </c>
      <c r="O9" s="27">
        <v>2.7700000000000002E-9</v>
      </c>
      <c r="P9" s="27">
        <v>3.0273000000000001E-9</v>
      </c>
      <c r="Q9" s="27">
        <v>2.7999999999999998E-9</v>
      </c>
      <c r="R9" s="27"/>
      <c r="S9" s="93">
        <v>7.8500000000000008E-9</v>
      </c>
      <c r="T9" s="27">
        <v>7.8500000000000008E-9</v>
      </c>
      <c r="U9" s="27">
        <v>7.8500000000000008E-9</v>
      </c>
      <c r="V9" s="27">
        <v>7.8500000000000008E-9</v>
      </c>
      <c r="W9" s="27">
        <v>7.8500000000000008E-9</v>
      </c>
      <c r="X9" s="27">
        <v>7.8500000000000008E-9</v>
      </c>
      <c r="Y9" s="27">
        <v>7.8500000000000008E-9</v>
      </c>
      <c r="Z9" s="27">
        <v>7.8000000000000004E-9</v>
      </c>
      <c r="AA9" s="27">
        <v>7.8700000000000003E-9</v>
      </c>
      <c r="AB9" s="27">
        <v>7.8500000000000008E-9</v>
      </c>
      <c r="AC9" s="27">
        <v>7.8100000000000001E-9</v>
      </c>
      <c r="AD9" s="27">
        <v>8.0000000000000005E-9</v>
      </c>
      <c r="AE9" s="27">
        <v>7.8500000000000008E-9</v>
      </c>
      <c r="AF9" s="73">
        <v>4.4299999999999998E-9</v>
      </c>
      <c r="AG9" s="74">
        <v>4.5500000000000002E-9</v>
      </c>
      <c r="AH9" s="75">
        <v>4.5500000000000002E-9</v>
      </c>
      <c r="AI9" s="27">
        <v>4.4299999999999998E-9</v>
      </c>
      <c r="AJ9" s="129">
        <v>8.9600000000000005E-9</v>
      </c>
      <c r="AK9" s="128">
        <v>7.8899999999999998E-9</v>
      </c>
      <c r="AL9" s="128">
        <v>7.8899999999999998E-9</v>
      </c>
      <c r="AM9" s="128">
        <v>1.7599999999999999E-8</v>
      </c>
      <c r="AN9" s="216">
        <v>1.5799999999999999E-9</v>
      </c>
      <c r="AQ9">
        <v>8960</v>
      </c>
      <c r="AR9" s="44">
        <v>2.7000000000000002E-9</v>
      </c>
      <c r="AS9" s="44">
        <v>2.7000000000000002E-9</v>
      </c>
      <c r="AT9" s="44">
        <v>2.7000000000000002E-9</v>
      </c>
    </row>
    <row r="10" spans="2:46">
      <c r="B10" s="25"/>
      <c r="C10" s="31" t="s">
        <v>66</v>
      </c>
      <c r="D10" s="31" t="s">
        <v>67</v>
      </c>
      <c r="E10" s="53" t="s">
        <v>68</v>
      </c>
      <c r="F10" s="50">
        <v>58333.33</v>
      </c>
      <c r="G10" s="33">
        <v>58333.33</v>
      </c>
      <c r="H10" s="33">
        <v>58333.33</v>
      </c>
      <c r="I10" s="33">
        <v>58333.33</v>
      </c>
      <c r="J10" s="45">
        <v>58333.33</v>
      </c>
      <c r="K10" s="27">
        <f t="shared" ref="K10:Q10" si="0">K13/(3*(1-2*K14))</f>
        <v>56140.350877192977</v>
      </c>
      <c r="L10" s="27">
        <f t="shared" si="0"/>
        <v>69607.843137254895</v>
      </c>
      <c r="M10" s="27">
        <f t="shared" si="0"/>
        <v>70294.117647058825</v>
      </c>
      <c r="N10" s="27">
        <f t="shared" si="0"/>
        <v>69607.843137254895</v>
      </c>
      <c r="O10" s="27">
        <f t="shared" si="0"/>
        <v>59999.999999999993</v>
      </c>
      <c r="P10" s="27">
        <f t="shared" si="0"/>
        <v>499999.99999999994</v>
      </c>
      <c r="Q10" s="27">
        <f t="shared" si="0"/>
        <v>713235.29411764699</v>
      </c>
      <c r="R10" s="27"/>
      <c r="S10" s="93">
        <v>205880</v>
      </c>
      <c r="T10" s="27">
        <f>T13/(3*(1-2*T14))</f>
        <v>174999.99999999997</v>
      </c>
      <c r="U10" s="27">
        <f>U13/(3*(1-2*U14))</f>
        <v>205882.35294117648</v>
      </c>
      <c r="V10" s="27">
        <f t="shared" ref="V10:AK10" si="1">V13/(3*(1-2*V14))</f>
        <v>205882.35294117648</v>
      </c>
      <c r="W10" s="27">
        <f t="shared" si="1"/>
        <v>205882.35294117648</v>
      </c>
      <c r="X10" s="27">
        <f t="shared" si="1"/>
        <v>199019.60784313726</v>
      </c>
      <c r="Y10" s="27">
        <f t="shared" si="1"/>
        <v>196078.43137254901</v>
      </c>
      <c r="Z10" s="27">
        <f t="shared" si="1"/>
        <v>174999.99999999997</v>
      </c>
      <c r="AA10" s="27">
        <f t="shared" si="1"/>
        <v>147619.0476190476</v>
      </c>
      <c r="AB10" s="27">
        <f t="shared" si="1"/>
        <v>163492.06349206346</v>
      </c>
      <c r="AC10" s="27">
        <f t="shared" si="1"/>
        <v>174999.99999999997</v>
      </c>
      <c r="AD10" s="27">
        <f t="shared" si="1"/>
        <v>153174.60317460314</v>
      </c>
      <c r="AE10" s="27">
        <f t="shared" si="1"/>
        <v>197058.82352941175</v>
      </c>
      <c r="AF10" s="73">
        <v>116</v>
      </c>
      <c r="AG10" s="74">
        <v>116</v>
      </c>
      <c r="AH10" s="74">
        <v>116</v>
      </c>
      <c r="AI10" s="27">
        <f>AI13/(3*(1-2*AI14))</f>
        <v>117881.03958333335</v>
      </c>
      <c r="AJ10" s="132">
        <f>AJ13/(3*(1-2*AJ14))</f>
        <v>129166.66666666669</v>
      </c>
      <c r="AK10" s="27">
        <f t="shared" si="1"/>
        <v>164285.71428571426</v>
      </c>
      <c r="AL10" s="27">
        <f>AL13/(3*(1-2*AL14))</f>
        <v>197458.60805860805</v>
      </c>
      <c r="AM10" s="27">
        <v>310000</v>
      </c>
      <c r="AQ10" s="128">
        <f>AQ13/(3*(1-2*AQ14))</f>
        <v>129166.66666666669</v>
      </c>
      <c r="AR10" s="45">
        <v>58333.33</v>
      </c>
      <c r="AS10" s="45">
        <v>58333.33</v>
      </c>
      <c r="AT10" s="45">
        <v>58333.33</v>
      </c>
    </row>
    <row r="11" spans="2:46">
      <c r="B11" s="25"/>
      <c r="C11" s="31" t="s">
        <v>69</v>
      </c>
      <c r="D11" s="31" t="s">
        <v>70</v>
      </c>
      <c r="E11" s="53" t="s">
        <v>68</v>
      </c>
      <c r="F11" s="50">
        <v>26923.08</v>
      </c>
      <c r="G11" s="33">
        <v>26923.08</v>
      </c>
      <c r="H11" s="33">
        <v>26923.08</v>
      </c>
      <c r="I11" s="33">
        <v>26923.08</v>
      </c>
      <c r="J11" s="45">
        <v>26923.08</v>
      </c>
      <c r="K11" s="27">
        <f t="shared" ref="K11:Q11" si="2">K13/(2*(1+K14))</f>
        <v>24427.480916030534</v>
      </c>
      <c r="L11" s="27">
        <f t="shared" si="2"/>
        <v>26691.729323308271</v>
      </c>
      <c r="M11" s="27">
        <f t="shared" si="2"/>
        <v>26954.887218045111</v>
      </c>
      <c r="N11" s="27">
        <f t="shared" si="2"/>
        <v>26691.729323308271</v>
      </c>
      <c r="O11" s="27">
        <f t="shared" si="2"/>
        <v>27692.307692307691</v>
      </c>
      <c r="P11" s="27">
        <f t="shared" si="2"/>
        <v>230769.23076923075</v>
      </c>
      <c r="Q11" s="27">
        <f t="shared" si="2"/>
        <v>273496.24060150376</v>
      </c>
      <c r="R11" s="27"/>
      <c r="S11" s="93">
        <v>78947</v>
      </c>
      <c r="T11" s="27">
        <f>T13/(2*(1+T14))</f>
        <v>80769.230769230766</v>
      </c>
      <c r="U11" s="27">
        <f t="shared" ref="U11:AE11" si="3">U13/(2*(1+U14))</f>
        <v>78947.368421052626</v>
      </c>
      <c r="V11" s="27">
        <f t="shared" si="3"/>
        <v>78947.368421052626</v>
      </c>
      <c r="W11" s="27">
        <f t="shared" si="3"/>
        <v>78947.368421052626</v>
      </c>
      <c r="X11" s="27">
        <f t="shared" si="3"/>
        <v>76315.789473684214</v>
      </c>
      <c r="Y11" s="27">
        <f t="shared" si="3"/>
        <v>75187.969924812031</v>
      </c>
      <c r="Z11" s="27">
        <f t="shared" si="3"/>
        <v>80769.230769230766</v>
      </c>
      <c r="AA11" s="27">
        <f t="shared" si="3"/>
        <v>72093.023255813954</v>
      </c>
      <c r="AB11" s="27">
        <f t="shared" si="3"/>
        <v>79844.961240310076</v>
      </c>
      <c r="AC11" s="27">
        <f t="shared" si="3"/>
        <v>80769.230769230766</v>
      </c>
      <c r="AD11" s="27">
        <f t="shared" si="3"/>
        <v>74806.201550387588</v>
      </c>
      <c r="AE11" s="27">
        <f t="shared" si="3"/>
        <v>75563.909774436092</v>
      </c>
      <c r="AF11" s="73">
        <v>38000</v>
      </c>
      <c r="AG11" s="74">
        <v>38000</v>
      </c>
      <c r="AH11" s="74">
        <v>38000</v>
      </c>
      <c r="AI11" s="27">
        <f>AI13/(2*(1+AI14))</f>
        <v>42226.044029850746</v>
      </c>
      <c r="AJ11" s="93">
        <f>AJ13/(2*(1+AJ14))</f>
        <v>46268.656716417907</v>
      </c>
      <c r="AK11" s="27">
        <f>AK13/(2*(1+AK14))</f>
        <v>80232.558139534885</v>
      </c>
      <c r="AL11" s="27">
        <v>81800</v>
      </c>
      <c r="AM11" s="128">
        <v>160000</v>
      </c>
      <c r="AQ11" s="128">
        <f>AQ13/(2*(1+AQ14))</f>
        <v>46268.656716417907</v>
      </c>
      <c r="AR11" s="45">
        <v>26923.08</v>
      </c>
      <c r="AS11" s="45">
        <v>26923.08</v>
      </c>
      <c r="AT11" s="45">
        <v>26923.08</v>
      </c>
    </row>
    <row r="12" spans="2:46">
      <c r="B12" s="25"/>
      <c r="C12" s="31" t="s">
        <v>71</v>
      </c>
      <c r="D12" s="31" t="s">
        <v>72</v>
      </c>
      <c r="E12" s="53" t="s">
        <v>72</v>
      </c>
      <c r="F12" s="50">
        <v>47</v>
      </c>
      <c r="G12" s="33">
        <v>47</v>
      </c>
      <c r="H12" s="33">
        <v>47</v>
      </c>
      <c r="I12" s="33">
        <v>47</v>
      </c>
      <c r="J12" s="45">
        <v>47</v>
      </c>
      <c r="K12" s="45">
        <v>47</v>
      </c>
      <c r="L12" s="45">
        <v>47</v>
      </c>
      <c r="M12" s="45">
        <v>47</v>
      </c>
      <c r="N12" s="28"/>
      <c r="O12" s="28"/>
      <c r="P12" s="28"/>
      <c r="Q12" s="28"/>
      <c r="R12" s="28"/>
      <c r="S12" s="77">
        <v>47</v>
      </c>
      <c r="T12" s="28">
        <v>47</v>
      </c>
      <c r="U12" s="28">
        <v>47</v>
      </c>
      <c r="V12" s="28">
        <v>47</v>
      </c>
      <c r="W12" s="28">
        <v>47</v>
      </c>
      <c r="X12" s="28">
        <v>47</v>
      </c>
      <c r="Y12" s="28"/>
      <c r="Z12" s="28"/>
      <c r="AA12" s="28"/>
      <c r="AB12" s="28"/>
      <c r="AC12" s="28"/>
      <c r="AD12" s="28"/>
      <c r="AE12" s="28"/>
      <c r="AF12" s="73">
        <v>47</v>
      </c>
      <c r="AG12" s="74">
        <v>47</v>
      </c>
      <c r="AH12" s="74">
        <v>47</v>
      </c>
      <c r="AI12" s="74">
        <v>47</v>
      </c>
      <c r="AJ12" s="73">
        <v>47</v>
      </c>
      <c r="AK12" s="74">
        <v>47</v>
      </c>
      <c r="AL12" s="74"/>
      <c r="AR12" s="45">
        <v>47</v>
      </c>
      <c r="AS12" s="45">
        <v>47</v>
      </c>
      <c r="AT12" s="45">
        <v>47</v>
      </c>
    </row>
    <row r="13" spans="2:46">
      <c r="B13" s="25"/>
      <c r="C13" s="31" t="s">
        <v>73</v>
      </c>
      <c r="D13" s="31" t="s">
        <v>74</v>
      </c>
      <c r="E13" s="53" t="s">
        <v>68</v>
      </c>
      <c r="F13" s="50">
        <v>70000</v>
      </c>
      <c r="G13" s="33">
        <v>70000</v>
      </c>
      <c r="H13" s="33">
        <v>70000</v>
      </c>
      <c r="I13" s="33">
        <v>70000</v>
      </c>
      <c r="J13" s="45">
        <v>70000</v>
      </c>
      <c r="K13" s="27">
        <v>64000</v>
      </c>
      <c r="L13" s="27">
        <v>71000</v>
      </c>
      <c r="M13" s="27">
        <v>71700</v>
      </c>
      <c r="N13" s="27">
        <v>71000</v>
      </c>
      <c r="O13" s="27">
        <v>72000</v>
      </c>
      <c r="P13" s="27">
        <v>600000</v>
      </c>
      <c r="Q13" s="27">
        <v>727500</v>
      </c>
      <c r="R13" s="27"/>
      <c r="S13" s="93">
        <v>210000</v>
      </c>
      <c r="T13" s="27">
        <v>210000</v>
      </c>
      <c r="U13" s="27">
        <v>210000</v>
      </c>
      <c r="V13" s="27">
        <v>210000</v>
      </c>
      <c r="W13" s="27">
        <v>210000</v>
      </c>
      <c r="X13" s="27">
        <v>203000</v>
      </c>
      <c r="Y13" s="27">
        <v>200000</v>
      </c>
      <c r="Z13" s="27">
        <v>210000</v>
      </c>
      <c r="AA13" s="27">
        <v>186000</v>
      </c>
      <c r="AB13" s="27">
        <v>206000</v>
      </c>
      <c r="AC13" s="27">
        <v>210000</v>
      </c>
      <c r="AD13" s="27">
        <v>193000</v>
      </c>
      <c r="AE13" s="27">
        <v>201000</v>
      </c>
      <c r="AF13" s="73">
        <v>114500</v>
      </c>
      <c r="AG13" s="74">
        <v>114500</v>
      </c>
      <c r="AH13" s="74">
        <v>114500</v>
      </c>
      <c r="AI13" s="27">
        <v>113165.798</v>
      </c>
      <c r="AJ13" s="127">
        <v>124000</v>
      </c>
      <c r="AK13" s="128">
        <v>207000</v>
      </c>
      <c r="AL13" s="128">
        <f>(2*AL11)*(1+AL14)</f>
        <v>215624.80000000002</v>
      </c>
      <c r="AM13" s="128">
        <f>(2*AM11)*(1+AM14)</f>
        <v>412800</v>
      </c>
      <c r="AQ13" s="128">
        <v>124000</v>
      </c>
      <c r="AR13" s="45">
        <v>70000</v>
      </c>
      <c r="AS13" s="45">
        <v>70000</v>
      </c>
      <c r="AT13" s="45">
        <v>70000</v>
      </c>
    </row>
    <row r="14" spans="2:46">
      <c r="B14" s="25"/>
      <c r="C14" s="31" t="s">
        <v>75</v>
      </c>
      <c r="D14" s="31" t="s">
        <v>76</v>
      </c>
      <c r="E14" s="53" t="s">
        <v>72</v>
      </c>
      <c r="F14" s="50">
        <v>0.3</v>
      </c>
      <c r="G14" s="33">
        <v>0.3</v>
      </c>
      <c r="H14" s="33">
        <v>0.3</v>
      </c>
      <c r="I14" s="33">
        <v>0.3</v>
      </c>
      <c r="J14" s="45">
        <v>0.3</v>
      </c>
      <c r="K14" s="28">
        <v>0.31</v>
      </c>
      <c r="L14" s="28">
        <v>0.33</v>
      </c>
      <c r="M14" s="28">
        <v>0.33</v>
      </c>
      <c r="N14" s="28">
        <v>0.33</v>
      </c>
      <c r="O14" s="28">
        <v>0.3</v>
      </c>
      <c r="P14" s="28">
        <v>0.3</v>
      </c>
      <c r="Q14" s="28">
        <v>0.33</v>
      </c>
      <c r="R14" s="28"/>
      <c r="S14" s="77">
        <v>0.33</v>
      </c>
      <c r="T14" s="28">
        <v>0.3</v>
      </c>
      <c r="U14" s="28">
        <v>0.33</v>
      </c>
      <c r="V14" s="28">
        <v>0.33</v>
      </c>
      <c r="W14" s="28">
        <v>0.33</v>
      </c>
      <c r="X14" s="28">
        <v>0.33</v>
      </c>
      <c r="Y14" s="28">
        <v>0.33</v>
      </c>
      <c r="Z14" s="28">
        <v>0.3</v>
      </c>
      <c r="AA14" s="28">
        <v>0.28999999999999998</v>
      </c>
      <c r="AB14" s="28">
        <v>0.28999999999999998</v>
      </c>
      <c r="AC14" s="28">
        <v>0.3</v>
      </c>
      <c r="AD14" s="28">
        <v>0.28999999999999998</v>
      </c>
      <c r="AE14" s="28">
        <v>0.33</v>
      </c>
      <c r="AF14" s="73">
        <v>0.34499999999999997</v>
      </c>
      <c r="AG14" s="74">
        <v>0.34499999999999997</v>
      </c>
      <c r="AH14" s="74">
        <v>0.34499999999999997</v>
      </c>
      <c r="AI14" s="28">
        <v>0.34</v>
      </c>
      <c r="AJ14" s="121">
        <v>0.34</v>
      </c>
      <c r="AK14" s="126">
        <v>0.28999999999999998</v>
      </c>
      <c r="AL14" s="126">
        <v>0.318</v>
      </c>
      <c r="AM14" s="126">
        <v>0.28999999999999998</v>
      </c>
      <c r="AQ14">
        <v>0.34</v>
      </c>
      <c r="AR14" s="45">
        <v>0.3</v>
      </c>
      <c r="AS14" s="45">
        <v>0.3</v>
      </c>
      <c r="AT14" s="45">
        <v>0.3</v>
      </c>
    </row>
    <row r="15" spans="2:46">
      <c r="B15" s="25"/>
      <c r="C15" s="31" t="s">
        <v>77</v>
      </c>
      <c r="D15" s="31" t="s">
        <v>78</v>
      </c>
      <c r="E15" s="53" t="s">
        <v>72</v>
      </c>
      <c r="F15" s="50">
        <v>0.9</v>
      </c>
      <c r="G15" s="33">
        <v>0.9</v>
      </c>
      <c r="H15" s="33">
        <v>0.9</v>
      </c>
      <c r="I15" s="33">
        <v>0.9</v>
      </c>
      <c r="J15" s="45">
        <v>0.9</v>
      </c>
      <c r="K15" s="28"/>
      <c r="L15" s="28"/>
      <c r="M15" s="28"/>
      <c r="N15" s="28"/>
      <c r="O15" s="28"/>
      <c r="P15" s="28"/>
      <c r="Q15" s="28"/>
      <c r="R15" s="172"/>
      <c r="S15" s="28">
        <v>0.9</v>
      </c>
      <c r="T15" s="28"/>
      <c r="U15" s="28">
        <v>0.9</v>
      </c>
      <c r="V15" s="28">
        <v>0.9</v>
      </c>
      <c r="W15" s="28">
        <v>0.9</v>
      </c>
      <c r="X15" s="28"/>
      <c r="Y15" s="28">
        <v>0.9</v>
      </c>
      <c r="Z15" s="28">
        <v>0.9</v>
      </c>
      <c r="AA15" s="28"/>
      <c r="AB15" s="28"/>
      <c r="AC15" s="28"/>
      <c r="AD15" s="28"/>
      <c r="AE15" s="28"/>
      <c r="AF15" s="73"/>
      <c r="AG15" s="74"/>
      <c r="AH15" s="74"/>
      <c r="AI15" s="28"/>
      <c r="AJ15" s="121"/>
      <c r="AQ15">
        <v>0.9</v>
      </c>
      <c r="AR15" s="45">
        <v>0.9</v>
      </c>
      <c r="AS15" s="45">
        <v>0.9</v>
      </c>
      <c r="AT15" s="45">
        <v>0.9</v>
      </c>
    </row>
    <row r="16" spans="2:46">
      <c r="B16" s="25"/>
      <c r="C16" s="31" t="s">
        <v>79</v>
      </c>
      <c r="D16" s="31" t="s">
        <v>80</v>
      </c>
      <c r="E16" s="53" t="s">
        <v>81</v>
      </c>
      <c r="F16" s="49">
        <v>910000000</v>
      </c>
      <c r="G16" s="32">
        <v>910000000</v>
      </c>
      <c r="H16" s="32">
        <v>910000000</v>
      </c>
      <c r="I16" s="32">
        <v>910000000</v>
      </c>
      <c r="J16" s="46">
        <v>910000000</v>
      </c>
      <c r="K16" s="32">
        <v>960000000</v>
      </c>
      <c r="L16" s="32">
        <v>875000000</v>
      </c>
      <c r="M16" s="46">
        <v>960000000</v>
      </c>
      <c r="N16">
        <v>900000000</v>
      </c>
      <c r="O16" s="102">
        <v>875000000</v>
      </c>
      <c r="P16" s="46">
        <v>910000000</v>
      </c>
      <c r="Q16" s="27">
        <v>880000000</v>
      </c>
      <c r="R16" s="140"/>
      <c r="S16" s="27">
        <v>452000000</v>
      </c>
      <c r="T16" s="27">
        <v>452000000</v>
      </c>
      <c r="U16" s="27">
        <v>452000000</v>
      </c>
      <c r="V16" s="27">
        <v>452000000</v>
      </c>
      <c r="W16" s="27">
        <v>452000000</v>
      </c>
      <c r="X16" s="27">
        <v>452000000</v>
      </c>
      <c r="Y16" s="27">
        <v>452000000</v>
      </c>
      <c r="Z16" s="27">
        <v>490000000</v>
      </c>
      <c r="AA16" s="27">
        <v>486000000</v>
      </c>
      <c r="AB16" s="27">
        <v>486000000</v>
      </c>
      <c r="AC16" s="27">
        <v>475000000</v>
      </c>
      <c r="AD16" s="27">
        <v>500000000</v>
      </c>
      <c r="AE16" s="27">
        <v>455000000</v>
      </c>
      <c r="AF16" s="76">
        <v>720000000</v>
      </c>
      <c r="AG16" s="75">
        <v>720000000</v>
      </c>
      <c r="AH16" s="75">
        <v>720000000</v>
      </c>
      <c r="AI16" s="27">
        <v>620750000</v>
      </c>
      <c r="AJ16" s="127">
        <v>383000000</v>
      </c>
      <c r="AK16" s="130">
        <v>452000000</v>
      </c>
      <c r="AL16" s="130">
        <v>452000000</v>
      </c>
      <c r="AM16" s="128">
        <v>133977600</v>
      </c>
      <c r="AQ16" s="128">
        <v>385000000</v>
      </c>
      <c r="AR16" s="46">
        <v>910000000</v>
      </c>
      <c r="AS16" s="46">
        <v>910000000</v>
      </c>
      <c r="AT16" s="46">
        <v>910000000</v>
      </c>
    </row>
    <row r="17" spans="2:46">
      <c r="B17" s="25"/>
      <c r="C17" s="31" t="s">
        <v>82</v>
      </c>
      <c r="D17" s="31" t="s">
        <v>83</v>
      </c>
      <c r="E17" s="53" t="s">
        <v>84</v>
      </c>
      <c r="F17" s="49">
        <v>2.3200000000000001E-5</v>
      </c>
      <c r="G17" s="32">
        <v>2.3200000000000001E-5</v>
      </c>
      <c r="H17" s="34">
        <v>2.3200000000000001E-5</v>
      </c>
      <c r="I17" s="34">
        <v>2.3200000000000001E-5</v>
      </c>
      <c r="J17" s="47">
        <v>2.3200000000000001E-5</v>
      </c>
      <c r="K17" s="34"/>
      <c r="L17" s="34"/>
      <c r="M17" s="47"/>
      <c r="O17" s="25"/>
      <c r="P17" s="25"/>
      <c r="Q17" s="25"/>
      <c r="R17" s="175"/>
      <c r="S17" s="27">
        <v>2.3200000000000001E-5</v>
      </c>
      <c r="T17" s="27">
        <v>2.3200000000000001E-5</v>
      </c>
      <c r="U17" s="27">
        <v>1.2E-5</v>
      </c>
      <c r="V17" s="27">
        <v>1.2E-5</v>
      </c>
      <c r="W17" s="27">
        <v>1.2E-5</v>
      </c>
      <c r="X17" s="27"/>
      <c r="Y17" s="27"/>
      <c r="Z17" s="27"/>
      <c r="AA17" s="27"/>
      <c r="AB17" s="27"/>
      <c r="AC17" s="27"/>
      <c r="AD17" s="27"/>
      <c r="AE17" s="27"/>
      <c r="AF17" s="73"/>
      <c r="AG17" s="74"/>
      <c r="AH17" s="74"/>
      <c r="AI17" s="27"/>
      <c r="AJ17" s="121"/>
      <c r="AL17" s="128"/>
      <c r="AR17" s="47">
        <v>2.3200000000000001E-5</v>
      </c>
      <c r="AS17" s="47">
        <v>2.3200000000000001E-5</v>
      </c>
      <c r="AT17" s="47">
        <v>2.3200000000000001E-5</v>
      </c>
    </row>
    <row r="18" spans="2:46">
      <c r="B18" s="25"/>
      <c r="C18" s="31" t="s">
        <v>85</v>
      </c>
      <c r="D18" s="31" t="s">
        <v>86</v>
      </c>
      <c r="E18" s="53" t="s">
        <v>72</v>
      </c>
      <c r="F18" s="49">
        <v>1E-4</v>
      </c>
      <c r="G18" s="32">
        <v>5.0000000000000001E-4</v>
      </c>
      <c r="H18" s="32">
        <v>5.0000000000000001E-4</v>
      </c>
      <c r="I18" s="32">
        <v>5.0000000000000001E-4</v>
      </c>
      <c r="J18" s="46">
        <v>5.0000000000000001E-4</v>
      </c>
      <c r="K18" s="32">
        <v>1E-4</v>
      </c>
      <c r="L18" s="32">
        <v>1</v>
      </c>
      <c r="M18" s="46">
        <v>1</v>
      </c>
      <c r="N18">
        <v>1E-4</v>
      </c>
      <c r="O18" s="27">
        <v>8.3299999999999997E-4</v>
      </c>
      <c r="P18" s="27">
        <v>1</v>
      </c>
      <c r="Q18" s="27">
        <v>1E-4</v>
      </c>
      <c r="R18" s="140"/>
      <c r="S18" s="27">
        <v>1E-4</v>
      </c>
      <c r="T18" s="27">
        <v>1E-4</v>
      </c>
      <c r="U18" s="27">
        <v>5.0000000000000001E-4</v>
      </c>
      <c r="V18" s="27">
        <v>5.0000000000000001E-4</v>
      </c>
      <c r="W18" s="27">
        <v>5.0000000000000001E-4</v>
      </c>
      <c r="X18" s="27">
        <v>1E-4</v>
      </c>
      <c r="Y18" s="27">
        <v>5.0000000000000001E-4</v>
      </c>
      <c r="Z18" s="27">
        <v>0.02</v>
      </c>
      <c r="AA18" s="27">
        <v>4.0000000000000001E-3</v>
      </c>
      <c r="AB18" s="27">
        <v>1</v>
      </c>
      <c r="AC18" s="27">
        <v>1</v>
      </c>
      <c r="AD18" s="27">
        <v>0.1</v>
      </c>
      <c r="AE18" s="27">
        <v>1</v>
      </c>
      <c r="AF18" s="165">
        <v>9.7999999999999997E-3</v>
      </c>
      <c r="AG18" s="166">
        <v>7.1999999999999998E-3</v>
      </c>
      <c r="AH18" s="166">
        <v>6.3499999999999997E-3</v>
      </c>
      <c r="AI18" s="167">
        <v>1</v>
      </c>
      <c r="AJ18" s="121">
        <v>1</v>
      </c>
      <c r="AK18" s="141">
        <v>1</v>
      </c>
      <c r="AL18" s="141">
        <v>1</v>
      </c>
      <c r="AM18">
        <v>1</v>
      </c>
      <c r="AQ18">
        <v>1</v>
      </c>
      <c r="AR18" s="46">
        <v>5.0000000000000001E-4</v>
      </c>
      <c r="AS18" s="46">
        <v>5.0000000000000001E-4</v>
      </c>
      <c r="AT18" s="46">
        <v>5.0000000000000001E-4</v>
      </c>
    </row>
    <row r="19" spans="2:46">
      <c r="B19" s="25"/>
      <c r="C19" s="31"/>
      <c r="D19" s="31" t="s">
        <v>87</v>
      </c>
      <c r="E19" s="53" t="s">
        <v>72</v>
      </c>
      <c r="F19" s="49">
        <v>2.4569999999999999</v>
      </c>
      <c r="G19" s="32">
        <v>2.4569999999999999</v>
      </c>
      <c r="H19" s="32">
        <v>2.4569999999999999</v>
      </c>
      <c r="I19" s="32">
        <v>2.4569999999999999</v>
      </c>
      <c r="J19" s="46">
        <v>2.4569999999999999</v>
      </c>
      <c r="K19" s="27"/>
      <c r="L19" s="27"/>
      <c r="M19" s="27"/>
      <c r="N19" s="27"/>
      <c r="O19" s="25"/>
      <c r="P19" s="25"/>
      <c r="Q19" s="25"/>
      <c r="R19" s="175"/>
      <c r="S19" s="27">
        <v>3.548</v>
      </c>
      <c r="T19" s="27">
        <f>T16*T9</f>
        <v>3.5482000000000005</v>
      </c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168">
        <f>AF16*AF9</f>
        <v>3.1896</v>
      </c>
      <c r="AG19" s="169">
        <f>AG16*AG9</f>
        <v>3.2760000000000002</v>
      </c>
      <c r="AH19" s="169">
        <f>AH16*AH9</f>
        <v>3.2760000000000002</v>
      </c>
      <c r="AI19" s="170"/>
      <c r="AJ19" s="121"/>
      <c r="AL19" s="128"/>
      <c r="AR19" s="46">
        <v>2.4569999999999999</v>
      </c>
      <c r="AS19" s="46">
        <v>2.4569999999999999</v>
      </c>
      <c r="AT19" s="46">
        <v>2.4569999999999999</v>
      </c>
    </row>
    <row r="20" spans="2:46">
      <c r="B20" s="25"/>
      <c r="C20" s="35" t="s">
        <v>88</v>
      </c>
      <c r="D20" s="35" t="s">
        <v>89</v>
      </c>
      <c r="E20" s="54" t="s">
        <v>67</v>
      </c>
      <c r="F20" s="50">
        <v>893</v>
      </c>
      <c r="G20" s="33">
        <v>893</v>
      </c>
      <c r="H20" s="33">
        <v>893</v>
      </c>
      <c r="I20" s="33">
        <v>893</v>
      </c>
      <c r="J20" s="45">
        <v>893</v>
      </c>
      <c r="K20" s="45">
        <v>893</v>
      </c>
      <c r="L20" s="45">
        <v>893</v>
      </c>
      <c r="M20" s="28">
        <v>750</v>
      </c>
      <c r="N20" s="28">
        <v>887.3</v>
      </c>
      <c r="O20" s="28">
        <v>775</v>
      </c>
      <c r="P20" s="28">
        <v>933.3</v>
      </c>
      <c r="Q20" s="28">
        <v>845.5</v>
      </c>
      <c r="R20" s="172"/>
      <c r="S20" s="28">
        <v>1800</v>
      </c>
      <c r="T20" s="28">
        <v>1800</v>
      </c>
      <c r="U20" s="28">
        <v>1800</v>
      </c>
      <c r="V20" s="28">
        <v>1800</v>
      </c>
      <c r="W20" s="28">
        <v>1800</v>
      </c>
      <c r="X20" s="28">
        <v>1800</v>
      </c>
      <c r="Y20" s="28">
        <v>1800</v>
      </c>
      <c r="Z20" s="28">
        <v>1800</v>
      </c>
      <c r="AA20" s="28">
        <f>1515+273</f>
        <v>1788</v>
      </c>
      <c r="AB20" s="28">
        <f>1495+273</f>
        <v>1768</v>
      </c>
      <c r="AC20" s="28">
        <f>1424+273</f>
        <v>1697</v>
      </c>
      <c r="AD20" s="28">
        <f>1427+273</f>
        <v>1700</v>
      </c>
      <c r="AE20" s="28">
        <v>1800</v>
      </c>
      <c r="AF20" s="73">
        <f>1668+273</f>
        <v>1941</v>
      </c>
      <c r="AG20" s="74">
        <f>1668+273</f>
        <v>1941</v>
      </c>
      <c r="AH20" s="74">
        <f>1668+273</f>
        <v>1941</v>
      </c>
      <c r="AI20" s="25">
        <v>1650</v>
      </c>
      <c r="AJ20" s="121">
        <v>1356</v>
      </c>
      <c r="AK20">
        <v>1811</v>
      </c>
      <c r="AL20">
        <v>1811</v>
      </c>
      <c r="AM20">
        <v>1723</v>
      </c>
      <c r="AQ20">
        <v>1356</v>
      </c>
      <c r="AR20" s="45">
        <v>893</v>
      </c>
      <c r="AS20" s="45">
        <v>893</v>
      </c>
      <c r="AT20" s="45">
        <v>893</v>
      </c>
    </row>
    <row r="21" spans="2:46">
      <c r="B21" s="25"/>
      <c r="C21" s="35" t="s">
        <v>90</v>
      </c>
      <c r="D21" s="35" t="s">
        <v>91</v>
      </c>
      <c r="E21" s="54" t="s">
        <v>67</v>
      </c>
      <c r="F21" s="50">
        <v>293</v>
      </c>
      <c r="G21" s="33">
        <v>293</v>
      </c>
      <c r="H21" s="33">
        <v>293</v>
      </c>
      <c r="I21" s="33">
        <v>293</v>
      </c>
      <c r="J21" s="45">
        <v>293</v>
      </c>
      <c r="K21" s="45">
        <v>293</v>
      </c>
      <c r="L21" s="45">
        <v>293</v>
      </c>
      <c r="M21" s="45">
        <v>293</v>
      </c>
      <c r="N21" s="45">
        <v>293</v>
      </c>
      <c r="O21" s="45">
        <v>293</v>
      </c>
      <c r="P21" s="45">
        <v>293</v>
      </c>
      <c r="Q21" s="45">
        <v>293</v>
      </c>
      <c r="R21" s="172"/>
      <c r="S21" s="28">
        <v>293</v>
      </c>
      <c r="T21" s="28">
        <v>293</v>
      </c>
      <c r="U21" s="28">
        <v>293</v>
      </c>
      <c r="V21" s="28">
        <v>293</v>
      </c>
      <c r="W21" s="28">
        <v>293</v>
      </c>
      <c r="X21" s="28">
        <v>293</v>
      </c>
      <c r="Y21" s="28">
        <v>293</v>
      </c>
      <c r="Z21" s="28">
        <v>293</v>
      </c>
      <c r="AA21" s="28">
        <v>293</v>
      </c>
      <c r="AB21" s="28">
        <v>293</v>
      </c>
      <c r="AC21" s="28">
        <v>293</v>
      </c>
      <c r="AD21" s="28">
        <v>293</v>
      </c>
      <c r="AE21" s="28">
        <v>293</v>
      </c>
      <c r="AF21" s="77">
        <v>293</v>
      </c>
      <c r="AG21" s="28">
        <v>293</v>
      </c>
      <c r="AH21" s="28">
        <v>293</v>
      </c>
      <c r="AI21" s="28">
        <v>293</v>
      </c>
      <c r="AJ21" s="133">
        <v>293</v>
      </c>
      <c r="AK21" s="28">
        <v>293</v>
      </c>
      <c r="AL21" s="28">
        <v>293</v>
      </c>
      <c r="AM21" s="28">
        <v>293</v>
      </c>
      <c r="AQ21">
        <v>293</v>
      </c>
      <c r="AR21" s="45">
        <v>293</v>
      </c>
      <c r="AS21" s="45">
        <v>293</v>
      </c>
      <c r="AT21" s="45">
        <v>293</v>
      </c>
    </row>
    <row r="22" spans="2:46">
      <c r="B22" s="25"/>
      <c r="C22" s="35" t="s">
        <v>92</v>
      </c>
      <c r="D22" s="35" t="s">
        <v>93</v>
      </c>
      <c r="E22" s="54" t="s">
        <v>67</v>
      </c>
      <c r="F22" s="50">
        <v>293</v>
      </c>
      <c r="G22" s="33">
        <v>293</v>
      </c>
      <c r="H22" s="33">
        <v>293</v>
      </c>
      <c r="I22" s="33">
        <v>293</v>
      </c>
      <c r="J22" s="45">
        <v>293</v>
      </c>
      <c r="K22" s="45">
        <v>293</v>
      </c>
      <c r="L22" s="45">
        <v>293</v>
      </c>
      <c r="M22" s="45">
        <v>293</v>
      </c>
      <c r="N22" s="45">
        <v>293</v>
      </c>
      <c r="O22" s="45">
        <v>293</v>
      </c>
      <c r="P22" s="45">
        <v>293</v>
      </c>
      <c r="Q22" s="45">
        <v>293</v>
      </c>
      <c r="R22" s="172"/>
      <c r="S22" s="28">
        <v>293</v>
      </c>
      <c r="T22" s="28">
        <v>293</v>
      </c>
      <c r="U22" s="28">
        <v>293</v>
      </c>
      <c r="V22" s="28">
        <v>293</v>
      </c>
      <c r="W22" s="28">
        <v>293</v>
      </c>
      <c r="X22" s="28">
        <v>293</v>
      </c>
      <c r="Y22" s="28">
        <v>293</v>
      </c>
      <c r="Z22" s="28">
        <v>293</v>
      </c>
      <c r="AA22" s="28">
        <v>293</v>
      </c>
      <c r="AB22" s="28">
        <v>293</v>
      </c>
      <c r="AC22" s="28">
        <v>293</v>
      </c>
      <c r="AD22" s="28">
        <v>293</v>
      </c>
      <c r="AE22" s="28">
        <v>293</v>
      </c>
      <c r="AF22" s="77">
        <v>293</v>
      </c>
      <c r="AG22" s="28">
        <v>293</v>
      </c>
      <c r="AH22" s="28">
        <v>293</v>
      </c>
      <c r="AI22" s="28">
        <v>293</v>
      </c>
      <c r="AJ22" s="134">
        <v>293</v>
      </c>
      <c r="AK22" s="28">
        <v>293</v>
      </c>
      <c r="AL22" s="28">
        <v>293</v>
      </c>
      <c r="AM22" s="28">
        <v>293</v>
      </c>
      <c r="AQ22">
        <v>300</v>
      </c>
      <c r="AR22" s="45">
        <v>293</v>
      </c>
      <c r="AS22" s="45">
        <v>293</v>
      </c>
      <c r="AT22" s="45">
        <v>293</v>
      </c>
    </row>
    <row r="23" spans="2:46">
      <c r="B23" s="25"/>
      <c r="C23" s="35" t="s">
        <v>94</v>
      </c>
      <c r="D23" s="35" t="s">
        <v>95</v>
      </c>
      <c r="E23" s="54" t="s">
        <v>67</v>
      </c>
      <c r="F23" s="50">
        <v>893</v>
      </c>
      <c r="G23" s="33">
        <v>893</v>
      </c>
      <c r="H23" s="33">
        <v>893</v>
      </c>
      <c r="I23" s="33">
        <v>893</v>
      </c>
      <c r="J23" s="45">
        <v>893</v>
      </c>
      <c r="K23" s="28"/>
      <c r="L23" s="28"/>
      <c r="M23" s="28"/>
      <c r="N23" s="28"/>
      <c r="O23" s="28"/>
      <c r="P23" s="28"/>
      <c r="Q23" s="28"/>
      <c r="R23" s="172"/>
      <c r="S23" s="28">
        <v>893</v>
      </c>
      <c r="T23" s="28">
        <v>893</v>
      </c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73"/>
      <c r="AG23" s="74"/>
      <c r="AH23" s="74"/>
      <c r="AI23" s="25"/>
      <c r="AJ23" s="121"/>
    </row>
    <row r="24" spans="2:46">
      <c r="B24" s="25"/>
      <c r="C24" s="31" t="s">
        <v>120</v>
      </c>
      <c r="D24" s="31" t="s">
        <v>96</v>
      </c>
      <c r="E24" s="53" t="s">
        <v>68</v>
      </c>
      <c r="F24" s="50">
        <v>292.60000000000002</v>
      </c>
      <c r="G24" s="33">
        <v>38.799999999999997</v>
      </c>
      <c r="H24" s="33">
        <v>172.7</v>
      </c>
      <c r="I24" s="33">
        <v>350</v>
      </c>
      <c r="J24" s="45">
        <v>292.5</v>
      </c>
      <c r="K24" s="28">
        <v>448.45400000000001</v>
      </c>
      <c r="L24" s="28">
        <v>265</v>
      </c>
      <c r="M24" s="28">
        <v>480</v>
      </c>
      <c r="N24" s="28">
        <v>167</v>
      </c>
      <c r="O24" s="28">
        <v>360.3</v>
      </c>
      <c r="P24" s="28">
        <v>410</v>
      </c>
      <c r="Q24" s="28">
        <v>453</v>
      </c>
      <c r="R24" s="28"/>
      <c r="S24" s="158">
        <v>325.70001000000002</v>
      </c>
      <c r="T24" s="28">
        <v>910</v>
      </c>
      <c r="U24" s="28">
        <v>499</v>
      </c>
      <c r="V24" s="28">
        <v>859</v>
      </c>
      <c r="W24" s="28">
        <v>992</v>
      </c>
      <c r="X24" s="27">
        <v>304.33</v>
      </c>
      <c r="Y24" s="27">
        <v>490</v>
      </c>
      <c r="Z24" s="27">
        <v>392</v>
      </c>
      <c r="AA24" s="27">
        <v>213</v>
      </c>
      <c r="AB24" s="27">
        <v>506</v>
      </c>
      <c r="AC24" s="27">
        <v>774.78</v>
      </c>
      <c r="AD24" s="27">
        <v>310</v>
      </c>
      <c r="AE24" s="27">
        <v>137.24879999999999</v>
      </c>
      <c r="AF24" s="73">
        <v>900</v>
      </c>
      <c r="AG24" s="74">
        <v>600</v>
      </c>
      <c r="AH24" s="74">
        <v>500</v>
      </c>
      <c r="AI24" s="126">
        <v>1098</v>
      </c>
      <c r="AJ24" s="121">
        <v>90</v>
      </c>
      <c r="AK24" s="126">
        <v>175</v>
      </c>
      <c r="AL24" s="126">
        <v>448.2</v>
      </c>
      <c r="AM24" s="130">
        <v>1506</v>
      </c>
      <c r="AP24">
        <v>140</v>
      </c>
      <c r="AQ24">
        <v>90</v>
      </c>
    </row>
    <row r="25" spans="2:46">
      <c r="B25" s="25"/>
      <c r="C25" s="31" t="s">
        <v>121</v>
      </c>
      <c r="D25" s="31" t="s">
        <v>97</v>
      </c>
      <c r="E25" s="53" t="s">
        <v>72</v>
      </c>
      <c r="F25" s="50">
        <v>0</v>
      </c>
      <c r="G25" s="33">
        <v>3.63</v>
      </c>
      <c r="H25" s="33">
        <v>2.99</v>
      </c>
      <c r="I25" s="33">
        <v>2.64</v>
      </c>
      <c r="J25" s="45">
        <v>2.69</v>
      </c>
      <c r="K25" s="28">
        <v>475.80799999999999</v>
      </c>
      <c r="L25" s="28">
        <v>426</v>
      </c>
      <c r="M25" s="28">
        <v>370</v>
      </c>
      <c r="N25" s="28">
        <v>596</v>
      </c>
      <c r="O25" s="28">
        <v>649.4</v>
      </c>
      <c r="P25" s="28">
        <v>512</v>
      </c>
      <c r="Q25" s="28">
        <v>453</v>
      </c>
      <c r="R25" s="28"/>
      <c r="S25" s="77">
        <v>0</v>
      </c>
      <c r="T25" s="28">
        <v>586</v>
      </c>
      <c r="U25" s="28">
        <v>382</v>
      </c>
      <c r="V25" s="28">
        <v>329</v>
      </c>
      <c r="W25" s="28">
        <v>364</v>
      </c>
      <c r="X25" s="28">
        <v>422.00700000000001</v>
      </c>
      <c r="Y25" s="28">
        <v>383</v>
      </c>
      <c r="Z25" s="28">
        <v>697</v>
      </c>
      <c r="AA25" s="28">
        <v>53</v>
      </c>
      <c r="AB25" s="28">
        <v>320</v>
      </c>
      <c r="AC25" s="28">
        <v>134</v>
      </c>
      <c r="AD25" s="28">
        <v>1000</v>
      </c>
      <c r="AE25" s="27">
        <v>835.02200000000005</v>
      </c>
      <c r="AF25" s="73">
        <v>509.75</v>
      </c>
      <c r="AG25" s="74">
        <v>528</v>
      </c>
      <c r="AH25" s="74">
        <v>353.9</v>
      </c>
      <c r="AI25" s="126">
        <v>1092</v>
      </c>
      <c r="AJ25" s="121">
        <v>292</v>
      </c>
      <c r="AK25" s="126">
        <v>380</v>
      </c>
      <c r="AL25" s="126">
        <v>303.39999999999998</v>
      </c>
      <c r="AM25" s="126">
        <v>177</v>
      </c>
      <c r="AP25" s="126">
        <v>443</v>
      </c>
      <c r="AQ25" s="126">
        <v>292</v>
      </c>
    </row>
    <row r="26" spans="2:46">
      <c r="B26" s="25"/>
      <c r="C26" s="31" t="s">
        <v>122</v>
      </c>
      <c r="D26" s="31" t="s">
        <v>98</v>
      </c>
      <c r="E26" s="53" t="s">
        <v>72</v>
      </c>
      <c r="F26" s="50">
        <v>0</v>
      </c>
      <c r="G26" s="33">
        <v>0.21299999999999999</v>
      </c>
      <c r="H26" s="33">
        <v>0.16600000000000001</v>
      </c>
      <c r="I26" s="33">
        <v>0.05</v>
      </c>
      <c r="J26" s="45">
        <v>3.5999999999999997E-2</v>
      </c>
      <c r="K26" s="28">
        <v>0.39479999999999998</v>
      </c>
      <c r="L26" s="28">
        <v>0.34</v>
      </c>
      <c r="M26" s="28">
        <v>0.43</v>
      </c>
      <c r="N26" s="28">
        <v>0.55100000000000005</v>
      </c>
      <c r="O26" s="28">
        <v>0.68</v>
      </c>
      <c r="P26" s="28">
        <v>0.68</v>
      </c>
      <c r="Q26" s="28">
        <v>0.5948</v>
      </c>
      <c r="R26" s="28"/>
      <c r="S26" s="77">
        <v>0</v>
      </c>
      <c r="T26" s="28">
        <v>0.26</v>
      </c>
      <c r="U26" s="28">
        <v>0.45800000000000002</v>
      </c>
      <c r="V26" s="28">
        <v>0.57899999999999996</v>
      </c>
      <c r="W26" s="28">
        <v>0.56799999999999995</v>
      </c>
      <c r="X26" s="28">
        <v>0.34499999999999997</v>
      </c>
      <c r="Y26" s="28">
        <v>0.45</v>
      </c>
      <c r="Z26" s="28">
        <v>0.4</v>
      </c>
      <c r="AA26" s="28">
        <v>0.34499999999999997</v>
      </c>
      <c r="AB26" s="28">
        <v>0.28000000000000003</v>
      </c>
      <c r="AC26" s="28">
        <v>0.37</v>
      </c>
      <c r="AD26" s="28">
        <v>0.65</v>
      </c>
      <c r="AE26" s="28">
        <v>0.2467</v>
      </c>
      <c r="AF26" s="73">
        <v>0.50600000000000001</v>
      </c>
      <c r="AG26" s="74">
        <v>0.38600000000000001</v>
      </c>
      <c r="AH26" s="74">
        <v>0.50800000000000001</v>
      </c>
      <c r="AI26" s="126">
        <v>0.93</v>
      </c>
      <c r="AJ26" s="121">
        <v>0.31</v>
      </c>
      <c r="AK26" s="126">
        <v>0.32</v>
      </c>
      <c r="AL26" s="126">
        <v>0.15</v>
      </c>
      <c r="AM26" s="126">
        <v>0.12</v>
      </c>
      <c r="AP26" s="126">
        <v>0.5575</v>
      </c>
      <c r="AQ26" s="126">
        <v>0.31</v>
      </c>
    </row>
    <row r="27" spans="2:46">
      <c r="B27" s="25"/>
      <c r="C27" s="31" t="s">
        <v>123</v>
      </c>
      <c r="D27" s="31" t="s">
        <v>99</v>
      </c>
      <c r="E27" s="53" t="s">
        <v>72</v>
      </c>
      <c r="F27" s="50">
        <v>0.02</v>
      </c>
      <c r="G27" s="33">
        <v>0.14199999999999999</v>
      </c>
      <c r="H27" s="33">
        <v>0.11700000000000001</v>
      </c>
      <c r="I27" s="33">
        <v>0.10299999999999999</v>
      </c>
      <c r="J27" s="45">
        <v>0.105</v>
      </c>
      <c r="K27" s="28">
        <v>1.1999999999999999E-3</v>
      </c>
      <c r="L27" s="28">
        <v>1.4999999999999999E-2</v>
      </c>
      <c r="M27" s="28">
        <v>7.1999999999999998E-3</v>
      </c>
      <c r="N27" s="28">
        <v>1E-3</v>
      </c>
      <c r="O27" s="28">
        <v>1.46E-2</v>
      </c>
      <c r="P27" s="28">
        <v>5.2400000000000002E-2</v>
      </c>
      <c r="Q27" s="28">
        <v>1.2999999999999999E-2</v>
      </c>
      <c r="R27" s="28"/>
      <c r="S27" s="77">
        <v>0.01</v>
      </c>
      <c r="T27" s="28">
        <v>1.4E-2</v>
      </c>
      <c r="U27" s="28">
        <v>7.9000000000000008E-3</v>
      </c>
      <c r="V27" s="28">
        <v>1.15E-2</v>
      </c>
      <c r="W27" s="28">
        <v>8.6999999999999994E-3</v>
      </c>
      <c r="X27" s="28">
        <v>1.5599999999999999E-2</v>
      </c>
      <c r="Y27" s="28">
        <v>1.14E-2</v>
      </c>
      <c r="Z27" s="28">
        <v>1.5299999999999999E-2</v>
      </c>
      <c r="AA27" s="28">
        <v>5.5E-2</v>
      </c>
      <c r="AB27" s="28">
        <v>6.4000000000000001E-2</v>
      </c>
      <c r="AC27" s="28">
        <v>1.7999999999999999E-2</v>
      </c>
      <c r="AD27" s="28">
        <v>7.0000000000000007E-2</v>
      </c>
      <c r="AE27" s="28">
        <v>6.1699999999999998E-2</v>
      </c>
      <c r="AF27" s="73">
        <v>0.03</v>
      </c>
      <c r="AG27" s="74">
        <v>0.03</v>
      </c>
      <c r="AH27" s="74">
        <v>0.03</v>
      </c>
      <c r="AI27" s="126">
        <v>1.4E-2</v>
      </c>
      <c r="AJ27" s="121">
        <v>2.5000000000000001E-2</v>
      </c>
      <c r="AK27" s="126">
        <v>0.06</v>
      </c>
      <c r="AL27" s="126">
        <v>3.3E-3</v>
      </c>
      <c r="AM27" s="126">
        <v>1.6E-2</v>
      </c>
      <c r="AP27" s="126">
        <v>8.6999999999999994E-2</v>
      </c>
      <c r="AQ27" s="126">
        <v>2.5000000000000001E-2</v>
      </c>
      <c r="AR27" s="126">
        <v>1E-3</v>
      </c>
      <c r="AS27" s="126">
        <v>1E-3</v>
      </c>
      <c r="AT27" s="126">
        <v>1E-3</v>
      </c>
    </row>
    <row r="28" spans="2:46">
      <c r="B28" s="25"/>
      <c r="C28" s="31" t="s">
        <v>124</v>
      </c>
      <c r="D28" s="31" t="s">
        <v>100</v>
      </c>
      <c r="E28" s="53" t="s">
        <v>72</v>
      </c>
      <c r="F28" s="50">
        <v>1</v>
      </c>
      <c r="G28" s="33">
        <v>1</v>
      </c>
      <c r="H28" s="33">
        <v>1</v>
      </c>
      <c r="I28" s="33">
        <v>1</v>
      </c>
      <c r="J28" s="45">
        <v>1</v>
      </c>
      <c r="K28" s="28">
        <v>1.29</v>
      </c>
      <c r="L28" s="28">
        <v>1</v>
      </c>
      <c r="M28" s="28">
        <v>0.74</v>
      </c>
      <c r="N28" s="28">
        <v>0.85899999999999999</v>
      </c>
      <c r="O28" s="28">
        <v>1.7</v>
      </c>
      <c r="P28" s="28">
        <v>1.04</v>
      </c>
      <c r="Q28" s="28">
        <v>1.08</v>
      </c>
      <c r="R28" s="28"/>
      <c r="S28" s="77">
        <v>1</v>
      </c>
      <c r="T28" s="28">
        <v>1.03</v>
      </c>
      <c r="U28" s="28">
        <v>0.89300000000000002</v>
      </c>
      <c r="V28" s="28">
        <v>1.071</v>
      </c>
      <c r="W28" s="28">
        <v>1.131</v>
      </c>
      <c r="X28" s="28">
        <v>0.87</v>
      </c>
      <c r="Y28" s="28">
        <v>0.94</v>
      </c>
      <c r="Z28" s="28">
        <v>1</v>
      </c>
      <c r="AA28" s="28">
        <v>0.81</v>
      </c>
      <c r="AB28" s="28">
        <v>1.06</v>
      </c>
      <c r="AC28" s="28">
        <v>3.1709999999999998</v>
      </c>
      <c r="AD28" s="28">
        <v>1</v>
      </c>
      <c r="AE28" s="28">
        <v>0.84</v>
      </c>
      <c r="AF28" s="73">
        <v>0</v>
      </c>
      <c r="AG28" s="74">
        <v>0</v>
      </c>
      <c r="AH28" s="74">
        <v>0</v>
      </c>
      <c r="AI28" s="126">
        <v>1.1000000000000001</v>
      </c>
      <c r="AJ28" s="121">
        <v>1.0900000000000001</v>
      </c>
      <c r="AK28" s="126">
        <v>0.55000000000000004</v>
      </c>
      <c r="AL28" s="126">
        <v>1.03</v>
      </c>
      <c r="AM28" s="126">
        <v>1</v>
      </c>
      <c r="AP28" s="126">
        <v>1.02</v>
      </c>
      <c r="AQ28" s="126">
        <v>1.0900000000000001</v>
      </c>
      <c r="AR28" s="126">
        <v>1</v>
      </c>
      <c r="AS28" s="126">
        <v>1</v>
      </c>
      <c r="AT28" s="126">
        <v>1</v>
      </c>
    </row>
    <row r="29" spans="2:46">
      <c r="B29" s="25"/>
      <c r="C29" s="35" t="s">
        <v>151</v>
      </c>
      <c r="D29" s="35" t="s">
        <v>101</v>
      </c>
      <c r="E29" s="54" t="s">
        <v>68</v>
      </c>
      <c r="F29" s="50">
        <v>2.7</v>
      </c>
      <c r="G29" s="33">
        <v>79.5</v>
      </c>
      <c r="H29" s="33">
        <v>35.6</v>
      </c>
      <c r="I29" s="33">
        <v>30.1</v>
      </c>
      <c r="J29" s="45">
        <v>55.3</v>
      </c>
      <c r="K29" s="28"/>
      <c r="L29" s="28"/>
      <c r="M29" s="28"/>
      <c r="N29" s="28"/>
      <c r="O29" s="28"/>
      <c r="P29" s="28"/>
      <c r="Q29" s="28"/>
      <c r="R29" s="28"/>
      <c r="S29" s="77">
        <v>234.8</v>
      </c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73"/>
      <c r="AG29" s="74"/>
      <c r="AH29" s="74"/>
      <c r="AI29" s="25"/>
      <c r="AJ29" s="121"/>
      <c r="AR29">
        <v>18.61</v>
      </c>
      <c r="AS29">
        <v>9.68</v>
      </c>
      <c r="AT29">
        <v>43.63</v>
      </c>
    </row>
    <row r="30" spans="2:46">
      <c r="B30" s="25"/>
      <c r="C30" s="35" t="s">
        <v>152</v>
      </c>
      <c r="D30" s="35" t="s">
        <v>102</v>
      </c>
      <c r="E30" s="54" t="s">
        <v>72</v>
      </c>
      <c r="F30" s="50">
        <v>2160.6999999999998</v>
      </c>
      <c r="G30" s="33">
        <v>56.9</v>
      </c>
      <c r="H30" s="33">
        <v>80.599999999999994</v>
      </c>
      <c r="I30" s="33">
        <v>185.9</v>
      </c>
      <c r="J30" s="45">
        <v>317.2</v>
      </c>
      <c r="K30" s="28"/>
      <c r="L30" s="28"/>
      <c r="M30" s="28"/>
      <c r="N30" s="28"/>
      <c r="O30" s="28"/>
      <c r="P30" s="28"/>
      <c r="Q30" s="28"/>
      <c r="R30" s="28"/>
      <c r="S30" s="77">
        <v>56.200001</v>
      </c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73"/>
      <c r="AG30" s="74"/>
      <c r="AH30" s="74"/>
      <c r="AI30" s="25"/>
      <c r="AJ30" s="121"/>
      <c r="AR30">
        <v>28240</v>
      </c>
      <c r="AS30">
        <v>6310</v>
      </c>
      <c r="AT30">
        <v>106000</v>
      </c>
    </row>
    <row r="31" spans="2:46">
      <c r="B31" s="25"/>
      <c r="C31" s="35" t="s">
        <v>153</v>
      </c>
      <c r="D31" s="35" t="s">
        <v>103</v>
      </c>
      <c r="E31" s="54" t="s">
        <v>68</v>
      </c>
      <c r="F31" s="50">
        <v>707.6</v>
      </c>
      <c r="G31" s="33">
        <v>88.2</v>
      </c>
      <c r="H31" s="33">
        <v>247.7</v>
      </c>
      <c r="I31" s="33">
        <v>72.8</v>
      </c>
      <c r="J31" s="45">
        <v>31.1</v>
      </c>
      <c r="K31" s="28"/>
      <c r="L31" s="28"/>
      <c r="M31" s="28"/>
      <c r="N31" s="28"/>
      <c r="O31" s="28"/>
      <c r="P31" s="28"/>
      <c r="Q31" s="28"/>
      <c r="R31" s="28"/>
      <c r="S31" s="77">
        <v>445.70001000000002</v>
      </c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73"/>
      <c r="AG31" s="74"/>
      <c r="AH31" s="74"/>
      <c r="AI31" s="25"/>
      <c r="AJ31" s="121"/>
      <c r="AR31">
        <v>204.8</v>
      </c>
      <c r="AS31">
        <v>178.8</v>
      </c>
      <c r="AT31">
        <v>125.6</v>
      </c>
    </row>
    <row r="32" spans="2:46">
      <c r="B32" s="25"/>
      <c r="C32" s="35" t="s">
        <v>154</v>
      </c>
      <c r="D32" s="35" t="s">
        <v>104</v>
      </c>
      <c r="E32" s="54" t="s">
        <v>72</v>
      </c>
      <c r="F32" s="50">
        <v>8.94</v>
      </c>
      <c r="G32" s="33">
        <v>4</v>
      </c>
      <c r="H32" s="33">
        <v>6.5</v>
      </c>
      <c r="I32" s="33">
        <v>7.7</v>
      </c>
      <c r="J32" s="45">
        <v>10</v>
      </c>
      <c r="K32" s="28"/>
      <c r="L32" s="28"/>
      <c r="M32" s="28"/>
      <c r="N32" s="28"/>
      <c r="O32" s="28"/>
      <c r="P32" s="28"/>
      <c r="Q32" s="28"/>
      <c r="R32" s="28"/>
      <c r="S32" s="77">
        <v>4.6999997999999996</v>
      </c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73"/>
      <c r="AG32" s="74"/>
      <c r="AH32" s="74"/>
      <c r="AI32" s="25"/>
      <c r="AJ32" s="121"/>
      <c r="AR32">
        <v>12900</v>
      </c>
      <c r="AS32">
        <v>10490</v>
      </c>
      <c r="AT32">
        <v>6256</v>
      </c>
    </row>
    <row r="33" spans="2:67">
      <c r="B33" s="25"/>
      <c r="C33" s="35" t="s">
        <v>244</v>
      </c>
      <c r="D33" s="35" t="s">
        <v>238</v>
      </c>
      <c r="E33" s="54"/>
      <c r="F33" s="50"/>
      <c r="G33" s="33"/>
      <c r="H33" s="33"/>
      <c r="I33" s="33"/>
      <c r="J33" s="45"/>
      <c r="K33" s="28"/>
      <c r="L33" s="28"/>
      <c r="M33" s="28"/>
      <c r="N33" s="28"/>
      <c r="O33" s="28"/>
      <c r="P33" s="28"/>
      <c r="Q33" s="28"/>
      <c r="R33" s="28"/>
      <c r="S33" s="77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73"/>
      <c r="AG33" s="74"/>
      <c r="AH33" s="74"/>
      <c r="AI33" s="25"/>
      <c r="AJ33" s="121"/>
      <c r="AR33">
        <v>1.05</v>
      </c>
      <c r="AS33">
        <v>12.24</v>
      </c>
      <c r="AT33">
        <v>43.23</v>
      </c>
    </row>
    <row r="34" spans="2:67">
      <c r="B34" s="25"/>
      <c r="C34" s="35" t="s">
        <v>243</v>
      </c>
      <c r="D34" s="35" t="s">
        <v>239</v>
      </c>
      <c r="E34" s="54"/>
      <c r="F34" s="50"/>
      <c r="G34" s="33"/>
      <c r="H34" s="33"/>
      <c r="I34" s="33"/>
      <c r="J34" s="45"/>
      <c r="K34" s="28"/>
      <c r="L34" s="28"/>
      <c r="M34" s="28"/>
      <c r="N34" s="28"/>
      <c r="O34" s="28"/>
      <c r="P34" s="28"/>
      <c r="Q34" s="28"/>
      <c r="R34" s="28"/>
      <c r="S34" s="77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73"/>
      <c r="AG34" s="74"/>
      <c r="AH34" s="74"/>
      <c r="AI34" s="25"/>
      <c r="AJ34" s="121"/>
      <c r="AR34">
        <v>67.260000000000005</v>
      </c>
      <c r="AS34">
        <v>11.11</v>
      </c>
      <c r="AT34">
        <v>135.5</v>
      </c>
    </row>
    <row r="35" spans="2:67">
      <c r="B35" s="25"/>
      <c r="C35" s="35" t="s">
        <v>105</v>
      </c>
      <c r="D35" s="35" t="s">
        <v>106</v>
      </c>
      <c r="E35" s="54" t="s">
        <v>107</v>
      </c>
      <c r="F35" s="50">
        <v>278</v>
      </c>
      <c r="G35" s="33">
        <v>151</v>
      </c>
      <c r="H35" s="33">
        <v>211</v>
      </c>
      <c r="I35" s="33">
        <v>115</v>
      </c>
      <c r="J35" s="45">
        <v>128</v>
      </c>
      <c r="K35" s="28"/>
      <c r="L35" s="28"/>
      <c r="M35" s="28"/>
      <c r="N35" s="28"/>
      <c r="O35" s="28"/>
      <c r="P35" s="28"/>
      <c r="Q35" s="28"/>
      <c r="R35" s="28"/>
      <c r="S35" s="77">
        <v>555</v>
      </c>
      <c r="T35" s="28"/>
      <c r="U35" s="28">
        <v>1292</v>
      </c>
      <c r="V35" s="28">
        <v>1424</v>
      </c>
      <c r="W35" s="28">
        <v>1510</v>
      </c>
      <c r="X35" s="28"/>
      <c r="Y35" s="28"/>
      <c r="Z35" s="28"/>
      <c r="AA35" s="28"/>
      <c r="AB35" s="28"/>
      <c r="AC35" s="28"/>
      <c r="AD35" s="28"/>
      <c r="AE35" s="28"/>
      <c r="AF35" s="73"/>
      <c r="AG35" s="74"/>
      <c r="AH35" s="74"/>
      <c r="AI35" s="25"/>
      <c r="AJ35" s="121"/>
      <c r="AR35">
        <v>13.7</v>
      </c>
      <c r="AS35">
        <v>26.5</v>
      </c>
      <c r="AT35">
        <v>58.3</v>
      </c>
    </row>
    <row r="36" spans="2:67">
      <c r="B36" s="25"/>
      <c r="C36" s="31"/>
      <c r="D36" s="31" t="s">
        <v>108</v>
      </c>
      <c r="E36" s="53" t="s">
        <v>72</v>
      </c>
      <c r="F36" s="50">
        <v>1E-3</v>
      </c>
      <c r="G36" s="33">
        <v>1E-3</v>
      </c>
      <c r="H36" s="33">
        <v>1E-3</v>
      </c>
      <c r="I36" s="33">
        <v>1E-3</v>
      </c>
      <c r="J36" s="45">
        <v>1E-3</v>
      </c>
      <c r="K36" s="28"/>
      <c r="L36" s="28"/>
      <c r="M36" s="28"/>
      <c r="N36" s="28"/>
      <c r="O36" s="28"/>
      <c r="P36" s="28"/>
      <c r="Q36" s="28"/>
      <c r="R36" s="28"/>
      <c r="S36" s="94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73"/>
      <c r="AG36" s="74"/>
      <c r="AH36" s="74"/>
      <c r="AI36" s="25"/>
      <c r="AJ36" s="121"/>
    </row>
    <row r="37" spans="2:67">
      <c r="B37" s="25"/>
      <c r="C37" s="60"/>
      <c r="D37" s="60" t="s">
        <v>109</v>
      </c>
      <c r="E37" s="61" t="s">
        <v>68</v>
      </c>
      <c r="F37" s="62">
        <v>292.60000000000002</v>
      </c>
      <c r="G37" s="63">
        <v>51</v>
      </c>
      <c r="H37" s="63">
        <v>187</v>
      </c>
      <c r="I37" s="63">
        <v>373</v>
      </c>
      <c r="J37" s="64">
        <v>341</v>
      </c>
      <c r="K37" s="28"/>
      <c r="L37" s="28"/>
      <c r="M37" s="28"/>
      <c r="N37" s="28"/>
      <c r="O37" s="28"/>
      <c r="P37" s="28"/>
      <c r="Q37" s="28"/>
      <c r="R37" s="28"/>
      <c r="S37" s="94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73"/>
      <c r="AG37" s="74"/>
      <c r="AH37" s="74"/>
      <c r="AI37" s="25"/>
      <c r="AJ37" s="121"/>
      <c r="AR37">
        <v>150</v>
      </c>
      <c r="AS37">
        <v>150</v>
      </c>
      <c r="AT37">
        <v>130</v>
      </c>
    </row>
    <row r="38" spans="2:67">
      <c r="B38" s="25"/>
      <c r="C38" s="89" t="s">
        <v>219</v>
      </c>
      <c r="D38" s="31" t="s">
        <v>132</v>
      </c>
      <c r="E38" s="69" t="s">
        <v>72</v>
      </c>
      <c r="F38" s="28"/>
      <c r="G38" s="28"/>
      <c r="H38" s="28"/>
      <c r="I38" s="28"/>
      <c r="J38" s="28"/>
      <c r="K38" s="28">
        <v>-0.42799999999999999</v>
      </c>
      <c r="L38" s="28">
        <v>0.13</v>
      </c>
      <c r="M38" s="28">
        <v>-6.8000000000000005E-2</v>
      </c>
      <c r="N38" s="28">
        <v>2.6100000000000002E-2</v>
      </c>
      <c r="O38" s="28">
        <v>3.4000000000000002E-2</v>
      </c>
      <c r="P38" s="28">
        <v>0.05</v>
      </c>
      <c r="Q38" s="28">
        <v>8.6999999999999994E-2</v>
      </c>
      <c r="R38" s="28"/>
      <c r="S38" s="94"/>
      <c r="T38" s="26">
        <v>-0.8</v>
      </c>
      <c r="U38" s="26">
        <v>0.63600000000000001</v>
      </c>
      <c r="V38" s="26">
        <v>0.36099999999999999</v>
      </c>
      <c r="W38" s="26">
        <v>0.29399999999999998</v>
      </c>
      <c r="X38" s="26">
        <v>0.1152</v>
      </c>
      <c r="Y38" s="26">
        <v>7.0499999999999993E-2</v>
      </c>
      <c r="Z38" s="26">
        <v>0.7</v>
      </c>
      <c r="AA38" s="26">
        <v>0.05</v>
      </c>
      <c r="AB38" s="26">
        <v>0.1</v>
      </c>
      <c r="AC38" s="26">
        <v>3.6799999999999999E-2</v>
      </c>
      <c r="AD38" s="26">
        <v>0.53</v>
      </c>
      <c r="AE38" s="26">
        <v>4.2889999999999998E-2</v>
      </c>
      <c r="AF38" s="73">
        <v>-0.81</v>
      </c>
      <c r="AG38" s="74">
        <v>-0.995</v>
      </c>
      <c r="AH38" s="74">
        <v>-1.157</v>
      </c>
      <c r="AI38" s="126">
        <v>-0.09</v>
      </c>
      <c r="AJ38" s="121">
        <v>0.54</v>
      </c>
      <c r="AK38" s="126">
        <v>-2.2000000000000002</v>
      </c>
      <c r="AL38" s="126">
        <v>2.25</v>
      </c>
      <c r="AM38" s="126">
        <v>0</v>
      </c>
      <c r="AP38" s="126">
        <v>1.46</v>
      </c>
      <c r="AQ38" s="126">
        <v>0.3</v>
      </c>
    </row>
    <row r="39" spans="2:67">
      <c r="B39" s="25"/>
      <c r="C39" s="90" t="s">
        <v>133</v>
      </c>
      <c r="D39" s="31" t="s">
        <v>133</v>
      </c>
      <c r="E39" s="69" t="s">
        <v>72</v>
      </c>
      <c r="F39" s="67"/>
      <c r="G39" s="65"/>
      <c r="H39" s="65"/>
      <c r="I39" s="65"/>
      <c r="J39" s="66"/>
      <c r="K39" s="28">
        <v>0.75660000000000005</v>
      </c>
      <c r="L39" s="28">
        <v>0.13</v>
      </c>
      <c r="M39" s="28">
        <v>0.45</v>
      </c>
      <c r="N39" s="28">
        <v>0.26300000000000001</v>
      </c>
      <c r="O39" s="28">
        <v>0.66400000000000003</v>
      </c>
      <c r="P39" s="28">
        <v>1.2809999999999999</v>
      </c>
      <c r="Q39" s="28">
        <v>2.68</v>
      </c>
      <c r="R39" s="28"/>
      <c r="S39" s="94"/>
      <c r="T39" s="26">
        <v>2.1</v>
      </c>
      <c r="U39" s="26">
        <v>1.9359999999999999</v>
      </c>
      <c r="V39" s="26">
        <v>4.7679999999999998</v>
      </c>
      <c r="W39" s="26">
        <v>5.149</v>
      </c>
      <c r="X39" s="26">
        <v>1.0116000000000001</v>
      </c>
      <c r="Y39" s="26">
        <v>1.732</v>
      </c>
      <c r="Z39" s="26">
        <v>0.5</v>
      </c>
      <c r="AA39" s="26">
        <v>3.44</v>
      </c>
      <c r="AB39" s="26">
        <v>0.76</v>
      </c>
      <c r="AC39" s="26">
        <v>2.34</v>
      </c>
      <c r="AD39" s="26">
        <v>0.5</v>
      </c>
      <c r="AE39" s="26">
        <v>2.1520999999999999</v>
      </c>
      <c r="AF39" s="73">
        <v>1.18</v>
      </c>
      <c r="AG39" s="74">
        <v>1.45</v>
      </c>
      <c r="AH39" s="74">
        <v>1.6850000000000001</v>
      </c>
      <c r="AI39" s="126">
        <v>0.27</v>
      </c>
      <c r="AJ39" s="121">
        <v>4.8899999999999997</v>
      </c>
      <c r="AK39" s="126">
        <v>5.43</v>
      </c>
      <c r="AL39" s="126">
        <v>5.0000000000000001E-4</v>
      </c>
      <c r="AM39" s="128">
        <v>0.33</v>
      </c>
      <c r="AP39">
        <v>3.47</v>
      </c>
      <c r="AQ39">
        <v>0.28000000000000003</v>
      </c>
    </row>
    <row r="40" spans="2:67">
      <c r="B40" s="25"/>
      <c r="C40" s="90" t="s">
        <v>134</v>
      </c>
      <c r="D40" s="31" t="s">
        <v>134</v>
      </c>
      <c r="E40" s="69" t="s">
        <v>72</v>
      </c>
      <c r="F40" s="68"/>
      <c r="G40" s="63"/>
      <c r="H40" s="63"/>
      <c r="I40" s="63"/>
      <c r="J40" s="64"/>
      <c r="K40" s="28">
        <v>-3.4077999999999999</v>
      </c>
      <c r="L40" s="28">
        <v>-1.5</v>
      </c>
      <c r="M40" s="28">
        <v>-0.95</v>
      </c>
      <c r="N40" s="28">
        <v>-0.34899999999999998</v>
      </c>
      <c r="O40" s="28">
        <v>-1.5</v>
      </c>
      <c r="P40" s="28">
        <v>-3.5</v>
      </c>
      <c r="Q40" s="28">
        <v>-8.01</v>
      </c>
      <c r="R40" s="28"/>
      <c r="S40" s="94"/>
      <c r="T40" s="26">
        <v>-0.5</v>
      </c>
      <c r="U40" s="26">
        <v>-2.9689999999999999</v>
      </c>
      <c r="V40" s="26">
        <v>-5.1070000000000002</v>
      </c>
      <c r="W40" s="26">
        <v>-5.5830000000000002</v>
      </c>
      <c r="X40" s="26">
        <v>-1.7684</v>
      </c>
      <c r="Y40" s="26">
        <v>-0.54</v>
      </c>
      <c r="Z40" s="26">
        <v>5</v>
      </c>
      <c r="AA40" s="26">
        <v>-2.12</v>
      </c>
      <c r="AB40" s="26">
        <v>-1.57</v>
      </c>
      <c r="AC40" s="26">
        <v>-1.484</v>
      </c>
      <c r="AD40" s="26">
        <v>-6.8</v>
      </c>
      <c r="AE40" s="26">
        <v>-2.7574999999999998</v>
      </c>
      <c r="AF40" s="73">
        <v>-0.15</v>
      </c>
      <c r="AG40" s="74" t="s">
        <v>137</v>
      </c>
      <c r="AH40" s="74">
        <v>-8.3000000000000004E-2</v>
      </c>
      <c r="AI40" s="25">
        <v>0.48</v>
      </c>
      <c r="AJ40" s="121">
        <v>-3.03</v>
      </c>
      <c r="AK40">
        <v>-0.47</v>
      </c>
      <c r="AL40">
        <v>-3.6</v>
      </c>
      <c r="AM40">
        <v>-1.5</v>
      </c>
      <c r="AP40">
        <v>-4.07</v>
      </c>
      <c r="AQ40">
        <v>3.03</v>
      </c>
    </row>
    <row r="41" spans="2:67">
      <c r="B41" s="25"/>
      <c r="C41" s="90" t="s">
        <v>135</v>
      </c>
      <c r="D41" s="31" t="s">
        <v>135</v>
      </c>
      <c r="E41" s="69" t="s">
        <v>72</v>
      </c>
      <c r="F41" s="68"/>
      <c r="G41" s="63"/>
      <c r="H41" s="63"/>
      <c r="I41" s="63"/>
      <c r="J41" s="64"/>
      <c r="K41" s="28">
        <v>-3.0000000000000001E-3</v>
      </c>
      <c r="L41" s="28">
        <v>1.0999999999999999E-2</v>
      </c>
      <c r="M41" s="28">
        <v>3.5999999999999997E-2</v>
      </c>
      <c r="N41" s="28">
        <v>0.14699999999999999</v>
      </c>
      <c r="O41" s="28">
        <v>1.0999999999999999E-2</v>
      </c>
      <c r="P41" s="28">
        <v>0.13800000000000001</v>
      </c>
      <c r="Q41" s="28">
        <v>2.9000000000000001E-2</v>
      </c>
      <c r="R41" s="28"/>
      <c r="S41" s="94"/>
      <c r="T41" s="26">
        <v>2E-3</v>
      </c>
      <c r="U41" s="26">
        <v>-1.4E-2</v>
      </c>
      <c r="V41" s="26">
        <v>-1.2999999999999999E-3</v>
      </c>
      <c r="W41" s="26">
        <v>2.3E-3</v>
      </c>
      <c r="X41" s="26">
        <v>-5.2789999999999997E-2</v>
      </c>
      <c r="Y41" s="26">
        <v>-1.4999999999999999E-2</v>
      </c>
      <c r="Z41" s="26">
        <v>-6.0000000000000001E-3</v>
      </c>
      <c r="AA41" s="26">
        <v>2E-3</v>
      </c>
      <c r="AB41" s="26">
        <v>5.0000000000000001E-3</v>
      </c>
      <c r="AC41" s="26">
        <v>3.5000000000000001E-3</v>
      </c>
      <c r="AD41" s="26">
        <v>-1.4E-2</v>
      </c>
      <c r="AE41" s="26">
        <v>-6.6E-3</v>
      </c>
      <c r="AF41" s="73">
        <v>-0.02</v>
      </c>
      <c r="AG41" s="74" t="s">
        <v>138</v>
      </c>
      <c r="AH41" s="74">
        <v>2.4E-2</v>
      </c>
      <c r="AI41" s="126">
        <v>1.4E-2</v>
      </c>
      <c r="AJ41" s="121">
        <v>1.4E-2</v>
      </c>
      <c r="AK41" s="126">
        <v>1.6E-2</v>
      </c>
      <c r="AL41" s="126">
        <v>-1.23E-2</v>
      </c>
      <c r="AM41" s="126">
        <v>0</v>
      </c>
      <c r="AP41" s="126">
        <v>-2.4E-2</v>
      </c>
      <c r="AQ41" s="126">
        <v>1.4E-2</v>
      </c>
    </row>
    <row r="42" spans="2:67">
      <c r="B42" s="25"/>
      <c r="C42" s="90" t="s">
        <v>136</v>
      </c>
      <c r="D42" s="60" t="s">
        <v>136</v>
      </c>
      <c r="E42" s="70" t="s">
        <v>72</v>
      </c>
      <c r="F42" s="28"/>
      <c r="G42" s="28"/>
      <c r="H42" s="28"/>
      <c r="I42" s="28"/>
      <c r="J42" s="28"/>
      <c r="K42" s="28">
        <v>24.93</v>
      </c>
      <c r="L42" s="28">
        <v>0</v>
      </c>
      <c r="M42" s="28">
        <v>6</v>
      </c>
      <c r="N42" s="28">
        <v>16.8</v>
      </c>
      <c r="O42" s="28">
        <v>0</v>
      </c>
      <c r="P42" s="28">
        <v>4.0999999999999996</v>
      </c>
      <c r="Q42" s="28">
        <v>5.3319999999999999</v>
      </c>
      <c r="R42" s="28"/>
      <c r="S42" s="94"/>
      <c r="T42" s="26">
        <v>0.61</v>
      </c>
      <c r="U42" s="26">
        <v>1.014</v>
      </c>
      <c r="V42" s="26">
        <v>1.333</v>
      </c>
      <c r="W42" s="26">
        <v>0.95099999999999996</v>
      </c>
      <c r="X42" s="26">
        <v>0.5262</v>
      </c>
      <c r="Y42" s="26">
        <v>0</v>
      </c>
      <c r="Z42" s="26">
        <v>0</v>
      </c>
      <c r="AA42" s="26">
        <v>0.61</v>
      </c>
      <c r="AB42" s="26">
        <v>-0.84</v>
      </c>
      <c r="AC42" s="26">
        <v>0.41099999999999998</v>
      </c>
      <c r="AD42" s="26">
        <v>0</v>
      </c>
      <c r="AE42" s="26">
        <v>0.86</v>
      </c>
      <c r="AF42" s="73">
        <v>0</v>
      </c>
      <c r="AG42" s="74">
        <v>0</v>
      </c>
      <c r="AH42" s="74">
        <v>0</v>
      </c>
      <c r="AI42" s="126">
        <v>3.87</v>
      </c>
      <c r="AJ42" s="121">
        <v>1.1200000000000001</v>
      </c>
      <c r="AK42" s="126">
        <v>0.63</v>
      </c>
      <c r="AL42" s="126">
        <v>0</v>
      </c>
      <c r="AM42" s="126">
        <v>0</v>
      </c>
      <c r="AP42" s="126">
        <v>2.59</v>
      </c>
      <c r="AQ42" s="126">
        <v>1.1200000000000001</v>
      </c>
      <c r="BO42" t="s">
        <v>45</v>
      </c>
    </row>
    <row r="43" spans="2:67" ht="14.25" customHeight="1">
      <c r="B43" s="25"/>
      <c r="C43" s="87" t="s">
        <v>139</v>
      </c>
      <c r="D43" s="88"/>
      <c r="E43" s="88" t="s">
        <v>68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94"/>
      <c r="T43" s="26">
        <v>745</v>
      </c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3">
        <v>1000</v>
      </c>
      <c r="AG43" s="74">
        <v>800</v>
      </c>
      <c r="AH43" s="74">
        <v>600</v>
      </c>
      <c r="AI43" s="25"/>
      <c r="AJ43" s="121"/>
    </row>
    <row r="44" spans="2:67" ht="14.25" customHeight="1">
      <c r="B44" s="25"/>
      <c r="C44" s="91" t="s">
        <v>143</v>
      </c>
      <c r="D44" s="88" t="s">
        <v>55</v>
      </c>
      <c r="E44" s="88" t="s">
        <v>72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94"/>
      <c r="T44" s="26">
        <v>164</v>
      </c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3"/>
      <c r="AG44" s="74"/>
      <c r="AH44" s="74"/>
      <c r="AI44" s="25"/>
      <c r="AJ44" s="122"/>
    </row>
    <row r="45" spans="2:67" ht="14.25" customHeight="1">
      <c r="B45" s="25"/>
      <c r="C45" s="80"/>
      <c r="D45" s="88" t="s">
        <v>142</v>
      </c>
      <c r="E45" s="88" t="s">
        <v>72</v>
      </c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94"/>
      <c r="T45" s="26">
        <v>294</v>
      </c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3"/>
      <c r="AG45" s="74"/>
      <c r="AH45" s="74"/>
      <c r="AI45" s="25"/>
      <c r="AJ45" s="122"/>
    </row>
    <row r="46" spans="2:67" ht="14.25" customHeight="1">
      <c r="B46" s="25"/>
      <c r="C46" s="80"/>
      <c r="D46" s="88" t="s">
        <v>144</v>
      </c>
      <c r="E46" s="88" t="s">
        <v>72</v>
      </c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94"/>
      <c r="T46" s="26">
        <v>500</v>
      </c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3"/>
      <c r="AG46" s="74"/>
      <c r="AH46" s="74"/>
      <c r="AI46" s="25"/>
      <c r="AJ46" s="122"/>
    </row>
    <row r="47" spans="2:67" ht="14.25" customHeight="1">
      <c r="B47" s="25"/>
      <c r="C47" s="92"/>
      <c r="D47" s="81" t="s">
        <v>145</v>
      </c>
      <c r="E47" s="82" t="s">
        <v>72</v>
      </c>
      <c r="F47" s="83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95"/>
      <c r="T47" s="104">
        <v>1.1599999999999999</v>
      </c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85"/>
      <c r="AG47" s="86"/>
      <c r="AH47" s="86"/>
      <c r="AI47" s="84"/>
      <c r="AJ47" s="83"/>
      <c r="AK47" s="84"/>
      <c r="AL47" s="84"/>
      <c r="AM47" s="84"/>
      <c r="AN47" s="84"/>
      <c r="AO47" s="84"/>
      <c r="AP47" s="84"/>
      <c r="AQ47" s="84"/>
      <c r="AR47" s="84"/>
      <c r="AS47" s="84"/>
      <c r="AT47" s="84"/>
    </row>
    <row r="48" spans="2:67">
      <c r="B48" s="25"/>
      <c r="C48" s="39" t="s">
        <v>110</v>
      </c>
      <c r="D48" s="39"/>
      <c r="E48" s="55"/>
      <c r="F48" s="57" t="s">
        <v>118</v>
      </c>
      <c r="G48" s="40" t="s">
        <v>111</v>
      </c>
      <c r="H48" s="40" t="s">
        <v>112</v>
      </c>
      <c r="I48" s="40" t="s">
        <v>113</v>
      </c>
      <c r="J48" s="72" t="s">
        <v>114</v>
      </c>
      <c r="K48" s="105"/>
      <c r="L48" s="105"/>
      <c r="M48" s="105"/>
      <c r="N48" s="105"/>
      <c r="O48" s="105"/>
      <c r="P48" s="105"/>
      <c r="Q48" s="105"/>
      <c r="R48" s="105"/>
      <c r="S48" s="96"/>
      <c r="T48" s="105"/>
      <c r="U48" s="98"/>
      <c r="V48" s="98"/>
      <c r="W48" s="98"/>
      <c r="X48" s="107"/>
      <c r="Y48" s="149"/>
      <c r="Z48" s="159"/>
      <c r="AA48" s="159"/>
      <c r="AB48" s="159"/>
      <c r="AC48" s="159"/>
      <c r="AD48" s="159"/>
      <c r="AE48" s="159"/>
      <c r="AF48" s="78"/>
      <c r="AG48" s="38"/>
      <c r="AH48" s="26"/>
      <c r="AI48" s="25"/>
      <c r="AJ48" s="122"/>
    </row>
    <row r="49" spans="2:51">
      <c r="B49" s="25"/>
      <c r="C49" s="30" t="s">
        <v>115</v>
      </c>
      <c r="D49" s="30"/>
      <c r="E49" s="56"/>
      <c r="F49" s="58"/>
      <c r="G49" s="264">
        <v>1</v>
      </c>
      <c r="H49" s="264"/>
      <c r="I49" s="264"/>
      <c r="J49" s="265"/>
      <c r="K49" s="106">
        <v>9</v>
      </c>
      <c r="L49" s="106">
        <v>10</v>
      </c>
      <c r="M49" s="106">
        <v>11</v>
      </c>
      <c r="N49" s="106">
        <v>20</v>
      </c>
      <c r="O49" s="106">
        <v>17</v>
      </c>
      <c r="P49" s="106">
        <v>19</v>
      </c>
      <c r="Q49" s="106"/>
      <c r="R49" s="106"/>
      <c r="S49" s="97">
        <v>2</v>
      </c>
      <c r="T49" s="98">
        <v>4</v>
      </c>
      <c r="U49" s="262">
        <v>5</v>
      </c>
      <c r="V49" s="262"/>
      <c r="W49" s="262"/>
      <c r="X49" s="149">
        <v>8</v>
      </c>
      <c r="Y49" s="159">
        <v>12</v>
      </c>
      <c r="Z49" s="159">
        <v>13</v>
      </c>
      <c r="AA49" s="262">
        <v>14</v>
      </c>
      <c r="AB49" s="262"/>
      <c r="AC49" s="262"/>
      <c r="AD49" s="262"/>
      <c r="AE49" s="173">
        <v>15</v>
      </c>
      <c r="AF49" s="262">
        <v>3</v>
      </c>
      <c r="AG49" s="262"/>
      <c r="AH49" s="262"/>
      <c r="AI49" s="109">
        <v>6</v>
      </c>
      <c r="AJ49" s="259">
        <v>7</v>
      </c>
      <c r="AK49" s="260"/>
      <c r="AL49" s="143">
        <v>16</v>
      </c>
      <c r="AM49" s="180">
        <v>18</v>
      </c>
      <c r="AR49" s="270">
        <v>21</v>
      </c>
      <c r="AS49" s="270"/>
      <c r="AT49" s="270"/>
    </row>
    <row r="50" spans="2:51">
      <c r="B50" s="25"/>
      <c r="C50" s="30" t="s">
        <v>116</v>
      </c>
      <c r="D50" s="30"/>
      <c r="E50" s="56"/>
      <c r="F50" s="151" t="s">
        <v>117</v>
      </c>
      <c r="G50" s="152" t="s">
        <v>117</v>
      </c>
      <c r="H50" s="152" t="s">
        <v>117</v>
      </c>
      <c r="I50" s="152" t="s">
        <v>117</v>
      </c>
      <c r="J50" s="153" t="s">
        <v>117</v>
      </c>
      <c r="K50" s="154" t="s">
        <v>117</v>
      </c>
      <c r="L50" s="154" t="s">
        <v>117</v>
      </c>
      <c r="M50" s="154" t="s">
        <v>117</v>
      </c>
      <c r="N50" s="206" t="s">
        <v>185</v>
      </c>
      <c r="O50" s="154" t="s">
        <v>117</v>
      </c>
      <c r="P50" s="206" t="s">
        <v>185</v>
      </c>
      <c r="Q50" s="156" t="s">
        <v>185</v>
      </c>
      <c r="R50" s="156"/>
      <c r="S50" s="155" t="s">
        <v>117</v>
      </c>
      <c r="T50" s="154" t="s">
        <v>117</v>
      </c>
      <c r="U50" s="156" t="s">
        <v>185</v>
      </c>
      <c r="V50" s="156" t="s">
        <v>185</v>
      </c>
      <c r="W50" s="156" t="s">
        <v>185</v>
      </c>
      <c r="X50" s="157" t="s">
        <v>117</v>
      </c>
      <c r="Y50" s="157" t="s">
        <v>117</v>
      </c>
      <c r="Z50" s="157" t="s">
        <v>117</v>
      </c>
      <c r="AA50" s="156" t="s">
        <v>185</v>
      </c>
      <c r="AB50" s="157" t="s">
        <v>117</v>
      </c>
      <c r="AC50" s="157" t="s">
        <v>117</v>
      </c>
      <c r="AD50" s="157" t="s">
        <v>117</v>
      </c>
      <c r="AE50" s="157" t="s">
        <v>117</v>
      </c>
      <c r="AF50" s="151" t="s">
        <v>117</v>
      </c>
      <c r="AG50" s="152" t="s">
        <v>117</v>
      </c>
      <c r="AH50" s="157" t="s">
        <v>117</v>
      </c>
      <c r="AI50" s="157" t="s">
        <v>117</v>
      </c>
      <c r="AJ50" s="164" t="s">
        <v>185</v>
      </c>
      <c r="AK50" s="157" t="s">
        <v>117</v>
      </c>
      <c r="AL50" s="156" t="s">
        <v>185</v>
      </c>
      <c r="AM50" s="157" t="s">
        <v>117</v>
      </c>
      <c r="AN50" s="221" t="s">
        <v>228</v>
      </c>
      <c r="AO50" s="222" t="s">
        <v>185</v>
      </c>
      <c r="AR50" s="241" t="s">
        <v>117</v>
      </c>
      <c r="AS50" s="242" t="s">
        <v>246</v>
      </c>
      <c r="AT50" s="242" t="s">
        <v>246</v>
      </c>
    </row>
    <row r="51" spans="2:51"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5"/>
      <c r="AJ51" s="25"/>
    </row>
    <row r="52" spans="2:51"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5"/>
      <c r="AJ52" s="25"/>
    </row>
    <row r="53" spans="2:51">
      <c r="B53" s="25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5"/>
      <c r="AJ53" s="25"/>
    </row>
    <row r="54" spans="2:51">
      <c r="B54" s="25">
        <v>1</v>
      </c>
      <c r="C54" s="29" t="s">
        <v>165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5"/>
      <c r="AJ54" s="25"/>
    </row>
    <row r="55" spans="2:51">
      <c r="B55" s="25">
        <v>2</v>
      </c>
      <c r="C55" s="263" t="s">
        <v>164</v>
      </c>
      <c r="D55" s="263"/>
      <c r="E55" s="263"/>
      <c r="F55" s="263"/>
      <c r="G55" s="263"/>
      <c r="H55" s="263"/>
      <c r="I55" s="263"/>
      <c r="J55" s="263"/>
      <c r="K55" s="263"/>
      <c r="L55" s="263"/>
      <c r="M55" s="263"/>
      <c r="N55" s="263"/>
      <c r="O55" s="263"/>
      <c r="P55" s="263"/>
      <c r="Q55" s="263"/>
      <c r="R55" s="263"/>
      <c r="S55" s="263"/>
      <c r="T55" s="79"/>
      <c r="U55" s="99"/>
      <c r="V55" s="99"/>
      <c r="W55" s="99"/>
      <c r="X55" s="108"/>
      <c r="Y55" s="150"/>
      <c r="Z55" s="160"/>
      <c r="AA55" s="160"/>
      <c r="AB55" s="160"/>
      <c r="AC55" s="160"/>
      <c r="AD55" s="160"/>
      <c r="AE55" s="160"/>
      <c r="AF55" s="26"/>
      <c r="AG55" s="26"/>
      <c r="AH55" s="26"/>
      <c r="AI55" s="25"/>
      <c r="AJ55" s="25"/>
    </row>
    <row r="56" spans="2:51">
      <c r="B56" s="25">
        <v>3</v>
      </c>
      <c r="C56" s="263" t="s">
        <v>163</v>
      </c>
      <c r="D56" s="263"/>
      <c r="E56" s="263"/>
      <c r="F56" s="263"/>
      <c r="G56" s="263"/>
      <c r="H56" s="263"/>
      <c r="I56" s="263"/>
      <c r="J56" s="263"/>
      <c r="K56" s="108"/>
      <c r="L56" s="108"/>
      <c r="M56" s="108"/>
      <c r="N56" s="160"/>
      <c r="O56" s="160"/>
      <c r="P56" s="176"/>
      <c r="Q56" s="211"/>
      <c r="R56" s="238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5"/>
      <c r="AJ56" s="25"/>
    </row>
    <row r="57" spans="2:51">
      <c r="B57" s="25">
        <v>4</v>
      </c>
      <c r="C57" s="25" t="s">
        <v>162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</row>
    <row r="58" spans="2:51">
      <c r="B58" s="25">
        <v>5</v>
      </c>
      <c r="C58" s="261" t="s">
        <v>161</v>
      </c>
      <c r="D58" s="261"/>
      <c r="E58" s="261"/>
      <c r="F58" s="261"/>
      <c r="G58" s="261"/>
      <c r="H58" s="261"/>
      <c r="I58" s="261"/>
      <c r="J58" s="261"/>
      <c r="K58" s="261"/>
      <c r="L58" s="261"/>
      <c r="M58" s="261"/>
      <c r="N58" s="261"/>
      <c r="O58" s="261"/>
      <c r="P58" s="261"/>
      <c r="Q58" s="261"/>
      <c r="R58" s="261"/>
      <c r="S58" s="261"/>
      <c r="T58" s="261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</row>
    <row r="59" spans="2:51">
      <c r="B59" s="25">
        <v>6</v>
      </c>
      <c r="C59" s="255" t="s">
        <v>160</v>
      </c>
      <c r="D59" s="255"/>
      <c r="E59" s="255"/>
      <c r="F59" s="255"/>
      <c r="G59" s="255"/>
      <c r="H59" s="255"/>
      <c r="I59" s="255"/>
      <c r="J59" s="255"/>
      <c r="K59" s="255"/>
      <c r="L59" s="255"/>
      <c r="M59" s="255"/>
      <c r="N59" s="255"/>
      <c r="O59" s="255"/>
      <c r="P59" s="255"/>
      <c r="Q59" s="255"/>
      <c r="R59" s="255"/>
      <c r="S59" s="255"/>
      <c r="T59" s="25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</row>
    <row r="60" spans="2:51">
      <c r="B60" s="59">
        <v>6</v>
      </c>
      <c r="C60" s="261" t="s">
        <v>171</v>
      </c>
      <c r="D60" s="261"/>
      <c r="E60" s="261"/>
      <c r="F60" s="261"/>
      <c r="G60" s="261"/>
      <c r="H60" s="261"/>
      <c r="I60" s="261"/>
      <c r="J60" s="261"/>
      <c r="K60" s="261"/>
      <c r="L60" s="261"/>
      <c r="M60" s="261"/>
      <c r="N60" s="261"/>
      <c r="O60" s="261"/>
      <c r="P60" s="261"/>
      <c r="Q60" s="261"/>
      <c r="R60" s="261"/>
      <c r="S60" s="261"/>
      <c r="T60" s="261"/>
      <c r="U60" s="261"/>
      <c r="V60" s="261"/>
      <c r="W60" s="261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</row>
    <row r="61" spans="2:51" ht="15.75">
      <c r="B61" s="59">
        <v>7</v>
      </c>
      <c r="C61" s="258" t="s">
        <v>167</v>
      </c>
      <c r="D61" s="258"/>
      <c r="E61" s="258"/>
      <c r="F61" s="258"/>
      <c r="G61" s="258"/>
      <c r="H61" s="258"/>
      <c r="I61" s="258"/>
      <c r="J61" s="258"/>
      <c r="K61" s="258"/>
      <c r="L61" s="258"/>
      <c r="M61" s="258"/>
      <c r="N61" s="258"/>
      <c r="O61" s="258"/>
      <c r="P61" s="258"/>
      <c r="Q61" s="258"/>
      <c r="R61" s="258"/>
      <c r="S61" s="258"/>
      <c r="T61" s="258"/>
      <c r="U61" s="258"/>
    </row>
    <row r="62" spans="2:51" ht="16.5">
      <c r="B62" s="59">
        <v>8</v>
      </c>
      <c r="C62" s="138" t="s">
        <v>170</v>
      </c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AY62" t="s">
        <v>45</v>
      </c>
    </row>
    <row r="63" spans="2:51">
      <c r="B63" s="59">
        <v>9</v>
      </c>
      <c r="C63" s="139" t="s">
        <v>173</v>
      </c>
    </row>
    <row r="64" spans="2:51" ht="16.5">
      <c r="B64" s="59">
        <v>10</v>
      </c>
      <c r="C64" s="137" t="s">
        <v>179</v>
      </c>
    </row>
    <row r="65" spans="2:3" ht="16.5">
      <c r="B65" s="59">
        <v>11</v>
      </c>
      <c r="C65" s="137" t="s">
        <v>180</v>
      </c>
    </row>
    <row r="66" spans="2:3">
      <c r="B66" s="59">
        <v>12</v>
      </c>
      <c r="C66" t="s">
        <v>187</v>
      </c>
    </row>
    <row r="67" spans="2:3">
      <c r="B67" s="59">
        <v>13</v>
      </c>
      <c r="C67" t="s">
        <v>190</v>
      </c>
    </row>
    <row r="68" spans="2:3">
      <c r="B68" s="59">
        <v>14</v>
      </c>
      <c r="C68" t="s">
        <v>201</v>
      </c>
    </row>
    <row r="69" spans="2:3">
      <c r="B69" s="59">
        <v>15</v>
      </c>
      <c r="C69" t="s">
        <v>204</v>
      </c>
    </row>
    <row r="70" spans="2:3">
      <c r="B70" s="59">
        <v>16</v>
      </c>
      <c r="C70" t="s">
        <v>207</v>
      </c>
    </row>
    <row r="71" spans="2:3">
      <c r="B71" s="59">
        <v>16</v>
      </c>
      <c r="C71" t="s">
        <v>209</v>
      </c>
    </row>
    <row r="72" spans="2:3">
      <c r="B72" s="59">
        <v>17</v>
      </c>
      <c r="C72" t="s">
        <v>212</v>
      </c>
    </row>
    <row r="73" spans="2:3">
      <c r="B73" s="59">
        <v>18</v>
      </c>
      <c r="C73" t="s">
        <v>214</v>
      </c>
    </row>
    <row r="74" spans="2:3">
      <c r="B74" s="59">
        <v>19</v>
      </c>
      <c r="C74" t="s">
        <v>217</v>
      </c>
    </row>
    <row r="75" spans="2:3">
      <c r="B75" s="59">
        <v>20</v>
      </c>
      <c r="C75" t="s">
        <v>218</v>
      </c>
    </row>
    <row r="76" spans="2:3">
      <c r="B76" s="59">
        <v>21</v>
      </c>
      <c r="C76" t="s">
        <v>245</v>
      </c>
    </row>
  </sheetData>
  <mergeCells count="21">
    <mergeCell ref="AR7:AT7"/>
    <mergeCell ref="AR49:AT49"/>
    <mergeCell ref="T5:AK5"/>
    <mergeCell ref="AJ6:AL6"/>
    <mergeCell ref="F6:K6"/>
    <mergeCell ref="F5:J5"/>
    <mergeCell ref="K5:M5"/>
    <mergeCell ref="C59:T59"/>
    <mergeCell ref="C6:E6"/>
    <mergeCell ref="C61:U61"/>
    <mergeCell ref="AJ49:AK49"/>
    <mergeCell ref="C60:W60"/>
    <mergeCell ref="C58:T58"/>
    <mergeCell ref="AF49:AH49"/>
    <mergeCell ref="C56:J56"/>
    <mergeCell ref="G49:J49"/>
    <mergeCell ref="C55:S55"/>
    <mergeCell ref="U49:W49"/>
    <mergeCell ref="AA49:AD49"/>
    <mergeCell ref="AF6:AI6"/>
    <mergeCell ref="S6:W6"/>
  </mergeCells>
  <phoneticPr fontId="2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1:AZ48"/>
  <sheetViews>
    <sheetView zoomScale="83" zoomScaleNormal="90" workbookViewId="0">
      <pane xSplit="5" topLeftCell="F1" activePane="topRight" state="frozen"/>
      <selection pane="topRight" activeCell="M33" sqref="M33"/>
    </sheetView>
  </sheetViews>
  <sheetFormatPr defaultRowHeight="15"/>
  <cols>
    <col min="2" max="2" width="14.28515625" customWidth="1"/>
    <col min="3" max="3" width="52.140625" customWidth="1"/>
    <col min="4" max="4" width="7.5703125" bestFit="1" customWidth="1"/>
    <col min="5" max="5" width="6.28515625" bestFit="1" customWidth="1"/>
    <col min="6" max="6" width="15.5703125" customWidth="1"/>
    <col min="7" max="7" width="16" customWidth="1"/>
    <col min="8" max="8" width="16.42578125" customWidth="1"/>
    <col min="9" max="9" width="21.85546875" customWidth="1"/>
    <col min="10" max="13" width="13" customWidth="1"/>
    <col min="14" max="14" width="15.5703125" customWidth="1"/>
    <col min="15" max="15" width="15.7109375" customWidth="1"/>
    <col min="16" max="16" width="16.85546875" customWidth="1"/>
    <col min="17" max="32" width="15.5703125" customWidth="1"/>
    <col min="33" max="33" width="14.28515625" customWidth="1"/>
    <col min="34" max="34" width="13.42578125" bestFit="1" customWidth="1"/>
    <col min="35" max="35" width="15.42578125" customWidth="1"/>
    <col min="36" max="36" width="13.140625" customWidth="1"/>
    <col min="37" max="37" width="17.7109375" customWidth="1"/>
    <col min="38" max="38" width="18.140625" bestFit="1" customWidth="1"/>
    <col min="39" max="39" width="20.85546875" bestFit="1" customWidth="1"/>
    <col min="40" max="41" width="18.140625" customWidth="1"/>
    <col min="42" max="42" width="11.42578125" bestFit="1" customWidth="1"/>
  </cols>
  <sheetData>
    <row r="1" spans="2:43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</row>
    <row r="2" spans="2:43">
      <c r="B2" s="25"/>
      <c r="C2" s="280"/>
      <c r="D2" s="278"/>
      <c r="E2" s="171"/>
      <c r="F2" s="278" t="s">
        <v>49</v>
      </c>
      <c r="G2" s="278"/>
      <c r="H2" s="278"/>
      <c r="I2" s="278"/>
      <c r="J2" s="278"/>
      <c r="K2" s="278"/>
      <c r="L2" s="278"/>
      <c r="M2" s="278"/>
      <c r="N2" s="278"/>
      <c r="O2" s="278"/>
      <c r="P2" s="179"/>
      <c r="Q2" s="277" t="s">
        <v>56</v>
      </c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9"/>
      <c r="AD2" s="277" t="s">
        <v>125</v>
      </c>
      <c r="AE2" s="278"/>
      <c r="AF2" s="278"/>
      <c r="AG2" s="278"/>
      <c r="AH2" s="277" t="s">
        <v>176</v>
      </c>
      <c r="AI2" s="278"/>
      <c r="AJ2" s="278"/>
      <c r="AK2" s="278"/>
      <c r="AL2" s="217"/>
      <c r="AM2" s="217"/>
      <c r="AN2" s="217"/>
      <c r="AO2" s="217"/>
      <c r="AP2" s="217"/>
      <c r="AQ2" s="25"/>
    </row>
    <row r="3" spans="2:43">
      <c r="B3" s="25"/>
      <c r="C3" s="280"/>
      <c r="D3" s="278"/>
      <c r="E3" s="171"/>
      <c r="F3" s="171" t="s">
        <v>50</v>
      </c>
      <c r="G3" s="171" t="s">
        <v>51</v>
      </c>
      <c r="H3" s="171" t="s">
        <v>52</v>
      </c>
      <c r="I3" s="171" t="s">
        <v>53</v>
      </c>
      <c r="J3" s="171" t="s">
        <v>54</v>
      </c>
      <c r="K3" s="171" t="s">
        <v>172</v>
      </c>
      <c r="L3" s="171" t="s">
        <v>174</v>
      </c>
      <c r="M3" s="171" t="s">
        <v>175</v>
      </c>
      <c r="N3" s="171" t="s">
        <v>191</v>
      </c>
      <c r="O3" s="171" t="s">
        <v>210</v>
      </c>
      <c r="P3" s="179" t="s">
        <v>215</v>
      </c>
      <c r="Q3" s="190" t="s">
        <v>55</v>
      </c>
      <c r="R3" s="171" t="s">
        <v>142</v>
      </c>
      <c r="S3" s="171" t="s">
        <v>144</v>
      </c>
      <c r="T3" s="171" t="s">
        <v>147</v>
      </c>
      <c r="U3" s="171" t="s">
        <v>148</v>
      </c>
      <c r="V3" s="171" t="str">
        <f>mat_param!X7</f>
        <v>S6</v>
      </c>
      <c r="W3" s="171" t="str">
        <f>mat_param!Y7</f>
        <v>S7</v>
      </c>
      <c r="X3" s="171" t="str">
        <f>mat_param!Z7</f>
        <v>S8</v>
      </c>
      <c r="Y3" s="171" t="str">
        <f>mat_param!AA7</f>
        <v>S9</v>
      </c>
      <c r="Z3" s="171" t="str">
        <f>mat_param!AB7</f>
        <v>S10</v>
      </c>
      <c r="AA3" s="171" t="str">
        <f>mat_param!AC7</f>
        <v>S11</v>
      </c>
      <c r="AB3" s="171" t="str">
        <f>mat_param!AD7</f>
        <v>S12</v>
      </c>
      <c r="AC3" s="171" t="str">
        <f>mat_param!AE7</f>
        <v>S13</v>
      </c>
      <c r="AD3" s="190" t="str">
        <f>mat_param!AF7</f>
        <v>T1</v>
      </c>
      <c r="AE3" s="171" t="s">
        <v>127</v>
      </c>
      <c r="AF3" s="171" t="s">
        <v>128</v>
      </c>
      <c r="AG3" s="171" t="s">
        <v>155</v>
      </c>
      <c r="AH3" s="190" t="s">
        <v>156</v>
      </c>
      <c r="AI3" s="171" t="str">
        <f>mat_param!AK7</f>
        <v>M2</v>
      </c>
      <c r="AJ3" s="171" t="str">
        <f>mat_param!AL7</f>
        <v>M3</v>
      </c>
      <c r="AK3" s="171" t="str">
        <f>mat_param!AM7</f>
        <v>M4</v>
      </c>
      <c r="AL3" s="214" t="str">
        <f>mat_param!AN7</f>
        <v>M5</v>
      </c>
      <c r="AM3" s="240" t="s">
        <v>223</v>
      </c>
      <c r="AN3" s="240" t="s">
        <v>224</v>
      </c>
      <c r="AO3" s="240" t="s">
        <v>229</v>
      </c>
      <c r="AP3" s="214" t="s">
        <v>237</v>
      </c>
      <c r="AQ3" s="25"/>
    </row>
    <row r="4" spans="2:43">
      <c r="B4" s="25"/>
      <c r="C4" s="100" t="s">
        <v>29</v>
      </c>
      <c r="D4" s="100" t="s">
        <v>62</v>
      </c>
      <c r="E4" s="100" t="s">
        <v>119</v>
      </c>
      <c r="F4" s="181" t="s">
        <v>48</v>
      </c>
      <c r="G4" s="182" t="s">
        <v>272</v>
      </c>
      <c r="H4" s="182" t="s">
        <v>58</v>
      </c>
      <c r="I4" s="182" t="s">
        <v>59</v>
      </c>
      <c r="J4" s="182" t="s">
        <v>60</v>
      </c>
      <c r="K4" s="182" t="str">
        <f>mat_param!K8</f>
        <v>AA7075-T651</v>
      </c>
      <c r="L4" s="182" t="str">
        <f>mat_param!L8</f>
        <v>AA2024-O</v>
      </c>
      <c r="M4" s="182" t="str">
        <f>mat_param!M8</f>
        <v>AA7075-T6</v>
      </c>
      <c r="N4" s="182" t="str">
        <f>mat_param!N8</f>
        <v>AA5083-H116</v>
      </c>
      <c r="O4" s="182" t="str">
        <f>mat_param!O8</f>
        <v>2024-T351</v>
      </c>
      <c r="P4" s="182" t="str">
        <f>mat_param!P8</f>
        <v>Al-4.8Cu-1.2Mg</v>
      </c>
      <c r="Q4" s="191" t="s">
        <v>47</v>
      </c>
      <c r="R4" s="182" t="str">
        <f>mat_param!T8</f>
        <v>AISI 4340</v>
      </c>
      <c r="S4" s="182" t="str">
        <f>mat_param!U8</f>
        <v>WELDOX 460 E</v>
      </c>
      <c r="T4" s="182" t="str">
        <f>mat_param!V8</f>
        <v>WELDOX 700 E</v>
      </c>
      <c r="U4" s="182" t="str">
        <f>mat_param!W8</f>
        <v>WELDOX 900 E</v>
      </c>
      <c r="V4" s="182" t="str">
        <f>mat_param!X8</f>
        <v>MILD STEEL</v>
      </c>
      <c r="W4" s="182" t="str">
        <f>mat_param!Y8</f>
        <v>WELDOX 460 E</v>
      </c>
      <c r="X4" s="182" t="str">
        <f>mat_param!Z8</f>
        <v>DP590</v>
      </c>
      <c r="Y4" s="182" t="str">
        <f>mat_param!AA8</f>
        <v>AISI 1020</v>
      </c>
      <c r="Z4" s="182" t="str">
        <f>mat_param!AB8</f>
        <v>AISI 1045</v>
      </c>
      <c r="AA4" s="182" t="str">
        <f>mat_param!AC8</f>
        <v>AISI 52100</v>
      </c>
      <c r="AB4" s="182" t="str">
        <f>mat_param!AD8</f>
        <v>AISI 304</v>
      </c>
      <c r="AC4" s="182" t="str">
        <f>mat_param!AE8</f>
        <v>ARMOX 500T</v>
      </c>
      <c r="AD4" s="191" t="str">
        <f>mat_param!AF8</f>
        <v>VT6</v>
      </c>
      <c r="AE4" s="182" t="str">
        <f>mat_param!AG8</f>
        <v>OT4</v>
      </c>
      <c r="AF4" s="182" t="str">
        <f>mat_param!AH8</f>
        <v>OT4-O</v>
      </c>
      <c r="AG4" s="171" t="str">
        <f>mat_param!AI8</f>
        <v>Ti-6Al-4V</v>
      </c>
      <c r="AH4" s="190" t="str">
        <f>mat_param!AJ8</f>
        <v>OFHC COPPER</v>
      </c>
      <c r="AI4" s="171" t="str">
        <f>mat_param!AK8</f>
        <v>ARMOC IRON</v>
      </c>
      <c r="AJ4" s="171" t="str">
        <f>mat_param!AL8</f>
        <v>BRASS</v>
      </c>
      <c r="AK4" s="171" t="str">
        <f>mat_param!AM8</f>
        <v>TUNGSTEN ALLOY</v>
      </c>
      <c r="AL4" s="214" t="str">
        <f>mat_param!AN8</f>
        <v>COMPOSITE (TAPE)</v>
      </c>
      <c r="AM4" s="240" t="str">
        <f>mat_param!AO8</f>
        <v>COMPOSITE (WOVEN)</v>
      </c>
      <c r="AN4" s="240" t="str">
        <f>mat_param!AP8</f>
        <v>SOFT IRON</v>
      </c>
      <c r="AO4" s="240" t="str">
        <f>mat_param!AQ8</f>
        <v>Copper</v>
      </c>
      <c r="AP4" s="214" t="str">
        <f>mat_param!AR8</f>
        <v>AlSi10Mg -0</v>
      </c>
      <c r="AQ4" s="25"/>
    </row>
    <row r="5" spans="2:43">
      <c r="B5" s="126" t="s">
        <v>34</v>
      </c>
      <c r="C5" s="183" t="s">
        <v>64</v>
      </c>
      <c r="D5" s="184"/>
      <c r="E5" s="184"/>
      <c r="F5" s="102">
        <v>2.7</v>
      </c>
      <c r="G5" s="102">
        <v>2.7</v>
      </c>
      <c r="H5" s="102">
        <v>2.7</v>
      </c>
      <c r="I5" s="102">
        <v>2.7</v>
      </c>
      <c r="J5" s="102">
        <v>2.7</v>
      </c>
      <c r="K5" s="102">
        <f>mat_param!K9</f>
        <v>2.7099999999999999E-9</v>
      </c>
      <c r="L5" s="102">
        <f>mat_param!L9</f>
        <v>2.7099999999999999E-9</v>
      </c>
      <c r="M5" s="102">
        <f>mat_param!M9</f>
        <v>2.81E-9</v>
      </c>
      <c r="N5" s="201"/>
      <c r="O5" s="25"/>
      <c r="P5" s="201"/>
      <c r="Q5" s="192">
        <v>7.85</v>
      </c>
      <c r="R5" s="101">
        <f>mat_param!T9</f>
        <v>7.8500000000000008E-9</v>
      </c>
      <c r="S5" s="201"/>
      <c r="T5" s="201"/>
      <c r="U5" s="201"/>
      <c r="V5" s="101">
        <f>mat_param!X9</f>
        <v>7.8500000000000008E-9</v>
      </c>
      <c r="W5" s="101">
        <f>mat_param!Y9</f>
        <v>7.8500000000000008E-9</v>
      </c>
      <c r="X5" s="101">
        <f>mat_param!Z9</f>
        <v>7.8000000000000004E-9</v>
      </c>
      <c r="Y5" s="202"/>
      <c r="Z5" s="101">
        <f>mat_param!AB9</f>
        <v>7.8500000000000008E-9</v>
      </c>
      <c r="AA5" s="101">
        <f>mat_param!AC9</f>
        <v>7.8100000000000001E-9</v>
      </c>
      <c r="AB5" s="101">
        <f>mat_param!AD9</f>
        <v>8.0000000000000005E-9</v>
      </c>
      <c r="AC5" s="101">
        <f>mat_param!AE9</f>
        <v>7.8500000000000008E-9</v>
      </c>
      <c r="AD5" s="192">
        <f>mat_param!AF9</f>
        <v>4.4299999999999998E-9</v>
      </c>
      <c r="AE5" s="101">
        <f>mat_param!AG9</f>
        <v>4.5500000000000002E-9</v>
      </c>
      <c r="AF5" s="101">
        <f>mat_param!AH9</f>
        <v>4.5500000000000002E-9</v>
      </c>
      <c r="AG5" s="102">
        <f>mat_param!AI9</f>
        <v>4.4299999999999998E-9</v>
      </c>
      <c r="AH5" s="197"/>
      <c r="AI5" s="102">
        <f>mat_param!AK9</f>
        <v>7.8899999999999998E-9</v>
      </c>
      <c r="AJ5" s="202"/>
      <c r="AK5" s="25"/>
      <c r="AL5" s="25"/>
      <c r="AM5" s="25"/>
      <c r="AN5" s="25"/>
      <c r="AO5" s="25"/>
      <c r="AP5" s="25"/>
      <c r="AQ5" s="25"/>
    </row>
    <row r="6" spans="2:43">
      <c r="B6" s="126"/>
      <c r="C6" s="183" t="str">
        <f>VLOOKUP(plots!AC3,mat_param!C9:C47,1,FALSE)</f>
        <v>bulk modulus</v>
      </c>
      <c r="D6" s="185" t="str">
        <f>VLOOKUP($C$6,mat_param!$C$9:$BE$47,COLUMN(mat_param!D9)-COLUMN(mat_param!$C$9)+1,FALSE)</f>
        <v>K</v>
      </c>
      <c r="E6" s="185" t="str">
        <f>VLOOKUP($C$6,mat_param!$C$9:$BE$47,COLUMN(mat_param!E9)-COLUMN(mat_param!$C$9)+1,FALSE)</f>
        <v>MPa</v>
      </c>
      <c r="F6" s="185">
        <f>VLOOKUP($C$6,mat_param!$C$9:$BE$47,COLUMN(mat_param!F9)-COLUMN(mat_param!$C$9)+1,FALSE)</f>
        <v>58333.33</v>
      </c>
      <c r="G6" s="185">
        <f>VLOOKUP($C$6,mat_param!$C$9:$BE$47,COLUMN(mat_param!G9)-COLUMN(mat_param!$C$9)+1,FALSE)</f>
        <v>58333.33</v>
      </c>
      <c r="H6" s="185">
        <f>VLOOKUP($C$6,mat_param!$C$9:$BE$47,COLUMN(mat_param!H9)-COLUMN(mat_param!$C$9)+1,FALSE)</f>
        <v>58333.33</v>
      </c>
      <c r="I6" s="185">
        <f>VLOOKUP($C$6,mat_param!$C$9:$BE$47,COLUMN(mat_param!I9)-COLUMN(mat_param!$C$9)+1,FALSE)</f>
        <v>58333.33</v>
      </c>
      <c r="J6" s="185">
        <f>VLOOKUP($C$6,mat_param!$C$9:$BE$47,COLUMN(mat_param!J9)-COLUMN(mat_param!$C$9)+1,FALSE)</f>
        <v>58333.33</v>
      </c>
      <c r="K6" s="185">
        <f>VLOOKUP($C$6,mat_param!$C$9:$BE$47,COLUMN(mat_param!K9)-COLUMN(mat_param!$C$9)+1,FALSE)</f>
        <v>56140.350877192977</v>
      </c>
      <c r="L6" s="185">
        <f>VLOOKUP($C$6,mat_param!$C$9:$BE$47,COLUMN(mat_param!L9)-COLUMN(mat_param!$C$9)+1,FALSE)</f>
        <v>69607.843137254895</v>
      </c>
      <c r="M6" s="185">
        <f>VLOOKUP($C$6,mat_param!$C$9:$BE$47,COLUMN(mat_param!M9)-COLUMN(mat_param!$C$9)+1,FALSE)</f>
        <v>70294.117647058825</v>
      </c>
      <c r="N6" s="185">
        <f>VLOOKUP($C$6,mat_param!$C$9:$BE$47,COLUMN(mat_param!N9)-COLUMN(mat_param!$C$9)+1,FALSE)</f>
        <v>69607.843137254895</v>
      </c>
      <c r="O6" s="185">
        <f>VLOOKUP($C$6,mat_param!$C$9:$BE$47,COLUMN(mat_param!O9)-COLUMN(mat_param!$C$9)+1,FALSE)</f>
        <v>59999.999999999993</v>
      </c>
      <c r="P6" s="207">
        <f>VLOOKUP($C$6,mat_param!$C$9:$BE$47,COLUMN(mat_param!P9)-COLUMN(mat_param!$C$9)+1,FALSE)</f>
        <v>499999.99999999994</v>
      </c>
      <c r="Q6" s="185">
        <f>VLOOKUP($C$6,mat_param!$C$9:$BE$47,COLUMN(mat_param!S9)-COLUMN(mat_param!$C$9)+1,FALSE)</f>
        <v>205880</v>
      </c>
      <c r="R6" s="185">
        <f>VLOOKUP($C$6,mat_param!$C$9:$BE$47,COLUMN(mat_param!T9)-COLUMN(mat_param!$C$9)+1,FALSE)</f>
        <v>174999.99999999997</v>
      </c>
      <c r="S6" s="185">
        <f>VLOOKUP($C$6,mat_param!$C$9:$BE$47,COLUMN(mat_param!U9)-COLUMN(mat_param!$C$9)+1,FALSE)</f>
        <v>205882.35294117648</v>
      </c>
      <c r="T6" s="185">
        <f>VLOOKUP($C$6,mat_param!$C$9:$BE$47,COLUMN(mat_param!V9)-COLUMN(mat_param!$C$9)+1,FALSE)</f>
        <v>205882.35294117648</v>
      </c>
      <c r="U6" s="185">
        <f>VLOOKUP($C$6,mat_param!$C$9:$BE$47,COLUMN(mat_param!W9)-COLUMN(mat_param!$C$9)+1,FALSE)</f>
        <v>205882.35294117648</v>
      </c>
      <c r="V6" s="185">
        <f>VLOOKUP($C$6,mat_param!$C$9:$BE$47,COLUMN(mat_param!X9)-COLUMN(mat_param!$C$9)+1,FALSE)</f>
        <v>199019.60784313726</v>
      </c>
      <c r="W6" s="185">
        <f>VLOOKUP($C$6,mat_param!$C$9:$BE$47,COLUMN(mat_param!Y9)-COLUMN(mat_param!$C$9)+1,FALSE)</f>
        <v>196078.43137254901</v>
      </c>
      <c r="X6" s="185">
        <f>VLOOKUP($C$6,mat_param!$C$9:$BE$47,COLUMN(mat_param!Z9)-COLUMN(mat_param!$C$9)+1,FALSE)</f>
        <v>174999.99999999997</v>
      </c>
      <c r="Y6" s="185">
        <f>VLOOKUP($C$6,mat_param!$C$9:$BE$47,COLUMN(mat_param!AA9)-COLUMN(mat_param!$C$9)+1,FALSE)</f>
        <v>147619.0476190476</v>
      </c>
      <c r="Z6" s="185">
        <f>VLOOKUP($C$6,mat_param!$C$9:$BE$47,COLUMN(mat_param!AB9)-COLUMN(mat_param!$C$9)+1,FALSE)</f>
        <v>163492.06349206346</v>
      </c>
      <c r="AA6" s="185">
        <f>VLOOKUP($C$6,mat_param!$C$9:$BE$47,COLUMN(mat_param!AC9)-COLUMN(mat_param!$C$9)+1,FALSE)</f>
        <v>174999.99999999997</v>
      </c>
      <c r="AB6" s="185">
        <f>VLOOKUP($C$6,mat_param!$C$9:$BE$47,COLUMN(mat_param!AD9)-COLUMN(mat_param!$C$9)+1,FALSE)</f>
        <v>153174.60317460314</v>
      </c>
      <c r="AC6" s="185">
        <f>VLOOKUP($C$6,mat_param!$C$9:$BE$47,COLUMN(mat_param!AE9)-COLUMN(mat_param!$C$9)+1,FALSE)</f>
        <v>197058.82352941175</v>
      </c>
      <c r="AD6" s="185">
        <f>VLOOKUP($C$6,mat_param!$C$9:$BE$47,COLUMN(mat_param!AF9)-COLUMN(mat_param!$C$9)+1,FALSE)</f>
        <v>116</v>
      </c>
      <c r="AE6" s="185">
        <f>VLOOKUP($C$6,mat_param!$C$9:$BE$47,COLUMN(mat_param!AG9)-COLUMN(mat_param!$C$9)+1,FALSE)</f>
        <v>116</v>
      </c>
      <c r="AF6" s="185">
        <f>VLOOKUP($C$6,mat_param!$C$9:$BE$47,COLUMN(mat_param!AH9)-COLUMN(mat_param!$C$9)+1,FALSE)</f>
        <v>116</v>
      </c>
      <c r="AG6" s="185">
        <f>VLOOKUP($C$6,mat_param!$C$9:$BE$47,COLUMN(mat_param!AI9)-COLUMN(mat_param!$C$9)+1,FALSE)</f>
        <v>117881.03958333335</v>
      </c>
      <c r="AH6" s="185">
        <f>VLOOKUP($C$6,mat_param!$C$9:$BE$47,COLUMN(mat_param!AJ9)-COLUMN(mat_param!$C$9)+1,FALSE)</f>
        <v>129166.66666666669</v>
      </c>
      <c r="AI6" s="185">
        <f>VLOOKUP($C$6,mat_param!$C$9:$BE$47,COLUMN(mat_param!AK9)-COLUMN(mat_param!$C$9)+1,FALSE)</f>
        <v>164285.71428571426</v>
      </c>
      <c r="AJ6" s="185">
        <f>VLOOKUP($C$6,mat_param!$C$9:$BE$47,COLUMN(mat_param!AL9)-COLUMN(mat_param!$C$9)+1,FALSE)</f>
        <v>197458.60805860805</v>
      </c>
      <c r="AK6" s="185">
        <f>VLOOKUP($C$6,mat_param!$C$9:$BE$47,COLUMN(mat_param!AM9)-COLUMN(mat_param!$C$9)+1,FALSE)</f>
        <v>310000</v>
      </c>
      <c r="AL6" s="185">
        <f>VLOOKUP($C$6,mat_param!$C$9:$BE$47,COLUMN(mat_param!AN9)-COLUMN(mat_param!$C$9)+1,FALSE)</f>
        <v>0</v>
      </c>
      <c r="AM6" s="185">
        <f>VLOOKUP($C$6,mat_param!$C$9:$BE$47,COLUMN(mat_param!AO9)-COLUMN(mat_param!$C$9)+1,FALSE)</f>
        <v>0</v>
      </c>
      <c r="AN6" s="185">
        <f>VLOOKUP($C$6,mat_param!$C$9:$BE$47,COLUMN(mat_param!AP9)-COLUMN(mat_param!$C$9)+1,FALSE)</f>
        <v>0</v>
      </c>
      <c r="AO6" s="185">
        <f>VLOOKUP($C$6,mat_param!$C$9:$BE$47,COLUMN(mat_param!AQ9)-COLUMN(mat_param!$C$9)+1,FALSE)</f>
        <v>129166.66666666669</v>
      </c>
      <c r="AP6" s="185">
        <f>VLOOKUP($C$6,mat_param!$C$9:$BE$47,COLUMN(mat_param!AR9)-COLUMN(mat_param!$C$9)+1,FALSE)</f>
        <v>58333.33</v>
      </c>
      <c r="AQ6" s="25"/>
    </row>
    <row r="7" spans="2:43" ht="9" customHeight="1">
      <c r="B7" s="59"/>
      <c r="C7" s="100"/>
      <c r="D7" s="100"/>
      <c r="E7" s="100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93"/>
      <c r="R7" s="186"/>
      <c r="S7" s="202"/>
      <c r="T7" s="202"/>
      <c r="U7" s="202"/>
      <c r="V7" s="186"/>
      <c r="W7" s="186"/>
      <c r="X7" s="186"/>
      <c r="Y7" s="186"/>
      <c r="Z7" s="186"/>
      <c r="AA7" s="186"/>
      <c r="AB7" s="186"/>
      <c r="AC7" s="186"/>
      <c r="AD7" s="193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25"/>
    </row>
    <row r="8" spans="2:43">
      <c r="B8" s="59"/>
      <c r="C8" s="183" t="s">
        <v>44</v>
      </c>
      <c r="D8" s="25"/>
      <c r="E8" s="184" t="s">
        <v>41</v>
      </c>
      <c r="F8" s="25">
        <v>5.86</v>
      </c>
      <c r="G8" s="103">
        <f>AVERAGE(5.70739,5.75573,5.71911,5.75623)</f>
        <v>5.7346149999999998</v>
      </c>
      <c r="H8" s="187">
        <f>AVERAGE(5.5333,5.53117,5.50411,5.55659)</f>
        <v>5.5312925000000002</v>
      </c>
      <c r="I8" s="187">
        <f>AVERAGE(5.66583,5.60073,5.61915,5.59391,5.59718)</f>
        <v>5.6153599999999999</v>
      </c>
      <c r="J8" s="25">
        <v>5.42</v>
      </c>
      <c r="K8" s="103">
        <f>AVERAGE(8.05266,7.99793,8.04067,8.1795)</f>
        <v>8.0676899999999989</v>
      </c>
      <c r="L8" s="103">
        <f>AVERAGE(7.12386,7.12098,7.08687,7.12182)</f>
        <v>7.1133825000000002</v>
      </c>
      <c r="M8" s="103">
        <f>AVERAGE(7.00136,7.09495)</f>
        <v>7.0481549999999995</v>
      </c>
      <c r="N8" s="202"/>
      <c r="O8" s="28">
        <v>6.98</v>
      </c>
      <c r="P8" s="202"/>
      <c r="Q8" s="122">
        <v>6.96</v>
      </c>
      <c r="R8" s="28">
        <v>7.72</v>
      </c>
      <c r="S8" s="203"/>
      <c r="T8" s="203"/>
      <c r="U8" s="203"/>
      <c r="V8" s="28">
        <v>7.38</v>
      </c>
      <c r="W8" s="28">
        <v>8.23</v>
      </c>
      <c r="X8" s="209">
        <f>AVERAGE(9.05459,8.956,8.94757,9.05559)</f>
        <v>9.0034375000000004</v>
      </c>
      <c r="Y8" s="202"/>
      <c r="Z8" s="209">
        <v>7.3467374999999997</v>
      </c>
      <c r="AA8" s="209">
        <v>7.89</v>
      </c>
      <c r="AB8" s="209">
        <v>8.3997460000000004</v>
      </c>
      <c r="AC8" s="172">
        <v>8.34</v>
      </c>
      <c r="AD8" s="103">
        <f>AVERAGE(5.59878,5.63895,5.73598,5.559)</f>
        <v>5.6331774999999995</v>
      </c>
      <c r="AE8" s="103">
        <f>AVERAGE(5.72896,5.85194,5.71406,5.82871)</f>
        <v>5.7809175000000002</v>
      </c>
      <c r="AF8" s="28">
        <v>6.13</v>
      </c>
      <c r="AG8" s="25">
        <v>6.75</v>
      </c>
      <c r="AH8" s="197"/>
      <c r="AI8" s="25">
        <v>8.52</v>
      </c>
      <c r="AJ8" s="202"/>
      <c r="AK8" s="25">
        <v>7.86</v>
      </c>
      <c r="AL8" s="59">
        <v>8</v>
      </c>
      <c r="AM8" s="59"/>
      <c r="AN8" s="59"/>
      <c r="AO8" s="59"/>
      <c r="AP8" s="103">
        <f>AVERAGE(7.4197,7.36947,7.42299)</f>
        <v>7.4040533333333327</v>
      </c>
      <c r="AQ8" s="25"/>
    </row>
    <row r="9" spans="2:43">
      <c r="B9" s="126" t="s">
        <v>34</v>
      </c>
      <c r="C9" s="183" t="s">
        <v>43</v>
      </c>
      <c r="D9" s="25"/>
      <c r="E9" s="184" t="s">
        <v>41</v>
      </c>
      <c r="F9" s="25">
        <f>F8*2</f>
        <v>11.72</v>
      </c>
      <c r="G9" s="103">
        <f t="shared" ref="G9:M9" si="0">G8*2</f>
        <v>11.46923</v>
      </c>
      <c r="H9" s="103">
        <f t="shared" si="0"/>
        <v>11.062585</v>
      </c>
      <c r="I9" s="103">
        <f t="shared" si="0"/>
        <v>11.23072</v>
      </c>
      <c r="J9" s="25">
        <f t="shared" si="0"/>
        <v>10.84</v>
      </c>
      <c r="K9" s="103">
        <f t="shared" si="0"/>
        <v>16.135379999999998</v>
      </c>
      <c r="L9" s="103">
        <f t="shared" si="0"/>
        <v>14.226765</v>
      </c>
      <c r="M9" s="103">
        <f t="shared" si="0"/>
        <v>14.096309999999999</v>
      </c>
      <c r="N9" s="203"/>
      <c r="O9" s="28">
        <v>13.96</v>
      </c>
      <c r="P9" s="203"/>
      <c r="Q9" s="122">
        <f>Q8*2</f>
        <v>13.92</v>
      </c>
      <c r="R9" s="25">
        <f t="shared" ref="R9:X9" si="1">R8*2</f>
        <v>15.44</v>
      </c>
      <c r="S9" s="202"/>
      <c r="T9" s="202"/>
      <c r="U9" s="202"/>
      <c r="V9" s="25">
        <f t="shared" si="1"/>
        <v>14.76</v>
      </c>
      <c r="W9" s="25">
        <f t="shared" si="1"/>
        <v>16.46</v>
      </c>
      <c r="X9" s="103">
        <f t="shared" si="1"/>
        <v>18.006875000000001</v>
      </c>
      <c r="Y9" s="203"/>
      <c r="Z9" s="103">
        <f>2*Z8</f>
        <v>14.693474999999999</v>
      </c>
      <c r="AA9" s="209">
        <v>15.78</v>
      </c>
      <c r="AB9" s="103">
        <f>2*AB8</f>
        <v>16.799492000000001</v>
      </c>
      <c r="AC9" s="172">
        <v>16.68</v>
      </c>
      <c r="AD9" s="103">
        <f t="shared" ref="AD9:AP9" si="2">AD8*2</f>
        <v>11.266354999999999</v>
      </c>
      <c r="AE9" s="103">
        <f t="shared" si="2"/>
        <v>11.561835</v>
      </c>
      <c r="AF9" s="103">
        <f t="shared" si="2"/>
        <v>12.26</v>
      </c>
      <c r="AG9" s="103">
        <f t="shared" si="2"/>
        <v>13.5</v>
      </c>
      <c r="AH9" s="198"/>
      <c r="AI9" s="103">
        <f t="shared" si="2"/>
        <v>17.04</v>
      </c>
      <c r="AJ9" s="208"/>
      <c r="AK9" s="103">
        <f t="shared" si="2"/>
        <v>15.72</v>
      </c>
      <c r="AL9" s="187">
        <f t="shared" si="2"/>
        <v>16</v>
      </c>
      <c r="AM9" s="187">
        <f t="shared" si="2"/>
        <v>0</v>
      </c>
      <c r="AN9" s="187">
        <f t="shared" si="2"/>
        <v>0</v>
      </c>
      <c r="AO9" s="187">
        <f t="shared" si="2"/>
        <v>0</v>
      </c>
      <c r="AP9" s="187">
        <f t="shared" si="2"/>
        <v>14.808106666666665</v>
      </c>
      <c r="AQ9" s="25"/>
    </row>
    <row r="10" spans="2:43">
      <c r="B10" s="126" t="s">
        <v>34</v>
      </c>
      <c r="C10" s="183" t="s">
        <v>42</v>
      </c>
      <c r="D10" s="25"/>
      <c r="E10" s="184" t="s">
        <v>41</v>
      </c>
      <c r="F10" s="25">
        <v>62.2</v>
      </c>
      <c r="G10" s="103">
        <f>AVERAGE(51.78,51.7122,49.6736,50.0039)</f>
        <v>50.792424999999994</v>
      </c>
      <c r="H10" s="187">
        <v>54.277700000000003</v>
      </c>
      <c r="I10" s="187">
        <f>AVERAGE(52.2685,51.7548)</f>
        <v>52.011650000000003</v>
      </c>
      <c r="J10" s="25">
        <v>52</v>
      </c>
      <c r="K10" s="103">
        <f>AVERAGE(46.8536,46.2797,46.5596,47.2023,46.7921)</f>
        <v>46.737460000000006</v>
      </c>
      <c r="L10" s="103">
        <f>AVERAGE(44.692,45.1378,46.416,44.6356)</f>
        <v>45.220349999999996</v>
      </c>
      <c r="M10" s="103">
        <f>AVERAGE(47.333,48.4377,49.6148,50.3557,48.2574,49.3178)</f>
        <v>48.886066666666665</v>
      </c>
      <c r="N10" s="202"/>
      <c r="O10" s="28">
        <v>50.75</v>
      </c>
      <c r="P10" s="202"/>
      <c r="Q10" s="122">
        <v>90</v>
      </c>
      <c r="R10" s="28">
        <v>98</v>
      </c>
      <c r="S10" s="203"/>
      <c r="T10" s="203"/>
      <c r="U10" s="203"/>
      <c r="V10" s="28">
        <v>98.93</v>
      </c>
      <c r="W10" s="209">
        <f>AVERAGE(97.6774,96.9017,96.5479,98.0725)</f>
        <v>97.299875</v>
      </c>
      <c r="X10" s="209">
        <f>AVERAGE(93.7094,93.198,95.0169,91.887,91.7092)</f>
        <v>93.104100000000003</v>
      </c>
      <c r="Y10" s="202"/>
      <c r="Z10" s="209">
        <v>92.917879999999997</v>
      </c>
      <c r="AA10" s="209">
        <v>98.64</v>
      </c>
      <c r="AB10" s="209">
        <v>101.23480000000001</v>
      </c>
      <c r="AC10" s="172">
        <v>95.86</v>
      </c>
      <c r="AD10" s="103">
        <f>AVERAGE(75.681,72.9799,72.8709,75.8579,74.0277)</f>
        <v>74.283479999999997</v>
      </c>
      <c r="AE10" s="103">
        <f>AVERAGE(73.0359,74.5732,73.0406)</f>
        <v>73.549899999999994</v>
      </c>
      <c r="AF10" s="28">
        <v>92.1</v>
      </c>
      <c r="AG10" s="25">
        <v>88.4</v>
      </c>
      <c r="AH10" s="197"/>
      <c r="AI10" s="25">
        <v>97.7</v>
      </c>
      <c r="AJ10" s="202"/>
      <c r="AK10" s="25">
        <v>129.58000000000001</v>
      </c>
      <c r="AL10" s="59">
        <v>144.88999999999999</v>
      </c>
      <c r="AM10" s="59"/>
      <c r="AN10" s="59"/>
      <c r="AO10" s="59"/>
      <c r="AP10" s="103">
        <f>AVERAGE(47.5393,47.5396,48.2624)</f>
        <v>47.780433333333328</v>
      </c>
      <c r="AQ10" s="25"/>
    </row>
    <row r="11" spans="2:43">
      <c r="B11" s="126"/>
      <c r="C11" s="183" t="s">
        <v>27</v>
      </c>
      <c r="D11" s="25"/>
      <c r="E11" s="184"/>
      <c r="F11" s="102">
        <v>1.22E-6</v>
      </c>
      <c r="G11" s="102">
        <v>1.22E-6</v>
      </c>
      <c r="H11" s="102">
        <v>1.22E-6</v>
      </c>
      <c r="I11" s="102">
        <v>1.22E-6</v>
      </c>
      <c r="J11" s="102">
        <v>1.22E-6</v>
      </c>
      <c r="K11" s="102">
        <v>1.22E-6</v>
      </c>
      <c r="L11" s="102">
        <v>1.22E-6</v>
      </c>
      <c r="M11" s="102">
        <v>1.22E-6</v>
      </c>
      <c r="N11" s="203"/>
      <c r="O11" s="27">
        <v>1.22E-6</v>
      </c>
      <c r="P11" s="203"/>
      <c r="Q11" s="195">
        <v>1.22E-6</v>
      </c>
      <c r="R11" s="27">
        <v>1.22E-6</v>
      </c>
      <c r="S11" s="204"/>
      <c r="T11" s="204"/>
      <c r="U11" s="204"/>
      <c r="V11" s="27">
        <v>1.22E-6</v>
      </c>
      <c r="W11" s="27">
        <v>1.22E-6</v>
      </c>
      <c r="X11" s="27">
        <v>1.22E-6</v>
      </c>
      <c r="Y11" s="203"/>
      <c r="Z11" s="27">
        <v>1.22E-6</v>
      </c>
      <c r="AA11" s="27">
        <v>1.22E-6</v>
      </c>
      <c r="AB11" s="27">
        <v>1.22E-6</v>
      </c>
      <c r="AC11" s="140">
        <v>1.22E-6</v>
      </c>
      <c r="AD11" s="102">
        <v>1.22E-6</v>
      </c>
      <c r="AE11" s="102">
        <v>1.22E-6</v>
      </c>
      <c r="AF11" s="27">
        <v>1.22E-6</v>
      </c>
      <c r="AG11" s="27">
        <v>1.22E-6</v>
      </c>
      <c r="AH11" s="199"/>
      <c r="AI11" s="27">
        <v>1.22E-6</v>
      </c>
      <c r="AJ11" s="204"/>
      <c r="AK11" s="27">
        <v>1.22E-6</v>
      </c>
      <c r="AL11" s="215">
        <v>1.22E-6</v>
      </c>
      <c r="AM11" s="215">
        <v>1.22E-6</v>
      </c>
      <c r="AN11" s="215">
        <v>1.22E-6</v>
      </c>
      <c r="AO11" s="215">
        <v>1.22E-6</v>
      </c>
      <c r="AP11" s="215">
        <v>1.22E-6</v>
      </c>
      <c r="AQ11" s="25"/>
    </row>
    <row r="12" spans="2:43">
      <c r="B12" s="126"/>
      <c r="C12" s="183" t="s">
        <v>28</v>
      </c>
      <c r="D12" s="25"/>
      <c r="E12" s="184"/>
      <c r="F12" s="102">
        <v>3.1600000000000002E-7</v>
      </c>
      <c r="G12" s="102">
        <v>1.74E-7</v>
      </c>
      <c r="H12" s="188">
        <v>1.14E-7</v>
      </c>
      <c r="I12" s="188">
        <v>1.85E-7</v>
      </c>
      <c r="J12" s="102">
        <v>3.4700000000000002E-7</v>
      </c>
      <c r="K12" s="102">
        <v>1.1600000000000001E-7</v>
      </c>
      <c r="L12" s="102">
        <v>1.1999999999999999E-7</v>
      </c>
      <c r="M12" s="102">
        <v>1.11E-7</v>
      </c>
      <c r="N12" s="204"/>
      <c r="O12" s="27">
        <v>1.0700000000000001E-7</v>
      </c>
      <c r="P12" s="204"/>
      <c r="Q12" s="195">
        <v>7.0000000000000005E-8</v>
      </c>
      <c r="R12" s="27">
        <v>3.3600000000000003E-8</v>
      </c>
      <c r="S12" s="204"/>
      <c r="T12" s="204"/>
      <c r="U12" s="204"/>
      <c r="V12" s="27">
        <v>3.3600000000000003E-8</v>
      </c>
      <c r="W12" s="27">
        <v>4.3499999999999999E-8</v>
      </c>
      <c r="X12" s="27">
        <v>4.2300000000000002E-8</v>
      </c>
      <c r="Y12" s="204"/>
      <c r="Z12" s="27">
        <v>4.36E-8</v>
      </c>
      <c r="AA12" s="27">
        <v>4.43E-8</v>
      </c>
      <c r="AB12" s="27">
        <v>3.7200000000000002E-8</v>
      </c>
      <c r="AC12" s="140">
        <v>4.36E-8</v>
      </c>
      <c r="AD12" s="102">
        <v>9.6299999999999995E-8</v>
      </c>
      <c r="AE12" s="102">
        <v>9.3499999999999997E-8</v>
      </c>
      <c r="AF12" s="27">
        <v>7.1900000000000002E-8</v>
      </c>
      <c r="AG12" s="102">
        <v>5.4100000000000001E-8</v>
      </c>
      <c r="AH12" s="197"/>
      <c r="AI12" s="102">
        <v>3.1E-8</v>
      </c>
      <c r="AJ12" s="202"/>
      <c r="AK12" s="102">
        <v>2E-8</v>
      </c>
      <c r="AL12" s="188">
        <v>1.6000000000000001E-8</v>
      </c>
      <c r="AM12" s="188"/>
      <c r="AN12" s="188"/>
      <c r="AO12" s="188"/>
      <c r="AP12" s="102">
        <v>1.0700000000000001E-7</v>
      </c>
      <c r="AQ12" s="25"/>
    </row>
    <row r="13" spans="2:43">
      <c r="B13" s="126" t="s">
        <v>34</v>
      </c>
      <c r="C13" s="183" t="s">
        <v>38</v>
      </c>
      <c r="D13" s="25"/>
      <c r="E13" s="184" t="s">
        <v>39</v>
      </c>
      <c r="F13" s="189">
        <f>(F12/F11)*100</f>
        <v>25.9016393442623</v>
      </c>
      <c r="G13" s="189">
        <f t="shared" ref="G13:O13" si="3">(G12/G11)*100</f>
        <v>14.262295081967213</v>
      </c>
      <c r="H13" s="189">
        <f t="shared" si="3"/>
        <v>9.3442622950819683</v>
      </c>
      <c r="I13" s="189">
        <f t="shared" si="3"/>
        <v>15.163934426229508</v>
      </c>
      <c r="J13" s="189">
        <f t="shared" si="3"/>
        <v>28.442622950819676</v>
      </c>
      <c r="K13" s="189">
        <f t="shared" si="3"/>
        <v>9.5081967213114762</v>
      </c>
      <c r="L13" s="189">
        <f t="shared" si="3"/>
        <v>9.8360655737704921</v>
      </c>
      <c r="M13" s="189">
        <f t="shared" si="3"/>
        <v>9.0983606557377055</v>
      </c>
      <c r="N13" s="204"/>
      <c r="O13" s="189">
        <f t="shared" si="3"/>
        <v>8.7704918032786896</v>
      </c>
      <c r="P13" s="204"/>
      <c r="Q13" s="196">
        <f>(Q12/Q11)*100</f>
        <v>5.7377049180327875</v>
      </c>
      <c r="R13" s="189">
        <f>(R12/R11)*100</f>
        <v>2.7540983606557381</v>
      </c>
      <c r="S13" s="205"/>
      <c r="T13" s="205"/>
      <c r="U13" s="205"/>
      <c r="V13" s="189">
        <f t="shared" ref="V13:AB13" si="4">(V12/V11)*100</f>
        <v>2.7540983606557381</v>
      </c>
      <c r="W13" s="189">
        <f t="shared" si="4"/>
        <v>3.5655737704918034</v>
      </c>
      <c r="X13" s="189">
        <f t="shared" si="4"/>
        <v>3.4672131147540988</v>
      </c>
      <c r="Y13" s="204"/>
      <c r="Z13" s="189">
        <f t="shared" si="4"/>
        <v>3.5737704918032791</v>
      </c>
      <c r="AA13" s="189">
        <f t="shared" si="4"/>
        <v>3.6311475409836063</v>
      </c>
      <c r="AB13" s="189">
        <f t="shared" si="4"/>
        <v>3.0491803278688527</v>
      </c>
      <c r="AC13" s="210">
        <f>(AC12/AC11)*100</f>
        <v>3.5737704918032791</v>
      </c>
      <c r="AD13" s="189">
        <f>(AD12/AD11)*100</f>
        <v>7.8934426229508192</v>
      </c>
      <c r="AE13" s="189">
        <f>(AE12/AE11)*100</f>
        <v>7.6639344262295088</v>
      </c>
      <c r="AF13" s="189">
        <f>(AF12/AF11)*100</f>
        <v>5.8934426229508201</v>
      </c>
      <c r="AG13" s="189">
        <f>(AG12/AG11)*100</f>
        <v>4.4344262295081966</v>
      </c>
      <c r="AH13" s="200"/>
      <c r="AI13" s="189">
        <f>(AI12/AI11)*100</f>
        <v>2.540983606557377</v>
      </c>
      <c r="AJ13" s="205"/>
      <c r="AK13" s="189">
        <f>(AK12/AK11)*100</f>
        <v>1.639344262295082</v>
      </c>
      <c r="AL13" s="189">
        <f>(AL12/AL11)*100</f>
        <v>1.3114754098360657</v>
      </c>
      <c r="AM13" s="189">
        <f t="shared" ref="AM13:AP13" si="5">(AM12/AM11)*100</f>
        <v>0</v>
      </c>
      <c r="AN13" s="189">
        <f t="shared" si="5"/>
        <v>0</v>
      </c>
      <c r="AO13" s="189">
        <f t="shared" si="5"/>
        <v>0</v>
      </c>
      <c r="AP13" s="189">
        <f t="shared" si="5"/>
        <v>8.7704918032786896</v>
      </c>
      <c r="AQ13" s="25"/>
    </row>
    <row r="14" spans="2:43">
      <c r="B14" s="126" t="s">
        <v>34</v>
      </c>
      <c r="C14" s="183" t="s">
        <v>26</v>
      </c>
      <c r="D14" s="25"/>
      <c r="E14" s="184" t="s">
        <v>37</v>
      </c>
      <c r="F14" s="102">
        <v>6470000</v>
      </c>
      <c r="G14" s="102">
        <v>6270000</v>
      </c>
      <c r="H14" s="188">
        <v>6250000</v>
      </c>
      <c r="I14" s="188">
        <v>6280000</v>
      </c>
      <c r="J14" s="102">
        <v>6450000</v>
      </c>
      <c r="K14" s="102">
        <v>6320000</v>
      </c>
      <c r="L14" s="102">
        <v>6320000</v>
      </c>
      <c r="M14" s="102">
        <v>6320000</v>
      </c>
      <c r="N14" s="205"/>
      <c r="O14" s="27">
        <v>6320000</v>
      </c>
      <c r="P14" s="205"/>
      <c r="Q14" s="195">
        <v>6070000</v>
      </c>
      <c r="R14" s="27">
        <v>5720000</v>
      </c>
      <c r="S14" s="204"/>
      <c r="T14" s="204"/>
      <c r="U14" s="204"/>
      <c r="V14" s="27">
        <v>5720000</v>
      </c>
      <c r="W14" s="27">
        <v>5720000</v>
      </c>
      <c r="X14" s="27">
        <v>5750000</v>
      </c>
      <c r="Y14" s="205"/>
      <c r="Z14" s="27">
        <v>5610000</v>
      </c>
      <c r="AA14" s="27">
        <v>5680000</v>
      </c>
      <c r="AB14" s="27">
        <v>5730000</v>
      </c>
      <c r="AC14" s="140">
        <v>5700000</v>
      </c>
      <c r="AD14" s="102">
        <v>6050000</v>
      </c>
      <c r="AE14" s="102">
        <v>6060000</v>
      </c>
      <c r="AF14" s="27">
        <v>6040000</v>
      </c>
      <c r="AG14" s="102">
        <v>6090000</v>
      </c>
      <c r="AH14" s="197"/>
      <c r="AI14" s="102">
        <v>5720000</v>
      </c>
      <c r="AJ14" s="202"/>
      <c r="AK14" s="102">
        <v>5030000</v>
      </c>
      <c r="AL14" s="188">
        <v>3610000</v>
      </c>
      <c r="AM14" s="188"/>
      <c r="AN14" s="188"/>
      <c r="AO14" s="188"/>
      <c r="AP14" s="102">
        <v>6330000</v>
      </c>
      <c r="AQ14" s="25"/>
    </row>
    <row r="15" spans="2:43">
      <c r="B15" s="126" t="s">
        <v>34</v>
      </c>
      <c r="C15" s="183" t="s">
        <v>40</v>
      </c>
      <c r="D15" s="25"/>
      <c r="E15" s="184" t="s">
        <v>39</v>
      </c>
      <c r="F15" s="103">
        <v>1.35</v>
      </c>
      <c r="G15" s="25">
        <v>4.9400000000000004</v>
      </c>
      <c r="H15" s="59">
        <v>5.64</v>
      </c>
      <c r="I15" s="59">
        <v>5.03</v>
      </c>
      <c r="J15" s="25">
        <v>3.08</v>
      </c>
      <c r="K15" s="25">
        <v>1.34</v>
      </c>
      <c r="L15" s="25">
        <v>1.51</v>
      </c>
      <c r="M15" s="25">
        <v>1.61</v>
      </c>
      <c r="N15" s="204"/>
      <c r="O15" s="28">
        <v>1.47</v>
      </c>
      <c r="P15" s="204"/>
      <c r="Q15" s="194">
        <v>4.96</v>
      </c>
      <c r="R15" s="28">
        <v>8.58</v>
      </c>
      <c r="S15" s="203"/>
      <c r="T15" s="203"/>
      <c r="U15" s="203"/>
      <c r="V15" s="28">
        <v>9.01</v>
      </c>
      <c r="W15" s="28">
        <v>8.14</v>
      </c>
      <c r="X15" s="28">
        <v>7.79</v>
      </c>
      <c r="Y15" s="204"/>
      <c r="Z15" s="28">
        <v>24.3</v>
      </c>
      <c r="AA15" s="28">
        <v>8.52</v>
      </c>
      <c r="AB15" s="28">
        <v>7.81</v>
      </c>
      <c r="AC15" s="172">
        <v>9.06</v>
      </c>
      <c r="AD15" s="103">
        <v>11.2</v>
      </c>
      <c r="AE15" s="103">
        <v>11.4</v>
      </c>
      <c r="AF15" s="28">
        <v>5.07</v>
      </c>
      <c r="AG15" s="142">
        <v>3.48</v>
      </c>
      <c r="AH15" s="197"/>
      <c r="AI15" s="25">
        <v>8.52</v>
      </c>
      <c r="AJ15" s="202"/>
      <c r="AK15" s="25">
        <v>25.8</v>
      </c>
      <c r="AL15" s="59">
        <v>44.9</v>
      </c>
      <c r="AM15" s="59"/>
      <c r="AN15" s="59"/>
      <c r="AO15" s="59"/>
      <c r="AP15" s="25">
        <v>1.35</v>
      </c>
      <c r="AQ15" s="25"/>
    </row>
    <row r="16" spans="2:43">
      <c r="B16" s="126" t="s">
        <v>36</v>
      </c>
      <c r="C16" s="183" t="s">
        <v>231</v>
      </c>
      <c r="D16" s="25"/>
      <c r="E16" s="184"/>
      <c r="F16" s="188">
        <v>27400000</v>
      </c>
      <c r="G16" s="188">
        <v>27400000</v>
      </c>
      <c r="H16" s="188">
        <v>27400000</v>
      </c>
      <c r="I16" s="188">
        <v>27400000</v>
      </c>
      <c r="J16" s="188">
        <v>27400000</v>
      </c>
      <c r="K16" s="188">
        <v>27400000</v>
      </c>
      <c r="L16" s="188">
        <v>27400000</v>
      </c>
      <c r="M16" s="188">
        <v>27400000</v>
      </c>
      <c r="N16" s="188">
        <v>27400000</v>
      </c>
      <c r="O16" s="188">
        <v>27400000</v>
      </c>
      <c r="P16" s="230">
        <v>27400000</v>
      </c>
      <c r="Q16" s="188">
        <v>27400000</v>
      </c>
      <c r="R16" s="188">
        <v>27400000</v>
      </c>
      <c r="S16" s="188">
        <v>27400000</v>
      </c>
      <c r="T16" s="188">
        <v>27400000</v>
      </c>
      <c r="U16" s="188">
        <v>27400000</v>
      </c>
      <c r="V16" s="188">
        <v>27400000</v>
      </c>
      <c r="W16" s="188">
        <v>27400000</v>
      </c>
      <c r="X16" s="188">
        <v>27400000</v>
      </c>
      <c r="Y16" s="188">
        <v>27400000</v>
      </c>
      <c r="Z16" s="188">
        <v>27400000</v>
      </c>
      <c r="AA16" s="188">
        <v>27400000</v>
      </c>
      <c r="AB16" s="188">
        <v>27400000</v>
      </c>
      <c r="AC16" s="230">
        <v>27400000</v>
      </c>
      <c r="AD16" s="188">
        <v>27400000</v>
      </c>
      <c r="AE16" s="188">
        <v>27400000</v>
      </c>
      <c r="AF16" s="188">
        <v>27400000</v>
      </c>
      <c r="AG16" s="230">
        <v>27400000</v>
      </c>
      <c r="AH16" s="188">
        <v>27400000</v>
      </c>
      <c r="AI16" s="188">
        <v>27400000</v>
      </c>
      <c r="AJ16" s="188">
        <v>27400000</v>
      </c>
      <c r="AK16" s="188">
        <v>27400000</v>
      </c>
      <c r="AL16" s="188">
        <v>27400000</v>
      </c>
      <c r="AM16" s="188"/>
      <c r="AN16" s="188"/>
      <c r="AO16" s="188"/>
      <c r="AP16" s="188">
        <v>27400000</v>
      </c>
      <c r="AQ16" s="25"/>
    </row>
    <row r="17" spans="2:43">
      <c r="B17" s="126" t="s">
        <v>36</v>
      </c>
      <c r="C17" s="183" t="s">
        <v>232</v>
      </c>
      <c r="D17" s="25"/>
      <c r="E17" s="184"/>
      <c r="F17" s="188">
        <v>32200000</v>
      </c>
      <c r="G17" s="25"/>
      <c r="H17" s="59"/>
      <c r="I17" s="59"/>
      <c r="J17" s="102">
        <v>31700000</v>
      </c>
      <c r="K17" s="102">
        <v>28900000</v>
      </c>
      <c r="L17" s="102">
        <v>28800000</v>
      </c>
      <c r="M17" s="102">
        <v>28600000</v>
      </c>
      <c r="N17" s="25"/>
      <c r="O17" s="102">
        <v>28900000</v>
      </c>
      <c r="P17" s="231">
        <v>31100000</v>
      </c>
      <c r="Q17" s="188">
        <v>26300000</v>
      </c>
      <c r="R17" s="188">
        <v>23600000</v>
      </c>
      <c r="S17" s="188">
        <v>24300000</v>
      </c>
      <c r="T17" s="59"/>
      <c r="U17" s="188">
        <v>31800000</v>
      </c>
      <c r="V17" s="188">
        <f>23800000</f>
        <v>23800000</v>
      </c>
      <c r="W17" s="188">
        <v>24200000</v>
      </c>
      <c r="X17" s="188">
        <v>24300000</v>
      </c>
      <c r="Y17" s="59"/>
      <c r="Z17" s="188">
        <v>22200000</v>
      </c>
      <c r="AA17" s="188">
        <v>24200000</v>
      </c>
      <c r="AB17" s="188">
        <v>24100000</v>
      </c>
      <c r="AC17" s="230">
        <v>23900000</v>
      </c>
      <c r="AD17" s="188">
        <v>24800000</v>
      </c>
      <c r="AE17" s="188">
        <v>24800000</v>
      </c>
      <c r="AF17" s="188">
        <v>25200000</v>
      </c>
      <c r="AG17" s="231">
        <v>26000000</v>
      </c>
      <c r="AH17" s="102">
        <v>25600000</v>
      </c>
      <c r="AI17" s="102">
        <v>23500000</v>
      </c>
      <c r="AJ17" s="25"/>
      <c r="AK17" s="102">
        <f>18900000</f>
        <v>18900000</v>
      </c>
      <c r="AL17" s="25"/>
      <c r="AM17" s="25"/>
      <c r="AN17" s="25"/>
      <c r="AO17" s="25"/>
      <c r="AP17" s="102">
        <v>28700000</v>
      </c>
      <c r="AQ17" s="25"/>
    </row>
    <row r="18" spans="2:43">
      <c r="B18" s="59"/>
      <c r="C18" s="183" t="s">
        <v>233</v>
      </c>
      <c r="D18" s="59"/>
      <c r="E18" s="59"/>
      <c r="F18" s="188">
        <f>F17-F16</f>
        <v>4800000</v>
      </c>
      <c r="G18" s="188">
        <f t="shared" ref="G18:AP18" si="6">G17-G16</f>
        <v>-27400000</v>
      </c>
      <c r="H18" s="188">
        <f t="shared" si="6"/>
        <v>-27400000</v>
      </c>
      <c r="I18" s="188">
        <f t="shared" si="6"/>
        <v>-27400000</v>
      </c>
      <c r="J18" s="188">
        <f t="shared" si="6"/>
        <v>4300000</v>
      </c>
      <c r="K18" s="188">
        <f t="shared" si="6"/>
        <v>1500000</v>
      </c>
      <c r="L18" s="188">
        <f t="shared" si="6"/>
        <v>1400000</v>
      </c>
      <c r="M18" s="188">
        <f t="shared" si="6"/>
        <v>1200000</v>
      </c>
      <c r="N18" s="188">
        <f t="shared" si="6"/>
        <v>-27400000</v>
      </c>
      <c r="O18" s="188">
        <f t="shared" si="6"/>
        <v>1500000</v>
      </c>
      <c r="P18" s="230">
        <f t="shared" si="6"/>
        <v>3700000</v>
      </c>
      <c r="Q18" s="188">
        <f t="shared" si="6"/>
        <v>-1100000</v>
      </c>
      <c r="R18" s="188">
        <f t="shared" si="6"/>
        <v>-3800000</v>
      </c>
      <c r="S18" s="188">
        <f t="shared" si="6"/>
        <v>-3100000</v>
      </c>
      <c r="T18" s="188">
        <f t="shared" si="6"/>
        <v>-27400000</v>
      </c>
      <c r="U18" s="188">
        <f t="shared" si="6"/>
        <v>4400000</v>
      </c>
      <c r="V18" s="188">
        <f t="shared" si="6"/>
        <v>-3600000</v>
      </c>
      <c r="W18" s="188">
        <f t="shared" si="6"/>
        <v>-3200000</v>
      </c>
      <c r="X18" s="188">
        <f t="shared" si="6"/>
        <v>-3100000</v>
      </c>
      <c r="Y18" s="188">
        <f t="shared" si="6"/>
        <v>-27400000</v>
      </c>
      <c r="Z18" s="188">
        <f t="shared" si="6"/>
        <v>-5200000</v>
      </c>
      <c r="AA18" s="188">
        <f t="shared" si="6"/>
        <v>-3200000</v>
      </c>
      <c r="AB18" s="188">
        <f t="shared" si="6"/>
        <v>-3300000</v>
      </c>
      <c r="AC18" s="230">
        <f t="shared" si="6"/>
        <v>-3500000</v>
      </c>
      <c r="AD18" s="188">
        <f t="shared" si="6"/>
        <v>-2600000</v>
      </c>
      <c r="AE18" s="188">
        <f t="shared" si="6"/>
        <v>-2600000</v>
      </c>
      <c r="AF18" s="188">
        <f t="shared" si="6"/>
        <v>-2200000</v>
      </c>
      <c r="AG18" s="230">
        <f t="shared" si="6"/>
        <v>-1400000</v>
      </c>
      <c r="AH18" s="188">
        <f t="shared" si="6"/>
        <v>-1800000</v>
      </c>
      <c r="AI18" s="188">
        <f t="shared" si="6"/>
        <v>-3900000</v>
      </c>
      <c r="AJ18" s="188">
        <f t="shared" si="6"/>
        <v>-27400000</v>
      </c>
      <c r="AK18" s="188">
        <f t="shared" si="6"/>
        <v>-8500000</v>
      </c>
      <c r="AL18" s="188">
        <f t="shared" si="6"/>
        <v>-27400000</v>
      </c>
      <c r="AM18" s="188"/>
      <c r="AN18" s="188"/>
      <c r="AO18" s="188"/>
      <c r="AP18" s="188">
        <f t="shared" si="6"/>
        <v>1300000</v>
      </c>
      <c r="AQ18" s="25"/>
    </row>
    <row r="19" spans="2:43">
      <c r="B19" s="59"/>
      <c r="C19" s="183" t="s">
        <v>236</v>
      </c>
      <c r="D19" s="223"/>
      <c r="E19" s="223"/>
      <c r="F19" s="227">
        <f>(F18/F16)*100</f>
        <v>17.518248175182482</v>
      </c>
      <c r="G19" s="228">
        <f t="shared" ref="G19:AP19" si="7">(G18/G16)*100</f>
        <v>-100</v>
      </c>
      <c r="H19" s="228">
        <f t="shared" si="7"/>
        <v>-100</v>
      </c>
      <c r="I19" s="228">
        <f t="shared" si="7"/>
        <v>-100</v>
      </c>
      <c r="J19" s="227">
        <f t="shared" si="7"/>
        <v>15.693430656934307</v>
      </c>
      <c r="K19" s="234">
        <f t="shared" si="7"/>
        <v>5.4744525547445262</v>
      </c>
      <c r="L19" s="234">
        <f t="shared" si="7"/>
        <v>5.1094890510948909</v>
      </c>
      <c r="M19" s="229">
        <f t="shared" si="7"/>
        <v>4.3795620437956204</v>
      </c>
      <c r="N19" s="228">
        <f t="shared" si="7"/>
        <v>-100</v>
      </c>
      <c r="O19" s="228">
        <f t="shared" si="7"/>
        <v>5.4744525547445262</v>
      </c>
      <c r="P19" s="232">
        <f t="shared" si="7"/>
        <v>13.503649635036496</v>
      </c>
      <c r="Q19" s="228">
        <f t="shared" si="7"/>
        <v>-4.0145985401459852</v>
      </c>
      <c r="R19" s="228">
        <f t="shared" si="7"/>
        <v>-13.868613138686131</v>
      </c>
      <c r="S19" s="228">
        <f t="shared" si="7"/>
        <v>-11.313868613138686</v>
      </c>
      <c r="T19" s="228">
        <f t="shared" si="7"/>
        <v>-100</v>
      </c>
      <c r="U19" s="228">
        <f t="shared" si="7"/>
        <v>16.058394160583941</v>
      </c>
      <c r="V19" s="228">
        <f t="shared" si="7"/>
        <v>-13.138686131386862</v>
      </c>
      <c r="W19" s="228">
        <f t="shared" si="7"/>
        <v>-11.678832116788321</v>
      </c>
      <c r="X19" s="228">
        <f t="shared" si="7"/>
        <v>-11.313868613138686</v>
      </c>
      <c r="Y19" s="228">
        <f t="shared" si="7"/>
        <v>-100</v>
      </c>
      <c r="Z19" s="228">
        <f t="shared" si="7"/>
        <v>-18.978102189781019</v>
      </c>
      <c r="AA19" s="228">
        <f t="shared" si="7"/>
        <v>-11.678832116788321</v>
      </c>
      <c r="AB19" s="228">
        <f t="shared" si="7"/>
        <v>-12.043795620437956</v>
      </c>
      <c r="AC19" s="232">
        <f t="shared" si="7"/>
        <v>-12.773722627737227</v>
      </c>
      <c r="AD19" s="228">
        <f t="shared" si="7"/>
        <v>-9.4890510948905096</v>
      </c>
      <c r="AE19" s="228">
        <f t="shared" si="7"/>
        <v>-9.4890510948905096</v>
      </c>
      <c r="AF19" s="228">
        <f t="shared" si="7"/>
        <v>-8.0291970802919703</v>
      </c>
      <c r="AG19" s="232">
        <f t="shared" si="7"/>
        <v>-5.1094890510948909</v>
      </c>
      <c r="AH19" s="228">
        <f t="shared" si="7"/>
        <v>-6.5693430656934311</v>
      </c>
      <c r="AI19" s="228">
        <f t="shared" si="7"/>
        <v>-14.233576642335766</v>
      </c>
      <c r="AJ19" s="228">
        <f t="shared" si="7"/>
        <v>-100</v>
      </c>
      <c r="AK19" s="228">
        <f t="shared" si="7"/>
        <v>-31.021897810218981</v>
      </c>
      <c r="AL19" s="228">
        <f t="shared" si="7"/>
        <v>-100</v>
      </c>
      <c r="AM19" s="188"/>
      <c r="AN19" s="188"/>
      <c r="AO19" s="188"/>
      <c r="AP19" s="228">
        <f t="shared" si="7"/>
        <v>4.7445255474452548</v>
      </c>
      <c r="AQ19" s="25"/>
    </row>
    <row r="20" spans="2:43">
      <c r="B20" s="59"/>
      <c r="C20" s="225" t="s">
        <v>234</v>
      </c>
      <c r="D20" s="184"/>
      <c r="E20" s="184"/>
      <c r="F20" s="226">
        <f>F16</f>
        <v>27400000</v>
      </c>
      <c r="G20" s="226">
        <f t="shared" ref="G20:AP20" si="8">G16</f>
        <v>27400000</v>
      </c>
      <c r="H20" s="226">
        <f t="shared" si="8"/>
        <v>27400000</v>
      </c>
      <c r="I20" s="226">
        <f t="shared" si="8"/>
        <v>27400000</v>
      </c>
      <c r="J20" s="226">
        <f t="shared" si="8"/>
        <v>27400000</v>
      </c>
      <c r="K20" s="226">
        <f t="shared" si="8"/>
        <v>27400000</v>
      </c>
      <c r="L20" s="226">
        <f t="shared" si="8"/>
        <v>27400000</v>
      </c>
      <c r="M20" s="226">
        <f t="shared" si="8"/>
        <v>27400000</v>
      </c>
      <c r="N20" s="226">
        <f t="shared" si="8"/>
        <v>27400000</v>
      </c>
      <c r="O20" s="226">
        <f t="shared" si="8"/>
        <v>27400000</v>
      </c>
      <c r="P20" s="233">
        <f t="shared" si="8"/>
        <v>27400000</v>
      </c>
      <c r="Q20" s="226">
        <f t="shared" si="8"/>
        <v>27400000</v>
      </c>
      <c r="R20" s="226">
        <f t="shared" si="8"/>
        <v>27400000</v>
      </c>
      <c r="S20" s="226">
        <f t="shared" si="8"/>
        <v>27400000</v>
      </c>
      <c r="T20" s="226">
        <f t="shared" si="8"/>
        <v>27400000</v>
      </c>
      <c r="U20" s="226">
        <f t="shared" si="8"/>
        <v>27400000</v>
      </c>
      <c r="V20" s="226">
        <f t="shared" si="8"/>
        <v>27400000</v>
      </c>
      <c r="W20" s="226">
        <f t="shared" si="8"/>
        <v>27400000</v>
      </c>
      <c r="X20" s="226">
        <f t="shared" si="8"/>
        <v>27400000</v>
      </c>
      <c r="Y20" s="226">
        <f t="shared" si="8"/>
        <v>27400000</v>
      </c>
      <c r="Z20" s="226">
        <f t="shared" si="8"/>
        <v>27400000</v>
      </c>
      <c r="AA20" s="226">
        <f t="shared" si="8"/>
        <v>27400000</v>
      </c>
      <c r="AB20" s="226">
        <f t="shared" si="8"/>
        <v>27400000</v>
      </c>
      <c r="AC20" s="233">
        <f t="shared" si="8"/>
        <v>27400000</v>
      </c>
      <c r="AD20" s="226">
        <f t="shared" si="8"/>
        <v>27400000</v>
      </c>
      <c r="AE20" s="226">
        <f t="shared" si="8"/>
        <v>27400000</v>
      </c>
      <c r="AF20" s="226">
        <f t="shared" si="8"/>
        <v>27400000</v>
      </c>
      <c r="AG20" s="233">
        <f t="shared" si="8"/>
        <v>27400000</v>
      </c>
      <c r="AH20" s="226">
        <f t="shared" si="8"/>
        <v>27400000</v>
      </c>
      <c r="AI20" s="226">
        <f t="shared" si="8"/>
        <v>27400000</v>
      </c>
      <c r="AJ20" s="226">
        <f t="shared" si="8"/>
        <v>27400000</v>
      </c>
      <c r="AK20" s="226">
        <f t="shared" si="8"/>
        <v>27400000</v>
      </c>
      <c r="AL20" s="226">
        <f t="shared" si="8"/>
        <v>27400000</v>
      </c>
      <c r="AM20" s="188"/>
      <c r="AN20" s="188"/>
      <c r="AO20" s="188"/>
      <c r="AP20" s="226">
        <f t="shared" si="8"/>
        <v>27400000</v>
      </c>
      <c r="AQ20" s="25"/>
    </row>
    <row r="21" spans="2:43">
      <c r="B21" s="59"/>
      <c r="C21" s="183" t="s">
        <v>235</v>
      </c>
      <c r="D21" s="184"/>
      <c r="E21" s="184"/>
      <c r="F21" s="226">
        <v>31800000</v>
      </c>
      <c r="G21" s="184"/>
      <c r="H21" s="59"/>
      <c r="I21" s="59"/>
      <c r="J21" s="188">
        <v>31300000</v>
      </c>
      <c r="K21" s="188">
        <v>28500000</v>
      </c>
      <c r="L21" s="188">
        <v>28400000</v>
      </c>
      <c r="M21" s="188">
        <v>28100000</v>
      </c>
      <c r="N21" s="59"/>
      <c r="O21" s="188">
        <v>28500000</v>
      </c>
      <c r="P21" s="230">
        <v>30300000</v>
      </c>
      <c r="Q21" s="188">
        <v>25700000</v>
      </c>
      <c r="R21" s="188">
        <v>23100000</v>
      </c>
      <c r="S21" s="188">
        <v>27300000</v>
      </c>
      <c r="T21" s="59"/>
      <c r="U21" s="188">
        <v>30000000</v>
      </c>
      <c r="V21" s="188">
        <v>23400000</v>
      </c>
      <c r="W21" s="188">
        <v>23700000</v>
      </c>
      <c r="X21" s="188">
        <v>23700000</v>
      </c>
      <c r="Y21" s="59"/>
      <c r="Z21" s="188">
        <v>21900000</v>
      </c>
      <c r="AA21" s="188">
        <v>23600000</v>
      </c>
      <c r="AB21" s="188">
        <v>23600000</v>
      </c>
      <c r="AC21" s="230">
        <v>23400000</v>
      </c>
      <c r="AD21" s="188">
        <v>24400000</v>
      </c>
      <c r="AE21" s="188">
        <v>24400000</v>
      </c>
      <c r="AF21" s="188">
        <v>25000000</v>
      </c>
      <c r="AG21" s="231">
        <v>25700000</v>
      </c>
      <c r="AH21" s="25"/>
      <c r="AI21" s="102">
        <v>23200000</v>
      </c>
      <c r="AJ21" s="25"/>
      <c r="AK21" s="102">
        <v>18700000</v>
      </c>
      <c r="AL21" s="25"/>
      <c r="AM21" s="188"/>
      <c r="AN21" s="188"/>
      <c r="AO21" s="188"/>
      <c r="AP21" s="102">
        <v>28300000</v>
      </c>
      <c r="AQ21" s="25"/>
    </row>
    <row r="22" spans="2:43">
      <c r="B22" s="59"/>
      <c r="C22" s="183" t="s">
        <v>233</v>
      </c>
      <c r="D22" s="184"/>
      <c r="E22" s="184"/>
      <c r="F22" s="188">
        <f>F21-F20</f>
        <v>4400000</v>
      </c>
      <c r="G22" s="188">
        <f t="shared" ref="G22:AP22" si="9">G21-G20</f>
        <v>-27400000</v>
      </c>
      <c r="H22" s="188">
        <f t="shared" si="9"/>
        <v>-27400000</v>
      </c>
      <c r="I22" s="188">
        <f t="shared" si="9"/>
        <v>-27400000</v>
      </c>
      <c r="J22" s="188">
        <f t="shared" si="9"/>
        <v>3900000</v>
      </c>
      <c r="K22" s="188">
        <f t="shared" si="9"/>
        <v>1100000</v>
      </c>
      <c r="L22" s="188">
        <f t="shared" si="9"/>
        <v>1000000</v>
      </c>
      <c r="M22" s="188">
        <f t="shared" si="9"/>
        <v>700000</v>
      </c>
      <c r="N22" s="188">
        <f t="shared" si="9"/>
        <v>-27400000</v>
      </c>
      <c r="O22" s="188">
        <f t="shared" si="9"/>
        <v>1100000</v>
      </c>
      <c r="P22" s="230">
        <f t="shared" si="9"/>
        <v>2900000</v>
      </c>
      <c r="Q22" s="188">
        <f t="shared" si="9"/>
        <v>-1700000</v>
      </c>
      <c r="R22" s="188">
        <f t="shared" si="9"/>
        <v>-4300000</v>
      </c>
      <c r="S22" s="188">
        <f t="shared" si="9"/>
        <v>-100000</v>
      </c>
      <c r="T22" s="188">
        <f t="shared" si="9"/>
        <v>-27400000</v>
      </c>
      <c r="U22" s="188">
        <f t="shared" si="9"/>
        <v>2600000</v>
      </c>
      <c r="V22" s="188">
        <f t="shared" si="9"/>
        <v>-4000000</v>
      </c>
      <c r="W22" s="188">
        <f t="shared" si="9"/>
        <v>-3700000</v>
      </c>
      <c r="X22" s="188">
        <f t="shared" si="9"/>
        <v>-3700000</v>
      </c>
      <c r="Y22" s="188">
        <f t="shared" si="9"/>
        <v>-27400000</v>
      </c>
      <c r="Z22" s="188">
        <f t="shared" si="9"/>
        <v>-5500000</v>
      </c>
      <c r="AA22" s="188">
        <f t="shared" si="9"/>
        <v>-3800000</v>
      </c>
      <c r="AB22" s="188">
        <f t="shared" si="9"/>
        <v>-3800000</v>
      </c>
      <c r="AC22" s="230">
        <f t="shared" si="9"/>
        <v>-4000000</v>
      </c>
      <c r="AD22" s="188">
        <f t="shared" si="9"/>
        <v>-3000000</v>
      </c>
      <c r="AE22" s="188">
        <f t="shared" si="9"/>
        <v>-3000000</v>
      </c>
      <c r="AF22" s="188">
        <f t="shared" si="9"/>
        <v>-2400000</v>
      </c>
      <c r="AG22" s="230">
        <f t="shared" si="9"/>
        <v>-1700000</v>
      </c>
      <c r="AH22" s="188">
        <f t="shared" si="9"/>
        <v>-27400000</v>
      </c>
      <c r="AI22" s="188">
        <f t="shared" si="9"/>
        <v>-4200000</v>
      </c>
      <c r="AJ22" s="188">
        <f t="shared" si="9"/>
        <v>-27400000</v>
      </c>
      <c r="AK22" s="188">
        <f t="shared" si="9"/>
        <v>-8700000</v>
      </c>
      <c r="AL22" s="188">
        <f t="shared" si="9"/>
        <v>-27400000</v>
      </c>
      <c r="AM22" s="188"/>
      <c r="AN22" s="188"/>
      <c r="AO22" s="188"/>
      <c r="AP22" s="188">
        <f t="shared" si="9"/>
        <v>900000</v>
      </c>
      <c r="AQ22" s="25"/>
    </row>
    <row r="23" spans="2:43">
      <c r="B23" s="25"/>
      <c r="C23" s="183" t="s">
        <v>236</v>
      </c>
      <c r="D23" s="25"/>
      <c r="E23" s="25"/>
      <c r="F23" s="234">
        <f>(F22/F20)*100</f>
        <v>16.058394160583941</v>
      </c>
      <c r="G23" s="234">
        <f t="shared" ref="G23:AP23" si="10">(G22/G20)*100</f>
        <v>-100</v>
      </c>
      <c r="H23" s="234">
        <f t="shared" si="10"/>
        <v>-100</v>
      </c>
      <c r="I23" s="234">
        <v>-8</v>
      </c>
      <c r="J23" s="234">
        <f t="shared" si="10"/>
        <v>14.233576642335766</v>
      </c>
      <c r="K23" s="234">
        <f t="shared" si="10"/>
        <v>4.0145985401459852</v>
      </c>
      <c r="L23" s="103">
        <f t="shared" si="10"/>
        <v>3.6496350364963499</v>
      </c>
      <c r="M23" s="103">
        <f t="shared" si="10"/>
        <v>2.5547445255474455</v>
      </c>
      <c r="N23" s="103">
        <f t="shared" si="10"/>
        <v>-100</v>
      </c>
      <c r="O23" s="103">
        <f t="shared" si="10"/>
        <v>4.0145985401459852</v>
      </c>
      <c r="P23" s="235">
        <f t="shared" si="10"/>
        <v>10.583941605839415</v>
      </c>
      <c r="Q23" s="103">
        <f t="shared" si="10"/>
        <v>-6.2043795620437958</v>
      </c>
      <c r="R23" s="103">
        <f t="shared" si="10"/>
        <v>-15.693430656934307</v>
      </c>
      <c r="S23" s="103">
        <f t="shared" si="10"/>
        <v>-0.36496350364963503</v>
      </c>
      <c r="T23" s="103">
        <f t="shared" si="10"/>
        <v>-100</v>
      </c>
      <c r="U23" s="103">
        <f t="shared" si="10"/>
        <v>9.4890510948905096</v>
      </c>
      <c r="V23" s="103">
        <f t="shared" si="10"/>
        <v>-14.5985401459854</v>
      </c>
      <c r="W23" s="103">
        <f t="shared" si="10"/>
        <v>-13.503649635036496</v>
      </c>
      <c r="X23" s="103">
        <f t="shared" si="10"/>
        <v>-13.503649635036496</v>
      </c>
      <c r="Y23" s="103">
        <f t="shared" si="10"/>
        <v>-100</v>
      </c>
      <c r="Z23" s="103">
        <f t="shared" si="10"/>
        <v>-20.072992700729927</v>
      </c>
      <c r="AA23" s="103">
        <f t="shared" si="10"/>
        <v>-13.868613138686131</v>
      </c>
      <c r="AB23" s="103">
        <f t="shared" si="10"/>
        <v>-13.868613138686131</v>
      </c>
      <c r="AC23" s="235">
        <f t="shared" si="10"/>
        <v>-14.5985401459854</v>
      </c>
      <c r="AD23" s="103">
        <f t="shared" si="10"/>
        <v>-10.948905109489052</v>
      </c>
      <c r="AE23" s="103">
        <f t="shared" si="10"/>
        <v>-10.948905109489052</v>
      </c>
      <c r="AF23" s="103">
        <f t="shared" si="10"/>
        <v>-8.7591240875912408</v>
      </c>
      <c r="AG23" s="235">
        <f t="shared" si="10"/>
        <v>-6.2043795620437958</v>
      </c>
      <c r="AH23" s="103">
        <f t="shared" si="10"/>
        <v>-100</v>
      </c>
      <c r="AI23" s="103">
        <f t="shared" si="10"/>
        <v>-15.328467153284672</v>
      </c>
      <c r="AJ23" s="103">
        <f t="shared" si="10"/>
        <v>-100</v>
      </c>
      <c r="AK23" s="103">
        <f t="shared" si="10"/>
        <v>-31.751824817518248</v>
      </c>
      <c r="AL23" s="103">
        <f t="shared" si="10"/>
        <v>-100</v>
      </c>
      <c r="AM23" s="188"/>
      <c r="AN23" s="188"/>
      <c r="AO23" s="188"/>
      <c r="AP23" s="103">
        <f t="shared" si="10"/>
        <v>3.2846715328467155</v>
      </c>
      <c r="AQ23" s="25"/>
    </row>
    <row r="24" spans="2:43">
      <c r="B24" s="25"/>
      <c r="C24" s="183" t="s">
        <v>247</v>
      </c>
      <c r="D24" s="25"/>
      <c r="E24" s="25"/>
      <c r="F24" s="25"/>
      <c r="G24" s="25" t="s">
        <v>248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 t="s">
        <v>249</v>
      </c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 t="s">
        <v>250</v>
      </c>
      <c r="AH24" s="25"/>
      <c r="AI24" s="25"/>
      <c r="AJ24" s="25"/>
      <c r="AK24" s="25" t="s">
        <v>251</v>
      </c>
      <c r="AL24" s="25"/>
      <c r="AM24" s="188"/>
      <c r="AN24" s="188"/>
      <c r="AO24" s="188"/>
      <c r="AP24" s="25"/>
      <c r="AQ24" s="25"/>
    </row>
    <row r="25" spans="2:43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188"/>
      <c r="AN25" s="188"/>
      <c r="AO25" s="188"/>
      <c r="AP25" s="25"/>
      <c r="AQ25" s="25"/>
    </row>
    <row r="26" spans="2:43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188"/>
      <c r="AP26" s="25"/>
      <c r="AQ26" s="25"/>
    </row>
    <row r="27" spans="2:43">
      <c r="B27" s="25"/>
      <c r="C27" s="183" t="s">
        <v>35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</row>
    <row r="28" spans="2:43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</row>
    <row r="29" spans="2:43">
      <c r="B29" s="25"/>
      <c r="C29" s="25"/>
      <c r="D29" s="25"/>
      <c r="E29" s="25"/>
      <c r="F29" s="25"/>
      <c r="G29" s="25"/>
      <c r="H29" s="25"/>
      <c r="I29" s="25"/>
      <c r="J29" s="59"/>
      <c r="K29" s="59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</row>
    <row r="30" spans="2:43">
      <c r="C30" s="4" t="s">
        <v>267</v>
      </c>
      <c r="D30" s="10"/>
      <c r="E30" s="10"/>
      <c r="F30" s="282" t="str">
        <f>G3</f>
        <v>A2</v>
      </c>
      <c r="G30" s="282" t="str">
        <f>R3</f>
        <v>S2</v>
      </c>
      <c r="H30" s="282" t="str">
        <f>AG3</f>
        <v>T4</v>
      </c>
      <c r="I30" s="282" t="str">
        <f>AK3</f>
        <v>M4</v>
      </c>
      <c r="J30" s="5"/>
      <c r="K30" s="5"/>
    </row>
    <row r="31" spans="2:43">
      <c r="C31" s="10"/>
      <c r="D31" s="10"/>
      <c r="E31" s="10"/>
      <c r="F31" s="282" t="s">
        <v>268</v>
      </c>
      <c r="G31" s="282" t="s">
        <v>269</v>
      </c>
      <c r="H31" s="282" t="s">
        <v>270</v>
      </c>
      <c r="I31" s="282" t="s">
        <v>271</v>
      </c>
    </row>
    <row r="32" spans="2:43">
      <c r="C32" s="183" t="s">
        <v>44</v>
      </c>
      <c r="D32" s="25"/>
      <c r="E32" s="184" t="s">
        <v>41</v>
      </c>
      <c r="F32">
        <v>0</v>
      </c>
      <c r="G32">
        <v>0</v>
      </c>
      <c r="H32">
        <v>0</v>
      </c>
      <c r="I32">
        <v>0</v>
      </c>
    </row>
    <row r="33" spans="3:52">
      <c r="C33" s="183" t="s">
        <v>43</v>
      </c>
      <c r="D33" s="25"/>
      <c r="E33" s="184" t="s">
        <v>41</v>
      </c>
      <c r="F33">
        <f>2*F32</f>
        <v>0</v>
      </c>
      <c r="G33">
        <f t="shared" ref="G33:I33" si="11">2*G32</f>
        <v>0</v>
      </c>
      <c r="H33">
        <f t="shared" si="11"/>
        <v>0</v>
      </c>
      <c r="I33">
        <f t="shared" si="11"/>
        <v>0</v>
      </c>
    </row>
    <row r="34" spans="3:52">
      <c r="C34" s="183" t="s">
        <v>42</v>
      </c>
      <c r="D34" s="25"/>
      <c r="E34" s="184" t="s">
        <v>41</v>
      </c>
      <c r="F34">
        <v>0</v>
      </c>
      <c r="G34">
        <v>0</v>
      </c>
      <c r="H34">
        <v>0</v>
      </c>
      <c r="I34">
        <v>0</v>
      </c>
    </row>
    <row r="35" spans="3:52">
      <c r="C35" s="183" t="s">
        <v>27</v>
      </c>
      <c r="D35" s="25"/>
      <c r="E35" s="184"/>
    </row>
    <row r="36" spans="3:52">
      <c r="C36" s="183" t="s">
        <v>28</v>
      </c>
      <c r="D36" s="25"/>
      <c r="E36" s="184"/>
    </row>
    <row r="37" spans="3:52">
      <c r="C37" s="183" t="s">
        <v>38</v>
      </c>
      <c r="D37" s="25"/>
      <c r="E37" s="184" t="s">
        <v>39</v>
      </c>
      <c r="F37" t="e">
        <f>(F36/F35)*100</f>
        <v>#DIV/0!</v>
      </c>
      <c r="G37" t="e">
        <f t="shared" ref="G37:I37" si="12">(G36/G35)*100</f>
        <v>#DIV/0!</v>
      </c>
      <c r="H37" t="e">
        <f t="shared" si="12"/>
        <v>#DIV/0!</v>
      </c>
      <c r="I37" t="e">
        <f t="shared" si="12"/>
        <v>#DIV/0!</v>
      </c>
    </row>
    <row r="38" spans="3:52">
      <c r="C38" s="183" t="s">
        <v>26</v>
      </c>
      <c r="D38" s="25"/>
      <c r="E38" s="184" t="s">
        <v>37</v>
      </c>
      <c r="F38">
        <v>0</v>
      </c>
      <c r="G38">
        <v>0</v>
      </c>
      <c r="H38">
        <v>0</v>
      </c>
      <c r="I38">
        <v>0</v>
      </c>
      <c r="AZ38" t="s">
        <v>45</v>
      </c>
    </row>
    <row r="39" spans="3:52">
      <c r="C39" s="183" t="s">
        <v>40</v>
      </c>
      <c r="D39" s="25"/>
      <c r="E39" s="184" t="s">
        <v>39</v>
      </c>
      <c r="F39">
        <v>0</v>
      </c>
      <c r="G39">
        <v>0</v>
      </c>
      <c r="H39">
        <v>0</v>
      </c>
      <c r="I39">
        <v>0</v>
      </c>
    </row>
    <row r="40" spans="3:52">
      <c r="C40" s="183" t="s">
        <v>231</v>
      </c>
      <c r="D40" s="25"/>
      <c r="E40" s="184"/>
    </row>
    <row r="41" spans="3:52">
      <c r="C41" s="183" t="s">
        <v>232</v>
      </c>
      <c r="D41" s="25"/>
      <c r="E41" s="184"/>
    </row>
    <row r="42" spans="3:52">
      <c r="C42" s="183" t="s">
        <v>233</v>
      </c>
      <c r="D42" s="59"/>
      <c r="E42" s="59"/>
    </row>
    <row r="43" spans="3:52">
      <c r="C43" s="183" t="s">
        <v>236</v>
      </c>
      <c r="D43" s="223"/>
      <c r="E43" s="223"/>
    </row>
    <row r="44" spans="3:52">
      <c r="C44" s="225" t="s">
        <v>234</v>
      </c>
      <c r="D44" s="184"/>
      <c r="E44" s="184"/>
    </row>
    <row r="45" spans="3:52">
      <c r="C45" s="183" t="s">
        <v>235</v>
      </c>
      <c r="D45" s="184"/>
      <c r="E45" s="184"/>
    </row>
    <row r="46" spans="3:52">
      <c r="C46" s="183" t="s">
        <v>233</v>
      </c>
      <c r="D46" s="184"/>
      <c r="E46" s="184"/>
    </row>
    <row r="47" spans="3:52">
      <c r="C47" s="183" t="s">
        <v>236</v>
      </c>
      <c r="D47" s="25"/>
      <c r="E47" s="25"/>
    </row>
    <row r="48" spans="3:52">
      <c r="C48" s="183" t="s">
        <v>247</v>
      </c>
      <c r="D48" s="25"/>
      <c r="E48" s="25"/>
    </row>
  </sheetData>
  <mergeCells count="6">
    <mergeCell ref="AH2:AK2"/>
    <mergeCell ref="F2:O2"/>
    <mergeCell ref="Q2:AC2"/>
    <mergeCell ref="C2:C3"/>
    <mergeCell ref="D2:D3"/>
    <mergeCell ref="AD2:AG2"/>
  </mergeCells>
  <conditionalFormatting sqref="F19:AL19 AP19">
    <cfRule type="cellIs" dxfId="12" priority="2" operator="between">
      <formula>-5.0001</formula>
      <formula>-6</formula>
    </cfRule>
    <cfRule type="cellIs" dxfId="11" priority="3" operator="between">
      <formula>5.0001</formula>
      <formula>6</formula>
    </cfRule>
    <cfRule type="cellIs" dxfId="10" priority="6" operator="between">
      <formula>-5.0001</formula>
      <formula>-100</formula>
    </cfRule>
    <cfRule type="cellIs" dxfId="9" priority="7" operator="between">
      <formula>0</formula>
      <formula>-5</formula>
    </cfRule>
    <cfRule type="cellIs" dxfId="8" priority="15" operator="between">
      <formula>5.0001</formula>
      <formula>100</formula>
    </cfRule>
    <cfRule type="cellIs" dxfId="7" priority="16" operator="between">
      <formula>0</formula>
      <formula>5</formula>
    </cfRule>
  </conditionalFormatting>
  <conditionalFormatting sqref="F23:AL23 AP23">
    <cfRule type="cellIs" dxfId="6" priority="1" operator="between">
      <formula>-5.001</formula>
      <formula>-6</formula>
    </cfRule>
    <cfRule type="cellIs" dxfId="5" priority="4" operator="between">
      <formula>5.0001</formula>
      <formula>6</formula>
    </cfRule>
    <cfRule type="cellIs" dxfId="4" priority="8" operator="between">
      <formula>-5.0001</formula>
      <formula>-100</formula>
    </cfRule>
    <cfRule type="cellIs" dxfId="3" priority="9" operator="between">
      <formula>0</formula>
      <formula>-5</formula>
    </cfRule>
    <cfRule type="cellIs" dxfId="2" priority="10" operator="between">
      <formula>5.0001</formula>
      <formula>100</formula>
    </cfRule>
    <cfRule type="cellIs" dxfId="1" priority="11" operator="between">
      <formula>0</formula>
      <formula>5</formula>
    </cfRule>
  </conditionalFormatting>
  <conditionalFormatting sqref="F19:AL23 AP19:AP23">
    <cfRule type="cellIs" dxfId="0" priority="5" operator="between">
      <formula>-100</formula>
      <formula>-100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4E7DC7-58CF-4E5A-A1BF-67B55195319A}">
          <x14:formula1>
            <xm:f>mat_param!$C$9:$C$35</xm:f>
          </x14:formula1>
          <xm:sqref>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opLeftCell="AX1" zoomScale="90" zoomScaleNormal="90" workbookViewId="0">
      <selection activeCell="CA49" sqref="CA49"/>
    </sheetView>
  </sheetViews>
  <sheetFormatPr defaultRowHeight="15"/>
  <cols>
    <col min="3" max="3" width="9.85546875" customWidth="1"/>
    <col min="4" max="4" width="9.42578125" customWidth="1"/>
    <col min="12" max="12" width="8.85546875" customWidth="1"/>
    <col min="29" max="29" width="33.7109375" customWidth="1"/>
    <col min="32" max="32" width="9.140625" customWidth="1"/>
    <col min="51" max="51" width="33.28515625" customWidth="1"/>
  </cols>
  <sheetData>
    <row r="2" spans="3:67">
      <c r="AC2" s="146" t="s">
        <v>184</v>
      </c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>
      <c r="C3" s="11" t="s">
        <v>30</v>
      </c>
      <c r="D3" s="11"/>
      <c r="L3" s="4" t="s">
        <v>31</v>
      </c>
      <c r="M3" s="10"/>
      <c r="AC3" s="145" t="s">
        <v>66</v>
      </c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>
      <c r="AP7" t="str">
        <f>sim_results!C6&amp; " and debris cloud diamter"</f>
        <v>bulk modulus and debris cloud diamter</v>
      </c>
    </row>
    <row r="10" spans="3:67">
      <c r="AD10" t="str">
        <f>sim_results!C6&amp; " and target hole diameter"</f>
        <v>bulk modulus and target hole diameter</v>
      </c>
    </row>
    <row r="11" spans="3:67">
      <c r="BD11" t="s">
        <v>273</v>
      </c>
      <c r="BE11" t="s">
        <v>274</v>
      </c>
    </row>
    <row r="12" spans="3:67">
      <c r="AD12" t="str">
        <f>CONCATENATE(sim_results!D6," (",sim_results!E6,")")</f>
        <v>K (MPa)</v>
      </c>
      <c r="BC12" t="s">
        <v>51</v>
      </c>
      <c r="BD12">
        <f>sim_results!G6</f>
        <v>58333.33</v>
      </c>
      <c r="BE12" s="234">
        <f>sim_results!G9</f>
        <v>11.46923</v>
      </c>
    </row>
    <row r="13" spans="3:67">
      <c r="BC13" t="s">
        <v>155</v>
      </c>
      <c r="BD13">
        <f>sim_results!AG6</f>
        <v>117881.03958333335</v>
      </c>
      <c r="BE13" s="234">
        <f>sim_results!AG9</f>
        <v>13.5</v>
      </c>
    </row>
    <row r="14" spans="3:67">
      <c r="BC14" t="s">
        <v>142</v>
      </c>
      <c r="BD14">
        <f>sim_results!R6</f>
        <v>174999.99999999997</v>
      </c>
      <c r="BE14">
        <f>sim_results!R9</f>
        <v>15.44</v>
      </c>
    </row>
    <row r="15" spans="3:67">
      <c r="BC15" t="s">
        <v>208</v>
      </c>
      <c r="BD15">
        <f>sim_results!AK6</f>
        <v>310000</v>
      </c>
      <c r="BE15" s="234">
        <f>sim_results!AK9</f>
        <v>15.72</v>
      </c>
    </row>
    <row r="24" spans="30:80">
      <c r="AZ24" t="s">
        <v>45</v>
      </c>
    </row>
    <row r="26" spans="30:80">
      <c r="CB26" t="s">
        <v>45</v>
      </c>
    </row>
    <row r="29" spans="30:80">
      <c r="AD29" t="str">
        <f>sim_results!C6&amp;" and percentage of solid material in debris cloud"</f>
        <v>bulk modulus and percentage of solid material in debris cloud</v>
      </c>
      <c r="AP29" t="str">
        <f>sim_results!C6&amp; " and residual velocity"</f>
        <v>bulk modulus and residual velocity</v>
      </c>
    </row>
    <row r="46" spans="58:58">
      <c r="BF46" t="s">
        <v>45</v>
      </c>
    </row>
    <row r="50" spans="37:37">
      <c r="AK50" t="str">
        <f>sim_results!C6&amp; " and percentage of converted particles due to temperature"</f>
        <v>bulk modulus and percentage of converted particles due to temperature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E21040-1957-4EE7-AE01-3206F6164616}">
          <x14:formula1>
            <xm:f>mat_param!$C$9:$C$47</xm:f>
          </x14:formula1>
          <xm:sqref>AC3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4229-EA03-4E67-BC3F-2CC32347831E}">
  <dimension ref="B3:Z53"/>
  <sheetViews>
    <sheetView tabSelected="1" zoomScale="90" zoomScaleNormal="90" workbookViewId="0">
      <selection activeCell="O20" sqref="O20"/>
    </sheetView>
  </sheetViews>
  <sheetFormatPr defaultColWidth="9.140625" defaultRowHeight="15"/>
  <cols>
    <col min="1" max="1" width="9.140625" style="243"/>
    <col min="2" max="2" width="4.7109375" style="243" customWidth="1"/>
    <col min="3" max="3" width="5" style="244" customWidth="1"/>
    <col min="4" max="4" width="20.42578125" style="243" customWidth="1"/>
    <col min="5" max="5" width="6" style="243" customWidth="1"/>
    <col min="6" max="6" width="7" style="243" customWidth="1"/>
    <col min="7" max="7" width="11.5703125" style="243" customWidth="1"/>
    <col min="8" max="8" width="9.7109375" style="243" customWidth="1"/>
    <col min="9" max="9" width="16.7109375" style="243" bestFit="1" customWidth="1"/>
    <col min="10" max="10" width="19.7109375" style="243" bestFit="1" customWidth="1"/>
    <col min="11" max="11" width="14.5703125" style="243" bestFit="1" customWidth="1"/>
    <col min="12" max="12" width="8.7109375" style="243" bestFit="1" customWidth="1"/>
    <col min="13" max="13" width="10.140625" style="243" bestFit="1" customWidth="1"/>
    <col min="14" max="14" width="11.5703125" style="243" bestFit="1" customWidth="1"/>
    <col min="15" max="15" width="15.7109375" style="243" bestFit="1" customWidth="1"/>
    <col min="16" max="16" width="24.42578125" style="243" bestFit="1" customWidth="1"/>
    <col min="17" max="17" width="12" style="243" customWidth="1"/>
    <col min="18" max="18" width="15.7109375" style="243" bestFit="1" customWidth="1"/>
    <col min="19" max="19" width="24.42578125" style="243" bestFit="1" customWidth="1"/>
    <col min="20" max="16384" width="9.140625" style="243"/>
  </cols>
  <sheetData>
    <row r="3" spans="2:26">
      <c r="D3" s="245"/>
      <c r="E3" s="245"/>
      <c r="F3" s="245"/>
      <c r="G3" s="245"/>
      <c r="H3" s="245"/>
      <c r="I3" s="248"/>
      <c r="J3" s="248"/>
      <c r="K3" s="248"/>
      <c r="L3" s="248"/>
      <c r="M3" s="248"/>
      <c r="N3" s="245"/>
      <c r="O3" s="245"/>
      <c r="P3" s="245"/>
      <c r="Q3" s="245"/>
      <c r="R3" s="245"/>
      <c r="S3" s="248"/>
      <c r="T3" s="248"/>
      <c r="U3" s="248"/>
      <c r="V3" s="245"/>
      <c r="W3" s="245"/>
      <c r="X3" s="245"/>
      <c r="Y3" s="245"/>
      <c r="Z3" s="245"/>
    </row>
    <row r="4" spans="2:26">
      <c r="C4" s="281" t="s">
        <v>252</v>
      </c>
      <c r="D4" s="281"/>
      <c r="E4" s="249" t="s">
        <v>261</v>
      </c>
      <c r="F4" s="249" t="s">
        <v>262</v>
      </c>
      <c r="G4" s="246" t="s">
        <v>255</v>
      </c>
      <c r="H4" s="246" t="s">
        <v>254</v>
      </c>
      <c r="I4" s="250" t="s">
        <v>263</v>
      </c>
      <c r="J4" s="250" t="s">
        <v>256</v>
      </c>
      <c r="K4" s="246" t="s">
        <v>260</v>
      </c>
      <c r="L4" s="246" t="s">
        <v>264</v>
      </c>
      <c r="M4" s="246" t="s">
        <v>265</v>
      </c>
      <c r="N4" s="246" t="s">
        <v>257</v>
      </c>
      <c r="O4" s="246" t="s">
        <v>258</v>
      </c>
      <c r="P4" s="246" t="s">
        <v>259</v>
      </c>
      <c r="T4" s="248"/>
      <c r="U4" s="248"/>
      <c r="V4" s="245"/>
      <c r="W4" s="245"/>
      <c r="X4" s="245"/>
      <c r="Y4" s="245"/>
      <c r="Z4" s="245"/>
    </row>
    <row r="5" spans="2:26">
      <c r="B5" s="243">
        <v>1</v>
      </c>
      <c r="C5" s="246" t="s">
        <v>51</v>
      </c>
      <c r="D5" s="247" t="s">
        <v>57</v>
      </c>
      <c r="E5" s="245">
        <v>0.4</v>
      </c>
      <c r="F5" s="245">
        <v>9.58</v>
      </c>
      <c r="G5" s="251">
        <f t="shared" ref="G5:G40" si="0">E5/F5</f>
        <v>4.1753653444676408E-2</v>
      </c>
      <c r="H5" s="247">
        <v>5.5</v>
      </c>
      <c r="L5" s="252"/>
      <c r="M5" s="252"/>
      <c r="N5" s="245"/>
      <c r="O5" s="245"/>
      <c r="P5" s="245"/>
      <c r="Q5" s="245"/>
      <c r="R5" s="245"/>
      <c r="S5" s="245"/>
      <c r="T5" s="245"/>
      <c r="U5" s="245"/>
      <c r="V5" s="245"/>
      <c r="W5" s="245"/>
      <c r="X5" s="245"/>
      <c r="Y5" s="245"/>
      <c r="Z5" s="245"/>
    </row>
    <row r="6" spans="2:26">
      <c r="B6" s="243">
        <f>B5+1</f>
        <v>2</v>
      </c>
      <c r="C6" s="246"/>
      <c r="D6" s="247" t="s">
        <v>57</v>
      </c>
      <c r="E6" s="245">
        <v>0.4</v>
      </c>
      <c r="F6" s="245">
        <v>9.58</v>
      </c>
      <c r="G6" s="251">
        <f t="shared" si="0"/>
        <v>4.1753653444676408E-2</v>
      </c>
      <c r="H6" s="247">
        <v>6.7</v>
      </c>
      <c r="L6" s="252"/>
      <c r="M6" s="252"/>
      <c r="N6" s="245"/>
      <c r="O6" s="245"/>
      <c r="P6" s="245"/>
      <c r="Q6" s="245"/>
      <c r="R6" s="245"/>
      <c r="S6" s="245"/>
      <c r="T6" s="245"/>
      <c r="U6" s="245"/>
      <c r="V6" s="245"/>
      <c r="W6" s="245"/>
      <c r="X6" s="245"/>
      <c r="Y6" s="245"/>
      <c r="Z6" s="245"/>
    </row>
    <row r="7" spans="2:26">
      <c r="B7" s="243">
        <f t="shared" ref="B7:B40" si="1">B6+1</f>
        <v>3</v>
      </c>
      <c r="C7" s="246"/>
      <c r="D7" s="247" t="s">
        <v>57</v>
      </c>
      <c r="E7" s="245">
        <v>0.4</v>
      </c>
      <c r="F7" s="245">
        <v>9.58</v>
      </c>
      <c r="G7" s="251">
        <f t="shared" si="0"/>
        <v>4.1753653444676408E-2</v>
      </c>
      <c r="H7" s="247">
        <v>7.5</v>
      </c>
      <c r="L7" s="252"/>
      <c r="M7" s="252"/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</row>
    <row r="8" spans="2:26">
      <c r="B8" s="243">
        <f t="shared" si="1"/>
        <v>4</v>
      </c>
      <c r="C8" s="246"/>
      <c r="D8" s="247" t="s">
        <v>57</v>
      </c>
      <c r="E8" s="245">
        <v>0.8</v>
      </c>
      <c r="F8" s="245">
        <v>9.58</v>
      </c>
      <c r="G8" s="251">
        <f t="shared" si="0"/>
        <v>8.3507306889352817E-2</v>
      </c>
      <c r="H8" s="247">
        <v>5.5</v>
      </c>
      <c r="L8" s="252"/>
      <c r="M8" s="252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</row>
    <row r="9" spans="2:26">
      <c r="B9" s="243">
        <f t="shared" si="1"/>
        <v>5</v>
      </c>
      <c r="C9" s="246"/>
      <c r="D9" s="247" t="s">
        <v>57</v>
      </c>
      <c r="E9" s="245">
        <v>0.8</v>
      </c>
      <c r="F9" s="245">
        <v>9.58</v>
      </c>
      <c r="G9" s="251">
        <f t="shared" si="0"/>
        <v>8.3507306889352817E-2</v>
      </c>
      <c r="H9" s="247">
        <v>6.7</v>
      </c>
      <c r="L9" s="253"/>
      <c r="M9" s="253"/>
    </row>
    <row r="10" spans="2:26">
      <c r="B10" s="243">
        <f t="shared" si="1"/>
        <v>6</v>
      </c>
      <c r="C10" s="246"/>
      <c r="D10" s="247" t="s">
        <v>57</v>
      </c>
      <c r="E10" s="245">
        <v>0.8</v>
      </c>
      <c r="F10" s="245">
        <v>9.58</v>
      </c>
      <c r="G10" s="251">
        <f t="shared" si="0"/>
        <v>8.3507306889352817E-2</v>
      </c>
      <c r="H10" s="247">
        <v>7.5</v>
      </c>
      <c r="L10" s="253"/>
      <c r="M10" s="253"/>
    </row>
    <row r="11" spans="2:26">
      <c r="B11" s="243">
        <f t="shared" si="1"/>
        <v>7</v>
      </c>
      <c r="C11" s="246"/>
      <c r="D11" s="247" t="s">
        <v>57</v>
      </c>
      <c r="E11" s="245">
        <v>1.2</v>
      </c>
      <c r="F11" s="245">
        <v>9.58</v>
      </c>
      <c r="G11" s="251">
        <f t="shared" si="0"/>
        <v>0.12526096033402923</v>
      </c>
      <c r="H11" s="247">
        <v>5.5</v>
      </c>
      <c r="L11" s="253"/>
      <c r="M11" s="253"/>
    </row>
    <row r="12" spans="2:26">
      <c r="B12" s="243">
        <f t="shared" si="1"/>
        <v>8</v>
      </c>
      <c r="C12" s="246"/>
      <c r="D12" s="247" t="s">
        <v>57</v>
      </c>
      <c r="E12" s="245">
        <v>1.2</v>
      </c>
      <c r="F12" s="245">
        <v>9.58</v>
      </c>
      <c r="G12" s="251">
        <f t="shared" si="0"/>
        <v>0.12526096033402923</v>
      </c>
      <c r="H12" s="247">
        <v>6.7</v>
      </c>
      <c r="L12" s="253"/>
      <c r="M12" s="253"/>
    </row>
    <row r="13" spans="2:26">
      <c r="B13" s="243">
        <f t="shared" si="1"/>
        <v>9</v>
      </c>
      <c r="C13" s="246"/>
      <c r="D13" s="247" t="s">
        <v>57</v>
      </c>
      <c r="E13" s="245">
        <v>1.2</v>
      </c>
      <c r="F13" s="245">
        <v>9.58</v>
      </c>
      <c r="G13" s="251">
        <f t="shared" si="0"/>
        <v>0.12526096033402923</v>
      </c>
      <c r="H13" s="247">
        <v>7.5</v>
      </c>
      <c r="L13" s="253"/>
      <c r="M13" s="253"/>
    </row>
    <row r="14" spans="2:26">
      <c r="B14" s="243">
        <f t="shared" si="1"/>
        <v>10</v>
      </c>
      <c r="C14" s="246" t="s">
        <v>142</v>
      </c>
      <c r="D14" s="247" t="s">
        <v>253</v>
      </c>
      <c r="E14" s="245">
        <v>0.4</v>
      </c>
      <c r="F14" s="245">
        <v>9.58</v>
      </c>
      <c r="G14" s="251">
        <f t="shared" si="0"/>
        <v>4.1753653444676408E-2</v>
      </c>
      <c r="H14" s="247">
        <v>5.5</v>
      </c>
      <c r="L14" s="253"/>
      <c r="M14" s="253"/>
    </row>
    <row r="15" spans="2:26">
      <c r="B15" s="243">
        <f t="shared" si="1"/>
        <v>11</v>
      </c>
      <c r="C15" s="246"/>
      <c r="D15" s="247" t="s">
        <v>253</v>
      </c>
      <c r="E15" s="245">
        <v>0.4</v>
      </c>
      <c r="F15" s="245">
        <v>9.58</v>
      </c>
      <c r="G15" s="251">
        <f t="shared" si="0"/>
        <v>4.1753653444676408E-2</v>
      </c>
      <c r="H15" s="247">
        <v>6.7</v>
      </c>
      <c r="L15" s="253"/>
      <c r="M15" s="253"/>
    </row>
    <row r="16" spans="2:26">
      <c r="B16" s="243">
        <f t="shared" si="1"/>
        <v>12</v>
      </c>
      <c r="C16" s="246"/>
      <c r="D16" s="247" t="s">
        <v>253</v>
      </c>
      <c r="E16" s="245">
        <v>0.4</v>
      </c>
      <c r="F16" s="245">
        <v>9.58</v>
      </c>
      <c r="G16" s="251">
        <f t="shared" si="0"/>
        <v>4.1753653444676408E-2</v>
      </c>
      <c r="H16" s="247">
        <v>7.5</v>
      </c>
      <c r="L16" s="253"/>
      <c r="M16" s="253"/>
    </row>
    <row r="17" spans="2:13">
      <c r="B17" s="243">
        <f t="shared" si="1"/>
        <v>13</v>
      </c>
      <c r="C17" s="246"/>
      <c r="D17" s="247" t="s">
        <v>253</v>
      </c>
      <c r="E17" s="245">
        <v>0.8</v>
      </c>
      <c r="F17" s="245">
        <v>9.58</v>
      </c>
      <c r="G17" s="251">
        <f t="shared" si="0"/>
        <v>8.3507306889352817E-2</v>
      </c>
      <c r="H17" s="247">
        <v>5.5</v>
      </c>
      <c r="L17" s="253"/>
      <c r="M17" s="253"/>
    </row>
    <row r="18" spans="2:13">
      <c r="B18" s="243">
        <f t="shared" si="1"/>
        <v>14</v>
      </c>
      <c r="C18" s="246"/>
      <c r="D18" s="247" t="s">
        <v>253</v>
      </c>
      <c r="E18" s="245">
        <v>0.8</v>
      </c>
      <c r="F18" s="245">
        <v>9.58</v>
      </c>
      <c r="G18" s="251">
        <f t="shared" si="0"/>
        <v>8.3507306889352817E-2</v>
      </c>
      <c r="H18" s="247">
        <v>6.7</v>
      </c>
      <c r="L18" s="253"/>
      <c r="M18" s="253"/>
    </row>
    <row r="19" spans="2:13">
      <c r="B19" s="243">
        <f t="shared" si="1"/>
        <v>15</v>
      </c>
      <c r="C19" s="246"/>
      <c r="D19" s="247" t="s">
        <v>253</v>
      </c>
      <c r="E19" s="245">
        <v>0.8</v>
      </c>
      <c r="F19" s="245">
        <v>9.58</v>
      </c>
      <c r="G19" s="251">
        <f t="shared" si="0"/>
        <v>8.3507306889352817E-2</v>
      </c>
      <c r="H19" s="247">
        <v>7.5</v>
      </c>
      <c r="L19" s="253"/>
      <c r="M19" s="253"/>
    </row>
    <row r="20" spans="2:13">
      <c r="B20" s="243">
        <f t="shared" si="1"/>
        <v>16</v>
      </c>
      <c r="C20" s="246"/>
      <c r="D20" s="247" t="s">
        <v>253</v>
      </c>
      <c r="E20" s="245">
        <v>1.2</v>
      </c>
      <c r="F20" s="245">
        <v>9.58</v>
      </c>
      <c r="G20" s="251">
        <f t="shared" si="0"/>
        <v>0.12526096033402923</v>
      </c>
      <c r="H20" s="247">
        <v>5.5</v>
      </c>
      <c r="L20" s="253"/>
      <c r="M20" s="253"/>
    </row>
    <row r="21" spans="2:13">
      <c r="B21" s="243">
        <f t="shared" si="1"/>
        <v>17</v>
      </c>
      <c r="C21" s="246"/>
      <c r="D21" s="247" t="s">
        <v>253</v>
      </c>
      <c r="E21" s="245">
        <v>1.2</v>
      </c>
      <c r="F21" s="245">
        <v>9.58</v>
      </c>
      <c r="G21" s="251">
        <f t="shared" si="0"/>
        <v>0.12526096033402923</v>
      </c>
      <c r="H21" s="247">
        <v>6.7</v>
      </c>
      <c r="L21" s="253"/>
      <c r="M21" s="253"/>
    </row>
    <row r="22" spans="2:13">
      <c r="B22" s="243">
        <f t="shared" si="1"/>
        <v>18</v>
      </c>
      <c r="C22" s="246"/>
      <c r="D22" s="247" t="s">
        <v>253</v>
      </c>
      <c r="E22" s="245">
        <v>1.2</v>
      </c>
      <c r="F22" s="245">
        <v>9.58</v>
      </c>
      <c r="G22" s="251">
        <f t="shared" si="0"/>
        <v>0.12526096033402923</v>
      </c>
      <c r="H22" s="247">
        <v>7.5</v>
      </c>
      <c r="L22" s="253"/>
      <c r="M22" s="253"/>
    </row>
    <row r="23" spans="2:13">
      <c r="B23" s="243">
        <f t="shared" si="1"/>
        <v>19</v>
      </c>
      <c r="C23" s="246" t="s">
        <v>155</v>
      </c>
      <c r="D23" s="247" t="s">
        <v>159</v>
      </c>
      <c r="E23" s="245">
        <v>0.4</v>
      </c>
      <c r="F23" s="245">
        <v>9.58</v>
      </c>
      <c r="G23" s="251">
        <f t="shared" si="0"/>
        <v>4.1753653444676408E-2</v>
      </c>
      <c r="H23" s="247">
        <v>5.5</v>
      </c>
      <c r="L23" s="253"/>
      <c r="M23" s="253"/>
    </row>
    <row r="24" spans="2:13">
      <c r="B24" s="243">
        <f t="shared" si="1"/>
        <v>20</v>
      </c>
      <c r="C24" s="246"/>
      <c r="D24" s="247" t="s">
        <v>159</v>
      </c>
      <c r="E24" s="245">
        <v>0.4</v>
      </c>
      <c r="F24" s="245">
        <v>9.58</v>
      </c>
      <c r="G24" s="251">
        <f t="shared" si="0"/>
        <v>4.1753653444676408E-2</v>
      </c>
      <c r="H24" s="247">
        <v>6.7</v>
      </c>
      <c r="L24" s="253"/>
      <c r="M24" s="253"/>
    </row>
    <row r="25" spans="2:13">
      <c r="B25" s="243">
        <f t="shared" si="1"/>
        <v>21</v>
      </c>
      <c r="C25" s="246"/>
      <c r="D25" s="247" t="s">
        <v>159</v>
      </c>
      <c r="E25" s="245">
        <v>0.4</v>
      </c>
      <c r="F25" s="245">
        <v>9.58</v>
      </c>
      <c r="G25" s="251">
        <f t="shared" si="0"/>
        <v>4.1753653444676408E-2</v>
      </c>
      <c r="H25" s="247">
        <v>7.5</v>
      </c>
      <c r="L25" s="253"/>
      <c r="M25" s="253"/>
    </row>
    <row r="26" spans="2:13">
      <c r="B26" s="243">
        <f t="shared" si="1"/>
        <v>22</v>
      </c>
      <c r="C26" s="246"/>
      <c r="D26" s="247" t="s">
        <v>159</v>
      </c>
      <c r="E26" s="245">
        <v>0.8</v>
      </c>
      <c r="F26" s="245">
        <v>9.58</v>
      </c>
      <c r="G26" s="251">
        <f t="shared" si="0"/>
        <v>8.3507306889352817E-2</v>
      </c>
      <c r="H26" s="247">
        <v>5.5</v>
      </c>
      <c r="L26" s="253"/>
      <c r="M26" s="253"/>
    </row>
    <row r="27" spans="2:13">
      <c r="B27" s="243">
        <f t="shared" si="1"/>
        <v>23</v>
      </c>
      <c r="C27" s="246"/>
      <c r="D27" s="247" t="s">
        <v>159</v>
      </c>
      <c r="E27" s="245">
        <v>0.8</v>
      </c>
      <c r="F27" s="245">
        <v>9.58</v>
      </c>
      <c r="G27" s="251">
        <f t="shared" si="0"/>
        <v>8.3507306889352817E-2</v>
      </c>
      <c r="H27" s="247">
        <v>6.7</v>
      </c>
      <c r="L27" s="253"/>
      <c r="M27" s="253"/>
    </row>
    <row r="28" spans="2:13">
      <c r="B28" s="243">
        <f t="shared" si="1"/>
        <v>24</v>
      </c>
      <c r="C28" s="246"/>
      <c r="D28" s="247" t="s">
        <v>159</v>
      </c>
      <c r="E28" s="245">
        <v>0.8</v>
      </c>
      <c r="F28" s="245">
        <v>9.58</v>
      </c>
      <c r="G28" s="251">
        <f t="shared" si="0"/>
        <v>8.3507306889352817E-2</v>
      </c>
      <c r="H28" s="247">
        <v>7.5</v>
      </c>
      <c r="L28" s="253"/>
      <c r="M28" s="253"/>
    </row>
    <row r="29" spans="2:13">
      <c r="B29" s="243">
        <f t="shared" si="1"/>
        <v>25</v>
      </c>
      <c r="C29" s="246"/>
      <c r="D29" s="247" t="s">
        <v>159</v>
      </c>
      <c r="E29" s="245">
        <v>1.2</v>
      </c>
      <c r="F29" s="245">
        <v>9.58</v>
      </c>
      <c r="G29" s="251">
        <f t="shared" si="0"/>
        <v>0.12526096033402923</v>
      </c>
      <c r="H29" s="247">
        <v>5.5</v>
      </c>
      <c r="L29" s="253"/>
      <c r="M29" s="253"/>
    </row>
    <row r="30" spans="2:13">
      <c r="B30" s="243">
        <f t="shared" si="1"/>
        <v>26</v>
      </c>
      <c r="C30" s="246"/>
      <c r="D30" s="247" t="s">
        <v>159</v>
      </c>
      <c r="E30" s="245">
        <v>1.2</v>
      </c>
      <c r="F30" s="245">
        <v>9.58</v>
      </c>
      <c r="G30" s="251">
        <f t="shared" si="0"/>
        <v>0.12526096033402923</v>
      </c>
      <c r="H30" s="247">
        <v>6.7</v>
      </c>
      <c r="L30" s="253"/>
      <c r="M30" s="253"/>
    </row>
    <row r="31" spans="2:13">
      <c r="B31" s="243">
        <f t="shared" si="1"/>
        <v>27</v>
      </c>
      <c r="C31" s="246"/>
      <c r="D31" s="247" t="s">
        <v>159</v>
      </c>
      <c r="E31" s="245">
        <v>1.2</v>
      </c>
      <c r="F31" s="245">
        <v>9.58</v>
      </c>
      <c r="G31" s="251">
        <f t="shared" si="0"/>
        <v>0.12526096033402923</v>
      </c>
      <c r="H31" s="247">
        <v>7.5</v>
      </c>
      <c r="L31" s="253"/>
      <c r="M31" s="253"/>
    </row>
    <row r="32" spans="2:13">
      <c r="B32" s="243">
        <f t="shared" si="1"/>
        <v>28</v>
      </c>
      <c r="C32" s="246" t="s">
        <v>208</v>
      </c>
      <c r="D32" s="247" t="s">
        <v>213</v>
      </c>
      <c r="E32" s="245">
        <v>0.4</v>
      </c>
      <c r="F32" s="245">
        <v>9.58</v>
      </c>
      <c r="G32" s="251">
        <f t="shared" si="0"/>
        <v>4.1753653444676408E-2</v>
      </c>
      <c r="H32" s="247">
        <v>5.5</v>
      </c>
      <c r="L32" s="253"/>
      <c r="M32" s="253"/>
    </row>
    <row r="33" spans="2:24">
      <c r="B33" s="243">
        <f t="shared" si="1"/>
        <v>29</v>
      </c>
      <c r="C33" s="246"/>
      <c r="D33" s="247" t="s">
        <v>213</v>
      </c>
      <c r="E33" s="245">
        <v>0.4</v>
      </c>
      <c r="F33" s="245">
        <v>9.58</v>
      </c>
      <c r="G33" s="251">
        <f t="shared" si="0"/>
        <v>4.1753653444676408E-2</v>
      </c>
      <c r="H33" s="247">
        <v>6.7</v>
      </c>
      <c r="L33" s="253"/>
      <c r="M33" s="253"/>
    </row>
    <row r="34" spans="2:24">
      <c r="B34" s="243">
        <f t="shared" si="1"/>
        <v>30</v>
      </c>
      <c r="C34" s="246"/>
      <c r="D34" s="247" t="s">
        <v>213</v>
      </c>
      <c r="E34" s="245">
        <v>0.4</v>
      </c>
      <c r="F34" s="245">
        <v>9.58</v>
      </c>
      <c r="G34" s="251">
        <f t="shared" si="0"/>
        <v>4.1753653444676408E-2</v>
      </c>
      <c r="H34" s="247">
        <v>7.5</v>
      </c>
      <c r="L34" s="253"/>
      <c r="M34" s="253"/>
      <c r="V34" s="252"/>
      <c r="W34" s="252"/>
      <c r="X34" s="252"/>
    </row>
    <row r="35" spans="2:24">
      <c r="B35" s="243">
        <f t="shared" si="1"/>
        <v>31</v>
      </c>
      <c r="C35" s="246"/>
      <c r="D35" s="247" t="s">
        <v>213</v>
      </c>
      <c r="E35" s="245">
        <v>0.8</v>
      </c>
      <c r="F35" s="245">
        <v>9.58</v>
      </c>
      <c r="G35" s="251">
        <f t="shared" si="0"/>
        <v>8.3507306889352817E-2</v>
      </c>
      <c r="H35" s="247">
        <v>5.5</v>
      </c>
      <c r="L35" s="253"/>
      <c r="M35" s="253"/>
      <c r="V35" s="252"/>
      <c r="W35" s="252"/>
      <c r="X35" s="252"/>
    </row>
    <row r="36" spans="2:24">
      <c r="B36" s="243">
        <f t="shared" si="1"/>
        <v>32</v>
      </c>
      <c r="C36" s="246"/>
      <c r="D36" s="247" t="s">
        <v>213</v>
      </c>
      <c r="E36" s="245">
        <v>0.8</v>
      </c>
      <c r="F36" s="245">
        <v>9.58</v>
      </c>
      <c r="G36" s="251">
        <f t="shared" si="0"/>
        <v>8.3507306889352817E-2</v>
      </c>
      <c r="H36" s="247">
        <v>6.7</v>
      </c>
      <c r="L36" s="253"/>
      <c r="M36" s="253"/>
      <c r="V36" s="254"/>
      <c r="W36" s="252"/>
      <c r="X36" s="252"/>
    </row>
    <row r="37" spans="2:24">
      <c r="B37" s="243">
        <f t="shared" si="1"/>
        <v>33</v>
      </c>
      <c r="C37" s="246"/>
      <c r="D37" s="247" t="s">
        <v>213</v>
      </c>
      <c r="E37" s="245">
        <v>0.8</v>
      </c>
      <c r="F37" s="245">
        <v>9.58</v>
      </c>
      <c r="G37" s="251">
        <f t="shared" si="0"/>
        <v>8.3507306889352817E-2</v>
      </c>
      <c r="H37" s="247">
        <v>7.5</v>
      </c>
      <c r="L37" s="253"/>
      <c r="M37" s="253"/>
      <c r="V37" s="254"/>
      <c r="W37" s="252"/>
      <c r="X37" s="252"/>
    </row>
    <row r="38" spans="2:24">
      <c r="B38" s="243">
        <f t="shared" si="1"/>
        <v>34</v>
      </c>
      <c r="C38" s="246"/>
      <c r="D38" s="247" t="s">
        <v>213</v>
      </c>
      <c r="E38" s="245">
        <v>1.2</v>
      </c>
      <c r="F38" s="245">
        <v>9.58</v>
      </c>
      <c r="G38" s="251">
        <f t="shared" si="0"/>
        <v>0.12526096033402923</v>
      </c>
      <c r="H38" s="247">
        <v>5.5</v>
      </c>
      <c r="L38" s="253"/>
      <c r="M38" s="253"/>
      <c r="V38" s="254"/>
      <c r="W38" s="252"/>
      <c r="X38" s="252"/>
    </row>
    <row r="39" spans="2:24">
      <c r="B39" s="243">
        <f t="shared" si="1"/>
        <v>35</v>
      </c>
      <c r="C39" s="246"/>
      <c r="D39" s="247" t="s">
        <v>213</v>
      </c>
      <c r="E39" s="245">
        <v>1.2</v>
      </c>
      <c r="F39" s="245">
        <v>9.58</v>
      </c>
      <c r="G39" s="251">
        <f t="shared" si="0"/>
        <v>0.12526096033402923</v>
      </c>
      <c r="H39" s="247">
        <v>6.7</v>
      </c>
      <c r="L39" s="253"/>
      <c r="M39" s="253"/>
      <c r="V39" s="254"/>
      <c r="W39" s="252"/>
      <c r="X39" s="252"/>
    </row>
    <row r="40" spans="2:24">
      <c r="B40" s="243">
        <f t="shared" si="1"/>
        <v>36</v>
      </c>
      <c r="C40" s="246"/>
      <c r="D40" s="247" t="s">
        <v>213</v>
      </c>
      <c r="E40" s="245">
        <v>1.2</v>
      </c>
      <c r="F40" s="245">
        <v>9.58</v>
      </c>
      <c r="G40" s="251">
        <f t="shared" si="0"/>
        <v>0.12526096033402923</v>
      </c>
      <c r="H40" s="247">
        <v>7.5</v>
      </c>
      <c r="L40" s="253"/>
      <c r="M40" s="253"/>
      <c r="V40" s="254"/>
      <c r="W40" s="252"/>
      <c r="X40" s="252"/>
    </row>
    <row r="41" spans="2:24">
      <c r="V41" s="254"/>
      <c r="W41" s="252"/>
      <c r="X41" s="252"/>
    </row>
    <row r="42" spans="2:24">
      <c r="V42" s="254"/>
      <c r="W42" s="252"/>
      <c r="X42" s="252"/>
    </row>
    <row r="43" spans="2:24">
      <c r="V43" s="254"/>
      <c r="W43" s="252"/>
      <c r="X43" s="252"/>
    </row>
    <row r="44" spans="2:24">
      <c r="V44" s="254"/>
      <c r="W44" s="252"/>
      <c r="X44" s="252"/>
    </row>
    <row r="45" spans="2:24">
      <c r="V45" s="254"/>
      <c r="W45" s="252"/>
      <c r="X45" s="252"/>
    </row>
    <row r="46" spans="2:24">
      <c r="V46" s="254"/>
      <c r="W46" s="252"/>
      <c r="X46" s="252"/>
    </row>
    <row r="47" spans="2:24">
      <c r="V47" s="254"/>
      <c r="W47" s="252"/>
      <c r="X47" s="252"/>
    </row>
    <row r="48" spans="2:24">
      <c r="V48" s="254"/>
      <c r="W48" s="252"/>
      <c r="X48" s="252"/>
    </row>
    <row r="49" spans="22:24">
      <c r="V49" s="254"/>
      <c r="W49" s="252"/>
      <c r="X49" s="252"/>
    </row>
    <row r="50" spans="22:24">
      <c r="V50" s="254"/>
      <c r="W50" s="252"/>
      <c r="X50" s="252"/>
    </row>
    <row r="51" spans="22:24">
      <c r="V51" s="254"/>
      <c r="W51" s="252"/>
      <c r="X51" s="252"/>
    </row>
    <row r="52" spans="22:24">
      <c r="V52" s="254"/>
      <c r="W52" s="252"/>
      <c r="X52" s="252"/>
    </row>
    <row r="53" spans="22:24">
      <c r="V53" s="252"/>
      <c r="W53" s="252"/>
      <c r="X53" s="252"/>
    </row>
  </sheetData>
  <mergeCells count="1">
    <mergeCell ref="C4: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notes</vt:lpstr>
      <vt:lpstr>mat_param</vt:lpstr>
      <vt:lpstr>sim_results</vt:lpstr>
      <vt:lpstr>plots</vt:lpstr>
      <vt:lpstr>Sheet1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Kayleigh</cp:lastModifiedBy>
  <dcterms:created xsi:type="dcterms:W3CDTF">2022-02-22T08:13:26Z</dcterms:created>
  <dcterms:modified xsi:type="dcterms:W3CDTF">2022-03-10T11:46:28Z</dcterms:modified>
</cp:coreProperties>
</file>