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04" documentId="13_ncr:1_{E8EE7AEA-1AE8-4D2D-98BA-6142DDD8D4AA}" xr6:coauthVersionLast="47" xr6:coauthVersionMax="47" xr10:uidLastSave="{9D452979-AC25-4495-9BEB-FFE801584AE1}"/>
  <bookViews>
    <workbookView xWindow="4440" yWindow="-15480" windowWidth="20730" windowHeight="15600" activeTab="2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8" i="2"/>
  <c r="M13" i="2"/>
  <c r="L13" i="2"/>
  <c r="N13" i="2"/>
  <c r="O13" i="2"/>
  <c r="M10" i="2"/>
  <c r="L9" i="2"/>
  <c r="M9" i="2"/>
  <c r="N9" i="2"/>
  <c r="O9" i="2"/>
  <c r="M8" i="2"/>
  <c r="L6" i="2"/>
  <c r="O6" i="2"/>
  <c r="N6" i="2"/>
  <c r="M6" i="2"/>
  <c r="O5" i="2"/>
  <c r="N5" i="2"/>
  <c r="M5" i="2"/>
  <c r="O4" i="2"/>
  <c r="N4" i="2"/>
  <c r="M4" i="2"/>
  <c r="K6" i="2"/>
  <c r="J6" i="2"/>
  <c r="I6" i="2"/>
  <c r="H6" i="2"/>
  <c r="G6" i="2"/>
  <c r="L5" i="2"/>
  <c r="L4" i="2"/>
  <c r="L19" i="4"/>
  <c r="L11" i="4"/>
  <c r="L10" i="4"/>
  <c r="M19" i="4"/>
  <c r="N20" i="4"/>
  <c r="O20" i="4"/>
  <c r="M20" i="4"/>
  <c r="N19" i="4"/>
  <c r="O19" i="4"/>
  <c r="F6" i="2" l="1"/>
  <c r="E6" i="2"/>
  <c r="D6" i="2"/>
  <c r="AK50" i="3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<sst xmlns="http://schemas.openxmlformats.org/spreadsheetml/2006/main" count="233" uniqueCount="167">
  <si>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</si>
  <si>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</si>
  <si>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</si>
  <si>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</si>
  <si>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</si>
  <si>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</si>
  <si>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</si>
  <si>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</si>
  <si>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</si>
  <si>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</si>
  <si>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</si>
  <si>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</si>
  <si>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</si>
  <si>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</si>
  <si>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</si>
  <si>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</si>
  <si>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</si>
  <si>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</si>
  <si>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</si>
  <si>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</si>
  <si>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</si>
  <si>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</si>
  <si>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</si>
  <si>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</si>
  <si>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</si>
  <si>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</si>
  <si>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</si>
  <si>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</si>
  <si>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</si>
  <si>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</si>
  <si>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</si>
  <si>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</si>
  <si>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</si>
  <si>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</si>
  <si>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</si>
  <si>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</si>
  <si>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</si>
  <si>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</si>
  <si>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</si>
  <si>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</si>
  <si>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</si>
  <si>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</si>
  <si>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</si>
  <si>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</si>
  <si>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</si>
  <si>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</si>
  <si>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</si>
  <si>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</si>
  <si>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</si>
  <si>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</si>
  <si>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</si>
  <si>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</si>
  <si>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</si>
  <si>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</si>
  <si>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</si>
  <si>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</si>
  <si>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</si>
  <si>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</si>
  <si>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</si>
  <si>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</si>
  <si>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</si>
  <si>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</si>
  <si>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</si>
  <si>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</si>
  <si>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</si>
  <si>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</si>
  <si>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</si>
  <si>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</si>
  <si>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</si>
  <si>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</si>
  <si>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</si>
  <si>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</si>
  <si>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</si>
  <si>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</si>
  <si>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</si>
  <si>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</si>
  <si>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</si>
  <si>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</si>
  <si>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</si>
  <si>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</si>
  <si>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</si>
  <si>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</si>
  <si>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</si>
  <si>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</si>
  <si>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</si>
  <si>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</si>
  <si>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</si>
  <si>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</si>
  <si>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</si>
  <si>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</si>
  <si>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</si>
  <si>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</si>
  <si>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</si>
  <si>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</si>
  <si>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</si>
  <si>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</si>
  <si>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</si>
  <si>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</si>
  <si>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</si>
  <si>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</si>
  <si>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</si>
  <si>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</si>
  <si>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</si>
  <si>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</si>
  <si>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</si>
  <si>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</si>
  <si>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</si>
  <si>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</si>
  <si>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</si>
  <si>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</si>
  <si>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</si>
  <si>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</si>
  <si>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</si>
  <si>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</si>
  <si>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</si>
  <si>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</si>
  <si>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</si>
  <si>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</si>
  <si>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</si>
  <si>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</si>
  <si>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</si>
  <si>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</si>
  <si>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</si>
  <si>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</si>
  <si>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</si>
  <si>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</si>
  <si>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</si>
  <si>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</si>
  <si>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</si>
  <si>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</si>
  <si>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</si>
  <si>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</si>
  <si>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</si>
  <si>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</si>
  <si>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</si>
  <si>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</si>
  <si>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</si>
  <si>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</si>
  <si>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</si>
  <si>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</si>
  <si>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</si>
  <si>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</si>
  <si>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</si>
  <si>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</si>
  <si>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</si>
  <si>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</si>
  <si>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</si>
  <si>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</si>
  <si>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</si>
  <si>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</si>
  <si>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</si>
  <si>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</si>
  <si>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</si>
  <si>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</si>
  <si>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</si>
  <si>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</si>
  <si>
    <t>S2</t>
  </si>
  <si>
    <t>****Ballistic impact simulation of GT model vehicle door using finite element method</t>
  </si>
  <si>
    <t>****</t>
  </si>
  <si>
    <t>Mie-Gruneisen EOS constants</t>
  </si>
  <si>
    <t>S3</t>
  </si>
  <si>
    <t>gamma0</t>
  </si>
  <si>
    <t>Voice hardening parameter Q1</t>
  </si>
  <si>
    <t>Voice hardening parameter Q2</t>
  </si>
  <si>
    <t>Voice hardening parameter C1</t>
  </si>
  <si>
    <t>Voice hardening parameter C2</t>
  </si>
  <si>
    <t>Titanium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</si>
</sst>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center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9" xfId="0" applyFill="1" applyBorder="1"/>
    <xf numFmtId="0" fontId="0" fillId="0" borderId="19" xfId="0" applyBorder="1"/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0" fillId="0" borderId="7" xfId="0" applyFon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8" fillId="0" borderId="11" xfId="0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0" borderId="37" xfId="0" applyFont="1" applyBorder="1" applyAlignment="1">
      <alignment wrapText="1"/>
    </xf>
    <xf numFmtId="0" fontId="2" fillId="5" borderId="38" xfId="0" applyFont="1" applyFill="1" applyBorder="1" applyAlignment="1">
      <alignment wrapText="1"/>
    </xf>
    <xf numFmtId="0" fontId="0" fillId="5" borderId="38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9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8" fillId="2" borderId="40" xfId="0" applyFont="1" applyFill="1" applyBorder="1" applyAlignment="1">
      <alignment horizontal="center" wrapText="1"/>
    </xf>
    <xf numFmtId="0" fontId="8" fillId="2" borderId="41" xfId="0" applyFont="1" applyFill="1" applyBorder="1" applyAlignment="1">
      <alignment horizontal="center" wrapText="1"/>
    </xf>
    <xf numFmtId="0" fontId="8" fillId="2" borderId="42" xfId="0" applyFont="1" applyFill="1" applyBorder="1" applyAlignment="1">
      <alignment horizontal="center" wrapText="1"/>
    </xf>
    <xf numFmtId="11" fontId="2" fillId="0" borderId="5" xfId="0" applyNumberFormat="1" applyFont="1" applyBorder="1" applyAlignment="1">
      <alignment horizontal="right" wrapText="1"/>
    </xf>
    <xf numFmtId="11" fontId="2" fillId="0" borderId="37" xfId="0" applyNumberFormat="1" applyFont="1" applyBorder="1" applyAlignment="1">
      <alignment horizontal="right" wrapText="1"/>
    </xf>
    <xf numFmtId="0" fontId="2" fillId="0" borderId="37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8" fillId="2" borderId="31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40" xfId="0" applyFont="1" applyFill="1" applyBorder="1" applyAlignment="1">
      <alignment horizontal="center" wrapText="1"/>
    </xf>
    <xf numFmtId="0" fontId="8" fillId="2" borderId="44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4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left"/>
    </xf>
    <xf numFmtId="0" fontId="0" fillId="0" borderId="47" xfId="0" applyFont="1" applyFill="1" applyBorder="1"/>
    <xf numFmtId="0" fontId="0" fillId="5" borderId="48" xfId="0" applyFill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Voice hardening parameter Q1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Voice hardening parameter Q1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 Q1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Voice hardening parameter Q1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 Q1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Voice hardening parameter Q1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 Q1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Voice hardening parameter Q1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R57"/>
  <sheetViews>
    <sheetView topLeftCell="A10" workbookViewId="0">
      <pane xSplit="5" topLeftCell="F1" activePane="topRight" state="frozen"/>
      <selection pane="topRight" activeCell="L36" sqref="L36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0" width="13.44140625" customWidth="1"/>
    <col min="11" max="12" width="14.88671875" customWidth="1"/>
    <col min="13" max="13" width="14" customWidth="1"/>
    <col min="14" max="14" width="15.88671875" customWidth="1"/>
    <col min="15" max="15" width="14.33203125" customWidth="1"/>
    <col min="16" max="16" width="18.88671875" customWidth="1"/>
  </cols>
  <sheetData>
    <row r="3" spans="2:18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2:18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8" ht="15" customHeight="1" x14ac:dyDescent="0.3">
      <c r="B5" s="26"/>
      <c r="C5" s="108"/>
      <c r="D5" s="108"/>
      <c r="E5" s="108"/>
      <c r="F5" s="153" t="s">
        <v>151</v>
      </c>
      <c r="G5" s="154"/>
      <c r="H5" s="154"/>
      <c r="I5" s="154"/>
      <c r="J5" s="154"/>
      <c r="K5" s="154"/>
      <c r="L5" s="169"/>
      <c r="M5" s="153" t="s">
        <v>152</v>
      </c>
      <c r="N5" s="154"/>
      <c r="O5" s="154"/>
      <c r="P5" s="93"/>
      <c r="Q5" s="26"/>
    </row>
    <row r="6" spans="2:18" x14ac:dyDescent="0.3">
      <c r="B6" s="26"/>
      <c r="C6" s="158"/>
      <c r="D6" s="158"/>
      <c r="E6" s="159"/>
      <c r="F6" s="160" t="s">
        <v>53</v>
      </c>
      <c r="G6" s="161"/>
      <c r="H6" s="161"/>
      <c r="I6" s="161"/>
      <c r="J6" s="162"/>
      <c r="K6" s="165" t="s">
        <v>60</v>
      </c>
      <c r="L6" s="168"/>
      <c r="M6" s="165" t="s">
        <v>132</v>
      </c>
      <c r="N6" s="166"/>
      <c r="O6" s="167"/>
      <c r="P6" s="94"/>
      <c r="Q6" s="83"/>
      <c r="R6" s="5"/>
    </row>
    <row r="7" spans="2:18" x14ac:dyDescent="0.3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124" t="s">
        <v>59</v>
      </c>
      <c r="L7" s="139" t="s">
        <v>156</v>
      </c>
      <c r="M7" s="90" t="s">
        <v>133</v>
      </c>
      <c r="N7" s="91" t="s">
        <v>134</v>
      </c>
      <c r="O7" s="91" t="s">
        <v>135</v>
      </c>
      <c r="P7" s="95"/>
      <c r="Q7" s="83"/>
      <c r="R7" s="5"/>
    </row>
    <row r="8" spans="2:18" ht="16.5" customHeight="1" thickBot="1" x14ac:dyDescent="0.35">
      <c r="B8" s="26"/>
      <c r="C8" s="64" t="s">
        <v>65</v>
      </c>
      <c r="D8" s="64" t="s">
        <v>66</v>
      </c>
      <c r="E8" s="66" t="s">
        <v>67</v>
      </c>
      <c r="F8" s="120" t="s">
        <v>52</v>
      </c>
      <c r="G8" s="121" t="s">
        <v>61</v>
      </c>
      <c r="H8" s="121" t="s">
        <v>62</v>
      </c>
      <c r="I8" s="121" t="s">
        <v>63</v>
      </c>
      <c r="J8" s="122" t="s">
        <v>64</v>
      </c>
      <c r="K8" s="140" t="s">
        <v>51</v>
      </c>
      <c r="L8" s="141">
        <v>4340</v>
      </c>
      <c r="M8" s="120" t="s">
        <v>136</v>
      </c>
      <c r="N8" s="121" t="s">
        <v>137</v>
      </c>
      <c r="O8" s="121" t="s">
        <v>138</v>
      </c>
      <c r="P8" s="96"/>
      <c r="Q8" s="83"/>
      <c r="R8" s="5"/>
    </row>
    <row r="9" spans="2:18" x14ac:dyDescent="0.3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142">
        <v>7.8500000000000008E-9</v>
      </c>
      <c r="L9" s="143">
        <v>7.8500000000000008E-9</v>
      </c>
      <c r="M9" s="111">
        <v>4.4299999999999998E-9</v>
      </c>
      <c r="N9" s="112">
        <v>4.5500000000000002E-9</v>
      </c>
      <c r="O9" s="113">
        <v>4.5500000000000002E-9</v>
      </c>
      <c r="P9" s="28"/>
      <c r="Q9" s="84"/>
    </row>
    <row r="10" spans="2:18" x14ac:dyDescent="0.3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142">
        <v>205880</v>
      </c>
      <c r="L10" s="143">
        <f>L13/(3*(1-2*L14))</f>
        <v>174999.99999999997</v>
      </c>
      <c r="M10" s="111">
        <v>116</v>
      </c>
      <c r="N10" s="112">
        <v>116</v>
      </c>
      <c r="O10" s="112">
        <v>116</v>
      </c>
      <c r="P10" s="28"/>
      <c r="Q10" s="84"/>
    </row>
    <row r="11" spans="2:18" x14ac:dyDescent="0.3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142">
        <v>78947</v>
      </c>
      <c r="L11" s="143">
        <f>L13/(2*(1+L14))</f>
        <v>80769.230769230766</v>
      </c>
      <c r="M11" s="111">
        <v>38000</v>
      </c>
      <c r="N11" s="112">
        <v>38000</v>
      </c>
      <c r="O11" s="112">
        <v>38000</v>
      </c>
      <c r="P11" s="28"/>
      <c r="Q11" s="84"/>
    </row>
    <row r="12" spans="2:18" x14ac:dyDescent="0.3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117">
        <v>47</v>
      </c>
      <c r="L12" s="144">
        <v>47</v>
      </c>
      <c r="M12" s="111">
        <v>47</v>
      </c>
      <c r="N12" s="112">
        <v>47</v>
      </c>
      <c r="O12" s="112">
        <v>47</v>
      </c>
      <c r="P12" s="29"/>
      <c r="Q12" s="84"/>
    </row>
    <row r="13" spans="2:18" x14ac:dyDescent="0.3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142">
        <v>210000</v>
      </c>
      <c r="L13" s="143">
        <v>210000</v>
      </c>
      <c r="M13" s="111">
        <v>114500</v>
      </c>
      <c r="N13" s="112">
        <v>114500</v>
      </c>
      <c r="O13" s="112">
        <v>114500</v>
      </c>
      <c r="P13" s="28"/>
      <c r="Q13" s="84"/>
    </row>
    <row r="14" spans="2:18" x14ac:dyDescent="0.3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117">
        <v>0.33</v>
      </c>
      <c r="L14" s="144">
        <v>0.3</v>
      </c>
      <c r="M14" s="111">
        <v>0.34499999999999997</v>
      </c>
      <c r="N14" s="112">
        <v>0.34499999999999997</v>
      </c>
      <c r="O14" s="112">
        <v>0.34499999999999997</v>
      </c>
      <c r="P14" s="29"/>
      <c r="Q14" s="84"/>
    </row>
    <row r="15" spans="2:18" x14ac:dyDescent="0.3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117">
        <v>0.9</v>
      </c>
      <c r="L15" s="144"/>
      <c r="M15" s="111"/>
      <c r="N15" s="112"/>
      <c r="O15" s="112"/>
      <c r="P15" s="29"/>
      <c r="Q15" s="84"/>
    </row>
    <row r="16" spans="2:18" x14ac:dyDescent="0.3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142">
        <v>452000000</v>
      </c>
      <c r="L16" s="143">
        <v>452000000</v>
      </c>
      <c r="M16" s="114">
        <v>720000000</v>
      </c>
      <c r="N16" s="113">
        <v>720000000</v>
      </c>
      <c r="O16" s="113">
        <v>720000000</v>
      </c>
      <c r="P16" s="28"/>
      <c r="Q16" s="84"/>
    </row>
    <row r="17" spans="2:17" x14ac:dyDescent="0.3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142">
        <v>2.3200000000000001E-5</v>
      </c>
      <c r="L17" s="143">
        <v>2.3200000000000001E-5</v>
      </c>
      <c r="M17" s="111"/>
      <c r="N17" s="112"/>
      <c r="O17" s="112"/>
      <c r="P17" s="28"/>
      <c r="Q17" s="84"/>
    </row>
    <row r="18" spans="2:17" x14ac:dyDescent="0.3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142">
        <v>1E-4</v>
      </c>
      <c r="L18" s="143">
        <v>1E-4</v>
      </c>
      <c r="M18" s="115">
        <v>9.7999999999999997E-3</v>
      </c>
      <c r="N18" s="116">
        <v>7.1999999999999998E-3</v>
      </c>
      <c r="O18" s="116">
        <v>6.3499999999999997E-3</v>
      </c>
      <c r="P18" s="26"/>
      <c r="Q18" s="84"/>
    </row>
    <row r="19" spans="2:17" x14ac:dyDescent="0.3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142">
        <v>3.548</v>
      </c>
      <c r="L19" s="143">
        <f>L16*L9</f>
        <v>3.5482000000000005</v>
      </c>
      <c r="M19" s="114">
        <f>M16*M9</f>
        <v>3.1896</v>
      </c>
      <c r="N19" s="112">
        <f t="shared" ref="N19:O19" si="0">N16*N9</f>
        <v>3.2760000000000002</v>
      </c>
      <c r="O19" s="112">
        <f t="shared" si="0"/>
        <v>3.2760000000000002</v>
      </c>
      <c r="P19" s="26"/>
      <c r="Q19" s="84"/>
    </row>
    <row r="20" spans="2:17" x14ac:dyDescent="0.3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117">
        <v>1800</v>
      </c>
      <c r="L20" s="144">
        <v>1800</v>
      </c>
      <c r="M20" s="111">
        <f>1668+273</f>
        <v>1941</v>
      </c>
      <c r="N20" s="112">
        <f t="shared" ref="N20:O20" si="1">1668+273</f>
        <v>1941</v>
      </c>
      <c r="O20" s="112">
        <f t="shared" si="1"/>
        <v>1941</v>
      </c>
      <c r="P20" s="26"/>
      <c r="Q20" s="84"/>
    </row>
    <row r="21" spans="2:17" x14ac:dyDescent="0.3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117">
        <v>293</v>
      </c>
      <c r="L21" s="144">
        <v>293</v>
      </c>
      <c r="M21" s="117">
        <v>293</v>
      </c>
      <c r="N21" s="29">
        <v>293</v>
      </c>
      <c r="O21" s="29">
        <v>293</v>
      </c>
      <c r="P21" s="26"/>
      <c r="Q21" s="84"/>
    </row>
    <row r="22" spans="2:17" x14ac:dyDescent="0.3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117">
        <v>293</v>
      </c>
      <c r="L22" s="144">
        <v>293</v>
      </c>
      <c r="M22" s="117">
        <v>293</v>
      </c>
      <c r="N22" s="29">
        <v>293</v>
      </c>
      <c r="O22" s="29">
        <v>293</v>
      </c>
      <c r="P22" s="26"/>
      <c r="Q22" s="84"/>
    </row>
    <row r="23" spans="2:17" x14ac:dyDescent="0.3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117">
        <v>893</v>
      </c>
      <c r="L23" s="144">
        <v>893</v>
      </c>
      <c r="M23" s="111"/>
      <c r="N23" s="112"/>
      <c r="O23" s="112"/>
      <c r="P23" s="26"/>
      <c r="Q23" s="84"/>
    </row>
    <row r="24" spans="2:17" x14ac:dyDescent="0.3">
      <c r="B24" s="26"/>
      <c r="C24" s="32" t="s">
        <v>127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117">
        <v>325.70001000000002</v>
      </c>
      <c r="L24" s="144">
        <v>910</v>
      </c>
      <c r="M24" s="111">
        <v>900</v>
      </c>
      <c r="N24" s="112">
        <v>600</v>
      </c>
      <c r="O24" s="112">
        <v>500</v>
      </c>
      <c r="P24" s="26"/>
      <c r="Q24" s="84"/>
    </row>
    <row r="25" spans="2:17" x14ac:dyDescent="0.3">
      <c r="B25" s="26"/>
      <c r="C25" s="32" t="s">
        <v>128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117">
        <v>0</v>
      </c>
      <c r="L25" s="144">
        <v>586</v>
      </c>
      <c r="M25" s="111">
        <v>509.75</v>
      </c>
      <c r="N25" s="112">
        <v>528</v>
      </c>
      <c r="O25" s="112">
        <v>353.9</v>
      </c>
      <c r="P25" s="26"/>
      <c r="Q25" s="84"/>
    </row>
    <row r="26" spans="2:17" x14ac:dyDescent="0.3">
      <c r="B26" s="26"/>
      <c r="C26" s="32" t="s">
        <v>129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117">
        <v>0</v>
      </c>
      <c r="L26" s="144">
        <v>0.26</v>
      </c>
      <c r="M26" s="111">
        <v>0.50600000000000001</v>
      </c>
      <c r="N26" s="112">
        <v>0.38600000000000001</v>
      </c>
      <c r="O26" s="112">
        <v>0.50800000000000001</v>
      </c>
      <c r="P26" s="26"/>
      <c r="Q26" s="84"/>
    </row>
    <row r="27" spans="2:17" x14ac:dyDescent="0.3">
      <c r="B27" s="26"/>
      <c r="C27" s="32" t="s">
        <v>130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117">
        <v>0.01</v>
      </c>
      <c r="L27" s="144">
        <v>1.4E-2</v>
      </c>
      <c r="M27" s="111">
        <v>0.03</v>
      </c>
      <c r="N27" s="112">
        <v>0.03</v>
      </c>
      <c r="O27" s="112">
        <v>0.03</v>
      </c>
      <c r="P27" s="26"/>
      <c r="Q27" s="84"/>
    </row>
    <row r="28" spans="2:17" x14ac:dyDescent="0.3">
      <c r="B28" s="26"/>
      <c r="C28" s="32" t="s">
        <v>131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117">
        <v>1</v>
      </c>
      <c r="L28" s="144">
        <v>1.03</v>
      </c>
      <c r="M28" s="111">
        <v>0</v>
      </c>
      <c r="N28" s="112">
        <v>0</v>
      </c>
      <c r="O28" s="112">
        <v>0</v>
      </c>
      <c r="P28" s="26"/>
      <c r="Q28" s="84"/>
    </row>
    <row r="29" spans="2:17" x14ac:dyDescent="0.3">
      <c r="B29" s="26"/>
      <c r="C29" s="37" t="s">
        <v>162</v>
      </c>
      <c r="D29" s="37" t="s">
        <v>105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117">
        <v>234.8</v>
      </c>
      <c r="L29" s="144"/>
      <c r="M29" s="111"/>
      <c r="N29" s="112"/>
      <c r="O29" s="112"/>
      <c r="P29" s="26"/>
      <c r="Q29" s="84"/>
    </row>
    <row r="30" spans="2:17" x14ac:dyDescent="0.3">
      <c r="B30" s="26"/>
      <c r="C30" s="37" t="s">
        <v>164</v>
      </c>
      <c r="D30" s="37" t="s">
        <v>106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117">
        <v>56.200001</v>
      </c>
      <c r="L30" s="144"/>
      <c r="M30" s="111"/>
      <c r="N30" s="112"/>
      <c r="O30" s="112"/>
      <c r="P30" s="26"/>
      <c r="Q30" s="84"/>
    </row>
    <row r="31" spans="2:17" x14ac:dyDescent="0.3">
      <c r="B31" s="26"/>
      <c r="C31" s="37" t="s">
        <v>163</v>
      </c>
      <c r="D31" s="37" t="s">
        <v>107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117">
        <v>445.70001000000002</v>
      </c>
      <c r="L31" s="144"/>
      <c r="M31" s="111"/>
      <c r="N31" s="112"/>
      <c r="O31" s="112"/>
      <c r="P31" s="26"/>
      <c r="Q31" s="84"/>
    </row>
    <row r="32" spans="2:17" x14ac:dyDescent="0.3">
      <c r="B32" s="26"/>
      <c r="C32" s="37" t="s">
        <v>165</v>
      </c>
      <c r="D32" s="37" t="s">
        <v>108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117">
        <v>4.6999997999999996</v>
      </c>
      <c r="L32" s="144"/>
      <c r="M32" s="111"/>
      <c r="N32" s="112"/>
      <c r="O32" s="112"/>
      <c r="P32" s="26"/>
      <c r="Q32" s="84"/>
    </row>
    <row r="33" spans="2:17" x14ac:dyDescent="0.3">
      <c r="B33" s="26"/>
      <c r="C33" s="37" t="s">
        <v>109</v>
      </c>
      <c r="D33" s="37" t="s">
        <v>110</v>
      </c>
      <c r="E33" s="78" t="s">
        <v>111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117">
        <v>555</v>
      </c>
      <c r="L33" s="144"/>
      <c r="M33" s="111"/>
      <c r="N33" s="112"/>
      <c r="O33" s="112"/>
      <c r="P33" s="26"/>
      <c r="Q33" s="84"/>
    </row>
    <row r="34" spans="2:17" x14ac:dyDescent="0.3">
      <c r="B34" s="26"/>
      <c r="C34" s="32"/>
      <c r="D34" s="32" t="s">
        <v>112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145"/>
      <c r="L34" s="132"/>
      <c r="M34" s="111"/>
      <c r="N34" s="112"/>
      <c r="O34" s="112"/>
      <c r="P34" s="26"/>
      <c r="Q34" s="84"/>
    </row>
    <row r="35" spans="2:17" x14ac:dyDescent="0.3">
      <c r="B35" s="26"/>
      <c r="C35" s="97"/>
      <c r="D35" s="97" t="s">
        <v>113</v>
      </c>
      <c r="E35" s="98" t="s">
        <v>72</v>
      </c>
      <c r="F35" s="99">
        <v>292.60000000000002</v>
      </c>
      <c r="G35" s="100">
        <v>51</v>
      </c>
      <c r="H35" s="100">
        <v>187</v>
      </c>
      <c r="I35" s="100">
        <v>373</v>
      </c>
      <c r="J35" s="101">
        <v>341</v>
      </c>
      <c r="K35" s="145"/>
      <c r="L35" s="132"/>
      <c r="M35" s="111"/>
      <c r="N35" s="112"/>
      <c r="O35" s="112"/>
      <c r="P35" s="26"/>
      <c r="Q35" s="84"/>
    </row>
    <row r="36" spans="2:17" x14ac:dyDescent="0.3">
      <c r="B36" s="26"/>
      <c r="C36" s="135" t="s">
        <v>153</v>
      </c>
      <c r="D36" s="32" t="s">
        <v>139</v>
      </c>
      <c r="E36" s="106"/>
      <c r="F36" s="29"/>
      <c r="G36" s="29"/>
      <c r="H36" s="29"/>
      <c r="I36" s="29"/>
      <c r="J36" s="29"/>
      <c r="K36" s="145"/>
      <c r="L36" s="132">
        <v>-0.8</v>
      </c>
      <c r="M36" s="111" t="s">
        <v>148</v>
      </c>
      <c r="N36" s="112">
        <v>-0.995</v>
      </c>
      <c r="O36" s="112" t="s">
        <v>145</v>
      </c>
      <c r="P36" s="26"/>
      <c r="Q36" s="84"/>
    </row>
    <row r="37" spans="2:17" x14ac:dyDescent="0.3">
      <c r="B37" s="26"/>
      <c r="C37" s="136"/>
      <c r="D37" s="32" t="s">
        <v>140</v>
      </c>
      <c r="E37" s="106"/>
      <c r="F37" s="104"/>
      <c r="G37" s="102"/>
      <c r="H37" s="102"/>
      <c r="I37" s="102"/>
      <c r="J37" s="103"/>
      <c r="K37" s="145"/>
      <c r="L37" s="132">
        <v>2.1</v>
      </c>
      <c r="M37" s="111">
        <v>1.18</v>
      </c>
      <c r="N37" s="112">
        <v>1.45</v>
      </c>
      <c r="O37" s="112">
        <v>1.6850000000000001</v>
      </c>
      <c r="P37" s="26"/>
      <c r="Q37" s="84"/>
    </row>
    <row r="38" spans="2:17" x14ac:dyDescent="0.3">
      <c r="B38" s="26"/>
      <c r="C38" s="136"/>
      <c r="D38" s="32" t="s">
        <v>141</v>
      </c>
      <c r="E38" s="106"/>
      <c r="F38" s="105"/>
      <c r="G38" s="100"/>
      <c r="H38" s="100"/>
      <c r="I38" s="100"/>
      <c r="J38" s="101"/>
      <c r="K38" s="145"/>
      <c r="L38" s="132">
        <v>-0.5</v>
      </c>
      <c r="M38" s="111" t="s">
        <v>149</v>
      </c>
      <c r="N38" s="112" t="s">
        <v>144</v>
      </c>
      <c r="O38" s="112" t="s">
        <v>146</v>
      </c>
      <c r="P38" s="26"/>
      <c r="Q38" s="84"/>
    </row>
    <row r="39" spans="2:17" x14ac:dyDescent="0.3">
      <c r="B39" s="26"/>
      <c r="C39" s="136"/>
      <c r="D39" s="32" t="s">
        <v>142</v>
      </c>
      <c r="E39" s="106"/>
      <c r="F39" s="105"/>
      <c r="G39" s="100"/>
      <c r="H39" s="100"/>
      <c r="I39" s="100"/>
      <c r="J39" s="101"/>
      <c r="K39" s="145"/>
      <c r="L39" s="132">
        <v>2E-3</v>
      </c>
      <c r="M39" s="111" t="s">
        <v>147</v>
      </c>
      <c r="N39" s="112" t="s">
        <v>147</v>
      </c>
      <c r="O39" s="112">
        <v>2.4E-2</v>
      </c>
      <c r="P39" s="26"/>
      <c r="Q39" s="84"/>
    </row>
    <row r="40" spans="2:17" x14ac:dyDescent="0.3">
      <c r="B40" s="26"/>
      <c r="C40" s="136"/>
      <c r="D40" s="97" t="s">
        <v>143</v>
      </c>
      <c r="E40" s="107"/>
      <c r="F40" s="29"/>
      <c r="G40" s="29"/>
      <c r="H40" s="29"/>
      <c r="I40" s="29"/>
      <c r="J40" s="29"/>
      <c r="K40" s="145"/>
      <c r="L40" s="132">
        <v>0.61</v>
      </c>
      <c r="M40" s="111">
        <v>0</v>
      </c>
      <c r="N40" s="112">
        <v>0</v>
      </c>
      <c r="O40" s="112">
        <v>0</v>
      </c>
      <c r="P40" s="26"/>
      <c r="Q40" s="84"/>
    </row>
    <row r="41" spans="2:17" ht="14.25" customHeight="1" x14ac:dyDescent="0.3">
      <c r="B41" s="26"/>
      <c r="C41" s="133" t="s">
        <v>150</v>
      </c>
      <c r="D41" s="134"/>
      <c r="E41" s="134" t="s">
        <v>72</v>
      </c>
      <c r="F41" s="26"/>
      <c r="G41" s="26"/>
      <c r="H41" s="26"/>
      <c r="I41" s="26"/>
      <c r="J41" s="26"/>
      <c r="K41" s="145"/>
      <c r="L41" s="132">
        <v>745</v>
      </c>
      <c r="M41" s="112">
        <v>1000</v>
      </c>
      <c r="N41" s="112">
        <v>800</v>
      </c>
      <c r="O41" s="112">
        <v>600</v>
      </c>
      <c r="P41" s="26"/>
      <c r="Q41" s="84"/>
    </row>
    <row r="42" spans="2:17" ht="14.25" customHeight="1" x14ac:dyDescent="0.3">
      <c r="B42" s="26"/>
      <c r="C42" s="137" t="s">
        <v>159</v>
      </c>
      <c r="D42" s="134" t="s">
        <v>59</v>
      </c>
      <c r="E42" s="134" t="s">
        <v>76</v>
      </c>
      <c r="F42" s="26"/>
      <c r="G42" s="26"/>
      <c r="H42" s="26"/>
      <c r="I42" s="26"/>
      <c r="J42" s="26"/>
      <c r="K42" s="145"/>
      <c r="L42" s="132">
        <v>164</v>
      </c>
      <c r="M42" s="111"/>
      <c r="N42" s="112"/>
      <c r="O42" s="112"/>
      <c r="P42" s="26"/>
      <c r="Q42" s="26"/>
    </row>
    <row r="43" spans="2:17" ht="14.25" customHeight="1" x14ac:dyDescent="0.3">
      <c r="B43" s="26"/>
      <c r="C43" s="125"/>
      <c r="D43" s="134" t="s">
        <v>156</v>
      </c>
      <c r="E43" s="134" t="s">
        <v>76</v>
      </c>
      <c r="F43" s="26"/>
      <c r="G43" s="26"/>
      <c r="H43" s="26"/>
      <c r="I43" s="26"/>
      <c r="J43" s="26"/>
      <c r="K43" s="145"/>
      <c r="L43" s="132">
        <v>294</v>
      </c>
      <c r="M43" s="111"/>
      <c r="N43" s="112"/>
      <c r="O43" s="112"/>
      <c r="P43" s="26"/>
      <c r="Q43" s="26"/>
    </row>
    <row r="44" spans="2:17" ht="14.25" customHeight="1" x14ac:dyDescent="0.3">
      <c r="B44" s="26"/>
      <c r="C44" s="125"/>
      <c r="D44" s="134" t="s">
        <v>160</v>
      </c>
      <c r="E44" s="134" t="s">
        <v>76</v>
      </c>
      <c r="F44" s="26"/>
      <c r="G44" s="26"/>
      <c r="H44" s="26"/>
      <c r="I44" s="26"/>
      <c r="J44" s="26"/>
      <c r="K44" s="145"/>
      <c r="L44" s="132">
        <v>500</v>
      </c>
      <c r="M44" s="111"/>
      <c r="N44" s="112"/>
      <c r="O44" s="112"/>
      <c r="P44" s="26"/>
      <c r="Q44" s="26"/>
    </row>
    <row r="45" spans="2:17" ht="14.25" customHeight="1" x14ac:dyDescent="0.3">
      <c r="B45" s="26"/>
      <c r="C45" s="138"/>
      <c r="D45" s="126" t="s">
        <v>161</v>
      </c>
      <c r="E45" s="127" t="s">
        <v>76</v>
      </c>
      <c r="F45" s="128"/>
      <c r="G45" s="129"/>
      <c r="H45" s="129"/>
      <c r="I45" s="129"/>
      <c r="J45" s="129"/>
      <c r="K45" s="146"/>
      <c r="L45" s="147">
        <v>1.1599999999999999</v>
      </c>
      <c r="M45" s="130"/>
      <c r="N45" s="131"/>
      <c r="O45" s="131"/>
      <c r="P45" s="26"/>
      <c r="Q45" s="26"/>
    </row>
    <row r="46" spans="2:17" x14ac:dyDescent="0.3">
      <c r="B46" s="26"/>
      <c r="C46" s="60" t="s">
        <v>114</v>
      </c>
      <c r="D46" s="60"/>
      <c r="E46" s="79"/>
      <c r="F46" s="81" t="s">
        <v>123</v>
      </c>
      <c r="G46" s="61" t="s">
        <v>115</v>
      </c>
      <c r="H46" s="61" t="s">
        <v>116</v>
      </c>
      <c r="I46" s="61" t="s">
        <v>117</v>
      </c>
      <c r="J46" s="109" t="s">
        <v>118</v>
      </c>
      <c r="K46" s="148"/>
      <c r="L46" s="149"/>
      <c r="M46" s="118"/>
      <c r="N46" s="59"/>
      <c r="O46" s="27"/>
      <c r="P46" s="26"/>
      <c r="Q46" s="26"/>
    </row>
    <row r="47" spans="2:17" x14ac:dyDescent="0.3">
      <c r="B47" s="26"/>
      <c r="C47" s="31" t="s">
        <v>119</v>
      </c>
      <c r="D47" s="31"/>
      <c r="E47" s="80"/>
      <c r="F47" s="82"/>
      <c r="G47" s="163" t="s">
        <v>34</v>
      </c>
      <c r="H47" s="163"/>
      <c r="I47" s="163"/>
      <c r="J47" s="164"/>
      <c r="K47" s="150" t="s">
        <v>124</v>
      </c>
      <c r="L47" s="151" t="s">
        <v>158</v>
      </c>
      <c r="M47" s="155" t="s">
        <v>154</v>
      </c>
      <c r="N47" s="156"/>
      <c r="O47" s="156"/>
      <c r="P47" s="26"/>
      <c r="Q47" s="26"/>
    </row>
    <row r="48" spans="2:17" x14ac:dyDescent="0.3">
      <c r="B48" s="26"/>
      <c r="C48" s="31" t="s">
        <v>120</v>
      </c>
      <c r="D48" s="31"/>
      <c r="E48" s="80"/>
      <c r="F48" s="82" t="s">
        <v>121</v>
      </c>
      <c r="G48" s="38" t="s">
        <v>121</v>
      </c>
      <c r="H48" s="38" t="s">
        <v>121</v>
      </c>
      <c r="I48" s="38" t="s">
        <v>121</v>
      </c>
      <c r="J48" s="110" t="s">
        <v>121</v>
      </c>
      <c r="K48" s="150" t="s">
        <v>121</v>
      </c>
      <c r="L48" s="152"/>
      <c r="M48" s="119"/>
      <c r="N48" s="34"/>
      <c r="O48" s="27"/>
      <c r="P48" s="26"/>
      <c r="Q48" s="26"/>
    </row>
    <row r="49" spans="2:17" x14ac:dyDescent="0.3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6"/>
      <c r="Q49" s="26"/>
    </row>
    <row r="50" spans="2:17" x14ac:dyDescent="0.3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6"/>
      <c r="Q50" s="26"/>
    </row>
    <row r="51" spans="2:17" x14ac:dyDescent="0.3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6"/>
      <c r="Q51" s="26"/>
    </row>
    <row r="52" spans="2:17" x14ac:dyDescent="0.3">
      <c r="B52" s="26"/>
      <c r="C52" s="30" t="s">
        <v>122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6"/>
      <c r="Q52" s="26"/>
    </row>
    <row r="53" spans="2:17" x14ac:dyDescent="0.3">
      <c r="B53" s="26"/>
      <c r="C53" s="157" t="s">
        <v>125</v>
      </c>
      <c r="D53" s="157"/>
      <c r="E53" s="157"/>
      <c r="F53" s="157"/>
      <c r="G53" s="157"/>
      <c r="H53" s="157"/>
      <c r="I53" s="157"/>
      <c r="J53" s="157"/>
      <c r="K53" s="157"/>
      <c r="L53" s="123"/>
      <c r="M53" s="27"/>
      <c r="N53" s="27"/>
      <c r="O53" s="27"/>
      <c r="P53" s="26"/>
      <c r="Q53" s="26"/>
    </row>
    <row r="54" spans="2:17" x14ac:dyDescent="0.3">
      <c r="B54" s="26"/>
      <c r="C54" s="157" t="s">
        <v>155</v>
      </c>
      <c r="D54" s="157"/>
      <c r="E54" s="157"/>
      <c r="F54" s="157"/>
      <c r="G54" s="157"/>
      <c r="H54" s="157"/>
      <c r="I54" s="157"/>
      <c r="J54" s="157"/>
      <c r="K54" s="27"/>
      <c r="L54" s="27"/>
      <c r="M54" s="27"/>
      <c r="N54" s="27"/>
      <c r="O54" s="27"/>
      <c r="P54" s="26"/>
      <c r="Q54" s="26"/>
    </row>
    <row r="55" spans="2:17" x14ac:dyDescent="0.3">
      <c r="B55" s="26"/>
      <c r="C55" s="26" t="s">
        <v>157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2:17" x14ac:dyDescent="0.3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2:17" x14ac:dyDescent="0.3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</sheetData>
  <mergeCells count="10">
    <mergeCell ref="M5:O5"/>
    <mergeCell ref="M47:O47"/>
    <mergeCell ref="C54:J54"/>
    <mergeCell ref="C6:E6"/>
    <mergeCell ref="F6:J6"/>
    <mergeCell ref="G47:J47"/>
    <mergeCell ref="C53:K53"/>
    <mergeCell ref="M6:O6"/>
    <mergeCell ref="K6:L6"/>
    <mergeCell ref="F5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P21"/>
  <sheetViews>
    <sheetView tabSelected="1" workbookViewId="0">
      <pane xSplit="5" topLeftCell="K1" activePane="topRight" state="frozen"/>
      <selection pane="topRight" activeCell="N16" sqref="N16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0" width="13" customWidth="1"/>
    <col min="11" max="15" width="15.5546875" customWidth="1"/>
  </cols>
  <sheetData>
    <row r="2" spans="2:16" x14ac:dyDescent="0.3">
      <c r="C2" s="171"/>
      <c r="D2" s="170"/>
      <c r="E2" s="85"/>
      <c r="F2" s="170" t="s">
        <v>53</v>
      </c>
      <c r="G2" s="170"/>
      <c r="H2" s="170"/>
      <c r="I2" s="170"/>
      <c r="J2" s="170"/>
      <c r="K2" s="176" t="s">
        <v>60</v>
      </c>
      <c r="L2" s="177"/>
      <c r="M2" s="177" t="s">
        <v>166</v>
      </c>
      <c r="N2" s="177"/>
      <c r="O2" s="177"/>
      <c r="P2" s="26"/>
    </row>
    <row r="3" spans="2:16" x14ac:dyDescent="0.3">
      <c r="C3" s="171"/>
      <c r="D3" s="170"/>
      <c r="E3" s="85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172" t="s">
        <v>156</v>
      </c>
      <c r="M3" s="172" t="s">
        <v>133</v>
      </c>
      <c r="N3" s="172" t="s">
        <v>134</v>
      </c>
      <c r="O3" s="172" t="s">
        <v>135</v>
      </c>
      <c r="P3" s="26"/>
    </row>
    <row r="4" spans="2:16" ht="15" thickBot="1" x14ac:dyDescent="0.35">
      <c r="C4" s="52" t="s">
        <v>29</v>
      </c>
      <c r="D4" s="52" t="s">
        <v>66</v>
      </c>
      <c r="E4" s="52" t="s">
        <v>126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175">
        <f>Sheet4!L8</f>
        <v>4340</v>
      </c>
      <c r="M4" s="178" t="str">
        <f>Sheet4!M8</f>
        <v>VT6</v>
      </c>
      <c r="N4" s="178" t="str">
        <f>Sheet4!N8</f>
        <v>OT4</v>
      </c>
      <c r="O4" s="178" t="str">
        <f>Sheet4!O8</f>
        <v>OT4-O</v>
      </c>
      <c r="P4" s="26"/>
    </row>
    <row r="5" spans="2:16" x14ac:dyDescent="0.3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173">
        <f>Sheet4!L9</f>
        <v>7.8500000000000008E-9</v>
      </c>
      <c r="M5" s="173">
        <f>Sheet4!M9</f>
        <v>4.4299999999999998E-9</v>
      </c>
      <c r="N5" s="173">
        <f>Sheet4!N9</f>
        <v>4.5500000000000002E-9</v>
      </c>
      <c r="O5" s="173">
        <f>Sheet4!O9</f>
        <v>4.5500000000000002E-9</v>
      </c>
      <c r="P5" s="26"/>
    </row>
    <row r="6" spans="2:16" x14ac:dyDescent="0.3">
      <c r="B6" s="25"/>
      <c r="C6" s="40" t="s">
        <v>162</v>
      </c>
      <c r="D6" s="92" t="str">
        <f>VLOOKUP($C$6,Sheet4!$C$9:$K$33,2,FALSE)</f>
        <v>Q1</v>
      </c>
      <c r="E6" s="92" t="str">
        <f>VLOOKUP($C$6,Sheet4!$C$9:$K$33,3,FALSE)</f>
        <v>MPa</v>
      </c>
      <c r="F6" s="92">
        <f>VLOOKUP($C$6,Sheet4!$C$9:$K$33,4,FALSE)</f>
        <v>2.7</v>
      </c>
      <c r="G6" s="92">
        <f>VLOOKUP($C$6,Sheet4!$C$9:$BB$33,5,FALSE)</f>
        <v>79.5</v>
      </c>
      <c r="H6" s="92">
        <f>VLOOKUP($C$6,Sheet4!$C$9:$BB$33,6,FALSE)</f>
        <v>35.6</v>
      </c>
      <c r="I6" s="92">
        <f>VLOOKUP($C$6,Sheet4!$C$9:$BB$33,7,FALSE)</f>
        <v>30.1</v>
      </c>
      <c r="J6" s="92">
        <f>VLOOKUP($C$6,Sheet4!$C$9:$BB$33,8,FALSE)</f>
        <v>55.3</v>
      </c>
      <c r="K6" s="179">
        <f>VLOOKUP($C$6,Sheet4!$C$9:$BB$33,9,FALSE)</f>
        <v>234.8</v>
      </c>
      <c r="L6" s="179">
        <f>VLOOKUP($C$6,Sheet4!$C$9:$BB$33,10,FALSE)</f>
        <v>0</v>
      </c>
      <c r="M6" s="179">
        <f>VLOOKUP($C$6,Sheet4!$C$9:$BB$33,11,FALSE)</f>
        <v>0</v>
      </c>
      <c r="N6" s="179">
        <f>VLOOKUP($C$6,Sheet4!$C$9:$BB$33,12,FALSE)</f>
        <v>0</v>
      </c>
      <c r="O6" s="179">
        <f>VLOOKUP($C$6,Sheet4!$C$9:$BB$33,13,FALSE)</f>
        <v>0</v>
      </c>
      <c r="P6" s="26"/>
    </row>
    <row r="7" spans="2:16" x14ac:dyDescent="0.3">
      <c r="B7" s="5"/>
      <c r="C7" s="55"/>
      <c r="D7" s="55"/>
      <c r="E7" s="55"/>
      <c r="F7" s="56"/>
      <c r="G7" s="56"/>
      <c r="H7" s="56"/>
      <c r="I7" s="56"/>
      <c r="J7" s="56"/>
      <c r="K7" s="56"/>
      <c r="L7" s="180"/>
      <c r="M7" s="180"/>
      <c r="N7" s="180"/>
      <c r="O7" s="180"/>
      <c r="P7" s="26"/>
    </row>
    <row r="8" spans="2:16" x14ac:dyDescent="0.3">
      <c r="B8" s="5"/>
      <c r="C8" s="47" t="s">
        <v>46</v>
      </c>
      <c r="E8" s="48" t="s">
        <v>43</v>
      </c>
      <c r="F8" s="50">
        <v>5.86</v>
      </c>
      <c r="G8" s="86">
        <f>AVERAGE(5.70739,5.75573,5.71911,5.75623)</f>
        <v>5.7346149999999998</v>
      </c>
      <c r="H8" s="87">
        <f>AVERAGE(5.5333,5.53117,5.50411,5.55659)</f>
        <v>5.5312925000000002</v>
      </c>
      <c r="I8" s="87">
        <f>AVERAGE(5.66583,5.60073,5.61915,5.59391,5.59718)</f>
        <v>5.6153599999999999</v>
      </c>
      <c r="J8" s="50">
        <v>5.42</v>
      </c>
      <c r="K8" s="50">
        <v>6.96</v>
      </c>
      <c r="L8" s="26"/>
      <c r="M8" s="181">
        <f>AVERAGE(5.59878,5.63895,5.73598,5.559)</f>
        <v>5.6331774999999995</v>
      </c>
      <c r="N8" s="181">
        <f>AVERAGE(5.72896,5.85194,5.71406,5.82871)</f>
        <v>5.7809175000000002</v>
      </c>
      <c r="O8" s="26"/>
      <c r="P8" s="26"/>
    </row>
    <row r="9" spans="2:16" x14ac:dyDescent="0.3">
      <c r="B9" s="25" t="s">
        <v>34</v>
      </c>
      <c r="C9" s="40" t="s">
        <v>45</v>
      </c>
      <c r="E9" s="41" t="s">
        <v>43</v>
      </c>
      <c r="F9" s="43">
        <f>F8*2</f>
        <v>11.72</v>
      </c>
      <c r="G9" s="88">
        <f t="shared" ref="G9:J9" si="0">G8*2</f>
        <v>11.46923</v>
      </c>
      <c r="H9" s="88">
        <f t="shared" si="0"/>
        <v>11.062585</v>
      </c>
      <c r="I9" s="88">
        <f t="shared" si="0"/>
        <v>11.23072</v>
      </c>
      <c r="J9" s="43">
        <f t="shared" si="0"/>
        <v>10.84</v>
      </c>
      <c r="K9" s="43">
        <f>K8*2</f>
        <v>13.92</v>
      </c>
      <c r="L9" s="43">
        <f t="shared" ref="L9:O9" si="1">L8*2</f>
        <v>0</v>
      </c>
      <c r="M9" s="88">
        <f t="shared" si="1"/>
        <v>11.266354999999999</v>
      </c>
      <c r="N9" s="88">
        <f t="shared" si="1"/>
        <v>11.561835</v>
      </c>
      <c r="O9" s="43">
        <f t="shared" si="1"/>
        <v>0</v>
      </c>
      <c r="P9" s="26"/>
    </row>
    <row r="10" spans="2:16" x14ac:dyDescent="0.3">
      <c r="B10" s="25" t="s">
        <v>34</v>
      </c>
      <c r="C10" s="40" t="s">
        <v>44</v>
      </c>
      <c r="E10" s="41" t="s">
        <v>43</v>
      </c>
      <c r="F10" s="43">
        <v>62.2</v>
      </c>
      <c r="G10" s="88">
        <f>AVERAGE(51.78,51.7122,49.6736,50.0039)</f>
        <v>50.792424999999994</v>
      </c>
      <c r="H10" s="89">
        <v>54.277700000000003</v>
      </c>
      <c r="I10" s="89">
        <f>AVERAGE(52.2685,51.7548)</f>
        <v>52.011650000000003</v>
      </c>
      <c r="J10" s="43">
        <v>52</v>
      </c>
      <c r="K10" s="43">
        <v>90</v>
      </c>
      <c r="L10" s="26"/>
      <c r="M10" s="181">
        <f>AVERAGE(75.681,72.9799,72.8709,75.8579,74.0277)</f>
        <v>74.283479999999997</v>
      </c>
      <c r="N10" s="181">
        <f>AVERAGE(73.0359,74.5732,73.0406)</f>
        <v>73.549899999999994</v>
      </c>
      <c r="O10" s="26"/>
      <c r="P10" s="26"/>
    </row>
    <row r="11" spans="2:16" x14ac:dyDescent="0.3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42">
        <v>1.22E-6</v>
      </c>
      <c r="M11" s="42">
        <v>1.22E-6</v>
      </c>
      <c r="N11" s="42">
        <v>1.22E-6</v>
      </c>
      <c r="O11" s="42">
        <v>1.22E-6</v>
      </c>
      <c r="P11" s="26"/>
    </row>
    <row r="12" spans="2:16" x14ac:dyDescent="0.3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174"/>
      <c r="M12" s="174">
        <v>9.6299999999999995E-8</v>
      </c>
      <c r="N12" s="174">
        <v>9.3499999999999997E-8</v>
      </c>
      <c r="O12" s="174"/>
      <c r="P12" s="26"/>
    </row>
    <row r="13" spans="2:16" x14ac:dyDescent="0.3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J13" si="2">(G12/G11)*100</f>
        <v>14.262295081967213</v>
      </c>
      <c r="H13" s="45">
        <f t="shared" si="2"/>
        <v>9.3442622950819683</v>
      </c>
      <c r="I13" s="45">
        <f t="shared" si="2"/>
        <v>15.163934426229508</v>
      </c>
      <c r="J13" s="45">
        <f t="shared" si="2"/>
        <v>28.442622950819676</v>
      </c>
      <c r="K13" s="45">
        <f>(K12/K11)*100</f>
        <v>5.7377049180327875</v>
      </c>
      <c r="L13" s="45">
        <f t="shared" ref="L13:O13" si="3">(L12/L11)*100</f>
        <v>0</v>
      </c>
      <c r="M13" s="45">
        <f>(M12/M11)*100</f>
        <v>7.8934426229508192</v>
      </c>
      <c r="N13" s="45">
        <f t="shared" si="3"/>
        <v>7.6639344262295088</v>
      </c>
      <c r="O13" s="45">
        <f t="shared" si="3"/>
        <v>0</v>
      </c>
      <c r="P13" s="26"/>
    </row>
    <row r="14" spans="2:16" x14ac:dyDescent="0.3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174"/>
      <c r="M14" s="174">
        <v>6050000</v>
      </c>
      <c r="N14" s="174">
        <v>6060000</v>
      </c>
      <c r="O14" s="174"/>
      <c r="P14" s="26"/>
    </row>
    <row r="15" spans="2:16" x14ac:dyDescent="0.3">
      <c r="B15" s="25" t="s">
        <v>34</v>
      </c>
      <c r="C15" s="40" t="s">
        <v>40</v>
      </c>
      <c r="E15" s="41" t="s">
        <v>39</v>
      </c>
      <c r="F15" s="88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88">
        <v>4.96</v>
      </c>
      <c r="L15" s="181"/>
      <c r="M15" s="181">
        <v>11.2</v>
      </c>
      <c r="N15" s="181">
        <v>11.4</v>
      </c>
      <c r="O15" s="181"/>
      <c r="P15" s="26"/>
    </row>
    <row r="16" spans="2:16" x14ac:dyDescent="0.3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93"/>
      <c r="M16" s="93"/>
      <c r="N16" s="93"/>
      <c r="O16" s="93"/>
      <c r="P16" s="26"/>
    </row>
    <row r="17" spans="2:16" x14ac:dyDescent="0.3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93"/>
      <c r="M17" s="93"/>
      <c r="N17" s="93"/>
      <c r="O17" s="93"/>
      <c r="P17" s="26"/>
    </row>
    <row r="18" spans="2:16" x14ac:dyDescent="0.3">
      <c r="B18" s="5"/>
      <c r="C18" s="44"/>
      <c r="D18" s="44"/>
      <c r="E18" s="44"/>
      <c r="F18" s="44"/>
      <c r="G18" s="43"/>
      <c r="H18" s="44"/>
      <c r="I18" s="44"/>
      <c r="J18" s="43"/>
      <c r="K18" s="44"/>
      <c r="L18" s="93"/>
      <c r="M18" s="93"/>
      <c r="N18" s="93"/>
      <c r="O18" s="93"/>
    </row>
    <row r="19" spans="2:16" x14ac:dyDescent="0.3">
      <c r="B19" s="5"/>
      <c r="C19" s="40" t="s">
        <v>35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2:16" x14ac:dyDescent="0.3">
      <c r="B20" s="5"/>
      <c r="C20" s="41"/>
      <c r="D20" s="41"/>
      <c r="E20" s="41"/>
      <c r="F20" s="41"/>
      <c r="G20" s="41"/>
      <c r="H20" s="44"/>
      <c r="I20" s="44"/>
      <c r="J20" s="44"/>
      <c r="K20" s="44"/>
      <c r="L20" s="93"/>
      <c r="M20" s="93"/>
      <c r="N20" s="93"/>
      <c r="O20" s="93"/>
    </row>
    <row r="21" spans="2:16" x14ac:dyDescent="0.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</row>
  </sheetData>
  <mergeCells count="5">
    <mergeCell ref="F2:J2"/>
    <mergeCell ref="C2:C3"/>
    <mergeCell ref="D2:D3"/>
    <mergeCell ref="K2:L2"/>
    <mergeCell ref="M2:O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9" zoomScale="80" zoomScaleNormal="80" workbookViewId="0">
      <selection activeCell="AY57" sqref="AY57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</cols>
  <sheetData>
    <row r="2" spans="3:67" x14ac:dyDescent="0.3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Sheet2!C6&amp; " and debris cloud diamter"</f>
        <v>Voice hardening parameter Q1 and debris cloud diamter</v>
      </c>
    </row>
    <row r="8" spans="3:67" x14ac:dyDescent="0.3">
      <c r="AD8" t="str">
        <f>Sheet2!C6&amp;" "&amp;Sheet2!D6</f>
        <v>Voice hardening parameter Q1 Q1</v>
      </c>
    </row>
    <row r="10" spans="3:67" x14ac:dyDescent="0.3">
      <c r="AD10" t="str">
        <f>Sheet2!C6&amp; " and target hole diameter"</f>
        <v>Voice hardening parameter Q1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Sheet2!C6&amp;" and percentage of solid material in debris cloud"</f>
        <v>Voice hardening parameter Q1 and percentage of solid material in debris cloud</v>
      </c>
      <c r="AP29" t="str">
        <f>Sheet2!C6&amp; " and residual velocity"</f>
        <v>Voice hardening parameter Q1 and residual velocity</v>
      </c>
    </row>
    <row r="46" spans="58:58" x14ac:dyDescent="0.3">
      <c r="BF46" t="s">
        <v>49</v>
      </c>
    </row>
    <row r="50" spans="37:37" x14ac:dyDescent="0.3">
      <c r="AK50" t="str">
        <f>Sheet2!C6&amp; " and percentage of converted particles due to temperature"</f>
        <v>Voice hardening parameter Q1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2022-02-28T08:48:34Z</dcterms:modified>
</cp:coreProperties>
</file>