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yleigh\Documents\HVI share\HVI\"/>
    </mc:Choice>
  </mc:AlternateContent>
  <xr:revisionPtr revIDLastSave="0" documentId="13_ncr:1_{CD7A96AB-9312-4B54-94B2-DCEE35A1906F}" xr6:coauthVersionLast="36" xr6:coauthVersionMax="47" xr10:uidLastSave="{00000000-0000-0000-0000-000000000000}"/>
  <bookViews>
    <workbookView xWindow="420" yWindow="-105" windowWidth="22725" windowHeight="13170" activeTab="1" xr2:uid="{84D0EFE8-BE55-4288-8C02-3F60F3E82B53}"/>
  </bookViews>
  <sheets>
    <sheet name="Sheet1" sheetId="1" r:id="rId1"/>
    <sheet name="Sheet4" sheetId="4" r:id="rId2"/>
    <sheet name="Sheet2" sheetId="2" r:id="rId3"/>
    <sheet name="Sheet3" sheetId="3" r:id="rId4"/>
    <sheet name="Sheet5" sheetId="5" r:id="rId5"/>
  </sheets>
  <definedNames>
    <definedName name="density">Sheet4!$C$10:$C$34</definedName>
    <definedName name="rho">Sheet4!$D$10:$D$34</definedName>
    <definedName name="ton_mm3">Sheet4!$E$10:$E$34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6" i="2" l="1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F6" i="2"/>
  <c r="D6" i="2"/>
  <c r="J6" i="2"/>
  <c r="I6" i="2"/>
  <c r="Y4" i="2"/>
  <c r="X4" i="2"/>
  <c r="L4" i="2"/>
  <c r="M4" i="2"/>
  <c r="K4" i="2"/>
  <c r="Y5" i="2"/>
  <c r="Y13" i="2"/>
  <c r="Y9" i="2"/>
  <c r="S13" i="2"/>
  <c r="S9" i="2"/>
  <c r="S5" i="2"/>
  <c r="S4" i="2"/>
  <c r="W5" i="2"/>
  <c r="W13" i="2"/>
  <c r="V9" i="2"/>
  <c r="W9" i="2"/>
  <c r="W4" i="2"/>
  <c r="M11" i="4" l="1"/>
  <c r="M10" i="4"/>
  <c r="L10" i="4"/>
  <c r="L11" i="4"/>
  <c r="K11" i="4"/>
  <c r="K10" i="4"/>
  <c r="O10" i="4"/>
  <c r="S11" i="4"/>
  <c r="S10" i="4"/>
  <c r="Y11" i="4"/>
  <c r="X11" i="4"/>
  <c r="X10" i="4"/>
  <c r="Y10" i="4"/>
  <c r="W11" i="4"/>
  <c r="W10" i="4"/>
  <c r="O9" i="2" l="1"/>
  <c r="Q5" i="2" l="1"/>
  <c r="R5" i="2"/>
  <c r="P5" i="2"/>
  <c r="Q4" i="2"/>
  <c r="R4" i="2"/>
  <c r="P4" i="2"/>
  <c r="P10" i="4"/>
  <c r="P11" i="4"/>
  <c r="Q11" i="4"/>
  <c r="R11" i="4"/>
  <c r="Q10" i="4"/>
  <c r="R10" i="4"/>
  <c r="E6" i="2"/>
  <c r="G6" i="2"/>
  <c r="H6" i="2"/>
  <c r="U13" i="2"/>
  <c r="V13" i="2"/>
  <c r="O13" i="2"/>
  <c r="U10" i="2" l="1"/>
  <c r="U8" i="2"/>
  <c r="U9" i="2" s="1"/>
  <c r="T13" i="2"/>
  <c r="T10" i="2"/>
  <c r="T8" i="2"/>
  <c r="T9" i="2" s="1"/>
  <c r="V5" i="2"/>
  <c r="U5" i="2"/>
  <c r="T5" i="2"/>
  <c r="V4" i="2"/>
  <c r="U4" i="2"/>
  <c r="T4" i="2"/>
  <c r="O5" i="2"/>
  <c r="O4" i="2"/>
  <c r="O19" i="4"/>
  <c r="O11" i="4"/>
  <c r="T19" i="4"/>
  <c r="U20" i="4"/>
  <c r="V20" i="4"/>
  <c r="T20" i="4"/>
  <c r="U19" i="4"/>
  <c r="V19" i="4"/>
  <c r="AK50" i="3" l="1"/>
  <c r="AD10" i="3" l="1"/>
  <c r="AP7" i="3"/>
  <c r="AD29" i="3"/>
  <c r="AD8" i="3"/>
  <c r="AP29" i="3"/>
  <c r="I10" i="2"/>
  <c r="I8" i="2"/>
  <c r="I9" i="2" s="1"/>
  <c r="H8" i="2"/>
  <c r="H9" i="2" s="1"/>
  <c r="G10" i="2"/>
  <c r="G8" i="2"/>
  <c r="G9" i="2" s="1"/>
  <c r="G13" i="2"/>
  <c r="H13" i="2"/>
  <c r="I13" i="2"/>
  <c r="J13" i="2"/>
  <c r="N13" i="2"/>
  <c r="J9" i="2"/>
  <c r="N9" i="2"/>
  <c r="F13" i="2" l="1"/>
  <c r="F9" i="2"/>
</calcChain>
</file>

<file path=xl/sharedStrings.xml><?xml version="1.0" encoding="utf-8"?>
<sst xmlns="http://schemas.openxmlformats.org/spreadsheetml/2006/main" count="279" uniqueCount="190">
  <si>
    <t>Al 7005</t>
  </si>
  <si>
    <t>Residual velocity as a function of impact velocity fort/D0.424 with varying friction coefficient</t>
  </si>
  <si>
    <t>Percentage of conversion to particles due to tempera-ture</t>
  </si>
  <si>
    <t>Effect of varying density, witht/D0.049 and 0.424, at 6.7 km/s with linear EOS.</t>
  </si>
  <si>
    <r>
      <t>Effect of varyingW</t>
    </r>
    <r>
      <rPr>
        <sz val="7"/>
        <color theme="1"/>
        <rFont val="Arial"/>
        <family val="2"/>
      </rPr>
      <t>c</t>
    </r>
    <r>
      <rPr>
        <sz val="10"/>
        <color theme="1"/>
        <rFont val="Arial"/>
        <family val="2"/>
      </rPr>
      <t>, witht/D0.026, 0.049, 0.102 and 0.424, at 6.7 km/s with linear EOS</t>
    </r>
  </si>
  <si>
    <t>Target hole diameter.</t>
  </si>
  <si>
    <t>Effect of varying the number of elements in the sphere, witht/D0.049 at 6.7 km/s</t>
  </si>
  <si>
    <t>Residual velocity of the debris cloud as a function of impact velocity.</t>
  </si>
  <si>
    <t>Percentage of conversion to particles due to tempera-ture as a function of impact velocity</t>
  </si>
  <si>
    <t>Percentage of solid material as a function of impactvelocity</t>
  </si>
  <si>
    <t>Debris cloud diameter as a function of impact velocity</t>
  </si>
  <si>
    <t>Target hole diameter as a function of impact velocity</t>
  </si>
  <si>
    <t>Impact velocity study</t>
  </si>
  <si>
    <t>Single parameter studies</t>
  </si>
  <si>
    <t>mesh size</t>
  </si>
  <si>
    <t>varying Wc</t>
  </si>
  <si>
    <t>Solid material in the debris cloud. As a func of Wc</t>
  </si>
  <si>
    <t>Percentage of conversion to particles due to tempera-ture as a func of Wc</t>
  </si>
  <si>
    <t>Density</t>
  </si>
  <si>
    <t>Percentage of conversion to particles due to tempera-ture as a func of density</t>
  </si>
  <si>
    <t>Solid material in the debris cloud as a func of density</t>
  </si>
  <si>
    <t>Effect of Friction Coefficient</t>
  </si>
  <si>
    <t>Ti</t>
  </si>
  <si>
    <t>aluminium</t>
  </si>
  <si>
    <t>steel</t>
  </si>
  <si>
    <t>AA6061-T6 (Rannveig Model)</t>
  </si>
  <si>
    <t>Residual velocity</t>
  </si>
  <si>
    <t>Original Mass</t>
  </si>
  <si>
    <t>Final mass of particle</t>
  </si>
  <si>
    <t>Material Properties</t>
  </si>
  <si>
    <t>GRAPHICAL RESULTS</t>
  </si>
  <si>
    <t>DENSITY RESULTS</t>
  </si>
  <si>
    <t>NOTES PAGE</t>
  </si>
  <si>
    <t>Material Options:</t>
  </si>
  <si>
    <t>*</t>
  </si>
  <si>
    <t>Ballistic limit curve - 'critical diameter' against velocity</t>
  </si>
  <si>
    <t>//</t>
  </si>
  <si>
    <t>mm/s</t>
  </si>
  <si>
    <t xml:space="preserve">Percentage of solid material in debris cloud </t>
  </si>
  <si>
    <t>%</t>
  </si>
  <si>
    <t>Percentage of conversion to particles due to temperature</t>
  </si>
  <si>
    <t xml:space="preserve">Kinetic Energy of the projectile </t>
  </si>
  <si>
    <t xml:space="preserve">Global kinetic energy </t>
  </si>
  <si>
    <t>mm</t>
  </si>
  <si>
    <t xml:space="preserve">Debris cloud diameter </t>
  </si>
  <si>
    <t xml:space="preserve">Target hole diameter </t>
  </si>
  <si>
    <t xml:space="preserve">Target hole radius </t>
  </si>
  <si>
    <t>% of initial projectile ke</t>
  </si>
  <si>
    <t>% of initial global ke</t>
  </si>
  <si>
    <t xml:space="preserve"> </t>
  </si>
  <si>
    <t>ton/mm3</t>
  </si>
  <si>
    <t>Docol 600 DL</t>
  </si>
  <si>
    <t>AA6061-T6</t>
  </si>
  <si>
    <t>ALUMINIUM</t>
  </si>
  <si>
    <t>A1</t>
  </si>
  <si>
    <t>A2</t>
  </si>
  <si>
    <t>A3</t>
  </si>
  <si>
    <t>A4</t>
  </si>
  <si>
    <t>A5</t>
  </si>
  <si>
    <t>S1</t>
  </si>
  <si>
    <t>STEEL</t>
  </si>
  <si>
    <t>AA6070-O</t>
  </si>
  <si>
    <t>AA6070-T4</t>
  </si>
  <si>
    <t>AA6070-T6</t>
  </si>
  <si>
    <t>AA6070-T7</t>
  </si>
  <si>
    <t>Material Parameters</t>
  </si>
  <si>
    <t>Symbol</t>
  </si>
  <si>
    <t>UNITS</t>
  </si>
  <si>
    <t>density</t>
  </si>
  <si>
    <t>rho</t>
  </si>
  <si>
    <t>bulk modulus</t>
  </si>
  <si>
    <t>K</t>
  </si>
  <si>
    <t>MPa</t>
  </si>
  <si>
    <t>shear modulus</t>
  </si>
  <si>
    <t>G</t>
  </si>
  <si>
    <t>user mat type</t>
  </si>
  <si>
    <t>-</t>
  </si>
  <si>
    <t>Young's modulus</t>
  </si>
  <si>
    <t>E</t>
  </si>
  <si>
    <t>Poisson's ratio</t>
  </si>
  <si>
    <t>nu</t>
  </si>
  <si>
    <t>Taylor-Quinney coefficient</t>
  </si>
  <si>
    <t>xsi</t>
  </si>
  <si>
    <t>specific heat capacity</t>
  </si>
  <si>
    <t>cp</t>
  </si>
  <si>
    <t>Nmm/tonK</t>
  </si>
  <si>
    <t>thermal expansion coefficient</t>
  </si>
  <si>
    <t>alpha</t>
  </si>
  <si>
    <t>K-1</t>
  </si>
  <si>
    <t>E dot</t>
  </si>
  <si>
    <t>s-1</t>
  </si>
  <si>
    <t>cp*rho</t>
  </si>
  <si>
    <t>melting temperature</t>
  </si>
  <si>
    <t>tm</t>
  </si>
  <si>
    <t>initial temperature</t>
  </si>
  <si>
    <t>t0</t>
  </si>
  <si>
    <t>room temperature</t>
  </si>
  <si>
    <t>tr</t>
  </si>
  <si>
    <t>critical temperature</t>
  </si>
  <si>
    <t>TC</t>
  </si>
  <si>
    <t>A / sigma0</t>
  </si>
  <si>
    <t>B</t>
  </si>
  <si>
    <t>n</t>
  </si>
  <si>
    <t>C</t>
  </si>
  <si>
    <t>m</t>
  </si>
  <si>
    <t>Q1</t>
  </si>
  <si>
    <t>C1</t>
  </si>
  <si>
    <t>Q2</t>
  </si>
  <si>
    <t>C2</t>
  </si>
  <si>
    <t>Critical Cockcroft-Latham parameter</t>
  </si>
  <si>
    <t>Wc</t>
  </si>
  <si>
    <t>Mpa</t>
  </si>
  <si>
    <t>c</t>
  </si>
  <si>
    <t>sigma0</t>
  </si>
  <si>
    <t>Comments</t>
  </si>
  <si>
    <t>Annealed</t>
  </si>
  <si>
    <t>Naturally aged</t>
  </si>
  <si>
    <t>Peak strength</t>
  </si>
  <si>
    <t>Overaged</t>
  </si>
  <si>
    <t>References</t>
  </si>
  <si>
    <t>Status</t>
  </si>
  <si>
    <t>done</t>
  </si>
  <si>
    <t>Rannveig</t>
  </si>
  <si>
    <t>units</t>
  </si>
  <si>
    <t>JC Yield stress A</t>
  </si>
  <si>
    <t>JC hardening parameter B</t>
  </si>
  <si>
    <t>JC hardening param n</t>
  </si>
  <si>
    <t>JC hardening param C</t>
  </si>
  <si>
    <t>JC softening param m</t>
  </si>
  <si>
    <t>TITANIUM</t>
  </si>
  <si>
    <t>T1</t>
  </si>
  <si>
    <t>T2</t>
  </si>
  <si>
    <t>T3</t>
  </si>
  <si>
    <t>VT6</t>
  </si>
  <si>
    <t>OT4</t>
  </si>
  <si>
    <t>OT4-O</t>
  </si>
  <si>
    <t>D1</t>
  </si>
  <si>
    <t>D2</t>
  </si>
  <si>
    <t>D3</t>
  </si>
  <si>
    <t>D4</t>
  </si>
  <si>
    <t>D5</t>
  </si>
  <si>
    <t>−0.1</t>
  </si>
  <si>
    <t>−0.02</t>
  </si>
  <si>
    <t>Tensile strength</t>
  </si>
  <si>
    <t>MODIFIED JOHNSON-COOK</t>
  </si>
  <si>
    <t>ORIGINAL JOHNSON-COOK</t>
  </si>
  <si>
    <t>Damage Paramenters</t>
  </si>
  <si>
    <t>S2</t>
  </si>
  <si>
    <t>Mie-Gruneisen EOS constants</t>
  </si>
  <si>
    <t>S3</t>
  </si>
  <si>
    <t>gamma0</t>
  </si>
  <si>
    <t>WELDOX 460 E</t>
  </si>
  <si>
    <t>S4</t>
  </si>
  <si>
    <t>S5</t>
  </si>
  <si>
    <t>WELDOX 700 E</t>
  </si>
  <si>
    <t>WELDOX 900 E</t>
  </si>
  <si>
    <t>Voce hardening parameter Q1</t>
  </si>
  <si>
    <t>Voce hardening parameter C1</t>
  </si>
  <si>
    <t>Voce hardening parameter Q2</t>
  </si>
  <si>
    <t>Voce hardening parameter C2</t>
  </si>
  <si>
    <t>running</t>
  </si>
  <si>
    <t>T4</t>
  </si>
  <si>
    <t>M1</t>
  </si>
  <si>
    <t>M2</t>
  </si>
  <si>
    <t>OFHC COPPER</t>
  </si>
  <si>
    <t>Ti-6Al-4V</t>
  </si>
  <si>
    <t>Failure Modeling of Titanium  6Al-4V and Aluminum 2024-T3 With the Johnson-Cook Material Model</t>
  </si>
  <si>
    <t>On the influence of fracture criterion in projectile impact of steel platesS. Deya,*, T. Børvika,b, O.S. Hopperstada, M. Langseth</t>
  </si>
  <si>
    <t>Ballistic impact simulation of GT model vehicle door using finite element method</t>
  </si>
  <si>
    <t>Determination and verification of Johnson–Cook model parameters at high-speed deformation of titanium alloys
Author links open overlay panelA.E.BuzyurkinaI.L.GladkybE.I.Krausa</t>
  </si>
  <si>
    <t>On the dynamic response of blast-loaded steel plates with andwithout pre-formed holesTaggedPD1XXV. AuneD2XXa,b,*,D3XXG. ValsamosD4XXc,D5XXF. CasadeiD6XXc,1,D7XXM. LangsethD8XXa,b,D9XXT. BørvikD10XXa</t>
  </si>
  <si>
    <t>Effects of heat treatment on the ballistic properties of AA6070 aluminium alloy J.K. Holmen a , J. Johnsen a , S. Jupp b , O.S. Hopperstad a , T. Børvik</t>
  </si>
  <si>
    <t>ARMOC IRON</t>
  </si>
  <si>
    <t xml:space="preserve">FRACTURE CHARACTERISTICS OF THREE METALS SUBJECTED TO VARIOUS STRAINS, STRAIN RATES, TEMPERATURES AND PRESSURES </t>
  </si>
  <si>
    <t>MILD STEEL</t>
  </si>
  <si>
    <t>S6</t>
  </si>
  <si>
    <t>The characterization and ballistic evaluation of mild steel</t>
  </si>
  <si>
    <t>Chip Fracture Behavior in theHigh Speed Machining ofTitanium Alloys</t>
  </si>
  <si>
    <t>A6</t>
  </si>
  <si>
    <t>7075-T651</t>
  </si>
  <si>
    <r>
      <t>Study of the constitutive behavior of 7075-T651 aluminum alloy</t>
    </r>
    <r>
      <rPr>
        <sz val="10"/>
        <color theme="1"/>
        <rFont val="Courier New"/>
        <family val="3"/>
      </rPr>
      <t>TaggedPD1XX</t>
    </r>
    <r>
      <rPr>
        <sz val="10"/>
        <color theme="1"/>
        <rFont val="Times New Roman"/>
        <family val="1"/>
      </rPr>
      <t>K. Senthil</t>
    </r>
    <r>
      <rPr>
        <sz val="10"/>
        <color theme="1"/>
        <rFont val="Courier New"/>
        <family val="3"/>
      </rPr>
      <t>D2XX</t>
    </r>
    <r>
      <rPr>
        <sz val="10"/>
        <color theme="1"/>
        <rFont val="Times New Roman"/>
        <family val="1"/>
      </rPr>
      <t>a,</t>
    </r>
    <r>
      <rPr>
        <sz val="10"/>
        <color theme="1"/>
        <rFont val="Courier New"/>
        <family val="3"/>
      </rPr>
      <t>D3XX</t>
    </r>
    <r>
      <rPr>
        <sz val="10"/>
        <color theme="1"/>
        <rFont val="Times New Roman"/>
        <family val="1"/>
      </rPr>
      <t>M.A. Iqbal</t>
    </r>
    <r>
      <rPr>
        <sz val="10"/>
        <color theme="1"/>
        <rFont val="Courier New"/>
        <family val="3"/>
      </rPr>
      <t>D4XX</t>
    </r>
    <r>
      <rPr>
        <sz val="10"/>
        <color theme="1"/>
        <rFont val="Times New Roman"/>
        <family val="1"/>
      </rPr>
      <t>a,*,</t>
    </r>
    <r>
      <rPr>
        <sz val="10"/>
        <color theme="1"/>
        <rFont val="Courier New"/>
        <family val="3"/>
      </rPr>
      <t>D5XX</t>
    </r>
    <r>
      <rPr>
        <sz val="10"/>
        <color theme="1"/>
        <rFont val="Times New Roman"/>
        <family val="1"/>
      </rPr>
      <t>P.S. Chandel</t>
    </r>
    <r>
      <rPr>
        <sz val="10"/>
        <color theme="1"/>
        <rFont val="Courier New"/>
        <family val="3"/>
      </rPr>
      <t>D6XX</t>
    </r>
    <r>
      <rPr>
        <sz val="10"/>
        <color theme="1"/>
        <rFont val="Times New Roman"/>
        <family val="1"/>
      </rPr>
      <t>b,</t>
    </r>
    <r>
      <rPr>
        <sz val="10"/>
        <color theme="1"/>
        <rFont val="Courier New"/>
        <family val="3"/>
      </rPr>
      <t>D7XX</t>
    </r>
    <r>
      <rPr>
        <sz val="10"/>
        <color theme="1"/>
        <rFont val="Times New Roman"/>
        <family val="1"/>
      </rPr>
      <t>N.K Gupta</t>
    </r>
  </si>
  <si>
    <t>A7</t>
  </si>
  <si>
    <t>A8</t>
  </si>
  <si>
    <t>MISC.</t>
  </si>
  <si>
    <t>MJC</t>
  </si>
  <si>
    <t>OJC</t>
  </si>
  <si>
    <t>2024-O</t>
  </si>
  <si>
    <r>
      <t>Ballistic resistance of 2024 aluminium plates against hemispherical, sphereand blunt nose projectiles</t>
    </r>
    <r>
      <rPr>
        <sz val="11"/>
        <color theme="1"/>
        <rFont val="Times New Roman"/>
        <family val="1"/>
      </rPr>
      <t>K. Senthil</t>
    </r>
    <r>
      <rPr>
        <sz val="7"/>
        <color theme="1"/>
        <rFont val="Times New Roman"/>
        <family val="1"/>
      </rPr>
      <t>a,</t>
    </r>
    <r>
      <rPr>
        <sz val="7"/>
        <color theme="1"/>
        <rFont val="Courier New"/>
        <family val="3"/>
      </rPr>
      <t>⁎</t>
    </r>
    <r>
      <rPr>
        <sz val="11"/>
        <color theme="1"/>
        <rFont val="Times New Roman"/>
        <family val="1"/>
      </rPr>
      <t>, M.A. Iqbal</t>
    </r>
    <r>
      <rPr>
        <sz val="7"/>
        <color theme="1"/>
        <rFont val="Times New Roman"/>
        <family val="1"/>
      </rPr>
      <t>b</t>
    </r>
    <r>
      <rPr>
        <sz val="11"/>
        <color theme="1"/>
        <rFont val="Times New Roman"/>
        <family val="1"/>
      </rPr>
      <t>, B. Arindam</t>
    </r>
    <r>
      <rPr>
        <sz val="7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, R. Mittal</t>
    </r>
    <r>
      <rPr>
        <sz val="7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, N.K. Gupta</t>
    </r>
  </si>
  <si>
    <t>7075-T6</t>
  </si>
  <si>
    <r>
      <t>Modeling the effect of laser heating on the strength and failure of7075-T6 aluminum</t>
    </r>
    <r>
      <rPr>
        <sz val="11"/>
        <color theme="1"/>
        <rFont val="Times New Roman"/>
        <family val="1"/>
      </rPr>
      <t>J.N. Florando</t>
    </r>
    <r>
      <rPr>
        <sz val="7"/>
        <color theme="1"/>
        <rFont val="Arial"/>
        <family val="2"/>
      </rPr>
      <t>n</t>
    </r>
    <r>
      <rPr>
        <sz val="11"/>
        <color theme="1"/>
        <rFont val="Times New Roman"/>
        <family val="1"/>
      </rPr>
      <t>, J.D. Margraf, J.F. Reus, A.T. Anderson, R.C. McCallen, M.M. LeBlanc,J.R. Stanley, A.M. Rubenchik, S.S. Wu, W.H. Lowdermilk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</si>
</sst>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7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Roboto"/>
    </font>
    <font>
      <sz val="11"/>
      <color rgb="FF2E2E2E"/>
      <name val="Georgia"/>
      <family val="1"/>
    </font>
    <font>
      <sz val="12"/>
      <color theme="1"/>
      <name val="Arial"/>
      <family val="2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7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ourier New"/>
      <family val="3"/>
    </font>
    <font>
      <sz val="7"/>
      <color theme="1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FE2F3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medium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indexed="64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/>
      <diagonal/>
    </border>
    <border>
      <left/>
      <right/>
      <top/>
      <bottom style="thin">
        <color theme="2" tint="-9.9978637043366805E-2"/>
      </bottom>
      <diagonal/>
    </border>
    <border>
      <left style="thin">
        <color indexed="64"/>
      </left>
      <right/>
      <top/>
      <bottom style="thin">
        <color theme="2" tint="-9.9978637043366805E-2"/>
      </bottom>
      <diagonal/>
    </border>
    <border>
      <left style="thin">
        <color indexed="64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theme="2" tint="-9.9978637043366805E-2"/>
      </top>
      <bottom style="medium">
        <color indexed="64"/>
      </bottom>
      <diagonal/>
    </border>
    <border>
      <left style="thin">
        <color theme="2" tint="-0.249977111117893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theme="2" tint="-9.9978637043366805E-2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2" tint="-9.9978637043366805E-2"/>
      </top>
      <bottom/>
      <diagonal/>
    </border>
  </borders>
  <cellStyleXfs count="1">
    <xf numFmtId="0" fontId="0" fillId="0" borderId="0"/>
  </cellStyleXfs>
  <cellXfs count="211">
    <xf numFmtId="0" fontId="0" fillId="0" borderId="0" xfId="0"/>
    <xf numFmtId="0" fontId="0" fillId="4" borderId="0" xfId="0" applyFill="1"/>
    <xf numFmtId="0" fontId="0" fillId="2" borderId="1" xfId="0" applyFill="1" applyBorder="1"/>
    <xf numFmtId="0" fontId="0" fillId="3" borderId="1" xfId="0" applyFill="1" applyBorder="1"/>
    <xf numFmtId="0" fontId="1" fillId="5" borderId="0" xfId="0" applyFont="1" applyFill="1"/>
    <xf numFmtId="0" fontId="0" fillId="0" borderId="0" xfId="0" applyFill="1"/>
    <xf numFmtId="0" fontId="1" fillId="0" borderId="0" xfId="0" applyFont="1" applyFill="1"/>
    <xf numFmtId="0" fontId="0" fillId="2" borderId="2" xfId="0" applyFill="1" applyBorder="1"/>
    <xf numFmtId="0" fontId="0" fillId="2" borderId="4" xfId="0" applyFill="1" applyBorder="1"/>
    <xf numFmtId="0" fontId="6" fillId="2" borderId="1" xfId="0" applyFont="1" applyFill="1" applyBorder="1"/>
    <xf numFmtId="0" fontId="0" fillId="5" borderId="0" xfId="0" applyFill="1"/>
    <xf numFmtId="0" fontId="0" fillId="2" borderId="0" xfId="0" applyFill="1"/>
    <xf numFmtId="0" fontId="1" fillId="0" borderId="0" xfId="0" applyFont="1"/>
    <xf numFmtId="0" fontId="2" fillId="5" borderId="0" xfId="0" applyFont="1" applyFill="1"/>
    <xf numFmtId="0" fontId="2" fillId="4" borderId="0" xfId="0" applyFont="1" applyFill="1"/>
    <xf numFmtId="0" fontId="3" fillId="4" borderId="0" xfId="0" applyFont="1" applyFill="1"/>
    <xf numFmtId="0" fontId="3" fillId="5" borderId="0" xfId="0" applyFont="1" applyFill="1"/>
    <xf numFmtId="0" fontId="1" fillId="2" borderId="2" xfId="0" applyFont="1" applyFill="1" applyBorder="1" applyAlignment="1"/>
    <xf numFmtId="0" fontId="1" fillId="2" borderId="5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0" fillId="0" borderId="0" xfId="0" applyAlignment="1">
      <alignment horizontal="center" vertical="top"/>
    </xf>
    <xf numFmtId="0" fontId="0" fillId="0" borderId="0" xfId="0" applyFill="1" applyAlignment="1">
      <alignment horizontal="right"/>
    </xf>
    <xf numFmtId="0" fontId="0" fillId="0" borderId="0" xfId="0" applyBorder="1"/>
    <xf numFmtId="0" fontId="2" fillId="0" borderId="0" xfId="0" applyFont="1" applyBorder="1" applyAlignment="1">
      <alignment wrapText="1"/>
    </xf>
    <xf numFmtId="11" fontId="2" fillId="0" borderId="0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0" fontId="2" fillId="0" borderId="0" xfId="0" applyFont="1" applyBorder="1" applyAlignment="1">
      <alignment vertical="center"/>
    </xf>
    <xf numFmtId="0" fontId="2" fillId="6" borderId="6" xfId="0" applyFont="1" applyFill="1" applyBorder="1" applyAlignment="1">
      <alignment wrapText="1"/>
    </xf>
    <xf numFmtId="0" fontId="2" fillId="5" borderId="6" xfId="0" applyFont="1" applyFill="1" applyBorder="1" applyAlignment="1">
      <alignment wrapText="1"/>
    </xf>
    <xf numFmtId="11" fontId="2" fillId="0" borderId="6" xfId="0" applyNumberFormat="1" applyFont="1" applyBorder="1" applyAlignment="1">
      <alignment horizontal="right" wrapText="1"/>
    </xf>
    <xf numFmtId="0" fontId="2" fillId="0" borderId="6" xfId="0" applyFont="1" applyBorder="1" applyAlignment="1">
      <alignment horizontal="right" wrapText="1"/>
    </xf>
    <xf numFmtId="11" fontId="9" fillId="7" borderId="6" xfId="0" applyNumberFormat="1" applyFont="1" applyFill="1" applyBorder="1" applyAlignment="1">
      <alignment horizontal="right" wrapText="1"/>
    </xf>
    <xf numFmtId="0" fontId="2" fillId="8" borderId="6" xfId="0" applyFont="1" applyFill="1" applyBorder="1" applyAlignment="1">
      <alignment wrapText="1"/>
    </xf>
    <xf numFmtId="0" fontId="2" fillId="0" borderId="6" xfId="0" applyFont="1" applyBorder="1" applyAlignment="1">
      <alignment horizontal="center" wrapText="1"/>
    </xf>
    <xf numFmtId="0" fontId="1" fillId="5" borderId="7" xfId="0" applyFont="1" applyFill="1" applyBorder="1"/>
    <xf numFmtId="0" fontId="1" fillId="4" borderId="7" xfId="0" applyFont="1" applyFill="1" applyBorder="1"/>
    <xf numFmtId="0" fontId="1" fillId="0" borderId="7" xfId="0" applyFont="1" applyFill="1" applyBorder="1"/>
    <xf numFmtId="11" fontId="0" fillId="0" borderId="7" xfId="0" applyNumberFormat="1" applyBorder="1"/>
    <xf numFmtId="0" fontId="0" fillId="0" borderId="7" xfId="0" applyBorder="1"/>
    <xf numFmtId="0" fontId="0" fillId="0" borderId="7" xfId="0" applyFill="1" applyBorder="1"/>
    <xf numFmtId="164" fontId="0" fillId="0" borderId="7" xfId="0" applyNumberFormat="1" applyBorder="1"/>
    <xf numFmtId="11" fontId="0" fillId="0" borderId="7" xfId="0" applyNumberFormat="1" applyFill="1" applyBorder="1"/>
    <xf numFmtId="0" fontId="1" fillId="4" borderId="8" xfId="0" applyFont="1" applyFill="1" applyBorder="1"/>
    <xf numFmtId="0" fontId="1" fillId="0" borderId="8" xfId="0" applyFont="1" applyFill="1" applyBorder="1"/>
    <xf numFmtId="11" fontId="0" fillId="0" borderId="8" xfId="0" applyNumberFormat="1" applyBorder="1"/>
    <xf numFmtId="0" fontId="0" fillId="0" borderId="8" xfId="0" applyBorder="1"/>
    <xf numFmtId="11" fontId="2" fillId="0" borderId="8" xfId="0" applyNumberFormat="1" applyFont="1" applyBorder="1"/>
    <xf numFmtId="0" fontId="1" fillId="5" borderId="9" xfId="0" applyFont="1" applyFill="1" applyBorder="1"/>
    <xf numFmtId="0" fontId="5" fillId="5" borderId="9" xfId="0" applyFont="1" applyFill="1" applyBorder="1"/>
    <xf numFmtId="0" fontId="7" fillId="5" borderId="9" xfId="0" applyFont="1" applyFill="1" applyBorder="1"/>
    <xf numFmtId="0" fontId="1" fillId="5" borderId="10" xfId="0" applyFont="1" applyFill="1" applyBorder="1"/>
    <xf numFmtId="0" fontId="0" fillId="5" borderId="10" xfId="0" applyFill="1" applyBorder="1"/>
    <xf numFmtId="0" fontId="2" fillId="5" borderId="12" xfId="0" applyFont="1" applyFill="1" applyBorder="1" applyAlignment="1">
      <alignment wrapText="1"/>
    </xf>
    <xf numFmtId="11" fontId="2" fillId="0" borderId="12" xfId="0" applyNumberFormat="1" applyFont="1" applyBorder="1" applyAlignment="1">
      <alignment horizontal="right" wrapText="1"/>
    </xf>
    <xf numFmtId="0" fontId="2" fillId="0" borderId="12" xfId="0" applyFont="1" applyBorder="1" applyAlignment="1">
      <alignment wrapText="1"/>
    </xf>
    <xf numFmtId="0" fontId="2" fillId="6" borderId="12" xfId="0" applyFont="1" applyFill="1" applyBorder="1" applyAlignment="1">
      <alignment wrapText="1"/>
    </xf>
    <xf numFmtId="0" fontId="2" fillId="0" borderId="12" xfId="0" applyFont="1" applyBorder="1" applyAlignment="1">
      <alignment horizontal="center" wrapText="1"/>
    </xf>
    <xf numFmtId="0" fontId="2" fillId="2" borderId="6" xfId="0" applyFont="1" applyFill="1" applyBorder="1" applyAlignment="1">
      <alignment wrapText="1"/>
    </xf>
    <xf numFmtId="0" fontId="8" fillId="2" borderId="11" xfId="0" applyFont="1" applyFill="1" applyBorder="1" applyAlignment="1">
      <alignment wrapText="1"/>
    </xf>
    <xf numFmtId="0" fontId="8" fillId="2" borderId="14" xfId="0" applyFont="1" applyFill="1" applyBorder="1" applyAlignment="1">
      <alignment wrapText="1"/>
    </xf>
    <xf numFmtId="11" fontId="2" fillId="0" borderId="15" xfId="0" applyNumberFormat="1" applyFont="1" applyBorder="1" applyAlignment="1">
      <alignment horizontal="right" wrapText="1"/>
    </xf>
    <xf numFmtId="0" fontId="2" fillId="0" borderId="13" xfId="0" applyFont="1" applyBorder="1" applyAlignment="1">
      <alignment horizontal="right" wrapText="1"/>
    </xf>
    <xf numFmtId="11" fontId="2" fillId="0" borderId="13" xfId="0" applyNumberFormat="1" applyFont="1" applyBorder="1" applyAlignment="1">
      <alignment horizontal="right" wrapText="1"/>
    </xf>
    <xf numFmtId="11" fontId="9" fillId="7" borderId="13" xfId="0" applyNumberFormat="1" applyFont="1" applyFill="1" applyBorder="1" applyAlignment="1">
      <alignment horizontal="right" wrapText="1"/>
    </xf>
    <xf numFmtId="11" fontId="2" fillId="0" borderId="18" xfId="0" applyNumberFormat="1" applyFont="1" applyBorder="1" applyAlignment="1">
      <alignment horizontal="right" wrapText="1"/>
    </xf>
    <xf numFmtId="11" fontId="2" fillId="0" borderId="16" xfId="0" applyNumberFormat="1" applyFont="1" applyBorder="1" applyAlignment="1">
      <alignment horizontal="right" wrapText="1"/>
    </xf>
    <xf numFmtId="0" fontId="2" fillId="0" borderId="16" xfId="0" applyFont="1" applyBorder="1" applyAlignment="1">
      <alignment horizontal="right" wrapText="1"/>
    </xf>
    <xf numFmtId="0" fontId="2" fillId="2" borderId="13" xfId="0" applyFont="1" applyFill="1" applyBorder="1" applyAlignment="1">
      <alignment wrapText="1"/>
    </xf>
    <xf numFmtId="0" fontId="2" fillId="5" borderId="15" xfId="0" applyFont="1" applyFill="1" applyBorder="1" applyAlignment="1">
      <alignment wrapText="1"/>
    </xf>
    <xf numFmtId="0" fontId="2" fillId="5" borderId="13" xfId="0" applyFont="1" applyFill="1" applyBorder="1" applyAlignment="1">
      <alignment wrapText="1"/>
    </xf>
    <xf numFmtId="0" fontId="2" fillId="8" borderId="13" xfId="0" applyFont="1" applyFill="1" applyBorder="1" applyAlignment="1">
      <alignment wrapText="1"/>
    </xf>
    <xf numFmtId="0" fontId="2" fillId="6" borderId="15" xfId="0" applyFont="1" applyFill="1" applyBorder="1" applyAlignment="1">
      <alignment wrapText="1"/>
    </xf>
    <xf numFmtId="0" fontId="2" fillId="6" borderId="13" xfId="0" applyFont="1" applyFill="1" applyBorder="1" applyAlignment="1">
      <alignment wrapText="1"/>
    </xf>
    <xf numFmtId="0" fontId="2" fillId="0" borderId="18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1" fillId="5" borderId="7" xfId="0" applyFont="1" applyFill="1" applyBorder="1" applyAlignment="1">
      <alignment horizontal="center"/>
    </xf>
    <xf numFmtId="2" fontId="0" fillId="0" borderId="8" xfId="0" applyNumberFormat="1" applyBorder="1"/>
    <xf numFmtId="2" fontId="0" fillId="0" borderId="8" xfId="0" applyNumberFormat="1" applyFill="1" applyBorder="1"/>
    <xf numFmtId="2" fontId="0" fillId="0" borderId="7" xfId="0" applyNumberFormat="1" applyBorder="1"/>
    <xf numFmtId="2" fontId="0" fillId="0" borderId="7" xfId="0" applyNumberFormat="1" applyFill="1" applyBorder="1"/>
    <xf numFmtId="0" fontId="0" fillId="0" borderId="7" xfId="0" applyFont="1" applyFill="1" applyBorder="1"/>
    <xf numFmtId="0" fontId="0" fillId="0" borderId="0" xfId="0" applyFill="1" applyBorder="1"/>
    <xf numFmtId="0" fontId="2" fillId="5" borderId="21" xfId="0" applyFont="1" applyFill="1" applyBorder="1" applyAlignment="1">
      <alignment wrapText="1"/>
    </xf>
    <xf numFmtId="0" fontId="2" fillId="5" borderId="22" xfId="0" applyFont="1" applyFill="1" applyBorder="1" applyAlignment="1">
      <alignment wrapText="1"/>
    </xf>
    <xf numFmtId="0" fontId="2" fillId="0" borderId="23" xfId="0" applyFont="1" applyBorder="1" applyAlignment="1">
      <alignment horizontal="right" wrapText="1"/>
    </xf>
    <xf numFmtId="0" fontId="2" fillId="0" borderId="21" xfId="0" applyFont="1" applyBorder="1" applyAlignment="1">
      <alignment horizontal="right" wrapText="1"/>
    </xf>
    <xf numFmtId="0" fontId="2" fillId="0" borderId="22" xfId="0" applyFont="1" applyBorder="1" applyAlignment="1">
      <alignment horizontal="right" wrapText="1"/>
    </xf>
    <xf numFmtId="0" fontId="2" fillId="0" borderId="24" xfId="0" applyFont="1" applyBorder="1" applyAlignment="1">
      <alignment horizontal="right" wrapText="1"/>
    </xf>
    <xf numFmtId="0" fontId="2" fillId="0" borderId="25" xfId="0" applyFont="1" applyBorder="1" applyAlignment="1">
      <alignment horizontal="right" wrapText="1"/>
    </xf>
    <xf numFmtId="0" fontId="2" fillId="0" borderId="26" xfId="0" applyFont="1" applyBorder="1" applyAlignment="1">
      <alignment horizontal="right" wrapText="1"/>
    </xf>
    <xf numFmtId="0" fontId="2" fillId="0" borderId="27" xfId="0" applyFont="1" applyBorder="1" applyAlignment="1">
      <alignment horizontal="right" wrapText="1"/>
    </xf>
    <xf numFmtId="0" fontId="2" fillId="5" borderId="28" xfId="0" applyFont="1" applyFill="1" applyBorder="1" applyAlignment="1">
      <alignment wrapText="1"/>
    </xf>
    <xf numFmtId="0" fontId="2" fillId="5" borderId="29" xfId="0" applyFont="1" applyFill="1" applyBorder="1" applyAlignment="1">
      <alignment wrapText="1"/>
    </xf>
    <xf numFmtId="0" fontId="8" fillId="2" borderId="0" xfId="0" applyFont="1" applyFill="1" applyBorder="1" applyAlignment="1">
      <alignment wrapText="1"/>
    </xf>
    <xf numFmtId="0" fontId="2" fillId="0" borderId="15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0" fillId="0" borderId="5" xfId="0" applyBorder="1" applyAlignment="1">
      <alignment horizontal="right"/>
    </xf>
    <xf numFmtId="0" fontId="0" fillId="0" borderId="0" xfId="0" applyBorder="1" applyAlignment="1">
      <alignment horizontal="right"/>
    </xf>
    <xf numFmtId="11" fontId="0" fillId="0" borderId="0" xfId="0" applyNumberFormat="1" applyBorder="1" applyAlignment="1">
      <alignment horizontal="right"/>
    </xf>
    <xf numFmtId="11" fontId="0" fillId="0" borderId="5" xfId="0" applyNumberFormat="1" applyBorder="1" applyAlignment="1">
      <alignment horizontal="right"/>
    </xf>
    <xf numFmtId="0" fontId="10" fillId="0" borderId="5" xfId="0" applyFont="1" applyBorder="1"/>
    <xf numFmtId="0" fontId="10" fillId="0" borderId="0" xfId="0" applyFont="1" applyBorder="1"/>
    <xf numFmtId="0" fontId="2" fillId="0" borderId="5" xfId="0" applyFont="1" applyBorder="1" applyAlignment="1">
      <alignment horizontal="right" wrapText="1"/>
    </xf>
    <xf numFmtId="0" fontId="2" fillId="0" borderId="18" xfId="0" applyFont="1" applyBorder="1" applyAlignment="1">
      <alignment wrapText="1"/>
    </xf>
    <xf numFmtId="0" fontId="2" fillId="0" borderId="0" xfId="0" applyFont="1" applyBorder="1" applyAlignment="1">
      <alignment horizontal="left" vertical="top" wrapText="1"/>
    </xf>
    <xf numFmtId="0" fontId="2" fillId="5" borderId="0" xfId="0" applyFont="1" applyFill="1" applyBorder="1" applyAlignment="1">
      <alignment wrapText="1"/>
    </xf>
    <xf numFmtId="0" fontId="0" fillId="5" borderId="34" xfId="0" applyFill="1" applyBorder="1"/>
    <xf numFmtId="0" fontId="0" fillId="5" borderId="33" xfId="0" applyFill="1" applyBorder="1"/>
    <xf numFmtId="0" fontId="0" fillId="0" borderId="35" xfId="0" applyBorder="1"/>
    <xf numFmtId="0" fontId="0" fillId="0" borderId="36" xfId="0" applyBorder="1"/>
    <xf numFmtId="0" fontId="0" fillId="0" borderId="35" xfId="0" applyBorder="1" applyAlignment="1">
      <alignment horizontal="right"/>
    </xf>
    <xf numFmtId="0" fontId="0" fillId="0" borderId="36" xfId="0" applyBorder="1" applyAlignment="1">
      <alignment horizontal="right"/>
    </xf>
    <xf numFmtId="0" fontId="2" fillId="5" borderId="37" xfId="0" applyFont="1" applyFill="1" applyBorder="1" applyAlignment="1">
      <alignment wrapText="1"/>
    </xf>
    <xf numFmtId="0" fontId="0" fillId="5" borderId="37" xfId="0" applyFill="1" applyBorder="1"/>
    <xf numFmtId="0" fontId="2" fillId="5" borderId="21" xfId="0" applyFont="1" applyFill="1" applyBorder="1" applyAlignment="1">
      <alignment vertical="top" wrapText="1"/>
    </xf>
    <xf numFmtId="0" fontId="2" fillId="5" borderId="24" xfId="0" applyFont="1" applyFill="1" applyBorder="1" applyAlignment="1">
      <alignment vertical="top" wrapText="1"/>
    </xf>
    <xf numFmtId="0" fontId="2" fillId="5" borderId="38" xfId="0" applyFont="1" applyFill="1" applyBorder="1" applyAlignment="1">
      <alignment wrapText="1"/>
    </xf>
    <xf numFmtId="0" fontId="2" fillId="5" borderId="36" xfId="0" applyFont="1" applyFill="1" applyBorder="1" applyAlignment="1">
      <alignment wrapText="1"/>
    </xf>
    <xf numFmtId="11" fontId="2" fillId="0" borderId="5" xfId="0" applyNumberFormat="1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2" fillId="0" borderId="35" xfId="0" applyFont="1" applyBorder="1" applyAlignment="1">
      <alignment wrapText="1"/>
    </xf>
    <xf numFmtId="0" fontId="2" fillId="0" borderId="31" xfId="0" applyFont="1" applyBorder="1" applyAlignment="1">
      <alignment horizontal="center" wrapText="1"/>
    </xf>
    <xf numFmtId="0" fontId="2" fillId="0" borderId="32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" fillId="5" borderId="0" xfId="0" applyFont="1" applyFill="1" applyBorder="1"/>
    <xf numFmtId="11" fontId="2" fillId="0" borderId="0" xfId="0" applyNumberFormat="1" applyFont="1" applyBorder="1"/>
    <xf numFmtId="11" fontId="0" fillId="0" borderId="0" xfId="0" applyNumberFormat="1" applyBorder="1"/>
    <xf numFmtId="0" fontId="7" fillId="5" borderId="9" xfId="0" applyFont="1" applyFill="1" applyBorder="1" applyAlignment="1">
      <alignment horizontal="left"/>
    </xf>
    <xf numFmtId="0" fontId="1" fillId="5" borderId="0" xfId="0" applyFont="1" applyFill="1" applyBorder="1" applyAlignment="1">
      <alignment horizontal="center"/>
    </xf>
    <xf numFmtId="0" fontId="7" fillId="5" borderId="41" xfId="0" applyFont="1" applyFill="1" applyBorder="1" applyAlignment="1">
      <alignment horizontal="left"/>
    </xf>
    <xf numFmtId="0" fontId="0" fillId="5" borderId="42" xfId="0" applyFill="1" applyBorder="1"/>
    <xf numFmtId="2" fontId="0" fillId="0" borderId="0" xfId="0" applyNumberFormat="1" applyBorder="1"/>
    <xf numFmtId="0" fontId="2" fillId="0" borderId="43" xfId="0" applyFont="1" applyBorder="1" applyAlignment="1">
      <alignment horizontal="right" wrapText="1"/>
    </xf>
    <xf numFmtId="11" fontId="2" fillId="0" borderId="43" xfId="0" applyNumberFormat="1" applyFont="1" applyBorder="1" applyAlignment="1">
      <alignment horizontal="right" wrapText="1"/>
    </xf>
    <xf numFmtId="0" fontId="2" fillId="0" borderId="36" xfId="0" applyFont="1" applyBorder="1" applyAlignment="1">
      <alignment wrapText="1"/>
    </xf>
    <xf numFmtId="0" fontId="2" fillId="0" borderId="30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center" wrapText="1"/>
    </xf>
    <xf numFmtId="0" fontId="2" fillId="0" borderId="45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8" fillId="4" borderId="13" xfId="0" applyFont="1" applyFill="1" applyBorder="1" applyAlignment="1">
      <alignment horizontal="center" wrapText="1"/>
    </xf>
    <xf numFmtId="0" fontId="8" fillId="4" borderId="20" xfId="0" applyFont="1" applyFill="1" applyBorder="1" applyAlignment="1">
      <alignment horizontal="center" wrapText="1"/>
    </xf>
    <xf numFmtId="0" fontId="8" fillId="4" borderId="16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wrapText="1"/>
    </xf>
    <xf numFmtId="0" fontId="8" fillId="4" borderId="32" xfId="0" applyFont="1" applyFill="1" applyBorder="1" applyAlignment="1">
      <alignment horizontal="center" wrapText="1"/>
    </xf>
    <xf numFmtId="0" fontId="8" fillId="4" borderId="17" xfId="0" applyFont="1" applyFill="1" applyBorder="1" applyAlignment="1">
      <alignment horizontal="center" wrapText="1"/>
    </xf>
    <xf numFmtId="0" fontId="8" fillId="4" borderId="11" xfId="0" applyFont="1" applyFill="1" applyBorder="1" applyAlignment="1">
      <alignment horizontal="center" wrapText="1"/>
    </xf>
    <xf numFmtId="0" fontId="8" fillId="4" borderId="14" xfId="0" applyFont="1" applyFill="1" applyBorder="1" applyAlignment="1">
      <alignment horizontal="center" wrapText="1"/>
    </xf>
    <xf numFmtId="0" fontId="8" fillId="4" borderId="39" xfId="0" applyFont="1" applyFill="1" applyBorder="1" applyAlignment="1">
      <alignment horizontal="center" wrapText="1"/>
    </xf>
    <xf numFmtId="0" fontId="8" fillId="4" borderId="44" xfId="0" applyFont="1" applyFill="1" applyBorder="1" applyAlignment="1">
      <alignment horizontal="center" wrapText="1"/>
    </xf>
    <xf numFmtId="0" fontId="1" fillId="4" borderId="13" xfId="0" applyFont="1" applyFill="1" applyBorder="1" applyAlignment="1">
      <alignment horizontal="center"/>
    </xf>
    <xf numFmtId="0" fontId="0" fillId="0" borderId="16" xfId="0" applyBorder="1"/>
    <xf numFmtId="0" fontId="0" fillId="0" borderId="5" xfId="0" applyBorder="1"/>
    <xf numFmtId="0" fontId="8" fillId="4" borderId="30" xfId="0" applyFont="1" applyFill="1" applyBorder="1" applyAlignment="1">
      <alignment horizontal="center" wrapText="1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11" fontId="0" fillId="0" borderId="16" xfId="0" applyNumberFormat="1" applyBorder="1"/>
    <xf numFmtId="11" fontId="0" fillId="0" borderId="0" xfId="0" applyNumberFormat="1"/>
    <xf numFmtId="11" fontId="0" fillId="0" borderId="18" xfId="0" applyNumberFormat="1" applyBorder="1"/>
    <xf numFmtId="11" fontId="0" fillId="0" borderId="0" xfId="0" applyNumberFormat="1" applyFill="1" applyBorder="1" applyAlignment="1">
      <alignment horizontal="right"/>
    </xf>
    <xf numFmtId="0" fontId="0" fillId="0" borderId="6" xfId="0" applyBorder="1"/>
    <xf numFmtId="0" fontId="8" fillId="4" borderId="6" xfId="0" applyFont="1" applyFill="1" applyBorder="1" applyAlignment="1">
      <alignment horizontal="center" vertical="center" wrapText="1"/>
    </xf>
    <xf numFmtId="11" fontId="2" fillId="0" borderId="46" xfId="0" applyNumberFormat="1" applyFont="1" applyBorder="1" applyAlignment="1">
      <alignment horizontal="right" wrapText="1"/>
    </xf>
    <xf numFmtId="0" fontId="2" fillId="0" borderId="46" xfId="0" applyFont="1" applyBorder="1" applyAlignment="1">
      <alignment horizontal="right" wrapText="1"/>
    </xf>
    <xf numFmtId="0" fontId="2" fillId="0" borderId="31" xfId="0" applyFont="1" applyBorder="1" applyAlignment="1">
      <alignment horizontal="right" wrapText="1"/>
    </xf>
    <xf numFmtId="0" fontId="1" fillId="4" borderId="11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wrapText="1"/>
    </xf>
    <xf numFmtId="0" fontId="12" fillId="0" borderId="0" xfId="0" applyFont="1"/>
    <xf numFmtId="0" fontId="12" fillId="0" borderId="0" xfId="0" applyFont="1" applyAlignment="1"/>
    <xf numFmtId="0" fontId="15" fillId="0" borderId="0" xfId="0" applyFont="1"/>
    <xf numFmtId="11" fontId="2" fillId="0" borderId="28" xfId="0" applyNumberFormat="1" applyFont="1" applyBorder="1" applyAlignment="1">
      <alignment horizontal="right" wrapText="1"/>
    </xf>
    <xf numFmtId="11" fontId="9" fillId="7" borderId="28" xfId="0" applyNumberFormat="1" applyFont="1" applyFill="1" applyBorder="1" applyAlignment="1">
      <alignment horizontal="right" wrapText="1"/>
    </xf>
    <xf numFmtId="11" fontId="2" fillId="0" borderId="45" xfId="0" applyNumberFormat="1" applyFont="1" applyBorder="1" applyAlignment="1">
      <alignment horizontal="right" wrapText="1"/>
    </xf>
    <xf numFmtId="11" fontId="2" fillId="0" borderId="0" xfId="0" applyNumberFormat="1" applyFont="1" applyFill="1" applyBorder="1" applyAlignment="1">
      <alignment horizontal="right" wrapText="1"/>
    </xf>
    <xf numFmtId="0" fontId="10" fillId="0" borderId="0" xfId="0" applyFont="1" applyFill="1" applyBorder="1"/>
    <xf numFmtId="0" fontId="2" fillId="0" borderId="0" xfId="0" applyFont="1" applyFill="1" applyBorder="1" applyAlignment="1">
      <alignment horizontal="center" wrapText="1"/>
    </xf>
    <xf numFmtId="0" fontId="1" fillId="5" borderId="4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1" fillId="0" borderId="0" xfId="0" applyFont="1" applyAlignment="1">
      <alignment horizontal="left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8" fillId="4" borderId="32" xfId="0" applyFont="1" applyFill="1" applyBorder="1" applyAlignment="1">
      <alignment horizontal="center" wrapText="1"/>
    </xf>
    <xf numFmtId="0" fontId="8" fillId="4" borderId="20" xfId="0" applyFont="1" applyFill="1" applyBorder="1" applyAlignment="1">
      <alignment horizontal="center" wrapText="1"/>
    </xf>
    <xf numFmtId="0" fontId="1" fillId="4" borderId="32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8" fillId="4" borderId="31" xfId="0" applyFont="1" applyFill="1" applyBorder="1" applyAlignment="1">
      <alignment horizontal="center" wrapText="1"/>
    </xf>
    <xf numFmtId="0" fontId="8" fillId="4" borderId="30" xfId="0" applyFont="1" applyFill="1" applyBorder="1" applyAlignment="1">
      <alignment horizontal="center" wrapText="1"/>
    </xf>
    <xf numFmtId="0" fontId="0" fillId="0" borderId="0" xfId="0" applyBorder="1" applyAlignment="1">
      <alignment horizontal="left"/>
    </xf>
    <xf numFmtId="0" fontId="2" fillId="2" borderId="6" xfId="0" applyFont="1" applyFill="1" applyBorder="1" applyAlignment="1">
      <alignment wrapText="1"/>
    </xf>
    <xf numFmtId="0" fontId="2" fillId="2" borderId="13" xfId="0" applyFont="1" applyFill="1" applyBorder="1" applyAlignment="1">
      <alignment wrapText="1"/>
    </xf>
    <xf numFmtId="0" fontId="8" fillId="4" borderId="0" xfId="0" applyFont="1" applyFill="1" applyBorder="1" applyAlignment="1">
      <alignment horizontal="center" wrapText="1"/>
    </xf>
    <xf numFmtId="0" fontId="1" fillId="5" borderId="7" xfId="0" applyFon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1" fillId="5" borderId="4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41" xfId="0" applyFont="1" applyFill="1" applyBorder="1"/>
    <xf numFmtId="0" fontId="2" fillId="0" borderId="0" xfId="0" applyFont="1" applyFill="1" applyBorder="1" applyAlignment="1">
      <alignment horizontal="right" wrapText="1"/>
    </xf>
    <xf numFmtId="0" fontId="0" fillId="5" borderId="4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hole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6-4EA6-9045-C9ED2DD694A4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Sheet2!$N$5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Sheet2!$N$9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9-47D6-82FF-C0257CCC2204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8C-4D4D-9408-6478174441E3}"/>
            </c:ext>
          </c:extLst>
        </c:ser>
        <c:ser>
          <c:idx val="5"/>
          <c:order val="3"/>
          <c:tx>
            <c:strRef>
              <c:f>Sheet2!$I$4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9F-494A-8F40-4B080BA8B3D9}"/>
            </c:ext>
          </c:extLst>
        </c:ser>
        <c:ser>
          <c:idx val="3"/>
          <c:order val="4"/>
          <c:tx>
            <c:strRef>
              <c:f>Sheet2!$H$4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9F-494A-8F40-4B080BA8B3D9}"/>
            </c:ext>
          </c:extLst>
        </c:ser>
        <c:ser>
          <c:idx val="4"/>
          <c:order val="5"/>
          <c:tx>
            <c:strRef>
              <c:f>Sheet2!$G$4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9F-494A-8F40-4B080BA8B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Density  </a:t>
                </a:r>
                <a:r>
                  <a:rPr lang="en-GB" sz="1100" b="0" i="0" u="none" strike="noStrike" baseline="0">
                    <a:effectLst/>
                  </a:rPr>
                  <a:t>x10</a:t>
                </a:r>
                <a:r>
                  <a:rPr lang="en-GB" sz="1100" b="0" i="0" u="none" strike="noStrike" baseline="30000">
                    <a:effectLst/>
                  </a:rPr>
                  <a:t>-9   </a:t>
                </a:r>
                <a:r>
                  <a:rPr lang="en-GB" sz="1100"/>
                  <a:t>(ton/</a:t>
                </a:r>
                <a:r>
                  <a:rPr lang="en-GB" sz="1100">
                    <a:effectLst/>
                  </a:rPr>
                  <a:t>mm</a:t>
                </a:r>
                <a:r>
                  <a:rPr lang="en-GB" sz="1100" baseline="30000">
                    <a:effectLst/>
                  </a:rPr>
                  <a:t>3</a:t>
                </a:r>
                <a:r>
                  <a:rPr lang="en-GB" sz="1100">
                    <a:effectLst/>
                  </a:rPr>
                  <a:t>) </a:t>
                </a:r>
              </a:p>
            </c:rich>
          </c:tx>
          <c:layout>
            <c:manualLayout>
              <c:xMode val="edge"/>
              <c:yMode val="edge"/>
              <c:x val="0.34108515124134076"/>
              <c:y val="0.90929218606099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Sheet3!$AK$50</c:f>
          <c:strCache>
            <c:ptCount val="1"/>
            <c:pt idx="0">
              <c:v>Young's modulus and percentage of converted particles due to temperature</c:v>
            </c:pt>
          </c:strCache>
        </c:strRef>
      </c:tx>
      <c:layout>
        <c:manualLayout>
          <c:xMode val="edge"/>
          <c:yMode val="edge"/>
          <c:x val="0.16822821797443924"/>
          <c:y val="3.4279978568570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Sheet2!$F$15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7-42D2-B623-D1E17E79D22A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Sheet2!$G$15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77-42D2-B623-D1E17E79D22A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Sheet2!$H$15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77-42D2-B623-D1E17E79D22A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Sheet2!$I$15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77-42D2-B623-D1E17E79D22A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Sheet2!$J$6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Sheet2!$J$15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77-42D2-B623-D1E17E79D22A}"/>
            </c:ext>
          </c:extLst>
        </c:ser>
        <c:ser>
          <c:idx val="5"/>
          <c:order val="5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Sheet2!$N$6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Sheet2!$N$15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3-4389-A871-5AF88463B17D}"/>
            </c:ext>
          </c:extLst>
        </c:ser>
        <c:ser>
          <c:idx val="6"/>
          <c:order val="6"/>
          <c:tx>
            <c:strRef>
              <c:f>Sheet2!$O$4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Sheet2!$O$6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Sheet2!$O$15</c:f>
              <c:numCache>
                <c:formatCode>General</c:formatCode>
                <c:ptCount val="1"/>
                <c:pt idx="0">
                  <c:v>8.58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0-4A97-99EA-F4D701C55FA0}"/>
            </c:ext>
          </c:extLst>
        </c:ser>
        <c:ser>
          <c:idx val="7"/>
          <c:order val="7"/>
          <c:tx>
            <c:strRef>
              <c:f>Sheet2!$T$4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Sheet2!$T$6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Sheet2!$T$15</c:f>
              <c:numCache>
                <c:formatCode>0.00</c:formatCode>
                <c:ptCount val="1"/>
                <c:pt idx="0">
                  <c:v>11.2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50-4A97-99EA-F4D701C55FA0}"/>
            </c:ext>
          </c:extLst>
        </c:ser>
        <c:ser>
          <c:idx val="8"/>
          <c:order val="8"/>
          <c:tx>
            <c:strRef>
              <c:f>Sheet2!$U$4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Sheet2!$U$6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Sheet2!$U$15</c:f>
              <c:numCache>
                <c:formatCode>0.00</c:formatCode>
                <c:ptCount val="1"/>
                <c:pt idx="0">
                  <c:v>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50-4A97-99EA-F4D701C55FA0}"/>
            </c:ext>
          </c:extLst>
        </c:ser>
        <c:ser>
          <c:idx val="9"/>
          <c:order val="9"/>
          <c:tx>
            <c:strRef>
              <c:f>Sheet2!$V$4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Sheet2!$V$6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Sheet2!$V$15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50-4A97-99EA-F4D701C55FA0}"/>
            </c:ext>
          </c:extLst>
        </c:ser>
        <c:ser>
          <c:idx val="10"/>
          <c:order val="10"/>
          <c:tx>
            <c:strRef>
              <c:f>Sheet2!$S$4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Sheet2!$S$6</c:f>
              <c:numCache>
                <c:formatCode>General</c:formatCode>
                <c:ptCount val="1"/>
                <c:pt idx="0">
                  <c:v>203000</c:v>
                </c:pt>
              </c:numCache>
            </c:numRef>
          </c:xVal>
          <c:yVal>
            <c:numRef>
              <c:f>Sheet2!$S$15</c:f>
              <c:numCache>
                <c:formatCode>General</c:formatCode>
                <c:ptCount val="1"/>
                <c:pt idx="0">
                  <c:v>9.01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A2-4916-A9C4-0059315FFAF5}"/>
            </c:ext>
          </c:extLst>
        </c:ser>
        <c:ser>
          <c:idx val="11"/>
          <c:order val="11"/>
          <c:tx>
            <c:strRef>
              <c:f>Sheet2!$X$4</c:f>
              <c:strCache>
                <c:ptCount val="1"/>
                <c:pt idx="0">
                  <c:v>OFHC COPPER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Sheet2!$X$6</c:f>
              <c:numCache>
                <c:formatCode>General</c:formatCode>
                <c:ptCount val="1"/>
                <c:pt idx="0">
                  <c:v>124000</c:v>
                </c:pt>
              </c:numCache>
            </c:numRef>
          </c:xVal>
          <c:yVal>
            <c:numRef>
              <c:f>Sheet2!$W$15</c:f>
              <c:numCache>
                <c:formatCode>General</c:formatCode>
                <c:ptCount val="1"/>
                <c:pt idx="0">
                  <c:v>3.48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A2-4916-A9C4-0059315FFAF5}"/>
            </c:ext>
          </c:extLst>
        </c:ser>
        <c:ser>
          <c:idx val="12"/>
          <c:order val="12"/>
          <c:tx>
            <c:strRef>
              <c:f>Sheet2!$Y$4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diamond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B0A2-4916-A9C4-0059315FFAF5}"/>
              </c:ext>
            </c:extLst>
          </c:dPt>
          <c:xVal>
            <c:numRef>
              <c:f>Sheet2!$Y$6</c:f>
              <c:numCache>
                <c:formatCode>General</c:formatCode>
                <c:ptCount val="1"/>
                <c:pt idx="0">
                  <c:v>207000</c:v>
                </c:pt>
              </c:numCache>
            </c:numRef>
          </c:xVal>
          <c:yVal>
            <c:numRef>
              <c:f>Sheet2!$Y$15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A2-4916-A9C4-0059315FF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Sheet3!$AD$8</c:f>
              <c:strCache>
                <c:ptCount val="1"/>
                <c:pt idx="0">
                  <c:v>Young's modulus 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Debris cloud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B-417A-BE16-DE5855DB8D02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Sheet2!$N$5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Sheet2!$N$10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C-493F-A1BB-A7D857CD293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1-4C83-8A08-6B3CB26DE841}"/>
            </c:ext>
          </c:extLst>
        </c:ser>
        <c:ser>
          <c:idx val="3"/>
          <c:order val="3"/>
          <c:tx>
            <c:strRef>
              <c:f>Sheet2!$I$4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00-4863-8E2F-0FF3E0CEB256}"/>
            </c:ext>
          </c:extLst>
        </c:ser>
        <c:ser>
          <c:idx val="4"/>
          <c:order val="4"/>
          <c:tx>
            <c:strRef>
              <c:f>Sheet2!$H$4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00-4863-8E2F-0FF3E0CEB256}"/>
            </c:ext>
          </c:extLst>
        </c:ser>
        <c:ser>
          <c:idx val="5"/>
          <c:order val="5"/>
          <c:tx>
            <c:strRef>
              <c:f>Sheet2!$G$4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00-4863-8E2F-0FF3E0CEB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6564785257698645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solid material in debris cloud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2456456456456456"/>
          <c:y val="3.4320020408251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1-4AD1-B30E-0884540977CA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Sheet2!$N$5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Sheet2!$N$13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A-459E-90C3-C273EBE581AF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D-4695-B2A7-FDDA5D541EDB}"/>
            </c:ext>
          </c:extLst>
        </c:ser>
        <c:ser>
          <c:idx val="3"/>
          <c:order val="3"/>
          <c:tx>
            <c:strRef>
              <c:f>Sheet2!$I$4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C0-4F7F-848C-21860B96F3A7}"/>
            </c:ext>
          </c:extLst>
        </c:ser>
        <c:ser>
          <c:idx val="4"/>
          <c:order val="4"/>
          <c:tx>
            <c:strRef>
              <c:f>Sheet2!$H$4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C0-4F7F-848C-21860B96F3A7}"/>
            </c:ext>
          </c:extLst>
        </c:ser>
        <c:ser>
          <c:idx val="5"/>
          <c:order val="5"/>
          <c:tx>
            <c:strRef>
              <c:f>Sheet2!$G$4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C0-4F7F-848C-21860B96F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Density  x10</a:t>
                </a:r>
                <a:r>
                  <a:rPr lang="en-GB" sz="1200" b="0" i="0" baseline="30000">
                    <a:effectLst/>
                  </a:rPr>
                  <a:t>-9   </a:t>
                </a:r>
                <a:r>
                  <a:rPr lang="en-GB" sz="1200" b="0" i="0" baseline="0">
                    <a:effectLst/>
                  </a:rPr>
                  <a:t>(ton/mm</a:t>
                </a:r>
                <a:r>
                  <a:rPr lang="en-GB" sz="1200" b="0" i="0" baseline="30000">
                    <a:effectLst/>
                  </a:rPr>
                  <a:t>3</a:t>
                </a:r>
                <a:r>
                  <a:rPr lang="en-GB" sz="1200" b="0" i="0" baseline="0">
                    <a:effectLst/>
                  </a:rPr>
                  <a:t>) </a:t>
                </a:r>
                <a:endParaRPr lang="en-GB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2146027201145305"/>
              <c:y val="0.89620261384852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velocity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D-4D7B-8EBA-1CBF7BC82128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Sheet2!$N$5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Sheet2!$N$14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B-4F13-8C4E-38218776721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8-411C-9FBE-7AB27E7BA359}"/>
            </c:ext>
          </c:extLst>
        </c:ser>
        <c:ser>
          <c:idx val="3"/>
          <c:order val="3"/>
          <c:tx>
            <c:strRef>
              <c:f>Sheet2!$I$4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BA-480B-8B30-7B8A699C189D}"/>
            </c:ext>
          </c:extLst>
        </c:ser>
        <c:ser>
          <c:idx val="4"/>
          <c:order val="4"/>
          <c:tx>
            <c:strRef>
              <c:f>Sheet2!$H$4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BA-480B-8B30-7B8A699C189D}"/>
            </c:ext>
          </c:extLst>
        </c:ser>
        <c:ser>
          <c:idx val="5"/>
          <c:order val="5"/>
          <c:tx>
            <c:strRef>
              <c:f>Sheet2!$G$4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BA-480B-8B30-7B8A699C1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conversion to particles due to temperature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6822821797443924"/>
          <c:y val="3.4279978568570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7-4C7B-9713-D86DDBF95EFF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Sheet2!$N$5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Sheet2!$N$15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A-4C2F-AF24-51ED110F963C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7-4739-BCDC-B38831E58566}"/>
            </c:ext>
          </c:extLst>
        </c:ser>
        <c:ser>
          <c:idx val="3"/>
          <c:order val="3"/>
          <c:tx>
            <c:strRef>
              <c:f>Sheet2!$I$4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1-4917-AEBD-1AFA19C4CBDE}"/>
            </c:ext>
          </c:extLst>
        </c:ser>
        <c:ser>
          <c:idx val="4"/>
          <c:order val="4"/>
          <c:tx>
            <c:strRef>
              <c:f>Sheet2!$H$4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1-4917-AEBD-1AFA19C4CBDE}"/>
            </c:ext>
          </c:extLst>
        </c:ser>
        <c:ser>
          <c:idx val="5"/>
          <c:order val="5"/>
          <c:tx>
            <c:strRef>
              <c:f>Sheet2!$G$4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71-4917-AEBD-1AFA19C4C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Sheet3!$AD$10</c:f>
          <c:strCache>
            <c:ptCount val="1"/>
            <c:pt idx="0">
              <c:v>Young's modulus and target hole diameter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Sheet2!$F$9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2-4545-B313-B7A23DDB4EF5}"/>
            </c:ext>
          </c:extLst>
        </c:ser>
        <c:ser>
          <c:idx val="1"/>
          <c:order val="1"/>
          <c:tx>
            <c:v>AA6070-O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Sheet2!$G$9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92-4545-B313-B7A23DDB4EF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Sheet2!$H$9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92-4545-B313-B7A23DDB4EF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Sheet2!$I$9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92-4545-B313-B7A23DDB4EF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Sheet2!$J$6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Sheet2!$J$9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92-4545-B313-B7A23DDB4EF5}"/>
            </c:ext>
          </c:extLst>
        </c:ser>
        <c:ser>
          <c:idx val="5"/>
          <c:order val="5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Sheet2!$N$6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Sheet2!$N$9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7F-4597-A97F-82D818B2C4D6}"/>
            </c:ext>
          </c:extLst>
        </c:ser>
        <c:ser>
          <c:idx val="6"/>
          <c:order val="6"/>
          <c:tx>
            <c:strRef>
              <c:f>Sheet2!$O$4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Sheet2!$O$6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Sheet2!$O$9</c:f>
              <c:numCache>
                <c:formatCode>General</c:formatCode>
                <c:ptCount val="1"/>
                <c:pt idx="0">
                  <c:v>15.44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F-470A-A647-4A96F345121C}"/>
            </c:ext>
          </c:extLst>
        </c:ser>
        <c:ser>
          <c:idx val="7"/>
          <c:order val="7"/>
          <c:tx>
            <c:strRef>
              <c:f>Sheet2!$V$4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Sheet2!$V$6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Sheet2!$V$9</c:f>
              <c:numCache>
                <c:formatCode>0.00</c:formatCode>
                <c:ptCount val="1"/>
                <c:pt idx="0">
                  <c:v>12.26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7F-470A-A647-4A96F345121C}"/>
            </c:ext>
          </c:extLst>
        </c:ser>
        <c:ser>
          <c:idx val="8"/>
          <c:order val="8"/>
          <c:tx>
            <c:strRef>
              <c:f>Sheet2!$U$4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Sheet2!$U$6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Sheet2!$U$9</c:f>
              <c:numCache>
                <c:formatCode>0.00</c:formatCode>
                <c:ptCount val="1"/>
                <c:pt idx="0">
                  <c:v>11.561835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7F-470A-A647-4A96F345121C}"/>
            </c:ext>
          </c:extLst>
        </c:ser>
        <c:ser>
          <c:idx val="9"/>
          <c:order val="9"/>
          <c:tx>
            <c:strRef>
              <c:f>Sheet2!$T$4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Sheet2!$T$6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Sheet2!$T$9</c:f>
              <c:numCache>
                <c:formatCode>0.00</c:formatCode>
                <c:ptCount val="1"/>
                <c:pt idx="0">
                  <c:v>11.266354999999999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7F-470A-A647-4A96F345121C}"/>
            </c:ext>
          </c:extLst>
        </c:ser>
        <c:ser>
          <c:idx val="10"/>
          <c:order val="10"/>
          <c:tx>
            <c:strRef>
              <c:f>Sheet2!$S$4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B21-4729-A2A3-46720C28A00C}"/>
              </c:ext>
            </c:extLst>
          </c:dPt>
          <c:xVal>
            <c:numRef>
              <c:f>Sheet2!$S$6</c:f>
              <c:numCache>
                <c:formatCode>General</c:formatCode>
                <c:ptCount val="1"/>
                <c:pt idx="0">
                  <c:v>203000</c:v>
                </c:pt>
              </c:numCache>
            </c:numRef>
          </c:xVal>
          <c:yVal>
            <c:numRef>
              <c:f>Sheet2!$S$9</c:f>
              <c:numCache>
                <c:formatCode>General</c:formatCode>
                <c:ptCount val="1"/>
                <c:pt idx="0">
                  <c:v>14.76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1-4729-A2A3-46720C28A00C}"/>
            </c:ext>
          </c:extLst>
        </c:ser>
        <c:ser>
          <c:idx val="11"/>
          <c:order val="11"/>
          <c:tx>
            <c:strRef>
              <c:f>Sheet2!$W$4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Sheet2!$W$6</c:f>
              <c:numCache>
                <c:formatCode>General</c:formatCode>
                <c:ptCount val="1"/>
                <c:pt idx="0">
                  <c:v>113165.798</c:v>
                </c:pt>
              </c:numCache>
            </c:numRef>
          </c:xVal>
          <c:yVal>
            <c:numRef>
              <c:f>Sheet2!$W$9</c:f>
              <c:numCache>
                <c:formatCode>0.00</c:formatCode>
                <c:ptCount val="1"/>
                <c:pt idx="0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21-4729-A2A3-46720C28A00C}"/>
            </c:ext>
          </c:extLst>
        </c:ser>
        <c:ser>
          <c:idx val="12"/>
          <c:order val="12"/>
          <c:tx>
            <c:strRef>
              <c:f>Sheet2!$Y$4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Sheet2!$Y$6</c:f>
              <c:numCache>
                <c:formatCode>General</c:formatCode>
                <c:ptCount val="1"/>
                <c:pt idx="0">
                  <c:v>207000</c:v>
                </c:pt>
              </c:numCache>
            </c:numRef>
          </c:xVal>
          <c:yVal>
            <c:numRef>
              <c:f>Sheet2!$Y$9</c:f>
              <c:numCache>
                <c:formatCode>0.00</c:formatCode>
                <c:ptCount val="1"/>
                <c:pt idx="0">
                  <c:v>17.04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21-4729-A2A3-46720C28A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Sheet3!$AD$8</c:f>
              <c:strCache>
                <c:ptCount val="1"/>
                <c:pt idx="0">
                  <c:v>Young's modulus E</c:v>
                </c:pt>
              </c:strCache>
            </c:strRef>
          </c:tx>
          <c:layout>
            <c:manualLayout>
              <c:xMode val="edge"/>
              <c:yMode val="edge"/>
              <c:x val="0.37904044358011968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Sheet3!$AP$7</c:f>
          <c:strCache>
            <c:ptCount val="1"/>
            <c:pt idx="0">
              <c:v>Young's modulus and debris cloud diamter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Sheet2!$F$10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82-4731-A8B8-BBA391678DEE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Sheet2!$G$10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82-4731-A8B8-BBA391678DEE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Sheet2!$H$10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82-4731-A8B8-BBA391678DEE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Sheet2!$I$10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82-4731-A8B8-BBA391678DEE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Sheet2!$J$6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Sheet2!$J$10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82-4731-A8B8-BBA391678DEE}"/>
            </c:ext>
          </c:extLst>
        </c:ser>
        <c:ser>
          <c:idx val="5"/>
          <c:order val="5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Sheet2!$N$6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Sheet2!$N$10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7-4ECF-AA9B-2A0FB9FFC1A1}"/>
            </c:ext>
          </c:extLst>
        </c:ser>
        <c:ser>
          <c:idx val="9"/>
          <c:order val="6"/>
          <c:tx>
            <c:strRef>
              <c:f>Sheet2!$O$4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Sheet2!$O$6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Sheet2!$O$10</c:f>
              <c:numCache>
                <c:formatCode>General</c:formatCode>
                <c:ptCount val="1"/>
                <c:pt idx="0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EA-4F4D-914E-24066A60C86B}"/>
            </c:ext>
          </c:extLst>
        </c:ser>
        <c:ser>
          <c:idx val="6"/>
          <c:order val="7"/>
          <c:tx>
            <c:strRef>
              <c:f>Sheet2!$T$4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Sheet2!$T$6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Sheet2!$T$10</c:f>
              <c:numCache>
                <c:formatCode>0.00</c:formatCode>
                <c:ptCount val="1"/>
                <c:pt idx="0">
                  <c:v>74.283479999999997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EA-4F4D-914E-24066A60C86B}"/>
            </c:ext>
          </c:extLst>
        </c:ser>
        <c:ser>
          <c:idx val="7"/>
          <c:order val="8"/>
          <c:tx>
            <c:strRef>
              <c:f>Sheet2!$U$4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Sheet2!$U$6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Sheet2!$U$10</c:f>
              <c:numCache>
                <c:formatCode>0.00</c:formatCode>
                <c:ptCount val="1"/>
                <c:pt idx="0">
                  <c:v>73.549899999999994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EA-4F4D-914E-24066A60C86B}"/>
            </c:ext>
          </c:extLst>
        </c:ser>
        <c:ser>
          <c:idx val="8"/>
          <c:order val="9"/>
          <c:tx>
            <c:strRef>
              <c:f>Sheet2!$V$4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Sheet2!$V$6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Sheet2!$V$10</c:f>
              <c:numCache>
                <c:formatCode>General</c:formatCode>
                <c:ptCount val="1"/>
                <c:pt idx="0">
                  <c:v>92.1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EA-4F4D-914E-24066A60C86B}"/>
            </c:ext>
          </c:extLst>
        </c:ser>
        <c:ser>
          <c:idx val="10"/>
          <c:order val="10"/>
          <c:tx>
            <c:strRef>
              <c:f>Sheet2!$S$4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Sheet2!$S$6</c:f>
              <c:numCache>
                <c:formatCode>General</c:formatCode>
                <c:ptCount val="1"/>
                <c:pt idx="0">
                  <c:v>203000</c:v>
                </c:pt>
              </c:numCache>
            </c:numRef>
          </c:xVal>
          <c:yVal>
            <c:numRef>
              <c:f>Sheet2!$S$10</c:f>
              <c:numCache>
                <c:formatCode>General</c:formatCode>
                <c:ptCount val="1"/>
                <c:pt idx="0">
                  <c:v>98.93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6B-461E-93ED-C17FCBEE2905}"/>
            </c:ext>
          </c:extLst>
        </c:ser>
        <c:ser>
          <c:idx val="11"/>
          <c:order val="11"/>
          <c:tx>
            <c:strRef>
              <c:f>Sheet2!$W$4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Sheet2!$W$6</c:f>
              <c:numCache>
                <c:formatCode>General</c:formatCode>
                <c:ptCount val="1"/>
                <c:pt idx="0">
                  <c:v>113165.798</c:v>
                </c:pt>
              </c:numCache>
            </c:numRef>
          </c:xVal>
          <c:yVal>
            <c:numRef>
              <c:f>Sheet2!$W$10</c:f>
              <c:numCache>
                <c:formatCode>General</c:formatCode>
                <c:ptCount val="1"/>
                <c:pt idx="0">
                  <c:v>88.4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6B-461E-93ED-C17FCBEE2905}"/>
            </c:ext>
          </c:extLst>
        </c:ser>
        <c:ser>
          <c:idx val="12"/>
          <c:order val="12"/>
          <c:tx>
            <c:strRef>
              <c:f>Sheet2!$Y$4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Sheet2!$Y$6</c:f>
              <c:numCache>
                <c:formatCode>General</c:formatCode>
                <c:ptCount val="1"/>
                <c:pt idx="0">
                  <c:v>207000</c:v>
                </c:pt>
              </c:numCache>
            </c:numRef>
          </c:xVal>
          <c:yVal>
            <c:numRef>
              <c:f>Sheet2!$Y$10</c:f>
              <c:numCache>
                <c:formatCode>General</c:formatCode>
                <c:ptCount val="1"/>
                <c:pt idx="0">
                  <c:v>97.7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6B-461E-93ED-C17FCBEE2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Sheet3!$AD$8</c:f>
              <c:strCache>
                <c:ptCount val="1"/>
                <c:pt idx="0">
                  <c:v>Young's modulus E</c:v>
                </c:pt>
              </c:strCache>
            </c:strRef>
          </c:tx>
          <c:layout>
            <c:manualLayout>
              <c:xMode val="edge"/>
              <c:yMode val="edge"/>
              <c:x val="0.33161381854295241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Sheet3!$AD$29</c:f>
          <c:strCache>
            <c:ptCount val="1"/>
            <c:pt idx="0">
              <c:v>Young's modulus and percentage of solid material in debris cloud</c:v>
            </c:pt>
          </c:strCache>
        </c:strRef>
      </c:tx>
      <c:layout>
        <c:manualLayout>
          <c:xMode val="edge"/>
          <c:yMode val="edge"/>
          <c:x val="0.12456456456456456"/>
          <c:y val="3.4320020408251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Sheet2!$F$13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6-46E7-858B-C35FFF4CD727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Sheet2!$G$13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6-46E7-858B-C35FFF4CD727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Sheet2!$H$13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76-46E7-858B-C35FFF4CD727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Sheet2!$I$13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76-46E7-858B-C35FFF4CD727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Sheet2!$J$6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Sheet2!$J$13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76-46E7-858B-C35FFF4CD727}"/>
            </c:ext>
          </c:extLst>
        </c:ser>
        <c:ser>
          <c:idx val="5"/>
          <c:order val="5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Sheet2!$N$6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Sheet2!$N$13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A-418C-BA69-1655A802B0DC}"/>
            </c:ext>
          </c:extLst>
        </c:ser>
        <c:ser>
          <c:idx val="6"/>
          <c:order val="6"/>
          <c:tx>
            <c:strRef>
              <c:f>Sheet2!$O$4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Sheet2!$O$6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Sheet2!$O$13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71-4B7F-8968-84FEABD2FED1}"/>
            </c:ext>
          </c:extLst>
        </c:ser>
        <c:ser>
          <c:idx val="7"/>
          <c:order val="7"/>
          <c:tx>
            <c:strRef>
              <c:f>Sheet2!$T$4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Sheet2!$T$6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Sheet2!$T$13</c:f>
              <c:numCache>
                <c:formatCode>0.0</c:formatCode>
                <c:ptCount val="1"/>
                <c:pt idx="0">
                  <c:v>7.8934426229508192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71-4B7F-8968-84FEABD2FED1}"/>
            </c:ext>
          </c:extLst>
        </c:ser>
        <c:ser>
          <c:idx val="8"/>
          <c:order val="8"/>
          <c:tx>
            <c:strRef>
              <c:f>Sheet2!$U$4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Sheet2!$U$6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Sheet2!$U$13</c:f>
              <c:numCache>
                <c:formatCode>0.0</c:formatCode>
                <c:ptCount val="1"/>
                <c:pt idx="0">
                  <c:v>7.6639344262295088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71-4B7F-8968-84FEABD2FED1}"/>
            </c:ext>
          </c:extLst>
        </c:ser>
        <c:ser>
          <c:idx val="9"/>
          <c:order val="9"/>
          <c:tx>
            <c:strRef>
              <c:f>Sheet2!$V$4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Sheet2!$V$6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Sheet2!$V$13</c:f>
              <c:numCache>
                <c:formatCode>0.0</c:formatCode>
                <c:ptCount val="1"/>
                <c:pt idx="0">
                  <c:v>5.8934426229508201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71-4B7F-8968-84FEABD2FED1}"/>
            </c:ext>
          </c:extLst>
        </c:ser>
        <c:ser>
          <c:idx val="10"/>
          <c:order val="10"/>
          <c:tx>
            <c:strRef>
              <c:f>Sheet2!$S$4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Sheet2!$S$6</c:f>
              <c:numCache>
                <c:formatCode>General</c:formatCode>
                <c:ptCount val="1"/>
                <c:pt idx="0">
                  <c:v>203000</c:v>
                </c:pt>
              </c:numCache>
            </c:numRef>
          </c:xVal>
          <c:yVal>
            <c:numRef>
              <c:f>Sheet2!$S$13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D-4750-8B80-9162142EBC14}"/>
            </c:ext>
          </c:extLst>
        </c:ser>
        <c:ser>
          <c:idx val="11"/>
          <c:order val="11"/>
          <c:tx>
            <c:strRef>
              <c:f>Sheet2!$W$4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Sheet2!$W$6</c:f>
              <c:numCache>
                <c:formatCode>General</c:formatCode>
                <c:ptCount val="1"/>
                <c:pt idx="0">
                  <c:v>113165.798</c:v>
                </c:pt>
              </c:numCache>
            </c:numRef>
          </c:xVal>
          <c:yVal>
            <c:numRef>
              <c:f>Sheet2!$W$13</c:f>
              <c:numCache>
                <c:formatCode>0.0</c:formatCode>
                <c:ptCount val="1"/>
                <c:pt idx="0">
                  <c:v>4.4344262295081966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FD-4750-8B80-9162142EBC14}"/>
            </c:ext>
          </c:extLst>
        </c:ser>
        <c:ser>
          <c:idx val="12"/>
          <c:order val="12"/>
          <c:tx>
            <c:strRef>
              <c:f>Sheet2!$Y$4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Sheet2!$Y$6</c:f>
              <c:numCache>
                <c:formatCode>General</c:formatCode>
                <c:ptCount val="1"/>
                <c:pt idx="0">
                  <c:v>207000</c:v>
                </c:pt>
              </c:numCache>
            </c:numRef>
          </c:xVal>
          <c:yVal>
            <c:numRef>
              <c:f>Sheet2!$Y$13</c:f>
              <c:numCache>
                <c:formatCode>0.0</c:formatCode>
                <c:ptCount val="1"/>
                <c:pt idx="0">
                  <c:v>2.540983606557377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FD-4750-8B80-9162142EB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Sheet3!$AD$8</c:f>
              <c:strCache>
                <c:ptCount val="1"/>
                <c:pt idx="0">
                  <c:v>Young's modulus E</c:v>
                </c:pt>
              </c:strCache>
            </c:strRef>
          </c:tx>
          <c:layout>
            <c:manualLayout>
              <c:xMode val="edge"/>
              <c:yMode val="edge"/>
              <c:x val="0.3154990201485619"/>
              <c:y val="0.89963903996536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Sheet3!$AP$29</c:f>
          <c:strCache>
            <c:ptCount val="1"/>
            <c:pt idx="0">
              <c:v>Young's modulus and residual velocity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Sheet2!$F$14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2-4618-AA56-376AC878D045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Sheet2!$G$14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52-4618-AA56-376AC878D04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Sheet2!$H$14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52-4618-AA56-376AC878D04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Sheet2!$I$14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52-4618-AA56-376AC878D04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Sheet2!$J$6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Sheet2!$J$14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52-4618-AA56-376AC878D045}"/>
            </c:ext>
          </c:extLst>
        </c:ser>
        <c:ser>
          <c:idx val="5"/>
          <c:order val="5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Sheet2!$N$6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Sheet2!$N$14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F-43CC-93B4-8F333C8C24B3}"/>
            </c:ext>
          </c:extLst>
        </c:ser>
        <c:ser>
          <c:idx val="6"/>
          <c:order val="6"/>
          <c:tx>
            <c:strRef>
              <c:f>Sheet2!$O$4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Sheet2!$O$6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Sheet2!$O$14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0-457F-8492-FD9D25AF5429}"/>
            </c:ext>
          </c:extLst>
        </c:ser>
        <c:ser>
          <c:idx val="7"/>
          <c:order val="7"/>
          <c:tx>
            <c:strRef>
              <c:f>Sheet2!$T$4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Sheet2!$T$6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Sheet2!$T$14</c:f>
              <c:numCache>
                <c:formatCode>0.00E+00</c:formatCode>
                <c:ptCount val="1"/>
                <c:pt idx="0">
                  <c:v>6050000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C0-457F-8492-FD9D25AF5429}"/>
            </c:ext>
          </c:extLst>
        </c:ser>
        <c:ser>
          <c:idx val="8"/>
          <c:order val="8"/>
          <c:tx>
            <c:strRef>
              <c:f>Sheet2!$U$4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Sheet2!$U$6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Sheet2!$U$14</c:f>
              <c:numCache>
                <c:formatCode>0.00E+00</c:formatCode>
                <c:ptCount val="1"/>
                <c:pt idx="0">
                  <c:v>6060000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C0-457F-8492-FD9D25AF5429}"/>
            </c:ext>
          </c:extLst>
        </c:ser>
        <c:ser>
          <c:idx val="9"/>
          <c:order val="9"/>
          <c:tx>
            <c:strRef>
              <c:f>Sheet2!$V$4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Sheet2!$V$6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Sheet2!$V$14</c:f>
              <c:numCache>
                <c:formatCode>0.00E+00</c:formatCode>
                <c:ptCount val="1"/>
                <c:pt idx="0">
                  <c:v>6040000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C0-457F-8492-FD9D25AF5429}"/>
            </c:ext>
          </c:extLst>
        </c:ser>
        <c:ser>
          <c:idx val="10"/>
          <c:order val="10"/>
          <c:tx>
            <c:strRef>
              <c:f>Sheet2!$S$4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Sheet2!$S$6</c:f>
              <c:numCache>
                <c:formatCode>General</c:formatCode>
                <c:ptCount val="1"/>
                <c:pt idx="0">
                  <c:v>203000</c:v>
                </c:pt>
              </c:numCache>
            </c:numRef>
          </c:xVal>
          <c:yVal>
            <c:numRef>
              <c:f>Sheet2!$S$14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88-478F-9442-E07DEE24EAE3}"/>
            </c:ext>
          </c:extLst>
        </c:ser>
        <c:ser>
          <c:idx val="11"/>
          <c:order val="11"/>
          <c:tx>
            <c:strRef>
              <c:f>Sheet2!$X$4</c:f>
              <c:strCache>
                <c:ptCount val="1"/>
                <c:pt idx="0">
                  <c:v>OFHC COPPER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Sheet2!$X$6</c:f>
              <c:numCache>
                <c:formatCode>General</c:formatCode>
                <c:ptCount val="1"/>
                <c:pt idx="0">
                  <c:v>124000</c:v>
                </c:pt>
              </c:numCache>
            </c:numRef>
          </c:xVal>
          <c:yVal>
            <c:numRef>
              <c:f>Sheet2!$W$14</c:f>
              <c:numCache>
                <c:formatCode>0.00E+00</c:formatCode>
                <c:ptCount val="1"/>
                <c:pt idx="0">
                  <c:v>6090000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88-478F-9442-E07DEE24EAE3}"/>
            </c:ext>
          </c:extLst>
        </c:ser>
        <c:ser>
          <c:idx val="12"/>
          <c:order val="12"/>
          <c:tx>
            <c:strRef>
              <c:f>Sheet2!$Y$4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Sheet2!$Y$6</c:f>
              <c:numCache>
                <c:formatCode>General</c:formatCode>
                <c:ptCount val="1"/>
                <c:pt idx="0">
                  <c:v>207000</c:v>
                </c:pt>
              </c:numCache>
            </c:numRef>
          </c:xVal>
          <c:yVal>
            <c:numRef>
              <c:f>Sheet2!$Y$14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88-478F-9442-E07DEE24E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Sheet3!$AD$8</c:f>
              <c:strCache>
                <c:ptCount val="1"/>
                <c:pt idx="0">
                  <c:v>Young's modulus 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4</xdr:row>
      <xdr:rowOff>28575</xdr:rowOff>
    </xdr:from>
    <xdr:to>
      <xdr:col>12</xdr:col>
      <xdr:colOff>285750</xdr:colOff>
      <xdr:row>23</xdr:row>
      <xdr:rowOff>109539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616AD-E1A5-463B-8C95-B4C1A9497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352425</xdr:colOff>
      <xdr:row>4</xdr:row>
      <xdr:rowOff>38100</xdr:rowOff>
    </xdr:from>
    <xdr:to>
      <xdr:col>22</xdr:col>
      <xdr:colOff>600075</xdr:colOff>
      <xdr:row>23</xdr:row>
      <xdr:rowOff>119064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410B25-E597-4EDA-99BD-4ACEFAD03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38099</xdr:colOff>
      <xdr:row>24</xdr:row>
      <xdr:rowOff>57150</xdr:rowOff>
    </xdr:from>
    <xdr:to>
      <xdr:col>12</xdr:col>
      <xdr:colOff>285749</xdr:colOff>
      <xdr:row>43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09186C-2614-446F-950B-4C51566BA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371475</xdr:colOff>
      <xdr:row>24</xdr:row>
      <xdr:rowOff>57150</xdr:rowOff>
    </xdr:from>
    <xdr:to>
      <xdr:col>23</xdr:col>
      <xdr:colOff>9525</xdr:colOff>
      <xdr:row>43</xdr:row>
      <xdr:rowOff>138114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82E2C1-5E03-41E1-9AFE-D55B9FF90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266700</xdr:colOff>
      <xdr:row>44</xdr:row>
      <xdr:rowOff>54769</xdr:rowOff>
    </xdr:from>
    <xdr:to>
      <xdr:col>18</xdr:col>
      <xdr:colOff>33337</xdr:colOff>
      <xdr:row>63</xdr:row>
      <xdr:rowOff>121444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EF1D19-DA55-40AF-AEAD-E0111FD56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23814</xdr:colOff>
      <xdr:row>4</xdr:row>
      <xdr:rowOff>85726</xdr:rowOff>
    </xdr:from>
    <xdr:to>
      <xdr:col>38</xdr:col>
      <xdr:colOff>319089</xdr:colOff>
      <xdr:row>23</xdr:row>
      <xdr:rowOff>166690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5FFEDB-4BB2-4EBB-8CC4-D9442BC94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433389</xdr:colOff>
      <xdr:row>4</xdr:row>
      <xdr:rowOff>83343</xdr:rowOff>
    </xdr:from>
    <xdr:to>
      <xdr:col>49</xdr:col>
      <xdr:colOff>71439</xdr:colOff>
      <xdr:row>23</xdr:row>
      <xdr:rowOff>164307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E8CF3F-3746-43C2-914E-210E182AA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59531</xdr:colOff>
      <xdr:row>24</xdr:row>
      <xdr:rowOff>78580</xdr:rowOff>
    </xdr:from>
    <xdr:to>
      <xdr:col>38</xdr:col>
      <xdr:colOff>354806</xdr:colOff>
      <xdr:row>43</xdr:row>
      <xdr:rowOff>154780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E2F49C-A7F5-4311-8DAE-05916E061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440532</xdr:colOff>
      <xdr:row>24</xdr:row>
      <xdr:rowOff>102394</xdr:rowOff>
    </xdr:from>
    <xdr:to>
      <xdr:col>49</xdr:col>
      <xdr:colOff>78582</xdr:colOff>
      <xdr:row>43</xdr:row>
      <xdr:rowOff>183358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7C6B6AC-B057-4411-82F3-2D17F3E4B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390527</xdr:colOff>
      <xdr:row>44</xdr:row>
      <xdr:rowOff>88106</xdr:rowOff>
    </xdr:from>
    <xdr:to>
      <xdr:col>45</xdr:col>
      <xdr:colOff>138114</xdr:colOff>
      <xdr:row>63</xdr:row>
      <xdr:rowOff>154781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150CA8-9116-4D22-8052-786C4DC51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8EFC3-025D-4161-805A-04D4F0B566A5}">
  <dimension ref="C2:E32"/>
  <sheetViews>
    <sheetView topLeftCell="B1" workbookViewId="0">
      <selection activeCell="D36" sqref="D36"/>
    </sheetView>
  </sheetViews>
  <sheetFormatPr defaultRowHeight="15"/>
  <cols>
    <col min="2" max="3" width="24.5703125" customWidth="1"/>
    <col min="4" max="4" width="25.5703125" customWidth="1"/>
    <col min="5" max="5" width="78.85546875" customWidth="1"/>
  </cols>
  <sheetData>
    <row r="2" spans="3:4">
      <c r="C2" s="12" t="s">
        <v>32</v>
      </c>
    </row>
    <row r="4" spans="3:4" ht="17.25" customHeight="1">
      <c r="C4" s="24" t="s">
        <v>33</v>
      </c>
    </row>
    <row r="5" spans="3:4" ht="21" customHeight="1">
      <c r="C5" s="17" t="s">
        <v>23</v>
      </c>
      <c r="D5" s="7" t="s">
        <v>0</v>
      </c>
    </row>
    <row r="6" spans="3:4">
      <c r="C6" s="18"/>
      <c r="D6" s="9" t="s">
        <v>25</v>
      </c>
    </row>
    <row r="7" spans="3:4">
      <c r="C7" s="19"/>
      <c r="D7" s="8"/>
    </row>
    <row r="8" spans="3:4">
      <c r="C8" s="19"/>
      <c r="D8" s="2"/>
    </row>
    <row r="9" spans="3:4">
      <c r="C9" s="20"/>
      <c r="D9" s="2"/>
    </row>
    <row r="10" spans="3:4">
      <c r="C10" s="21" t="s">
        <v>24</v>
      </c>
      <c r="D10" s="3"/>
    </row>
    <row r="11" spans="3:4">
      <c r="C11" s="22"/>
      <c r="D11" s="3"/>
    </row>
    <row r="12" spans="3:4">
      <c r="C12" s="23"/>
      <c r="D12" s="3"/>
    </row>
    <row r="13" spans="3:4">
      <c r="C13" s="17" t="s">
        <v>22</v>
      </c>
      <c r="D13" s="2"/>
    </row>
    <row r="14" spans="3:4">
      <c r="C14" s="19"/>
      <c r="D14" s="2"/>
    </row>
    <row r="15" spans="3:4">
      <c r="C15" s="20"/>
      <c r="D15" s="2"/>
    </row>
    <row r="18" spans="3:5">
      <c r="C18" s="4" t="s">
        <v>13</v>
      </c>
      <c r="D18" s="13" t="s">
        <v>21</v>
      </c>
      <c r="E18" s="13" t="s">
        <v>1</v>
      </c>
    </row>
    <row r="19" spans="3:5">
      <c r="C19" s="1"/>
      <c r="D19" s="1" t="s">
        <v>18</v>
      </c>
      <c r="E19" s="14" t="s">
        <v>3</v>
      </c>
    </row>
    <row r="20" spans="3:5">
      <c r="C20" s="1"/>
      <c r="D20" s="1"/>
      <c r="E20" s="15" t="s">
        <v>19</v>
      </c>
    </row>
    <row r="21" spans="3:5">
      <c r="C21" s="1"/>
      <c r="D21" s="1"/>
      <c r="E21" s="15" t="s">
        <v>20</v>
      </c>
    </row>
    <row r="22" spans="3:5">
      <c r="C22" s="10"/>
      <c r="D22" s="10" t="s">
        <v>15</v>
      </c>
      <c r="E22" s="13" t="s">
        <v>4</v>
      </c>
    </row>
    <row r="23" spans="3:5">
      <c r="C23" s="10"/>
      <c r="D23" s="10"/>
      <c r="E23" s="16" t="s">
        <v>16</v>
      </c>
    </row>
    <row r="24" spans="3:5">
      <c r="C24" s="10"/>
      <c r="D24" s="10"/>
      <c r="E24" s="16" t="s">
        <v>17</v>
      </c>
    </row>
    <row r="25" spans="3:5">
      <c r="C25" s="1"/>
      <c r="D25" s="1" t="s">
        <v>14</v>
      </c>
      <c r="E25" s="14" t="s">
        <v>6</v>
      </c>
    </row>
    <row r="26" spans="3:5">
      <c r="C26" s="1"/>
      <c r="D26" s="1"/>
      <c r="E26" s="15" t="s">
        <v>5</v>
      </c>
    </row>
    <row r="27" spans="3:5">
      <c r="C27" s="1"/>
      <c r="D27" s="1"/>
      <c r="E27" s="15" t="s">
        <v>2</v>
      </c>
    </row>
    <row r="28" spans="3:5">
      <c r="C28" s="4" t="s">
        <v>12</v>
      </c>
      <c r="D28" s="10"/>
      <c r="E28" s="13" t="s">
        <v>7</v>
      </c>
    </row>
    <row r="29" spans="3:5">
      <c r="C29" s="10"/>
      <c r="D29" s="10"/>
      <c r="E29" s="16" t="s">
        <v>8</v>
      </c>
    </row>
    <row r="30" spans="3:5">
      <c r="C30" s="10"/>
      <c r="D30" s="10"/>
      <c r="E30" s="16" t="s">
        <v>9</v>
      </c>
    </row>
    <row r="31" spans="3:5">
      <c r="C31" s="10"/>
      <c r="D31" s="10"/>
      <c r="E31" s="16" t="s">
        <v>10</v>
      </c>
    </row>
    <row r="32" spans="3:5">
      <c r="C32" s="10"/>
      <c r="D32" s="10"/>
      <c r="E32" s="16" t="s">
        <v>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77FD7-1EC0-41E4-96B7-2075AF4FD95D}">
  <dimension ref="B3:AK63"/>
  <sheetViews>
    <sheetView tabSelected="1" zoomScale="80" zoomScaleNormal="80" workbookViewId="0">
      <pane xSplit="5" topLeftCell="J1" activePane="topRight" state="frozen"/>
      <selection pane="topRight" activeCell="S26" sqref="S26"/>
    </sheetView>
  </sheetViews>
  <sheetFormatPr defaultRowHeight="15"/>
  <cols>
    <col min="3" max="3" width="33.140625" customWidth="1"/>
    <col min="4" max="4" width="11.7109375" customWidth="1"/>
    <col min="5" max="5" width="13.140625" customWidth="1"/>
    <col min="6" max="6" width="12.5703125" customWidth="1"/>
    <col min="7" max="7" width="13.140625" customWidth="1"/>
    <col min="8" max="8" width="13.28515625" customWidth="1"/>
    <col min="9" max="9" width="13.85546875" customWidth="1"/>
    <col min="10" max="13" width="13.42578125" customWidth="1"/>
    <col min="14" max="15" width="14.85546875" customWidth="1"/>
    <col min="16" max="19" width="16.7109375" customWidth="1"/>
    <col min="20" max="20" width="14" customWidth="1"/>
    <col min="21" max="21" width="15.85546875" customWidth="1"/>
    <col min="22" max="22" width="14.28515625" customWidth="1"/>
    <col min="23" max="23" width="18.85546875" customWidth="1"/>
    <col min="24" max="24" width="17.42578125" customWidth="1"/>
    <col min="25" max="25" width="19.85546875" customWidth="1"/>
  </cols>
  <sheetData>
    <row r="3" spans="2:26"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</row>
    <row r="4" spans="2:26"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</row>
    <row r="5" spans="2:26" ht="15" customHeight="1">
      <c r="B5" s="26"/>
      <c r="C5" s="97"/>
      <c r="D5" s="97"/>
      <c r="E5" s="97"/>
      <c r="F5" s="198" t="s">
        <v>144</v>
      </c>
      <c r="G5" s="199"/>
      <c r="H5" s="199"/>
      <c r="I5" s="199"/>
      <c r="J5" s="199"/>
      <c r="K5" s="199" t="s">
        <v>185</v>
      </c>
      <c r="L5" s="199"/>
      <c r="M5" s="199"/>
      <c r="N5" s="160" t="s">
        <v>184</v>
      </c>
      <c r="O5" s="203" t="s">
        <v>145</v>
      </c>
      <c r="P5" s="203"/>
      <c r="Q5" s="203"/>
      <c r="R5" s="203"/>
      <c r="S5" s="203"/>
      <c r="T5" s="203"/>
      <c r="U5" s="203"/>
      <c r="V5" s="203"/>
      <c r="W5" s="203"/>
      <c r="X5" s="203"/>
      <c r="Y5" s="203"/>
    </row>
    <row r="6" spans="2:26">
      <c r="B6" s="26"/>
      <c r="C6" s="201"/>
      <c r="D6" s="201"/>
      <c r="E6" s="202"/>
      <c r="F6" s="194" t="s">
        <v>53</v>
      </c>
      <c r="G6" s="195"/>
      <c r="H6" s="195"/>
      <c r="I6" s="195"/>
      <c r="J6" s="195"/>
      <c r="K6" s="195"/>
      <c r="L6" s="150"/>
      <c r="M6" s="148"/>
      <c r="N6" s="194" t="s">
        <v>60</v>
      </c>
      <c r="O6" s="195"/>
      <c r="P6" s="195"/>
      <c r="Q6" s="195"/>
      <c r="R6" s="195"/>
      <c r="S6" s="174"/>
      <c r="T6" s="195" t="s">
        <v>129</v>
      </c>
      <c r="U6" s="195"/>
      <c r="V6" s="195"/>
      <c r="W6" s="195"/>
      <c r="X6" s="196" t="s">
        <v>183</v>
      </c>
      <c r="Y6" s="197"/>
      <c r="Z6" s="168"/>
    </row>
    <row r="7" spans="2:26">
      <c r="B7" s="26"/>
      <c r="C7" s="61"/>
      <c r="D7" s="61"/>
      <c r="E7" s="71"/>
      <c r="F7" s="149" t="s">
        <v>54</v>
      </c>
      <c r="G7" s="150" t="s">
        <v>55</v>
      </c>
      <c r="H7" s="150" t="s">
        <v>56</v>
      </c>
      <c r="I7" s="150" t="s">
        <v>57</v>
      </c>
      <c r="J7" s="147" t="s">
        <v>58</v>
      </c>
      <c r="K7" s="148" t="s">
        <v>178</v>
      </c>
      <c r="L7" s="150" t="s">
        <v>181</v>
      </c>
      <c r="M7" s="148" t="s">
        <v>182</v>
      </c>
      <c r="N7" s="151" t="s">
        <v>59</v>
      </c>
      <c r="O7" s="148" t="s">
        <v>147</v>
      </c>
      <c r="P7" s="147" t="s">
        <v>149</v>
      </c>
      <c r="Q7" s="148" t="s">
        <v>152</v>
      </c>
      <c r="R7" s="148" t="s">
        <v>153</v>
      </c>
      <c r="S7" s="160" t="s">
        <v>175</v>
      </c>
      <c r="T7" s="149" t="s">
        <v>130</v>
      </c>
      <c r="U7" s="150" t="s">
        <v>131</v>
      </c>
      <c r="V7" s="150" t="s">
        <v>132</v>
      </c>
      <c r="W7" s="157" t="s">
        <v>161</v>
      </c>
      <c r="X7" s="161" t="s">
        <v>162</v>
      </c>
      <c r="Y7" s="169" t="s">
        <v>163</v>
      </c>
      <c r="Z7" s="168"/>
    </row>
    <row r="8" spans="2:26" ht="19.5" customHeight="1" thickBot="1">
      <c r="B8" s="26"/>
      <c r="C8" s="62" t="s">
        <v>65</v>
      </c>
      <c r="D8" s="62" t="s">
        <v>66</v>
      </c>
      <c r="E8" s="63" t="s">
        <v>67</v>
      </c>
      <c r="F8" s="152" t="s">
        <v>52</v>
      </c>
      <c r="G8" s="153" t="s">
        <v>61</v>
      </c>
      <c r="H8" s="153" t="s">
        <v>62</v>
      </c>
      <c r="I8" s="153" t="s">
        <v>63</v>
      </c>
      <c r="J8" s="154" t="s">
        <v>64</v>
      </c>
      <c r="K8" s="156" t="s">
        <v>179</v>
      </c>
      <c r="L8" s="153" t="s">
        <v>186</v>
      </c>
      <c r="M8" s="156" t="s">
        <v>188</v>
      </c>
      <c r="N8" s="155" t="s">
        <v>51</v>
      </c>
      <c r="O8" s="156">
        <v>4340</v>
      </c>
      <c r="P8" s="154" t="s">
        <v>151</v>
      </c>
      <c r="Q8" s="156" t="s">
        <v>154</v>
      </c>
      <c r="R8" s="156" t="s">
        <v>155</v>
      </c>
      <c r="S8" s="156" t="s">
        <v>174</v>
      </c>
      <c r="T8" s="152" t="s">
        <v>133</v>
      </c>
      <c r="U8" s="153" t="s">
        <v>134</v>
      </c>
      <c r="V8" s="153" t="s">
        <v>135</v>
      </c>
      <c r="W8" s="154" t="s">
        <v>165</v>
      </c>
      <c r="X8" s="162" t="s">
        <v>164</v>
      </c>
      <c r="Y8" s="173" t="s">
        <v>172</v>
      </c>
      <c r="Z8" s="168"/>
    </row>
    <row r="9" spans="2:26" ht="16.5" customHeight="1">
      <c r="B9" s="26"/>
      <c r="C9" s="56" t="s">
        <v>68</v>
      </c>
      <c r="D9" s="56" t="s">
        <v>69</v>
      </c>
      <c r="E9" s="72" t="s">
        <v>50</v>
      </c>
      <c r="F9" s="68">
        <v>2.7000000000000002E-9</v>
      </c>
      <c r="G9" s="57">
        <v>2.7000000000000002E-9</v>
      </c>
      <c r="H9" s="57">
        <v>2.7000000000000002E-9</v>
      </c>
      <c r="I9" s="57">
        <v>2.7000000000000002E-9</v>
      </c>
      <c r="J9" s="64">
        <v>2.7000000000000002E-9</v>
      </c>
      <c r="K9" s="28">
        <v>2.7099999999999999E-9</v>
      </c>
      <c r="L9" s="28">
        <v>2.7099999999999999E-9</v>
      </c>
      <c r="M9" s="28">
        <v>2.81E-9</v>
      </c>
      <c r="N9" s="122">
        <v>7.8500000000000008E-9</v>
      </c>
      <c r="O9" s="28">
        <v>7.8500000000000008E-9</v>
      </c>
      <c r="P9" s="28">
        <v>7.8500000000000008E-9</v>
      </c>
      <c r="Q9" s="28">
        <v>7.8500000000000008E-9</v>
      </c>
      <c r="R9" s="28">
        <v>7.8500000000000008E-9</v>
      </c>
      <c r="S9" s="28">
        <v>7.8500000000000008E-9</v>
      </c>
      <c r="T9" s="100">
        <v>4.4299999999999998E-9</v>
      </c>
      <c r="U9" s="101">
        <v>4.5500000000000002E-9</v>
      </c>
      <c r="V9" s="102">
        <v>4.5500000000000002E-9</v>
      </c>
      <c r="W9" s="28">
        <v>4.4299999999999998E-9</v>
      </c>
      <c r="X9" s="166">
        <v>8.9600000000000005E-9</v>
      </c>
      <c r="Y9" s="165">
        <v>7.8899999999999998E-9</v>
      </c>
    </row>
    <row r="10" spans="2:26">
      <c r="B10" s="26"/>
      <c r="C10" s="32" t="s">
        <v>70</v>
      </c>
      <c r="D10" s="32" t="s">
        <v>71</v>
      </c>
      <c r="E10" s="73" t="s">
        <v>72</v>
      </c>
      <c r="F10" s="70">
        <v>58333.33</v>
      </c>
      <c r="G10" s="34">
        <v>58333.33</v>
      </c>
      <c r="H10" s="34">
        <v>58333.33</v>
      </c>
      <c r="I10" s="34">
        <v>58333.33</v>
      </c>
      <c r="J10" s="65">
        <v>58333.33</v>
      </c>
      <c r="K10" s="28">
        <f>K13/(3*(1-2*K14))</f>
        <v>56140.350877192977</v>
      </c>
      <c r="L10" s="28">
        <f>L13/(3*(1-2*L14))</f>
        <v>69607.843137254895</v>
      </c>
      <c r="M10" s="28">
        <f>M13/(3*(1-2*M14))</f>
        <v>70294.117647058825</v>
      </c>
      <c r="N10" s="122">
        <v>205880</v>
      </c>
      <c r="O10" s="28">
        <f>O13/(3*(1-2*O14))</f>
        <v>174999.99999999997</v>
      </c>
      <c r="P10" s="28">
        <f>P13/(3*(1-2*P14))</f>
        <v>205882.35294117648</v>
      </c>
      <c r="Q10" s="28">
        <f t="shared" ref="Q10:Y10" si="0">Q13/(3*(1-2*Q14))</f>
        <v>205882.35294117648</v>
      </c>
      <c r="R10" s="28">
        <f t="shared" si="0"/>
        <v>205882.35294117648</v>
      </c>
      <c r="S10" s="28">
        <f t="shared" si="0"/>
        <v>199019.60784313726</v>
      </c>
      <c r="T10" s="100">
        <v>116</v>
      </c>
      <c r="U10" s="101">
        <v>116</v>
      </c>
      <c r="V10" s="101">
        <v>116</v>
      </c>
      <c r="W10" s="28">
        <f>W13/(3*(1-2*W14))</f>
        <v>117881.03958333335</v>
      </c>
      <c r="X10" s="170">
        <f>X13/(3*(1-2*X14))</f>
        <v>129166.66666666669</v>
      </c>
      <c r="Y10" s="28">
        <f t="shared" si="0"/>
        <v>164285.71428571426</v>
      </c>
    </row>
    <row r="11" spans="2:26">
      <c r="B11" s="26"/>
      <c r="C11" s="32" t="s">
        <v>73</v>
      </c>
      <c r="D11" s="32" t="s">
        <v>74</v>
      </c>
      <c r="E11" s="73" t="s">
        <v>72</v>
      </c>
      <c r="F11" s="70">
        <v>26923.08</v>
      </c>
      <c r="G11" s="34">
        <v>26923.08</v>
      </c>
      <c r="H11" s="34">
        <v>26923.08</v>
      </c>
      <c r="I11" s="34">
        <v>26923.08</v>
      </c>
      <c r="J11" s="65">
        <v>26923.08</v>
      </c>
      <c r="K11" s="28">
        <f t="shared" ref="K11:L11" si="1">K13/(2*(1+K14))</f>
        <v>24427.480916030534</v>
      </c>
      <c r="L11" s="28">
        <f t="shared" si="1"/>
        <v>26691.729323308271</v>
      </c>
      <c r="M11" s="28">
        <f>M13/(2*(1+M14))</f>
        <v>26954.887218045111</v>
      </c>
      <c r="N11" s="122">
        <v>78947</v>
      </c>
      <c r="O11" s="28">
        <f>O13/(2*(1+O14))</f>
        <v>80769.230769230766</v>
      </c>
      <c r="P11" s="28">
        <f t="shared" ref="P11:S11" si="2">P13/(2*(1+P14))</f>
        <v>78947.368421052626</v>
      </c>
      <c r="Q11" s="28">
        <f t="shared" si="2"/>
        <v>78947.368421052626</v>
      </c>
      <c r="R11" s="28">
        <f t="shared" si="2"/>
        <v>78947.368421052626</v>
      </c>
      <c r="S11" s="28">
        <f t="shared" si="2"/>
        <v>76315.789473684214</v>
      </c>
      <c r="T11" s="100">
        <v>38000</v>
      </c>
      <c r="U11" s="101">
        <v>38000</v>
      </c>
      <c r="V11" s="101">
        <v>38000</v>
      </c>
      <c r="W11" s="28">
        <f t="shared" ref="W11:Y11" si="3">W13/(2*(1+W14))</f>
        <v>42226.044029850746</v>
      </c>
      <c r="X11" s="122">
        <f t="shared" si="3"/>
        <v>46268.656716417907</v>
      </c>
      <c r="Y11" s="28">
        <f t="shared" si="3"/>
        <v>80232.558139534885</v>
      </c>
    </row>
    <row r="12" spans="2:26">
      <c r="B12" s="26"/>
      <c r="C12" s="32" t="s">
        <v>75</v>
      </c>
      <c r="D12" s="32" t="s">
        <v>76</v>
      </c>
      <c r="E12" s="73" t="s">
        <v>76</v>
      </c>
      <c r="F12" s="70">
        <v>47</v>
      </c>
      <c r="G12" s="34">
        <v>47</v>
      </c>
      <c r="H12" s="34">
        <v>47</v>
      </c>
      <c r="I12" s="34">
        <v>47</v>
      </c>
      <c r="J12" s="65">
        <v>47</v>
      </c>
      <c r="K12" s="65">
        <v>47</v>
      </c>
      <c r="L12" s="65">
        <v>47</v>
      </c>
      <c r="M12" s="65">
        <v>47</v>
      </c>
      <c r="N12" s="106">
        <v>47</v>
      </c>
      <c r="O12" s="29">
        <v>47</v>
      </c>
      <c r="P12" s="29">
        <v>47</v>
      </c>
      <c r="Q12" s="29">
        <v>47</v>
      </c>
      <c r="R12" s="29">
        <v>47</v>
      </c>
      <c r="S12" s="29">
        <v>47</v>
      </c>
      <c r="T12" s="100">
        <v>47</v>
      </c>
      <c r="U12" s="101">
        <v>47</v>
      </c>
      <c r="V12" s="101">
        <v>47</v>
      </c>
      <c r="W12" s="101">
        <v>47</v>
      </c>
      <c r="X12" s="100">
        <v>47</v>
      </c>
      <c r="Y12" s="101">
        <v>47</v>
      </c>
    </row>
    <row r="13" spans="2:26">
      <c r="B13" s="26"/>
      <c r="C13" s="32" t="s">
        <v>77</v>
      </c>
      <c r="D13" s="32" t="s">
        <v>78</v>
      </c>
      <c r="E13" s="73" t="s">
        <v>72</v>
      </c>
      <c r="F13" s="70">
        <v>70000</v>
      </c>
      <c r="G13" s="34">
        <v>70000</v>
      </c>
      <c r="H13" s="34">
        <v>70000</v>
      </c>
      <c r="I13" s="34">
        <v>70000</v>
      </c>
      <c r="J13" s="65">
        <v>70000</v>
      </c>
      <c r="K13" s="28">
        <v>64000</v>
      </c>
      <c r="L13" s="28">
        <v>71000</v>
      </c>
      <c r="M13" s="28">
        <v>71700</v>
      </c>
      <c r="N13" s="122">
        <v>210000</v>
      </c>
      <c r="O13" s="28">
        <v>210000</v>
      </c>
      <c r="P13" s="28">
        <v>210000</v>
      </c>
      <c r="Q13" s="28">
        <v>210000</v>
      </c>
      <c r="R13" s="28">
        <v>210000</v>
      </c>
      <c r="S13" s="28">
        <v>203000</v>
      </c>
      <c r="T13" s="100">
        <v>114500</v>
      </c>
      <c r="U13" s="101">
        <v>114500</v>
      </c>
      <c r="V13" s="101">
        <v>114500</v>
      </c>
      <c r="W13" s="28">
        <v>113165.798</v>
      </c>
      <c r="X13" s="164">
        <v>124000</v>
      </c>
      <c r="Y13" s="165">
        <v>207000</v>
      </c>
    </row>
    <row r="14" spans="2:26">
      <c r="B14" s="26"/>
      <c r="C14" s="32" t="s">
        <v>79</v>
      </c>
      <c r="D14" s="32" t="s">
        <v>80</v>
      </c>
      <c r="E14" s="73" t="s">
        <v>76</v>
      </c>
      <c r="F14" s="70">
        <v>0.3</v>
      </c>
      <c r="G14" s="34">
        <v>0.3</v>
      </c>
      <c r="H14" s="34">
        <v>0.3</v>
      </c>
      <c r="I14" s="34">
        <v>0.3</v>
      </c>
      <c r="J14" s="65">
        <v>0.3</v>
      </c>
      <c r="K14" s="29">
        <v>0.31</v>
      </c>
      <c r="L14" s="29">
        <v>0.33</v>
      </c>
      <c r="M14" s="29">
        <v>0.33</v>
      </c>
      <c r="N14" s="106">
        <v>0.33</v>
      </c>
      <c r="O14" s="29">
        <v>0.3</v>
      </c>
      <c r="P14" s="29">
        <v>0.33</v>
      </c>
      <c r="Q14" s="29">
        <v>0.33</v>
      </c>
      <c r="R14" s="29">
        <v>0.33</v>
      </c>
      <c r="S14" s="29">
        <v>0.33</v>
      </c>
      <c r="T14" s="100">
        <v>0.34499999999999997</v>
      </c>
      <c r="U14" s="101">
        <v>0.34499999999999997</v>
      </c>
      <c r="V14" s="101">
        <v>0.34499999999999997</v>
      </c>
      <c r="W14" s="29">
        <v>0.34</v>
      </c>
      <c r="X14" s="158">
        <v>0.34</v>
      </c>
      <c r="Y14" s="163">
        <v>0.28999999999999998</v>
      </c>
    </row>
    <row r="15" spans="2:26">
      <c r="B15" s="26"/>
      <c r="C15" s="32" t="s">
        <v>81</v>
      </c>
      <c r="D15" s="32" t="s">
        <v>82</v>
      </c>
      <c r="E15" s="73" t="s">
        <v>76</v>
      </c>
      <c r="F15" s="70">
        <v>0.9</v>
      </c>
      <c r="G15" s="34">
        <v>0.9</v>
      </c>
      <c r="H15" s="34">
        <v>0.9</v>
      </c>
      <c r="I15" s="34">
        <v>0.9</v>
      </c>
      <c r="J15" s="65">
        <v>0.9</v>
      </c>
      <c r="K15" s="29"/>
      <c r="L15" s="29"/>
      <c r="M15" s="29"/>
      <c r="N15" s="106">
        <v>0.9</v>
      </c>
      <c r="O15" s="29"/>
      <c r="P15" s="29">
        <v>0.9</v>
      </c>
      <c r="Q15" s="29">
        <v>0.9</v>
      </c>
      <c r="R15" s="29">
        <v>0.9</v>
      </c>
      <c r="S15" s="29"/>
      <c r="T15" s="100"/>
      <c r="U15" s="101"/>
      <c r="V15" s="101"/>
      <c r="W15" s="29"/>
      <c r="X15" s="158"/>
    </row>
    <row r="16" spans="2:26">
      <c r="B16" s="26"/>
      <c r="C16" s="32" t="s">
        <v>83</v>
      </c>
      <c r="D16" s="32" t="s">
        <v>84</v>
      </c>
      <c r="E16" s="73" t="s">
        <v>85</v>
      </c>
      <c r="F16" s="69">
        <v>910000000</v>
      </c>
      <c r="G16" s="33">
        <v>910000000</v>
      </c>
      <c r="H16" s="33">
        <v>910000000</v>
      </c>
      <c r="I16" s="33">
        <v>910000000</v>
      </c>
      <c r="J16" s="66">
        <v>910000000</v>
      </c>
      <c r="K16" s="33">
        <v>960000000</v>
      </c>
      <c r="L16" s="33">
        <v>875000000</v>
      </c>
      <c r="M16" s="178">
        <v>960000000</v>
      </c>
      <c r="N16" s="28">
        <v>452000000</v>
      </c>
      <c r="O16" s="28">
        <v>452000000</v>
      </c>
      <c r="P16" s="28">
        <v>452000000</v>
      </c>
      <c r="Q16" s="28">
        <v>452000000</v>
      </c>
      <c r="R16" s="28">
        <v>452000000</v>
      </c>
      <c r="S16" s="28">
        <v>452000000</v>
      </c>
      <c r="T16" s="103">
        <v>720000000</v>
      </c>
      <c r="U16" s="102">
        <v>720000000</v>
      </c>
      <c r="V16" s="102">
        <v>720000000</v>
      </c>
      <c r="W16" s="28">
        <v>620750000</v>
      </c>
      <c r="X16" s="164">
        <v>383000000</v>
      </c>
      <c r="Y16" s="167">
        <v>452000000</v>
      </c>
    </row>
    <row r="17" spans="2:25">
      <c r="B17" s="26"/>
      <c r="C17" s="32" t="s">
        <v>86</v>
      </c>
      <c r="D17" s="32" t="s">
        <v>87</v>
      </c>
      <c r="E17" s="73" t="s">
        <v>88</v>
      </c>
      <c r="F17" s="69">
        <v>2.3200000000000001E-5</v>
      </c>
      <c r="G17" s="33">
        <v>2.3200000000000001E-5</v>
      </c>
      <c r="H17" s="35">
        <v>2.3200000000000001E-5</v>
      </c>
      <c r="I17" s="35">
        <v>2.3200000000000001E-5</v>
      </c>
      <c r="J17" s="67">
        <v>2.3200000000000001E-5</v>
      </c>
      <c r="K17" s="35"/>
      <c r="L17" s="35"/>
      <c r="M17" s="179"/>
      <c r="N17" s="28">
        <v>2.3200000000000001E-5</v>
      </c>
      <c r="O17" s="28">
        <v>2.3200000000000001E-5</v>
      </c>
      <c r="P17" s="28">
        <v>1.2E-5</v>
      </c>
      <c r="Q17" s="28">
        <v>1.2E-5</v>
      </c>
      <c r="R17" s="28">
        <v>1.2E-5</v>
      </c>
      <c r="S17" s="28"/>
      <c r="T17" s="100"/>
      <c r="U17" s="101"/>
      <c r="V17" s="101"/>
      <c r="W17" s="28"/>
      <c r="X17" s="158"/>
    </row>
    <row r="18" spans="2:25">
      <c r="B18" s="26"/>
      <c r="C18" s="32" t="s">
        <v>89</v>
      </c>
      <c r="D18" s="32" t="s">
        <v>90</v>
      </c>
      <c r="E18" s="73"/>
      <c r="F18" s="69">
        <v>1E-4</v>
      </c>
      <c r="G18" s="33">
        <v>5.0000000000000001E-4</v>
      </c>
      <c r="H18" s="33">
        <v>5.0000000000000001E-4</v>
      </c>
      <c r="I18" s="33">
        <v>5.0000000000000001E-4</v>
      </c>
      <c r="J18" s="66">
        <v>5.0000000000000001E-4</v>
      </c>
      <c r="K18" s="33">
        <v>1E-4</v>
      </c>
      <c r="L18" s="33">
        <v>1</v>
      </c>
      <c r="M18" s="178">
        <v>1</v>
      </c>
      <c r="N18" s="28">
        <v>1E-4</v>
      </c>
      <c r="O18" s="28">
        <v>1E-4</v>
      </c>
      <c r="P18" s="28">
        <v>5.0000000000000001E-4</v>
      </c>
      <c r="Q18" s="28">
        <v>5.0000000000000001E-4</v>
      </c>
      <c r="R18" s="28">
        <v>5.0000000000000001E-4</v>
      </c>
      <c r="S18" s="28">
        <v>1E-4</v>
      </c>
      <c r="T18" s="104">
        <v>9.7999999999999997E-3</v>
      </c>
      <c r="U18" s="105">
        <v>7.1999999999999998E-3</v>
      </c>
      <c r="V18" s="105">
        <v>6.3499999999999997E-3</v>
      </c>
      <c r="W18" s="181">
        <v>1</v>
      </c>
      <c r="X18" s="158">
        <v>1</v>
      </c>
      <c r="Y18" s="182">
        <v>1</v>
      </c>
    </row>
    <row r="19" spans="2:25">
      <c r="B19" s="26"/>
      <c r="C19" s="32"/>
      <c r="D19" s="32" t="s">
        <v>91</v>
      </c>
      <c r="E19" s="73"/>
      <c r="F19" s="69">
        <v>2.4569999999999999</v>
      </c>
      <c r="G19" s="33">
        <v>2.4569999999999999</v>
      </c>
      <c r="H19" s="33">
        <v>2.4569999999999999</v>
      </c>
      <c r="I19" s="33">
        <v>2.4569999999999999</v>
      </c>
      <c r="J19" s="66">
        <v>2.4569999999999999</v>
      </c>
      <c r="K19" s="28"/>
      <c r="L19" s="28"/>
      <c r="M19" s="180"/>
      <c r="N19" s="28">
        <v>3.548</v>
      </c>
      <c r="O19" s="28">
        <f>O16*O9</f>
        <v>3.5482000000000005</v>
      </c>
      <c r="P19" s="28"/>
      <c r="Q19" s="28"/>
      <c r="R19" s="28"/>
      <c r="S19" s="28"/>
      <c r="T19" s="103">
        <f>T16*T9</f>
        <v>3.1896</v>
      </c>
      <c r="U19" s="101">
        <f t="shared" ref="U19:V19" si="4">U16*U9</f>
        <v>3.2760000000000002</v>
      </c>
      <c r="V19" s="101">
        <f t="shared" si="4"/>
        <v>3.2760000000000002</v>
      </c>
      <c r="W19" s="26"/>
      <c r="X19" s="158"/>
    </row>
    <row r="20" spans="2:25">
      <c r="B20" s="26"/>
      <c r="C20" s="36" t="s">
        <v>92</v>
      </c>
      <c r="D20" s="36" t="s">
        <v>93</v>
      </c>
      <c r="E20" s="74" t="s">
        <v>71</v>
      </c>
      <c r="F20" s="70">
        <v>893</v>
      </c>
      <c r="G20" s="34">
        <v>893</v>
      </c>
      <c r="H20" s="34">
        <v>893</v>
      </c>
      <c r="I20" s="34">
        <v>893</v>
      </c>
      <c r="J20" s="65">
        <v>893</v>
      </c>
      <c r="K20" s="65">
        <v>893</v>
      </c>
      <c r="L20" s="65">
        <v>893</v>
      </c>
      <c r="M20" s="29">
        <v>750</v>
      </c>
      <c r="N20" s="106">
        <v>1800</v>
      </c>
      <c r="O20" s="29">
        <v>1800</v>
      </c>
      <c r="P20" s="29">
        <v>1800</v>
      </c>
      <c r="Q20" s="29">
        <v>1800</v>
      </c>
      <c r="R20" s="29">
        <v>1800</v>
      </c>
      <c r="S20" s="29">
        <v>1800</v>
      </c>
      <c r="T20" s="100">
        <f>1668+273</f>
        <v>1941</v>
      </c>
      <c r="U20" s="101">
        <f t="shared" ref="U20:V20" si="5">1668+273</f>
        <v>1941</v>
      </c>
      <c r="V20" s="101">
        <f t="shared" si="5"/>
        <v>1941</v>
      </c>
      <c r="W20" s="26">
        <v>1650</v>
      </c>
      <c r="X20" s="158">
        <v>1356</v>
      </c>
      <c r="Y20">
        <v>1811</v>
      </c>
    </row>
    <row r="21" spans="2:25">
      <c r="B21" s="26"/>
      <c r="C21" s="36" t="s">
        <v>94</v>
      </c>
      <c r="D21" s="36" t="s">
        <v>95</v>
      </c>
      <c r="E21" s="74" t="s">
        <v>71</v>
      </c>
      <c r="F21" s="70">
        <v>293</v>
      </c>
      <c r="G21" s="34">
        <v>293</v>
      </c>
      <c r="H21" s="34">
        <v>293</v>
      </c>
      <c r="I21" s="34">
        <v>293</v>
      </c>
      <c r="J21" s="65">
        <v>293</v>
      </c>
      <c r="K21" s="65">
        <v>293</v>
      </c>
      <c r="L21" s="65">
        <v>293</v>
      </c>
      <c r="M21" s="65">
        <v>293</v>
      </c>
      <c r="N21" s="106">
        <v>293</v>
      </c>
      <c r="O21" s="29">
        <v>293</v>
      </c>
      <c r="P21" s="29">
        <v>293</v>
      </c>
      <c r="Q21" s="29">
        <v>293</v>
      </c>
      <c r="R21" s="29">
        <v>293</v>
      </c>
      <c r="S21" s="29">
        <v>293</v>
      </c>
      <c r="T21" s="106">
        <v>293</v>
      </c>
      <c r="U21" s="29">
        <v>293</v>
      </c>
      <c r="V21" s="29">
        <v>293</v>
      </c>
      <c r="W21" s="29">
        <v>293</v>
      </c>
      <c r="X21" s="171">
        <v>293</v>
      </c>
      <c r="Y21" s="29">
        <v>293</v>
      </c>
    </row>
    <row r="22" spans="2:25">
      <c r="B22" s="26"/>
      <c r="C22" s="36" t="s">
        <v>96</v>
      </c>
      <c r="D22" s="36" t="s">
        <v>97</v>
      </c>
      <c r="E22" s="74" t="s">
        <v>71</v>
      </c>
      <c r="F22" s="70">
        <v>293</v>
      </c>
      <c r="G22" s="34">
        <v>293</v>
      </c>
      <c r="H22" s="34">
        <v>293</v>
      </c>
      <c r="I22" s="34">
        <v>293</v>
      </c>
      <c r="J22" s="65">
        <v>293</v>
      </c>
      <c r="K22" s="65">
        <v>293</v>
      </c>
      <c r="L22" s="65">
        <v>293</v>
      </c>
      <c r="M22" s="65">
        <v>293</v>
      </c>
      <c r="N22" s="106">
        <v>293</v>
      </c>
      <c r="O22" s="29">
        <v>293</v>
      </c>
      <c r="P22" s="29">
        <v>293</v>
      </c>
      <c r="Q22" s="29">
        <v>293</v>
      </c>
      <c r="R22" s="29">
        <v>293</v>
      </c>
      <c r="S22" s="29">
        <v>293</v>
      </c>
      <c r="T22" s="106">
        <v>293</v>
      </c>
      <c r="U22" s="29">
        <v>293</v>
      </c>
      <c r="V22" s="29">
        <v>293</v>
      </c>
      <c r="W22" s="29">
        <v>293</v>
      </c>
      <c r="X22" s="172">
        <v>293</v>
      </c>
      <c r="Y22" s="29">
        <v>293</v>
      </c>
    </row>
    <row r="23" spans="2:25">
      <c r="B23" s="26"/>
      <c r="C23" s="36" t="s">
        <v>98</v>
      </c>
      <c r="D23" s="36" t="s">
        <v>99</v>
      </c>
      <c r="E23" s="74" t="s">
        <v>71</v>
      </c>
      <c r="F23" s="70">
        <v>893</v>
      </c>
      <c r="G23" s="34">
        <v>893</v>
      </c>
      <c r="H23" s="34">
        <v>893</v>
      </c>
      <c r="I23" s="34">
        <v>893</v>
      </c>
      <c r="J23" s="65">
        <v>893</v>
      </c>
      <c r="K23" s="29"/>
      <c r="L23" s="29"/>
      <c r="M23" s="29"/>
      <c r="N23" s="106">
        <v>893</v>
      </c>
      <c r="O23" s="29">
        <v>893</v>
      </c>
      <c r="P23" s="29"/>
      <c r="Q23" s="29"/>
      <c r="R23" s="29"/>
      <c r="S23" s="29"/>
      <c r="T23" s="100"/>
      <c r="U23" s="101"/>
      <c r="V23" s="101"/>
      <c r="W23" s="26"/>
      <c r="X23" s="158"/>
    </row>
    <row r="24" spans="2:25">
      <c r="B24" s="26"/>
      <c r="C24" s="32" t="s">
        <v>124</v>
      </c>
      <c r="D24" s="32" t="s">
        <v>100</v>
      </c>
      <c r="E24" s="73" t="s">
        <v>72</v>
      </c>
      <c r="F24" s="70">
        <v>292.60000000000002</v>
      </c>
      <c r="G24" s="34">
        <v>38.799999999999997</v>
      </c>
      <c r="H24" s="34">
        <v>172.7</v>
      </c>
      <c r="I24" s="34">
        <v>350</v>
      </c>
      <c r="J24" s="65">
        <v>292.5</v>
      </c>
      <c r="K24" s="29">
        <v>448.45400000000001</v>
      </c>
      <c r="L24" s="29">
        <v>265</v>
      </c>
      <c r="M24" s="29">
        <v>480</v>
      </c>
      <c r="N24" s="106">
        <v>325.70001000000002</v>
      </c>
      <c r="O24" s="29">
        <v>910</v>
      </c>
      <c r="P24" s="29">
        <v>499</v>
      </c>
      <c r="Q24" s="29">
        <v>859</v>
      </c>
      <c r="R24" s="29">
        <v>992</v>
      </c>
      <c r="S24" s="28">
        <v>304.33</v>
      </c>
      <c r="T24" s="100">
        <v>900</v>
      </c>
      <c r="U24" s="101">
        <v>600</v>
      </c>
      <c r="V24" s="101">
        <v>500</v>
      </c>
      <c r="W24" s="163">
        <v>1098</v>
      </c>
      <c r="X24" s="158">
        <v>90</v>
      </c>
      <c r="Y24" s="163">
        <v>175</v>
      </c>
    </row>
    <row r="25" spans="2:25">
      <c r="B25" s="26"/>
      <c r="C25" s="32" t="s">
        <v>125</v>
      </c>
      <c r="D25" s="32" t="s">
        <v>101</v>
      </c>
      <c r="E25" s="73" t="s">
        <v>76</v>
      </c>
      <c r="F25" s="70">
        <v>0</v>
      </c>
      <c r="G25" s="34">
        <v>3.63</v>
      </c>
      <c r="H25" s="34">
        <v>2.99</v>
      </c>
      <c r="I25" s="34">
        <v>2.64</v>
      </c>
      <c r="J25" s="65">
        <v>2.69</v>
      </c>
      <c r="K25" s="29">
        <v>475.80799999999999</v>
      </c>
      <c r="L25" s="29">
        <v>426</v>
      </c>
      <c r="M25" s="29">
        <v>370</v>
      </c>
      <c r="N25" s="106">
        <v>0</v>
      </c>
      <c r="O25" s="29">
        <v>586</v>
      </c>
      <c r="P25" s="29">
        <v>382</v>
      </c>
      <c r="Q25" s="29">
        <v>329</v>
      </c>
      <c r="R25" s="29">
        <v>364</v>
      </c>
      <c r="S25" s="29">
        <v>422.00700000000001</v>
      </c>
      <c r="T25" s="100">
        <v>509.75</v>
      </c>
      <c r="U25" s="101">
        <v>528</v>
      </c>
      <c r="V25" s="101">
        <v>353.9</v>
      </c>
      <c r="W25" s="163">
        <v>1092</v>
      </c>
      <c r="X25" s="158">
        <v>292</v>
      </c>
      <c r="Y25" s="163">
        <v>380</v>
      </c>
    </row>
    <row r="26" spans="2:25">
      <c r="B26" s="26"/>
      <c r="C26" s="32" t="s">
        <v>126</v>
      </c>
      <c r="D26" s="32" t="s">
        <v>102</v>
      </c>
      <c r="E26" s="73" t="s">
        <v>76</v>
      </c>
      <c r="F26" s="70">
        <v>0</v>
      </c>
      <c r="G26" s="34">
        <v>0.21299999999999999</v>
      </c>
      <c r="H26" s="34">
        <v>0.16600000000000001</v>
      </c>
      <c r="I26" s="34">
        <v>0.05</v>
      </c>
      <c r="J26" s="65">
        <v>3.5999999999999997E-2</v>
      </c>
      <c r="K26" s="29">
        <v>0.39479999999999998</v>
      </c>
      <c r="L26" s="29">
        <v>0.34</v>
      </c>
      <c r="M26" s="29">
        <v>0.43</v>
      </c>
      <c r="N26" s="106">
        <v>0</v>
      </c>
      <c r="O26" s="29">
        <v>0.26</v>
      </c>
      <c r="P26" s="29">
        <v>0.45800000000000002</v>
      </c>
      <c r="Q26" s="29">
        <v>0.57899999999999996</v>
      </c>
      <c r="R26" s="29">
        <v>0.56799999999999995</v>
      </c>
      <c r="S26" s="29">
        <v>0.34499999999999997</v>
      </c>
      <c r="T26" s="100">
        <v>0.50600000000000001</v>
      </c>
      <c r="U26" s="101">
        <v>0.38600000000000001</v>
      </c>
      <c r="V26" s="101">
        <v>0.50800000000000001</v>
      </c>
      <c r="W26" s="163">
        <v>0.93</v>
      </c>
      <c r="X26" s="158">
        <v>0.31</v>
      </c>
      <c r="Y26" s="163">
        <v>0.32</v>
      </c>
    </row>
    <row r="27" spans="2:25">
      <c r="B27" s="26"/>
      <c r="C27" s="32" t="s">
        <v>127</v>
      </c>
      <c r="D27" s="32" t="s">
        <v>103</v>
      </c>
      <c r="E27" s="73" t="s">
        <v>76</v>
      </c>
      <c r="F27" s="70">
        <v>0.02</v>
      </c>
      <c r="G27" s="34">
        <v>0.14199999999999999</v>
      </c>
      <c r="H27" s="34">
        <v>0.11700000000000001</v>
      </c>
      <c r="I27" s="34">
        <v>0.10299999999999999</v>
      </c>
      <c r="J27" s="65">
        <v>0.105</v>
      </c>
      <c r="K27" s="29">
        <v>1.1999999999999999E-3</v>
      </c>
      <c r="L27" s="29">
        <v>1.4999999999999999E-2</v>
      </c>
      <c r="M27" s="29">
        <v>7.1999999999999998E-3</v>
      </c>
      <c r="N27" s="106">
        <v>0.01</v>
      </c>
      <c r="O27" s="29">
        <v>1.4E-2</v>
      </c>
      <c r="P27" s="29">
        <v>7.9000000000000008E-3</v>
      </c>
      <c r="Q27" s="29">
        <v>1.15E-2</v>
      </c>
      <c r="R27" s="29">
        <v>8.6999999999999994E-3</v>
      </c>
      <c r="S27" s="29">
        <v>1.5599999999999999E-2</v>
      </c>
      <c r="T27" s="100">
        <v>0.03</v>
      </c>
      <c r="U27" s="101">
        <v>0.03</v>
      </c>
      <c r="V27" s="101">
        <v>0.03</v>
      </c>
      <c r="W27" s="163">
        <v>1.4E-2</v>
      </c>
      <c r="X27" s="158">
        <v>2.5000000000000001E-2</v>
      </c>
      <c r="Y27" s="163">
        <v>0.06</v>
      </c>
    </row>
    <row r="28" spans="2:25">
      <c r="B28" s="26"/>
      <c r="C28" s="32" t="s">
        <v>128</v>
      </c>
      <c r="D28" s="32" t="s">
        <v>104</v>
      </c>
      <c r="E28" s="73" t="s">
        <v>76</v>
      </c>
      <c r="F28" s="70">
        <v>1</v>
      </c>
      <c r="G28" s="34">
        <v>1</v>
      </c>
      <c r="H28" s="34">
        <v>1</v>
      </c>
      <c r="I28" s="34">
        <v>1</v>
      </c>
      <c r="J28" s="65">
        <v>1</v>
      </c>
      <c r="K28" s="29">
        <v>1.29</v>
      </c>
      <c r="L28" s="29">
        <v>1</v>
      </c>
      <c r="M28" s="29">
        <v>0.74</v>
      </c>
      <c r="N28" s="106">
        <v>1</v>
      </c>
      <c r="O28" s="29">
        <v>1.03</v>
      </c>
      <c r="P28" s="29">
        <v>0.89300000000000002</v>
      </c>
      <c r="Q28" s="29">
        <v>1.071</v>
      </c>
      <c r="R28" s="29">
        <v>1.131</v>
      </c>
      <c r="S28" s="29">
        <v>0.87</v>
      </c>
      <c r="T28" s="100">
        <v>0</v>
      </c>
      <c r="U28" s="101">
        <v>0</v>
      </c>
      <c r="V28" s="101">
        <v>0</v>
      </c>
      <c r="W28" s="163">
        <v>1.1000000000000001</v>
      </c>
      <c r="X28" s="158">
        <v>1.0900000000000001</v>
      </c>
      <c r="Y28" s="163">
        <v>0.55000000000000004</v>
      </c>
    </row>
    <row r="29" spans="2:25">
      <c r="B29" s="26"/>
      <c r="C29" s="36" t="s">
        <v>156</v>
      </c>
      <c r="D29" s="36" t="s">
        <v>105</v>
      </c>
      <c r="E29" s="74" t="s">
        <v>72</v>
      </c>
      <c r="F29" s="70">
        <v>2.7</v>
      </c>
      <c r="G29" s="34">
        <v>79.5</v>
      </c>
      <c r="H29" s="34">
        <v>35.6</v>
      </c>
      <c r="I29" s="34">
        <v>30.1</v>
      </c>
      <c r="J29" s="65">
        <v>55.3</v>
      </c>
      <c r="K29" s="29"/>
      <c r="L29" s="29"/>
      <c r="M29" s="29"/>
      <c r="N29" s="106">
        <v>234.8</v>
      </c>
      <c r="O29" s="29"/>
      <c r="P29" s="29"/>
      <c r="Q29" s="29"/>
      <c r="R29" s="29"/>
      <c r="S29" s="29"/>
      <c r="T29" s="100"/>
      <c r="U29" s="101"/>
      <c r="V29" s="101"/>
      <c r="W29" s="26"/>
      <c r="X29" s="158"/>
    </row>
    <row r="30" spans="2:25">
      <c r="B30" s="26"/>
      <c r="C30" s="36" t="s">
        <v>157</v>
      </c>
      <c r="D30" s="36" t="s">
        <v>106</v>
      </c>
      <c r="E30" s="74" t="s">
        <v>76</v>
      </c>
      <c r="F30" s="70">
        <v>2160.6999999999998</v>
      </c>
      <c r="G30" s="34">
        <v>56.9</v>
      </c>
      <c r="H30" s="34">
        <v>80.599999999999994</v>
      </c>
      <c r="I30" s="34">
        <v>185.9</v>
      </c>
      <c r="J30" s="65">
        <v>317.2</v>
      </c>
      <c r="K30" s="29"/>
      <c r="L30" s="29"/>
      <c r="M30" s="29"/>
      <c r="N30" s="106">
        <v>56.200001</v>
      </c>
      <c r="O30" s="29"/>
      <c r="P30" s="29"/>
      <c r="Q30" s="29"/>
      <c r="R30" s="29"/>
      <c r="S30" s="29"/>
      <c r="T30" s="100"/>
      <c r="U30" s="101"/>
      <c r="V30" s="101"/>
      <c r="W30" s="26"/>
      <c r="X30" s="158"/>
    </row>
    <row r="31" spans="2:25">
      <c r="B31" s="26"/>
      <c r="C31" s="36" t="s">
        <v>158</v>
      </c>
      <c r="D31" s="36" t="s">
        <v>107</v>
      </c>
      <c r="E31" s="74" t="s">
        <v>72</v>
      </c>
      <c r="F31" s="70">
        <v>707.6</v>
      </c>
      <c r="G31" s="34">
        <v>88.2</v>
      </c>
      <c r="H31" s="34">
        <v>247.7</v>
      </c>
      <c r="I31" s="34">
        <v>72.8</v>
      </c>
      <c r="J31" s="65">
        <v>31.1</v>
      </c>
      <c r="K31" s="29"/>
      <c r="L31" s="29"/>
      <c r="M31" s="29"/>
      <c r="N31" s="106">
        <v>445.70001000000002</v>
      </c>
      <c r="O31" s="29"/>
      <c r="P31" s="29"/>
      <c r="Q31" s="29"/>
      <c r="R31" s="29"/>
      <c r="S31" s="29"/>
      <c r="T31" s="100"/>
      <c r="U31" s="101"/>
      <c r="V31" s="101"/>
      <c r="W31" s="26"/>
      <c r="X31" s="158"/>
    </row>
    <row r="32" spans="2:25">
      <c r="B32" s="26"/>
      <c r="C32" s="36" t="s">
        <v>159</v>
      </c>
      <c r="D32" s="36" t="s">
        <v>108</v>
      </c>
      <c r="E32" s="74" t="s">
        <v>76</v>
      </c>
      <c r="F32" s="70">
        <v>8.94</v>
      </c>
      <c r="G32" s="34">
        <v>4</v>
      </c>
      <c r="H32" s="34">
        <v>6.5</v>
      </c>
      <c r="I32" s="34">
        <v>7.7</v>
      </c>
      <c r="J32" s="65">
        <v>10</v>
      </c>
      <c r="K32" s="29"/>
      <c r="L32" s="29"/>
      <c r="M32" s="29"/>
      <c r="N32" s="106">
        <v>4.6999997999999996</v>
      </c>
      <c r="O32" s="29"/>
      <c r="P32" s="29"/>
      <c r="Q32" s="29"/>
      <c r="R32" s="29"/>
      <c r="S32" s="29"/>
      <c r="T32" s="100"/>
      <c r="U32" s="101"/>
      <c r="V32" s="101"/>
      <c r="W32" s="26"/>
      <c r="X32" s="158"/>
    </row>
    <row r="33" spans="2:25">
      <c r="B33" s="26"/>
      <c r="C33" s="36" t="s">
        <v>109</v>
      </c>
      <c r="D33" s="36" t="s">
        <v>110</v>
      </c>
      <c r="E33" s="74" t="s">
        <v>111</v>
      </c>
      <c r="F33" s="70">
        <v>278</v>
      </c>
      <c r="G33" s="34">
        <v>151</v>
      </c>
      <c r="H33" s="34">
        <v>211</v>
      </c>
      <c r="I33" s="34">
        <v>115</v>
      </c>
      <c r="J33" s="65">
        <v>128</v>
      </c>
      <c r="K33" s="29"/>
      <c r="L33" s="29"/>
      <c r="M33" s="29"/>
      <c r="N33" s="106">
        <v>555</v>
      </c>
      <c r="O33" s="29"/>
      <c r="P33" s="29">
        <v>1292</v>
      </c>
      <c r="Q33" s="29">
        <v>1424</v>
      </c>
      <c r="R33" s="29">
        <v>1510</v>
      </c>
      <c r="S33" s="29"/>
      <c r="T33" s="100"/>
      <c r="U33" s="101"/>
      <c r="V33" s="101"/>
      <c r="W33" s="26"/>
      <c r="X33" s="158"/>
    </row>
    <row r="34" spans="2:25">
      <c r="B34" s="26"/>
      <c r="C34" s="32"/>
      <c r="D34" s="32" t="s">
        <v>112</v>
      </c>
      <c r="E34" s="73" t="s">
        <v>76</v>
      </c>
      <c r="F34" s="70">
        <v>1E-3</v>
      </c>
      <c r="G34" s="34">
        <v>1E-3</v>
      </c>
      <c r="H34" s="34">
        <v>1E-3</v>
      </c>
      <c r="I34" s="34">
        <v>1E-3</v>
      </c>
      <c r="J34" s="65">
        <v>1E-3</v>
      </c>
      <c r="K34" s="29"/>
      <c r="L34" s="29"/>
      <c r="M34" s="29"/>
      <c r="N34" s="123"/>
      <c r="O34" s="27"/>
      <c r="P34" s="27"/>
      <c r="Q34" s="27"/>
      <c r="R34" s="27"/>
      <c r="S34" s="27"/>
      <c r="T34" s="100"/>
      <c r="U34" s="101"/>
      <c r="V34" s="101"/>
      <c r="W34" s="26"/>
      <c r="X34" s="158"/>
    </row>
    <row r="35" spans="2:25">
      <c r="B35" s="26"/>
      <c r="C35" s="86"/>
      <c r="D35" s="86" t="s">
        <v>113</v>
      </c>
      <c r="E35" s="87" t="s">
        <v>72</v>
      </c>
      <c r="F35" s="88">
        <v>292.60000000000002</v>
      </c>
      <c r="G35" s="89">
        <v>51</v>
      </c>
      <c r="H35" s="89">
        <v>187</v>
      </c>
      <c r="I35" s="89">
        <v>373</v>
      </c>
      <c r="J35" s="90">
        <v>341</v>
      </c>
      <c r="K35" s="29"/>
      <c r="L35" s="29"/>
      <c r="M35" s="29"/>
      <c r="N35" s="123"/>
      <c r="O35" s="27"/>
      <c r="P35" s="27"/>
      <c r="Q35" s="27"/>
      <c r="R35" s="27"/>
      <c r="S35" s="27"/>
      <c r="T35" s="100"/>
      <c r="U35" s="101"/>
      <c r="V35" s="101"/>
      <c r="W35" s="26"/>
      <c r="X35" s="158"/>
    </row>
    <row r="36" spans="2:25">
      <c r="B36" s="26"/>
      <c r="C36" s="118" t="s">
        <v>146</v>
      </c>
      <c r="D36" s="32" t="s">
        <v>136</v>
      </c>
      <c r="E36" s="95"/>
      <c r="F36" s="29"/>
      <c r="G36" s="29"/>
      <c r="H36" s="29"/>
      <c r="I36" s="29"/>
      <c r="J36" s="29"/>
      <c r="K36" s="29">
        <v>-0.42799999999999999</v>
      </c>
      <c r="L36" s="29">
        <v>0.13</v>
      </c>
      <c r="M36" s="29">
        <v>-6.8000000000000005E-2</v>
      </c>
      <c r="N36" s="123"/>
      <c r="O36" s="27">
        <v>-0.8</v>
      </c>
      <c r="P36" s="27">
        <v>0.63600000000000001</v>
      </c>
      <c r="Q36" s="27">
        <v>0.36099999999999999</v>
      </c>
      <c r="R36" s="27">
        <v>0.29399999999999998</v>
      </c>
      <c r="S36" s="27">
        <v>0.1152</v>
      </c>
      <c r="T36" s="100">
        <v>-0.81</v>
      </c>
      <c r="U36" s="101">
        <v>-0.995</v>
      </c>
      <c r="V36" s="101">
        <v>-1.157</v>
      </c>
      <c r="W36" s="163">
        <v>-0.09</v>
      </c>
      <c r="X36" s="158">
        <v>0.54</v>
      </c>
      <c r="Y36" s="163">
        <v>-2.2000000000000002</v>
      </c>
    </row>
    <row r="37" spans="2:25">
      <c r="B37" s="26"/>
      <c r="C37" s="119"/>
      <c r="D37" s="32" t="s">
        <v>137</v>
      </c>
      <c r="E37" s="95"/>
      <c r="F37" s="93"/>
      <c r="G37" s="91"/>
      <c r="H37" s="91"/>
      <c r="I37" s="91"/>
      <c r="J37" s="92"/>
      <c r="K37" s="29">
        <v>0.75660000000000005</v>
      </c>
      <c r="L37" s="29">
        <v>0.13</v>
      </c>
      <c r="M37" s="29">
        <v>0.45</v>
      </c>
      <c r="N37" s="123"/>
      <c r="O37" s="27">
        <v>2.1</v>
      </c>
      <c r="P37" s="27">
        <v>1.9359999999999999</v>
      </c>
      <c r="Q37" s="27">
        <v>4.7679999999999998</v>
      </c>
      <c r="R37" s="27">
        <v>5.149</v>
      </c>
      <c r="S37" s="27">
        <v>1.0116000000000001</v>
      </c>
      <c r="T37" s="100">
        <v>1.18</v>
      </c>
      <c r="U37" s="101">
        <v>1.45</v>
      </c>
      <c r="V37" s="101">
        <v>1.6850000000000001</v>
      </c>
      <c r="W37" s="163">
        <v>0.27</v>
      </c>
      <c r="X37" s="158">
        <v>4.8899999999999997</v>
      </c>
      <c r="Y37" s="163">
        <v>5.43</v>
      </c>
    </row>
    <row r="38" spans="2:25">
      <c r="B38" s="26"/>
      <c r="C38" s="119"/>
      <c r="D38" s="32" t="s">
        <v>138</v>
      </c>
      <c r="E38" s="95"/>
      <c r="F38" s="94"/>
      <c r="G38" s="89"/>
      <c r="H38" s="89"/>
      <c r="I38" s="89"/>
      <c r="J38" s="90"/>
      <c r="K38" s="29">
        <v>-3.4077999999999999</v>
      </c>
      <c r="L38" s="29">
        <v>-1.5</v>
      </c>
      <c r="M38" s="29">
        <v>-0.95</v>
      </c>
      <c r="N38" s="123"/>
      <c r="O38" s="27">
        <v>-0.5</v>
      </c>
      <c r="P38" s="27">
        <v>-2.9689999999999999</v>
      </c>
      <c r="Q38" s="27">
        <v>-5.1070000000000002</v>
      </c>
      <c r="R38" s="27">
        <v>-5.5830000000000002</v>
      </c>
      <c r="S38" s="27">
        <v>-1.7684</v>
      </c>
      <c r="T38" s="100">
        <v>-0.15</v>
      </c>
      <c r="U38" s="101" t="s">
        <v>141</v>
      </c>
      <c r="V38" s="101">
        <v>-8.3000000000000004E-2</v>
      </c>
      <c r="W38" s="26">
        <v>0.48</v>
      </c>
      <c r="X38" s="158">
        <v>-3.03</v>
      </c>
      <c r="Y38">
        <v>-0.47</v>
      </c>
    </row>
    <row r="39" spans="2:25">
      <c r="B39" s="26"/>
      <c r="C39" s="119"/>
      <c r="D39" s="32" t="s">
        <v>139</v>
      </c>
      <c r="E39" s="95"/>
      <c r="F39" s="94"/>
      <c r="G39" s="89"/>
      <c r="H39" s="89"/>
      <c r="I39" s="89"/>
      <c r="J39" s="90"/>
      <c r="K39" s="29">
        <v>-3.0000000000000001E-3</v>
      </c>
      <c r="L39" s="29">
        <v>1.0999999999999999E-2</v>
      </c>
      <c r="M39" s="29">
        <v>3.5999999999999997E-2</v>
      </c>
      <c r="N39" s="123"/>
      <c r="O39" s="27">
        <v>2E-3</v>
      </c>
      <c r="P39" s="27">
        <v>-1.4E-2</v>
      </c>
      <c r="Q39" s="27">
        <v>-1.2999999999999999E-3</v>
      </c>
      <c r="R39" s="27">
        <v>2.3E-3</v>
      </c>
      <c r="S39" s="27">
        <v>-5.2789999999999997E-2</v>
      </c>
      <c r="T39" s="100">
        <v>-0.02</v>
      </c>
      <c r="U39" s="101" t="s">
        <v>142</v>
      </c>
      <c r="V39" s="101">
        <v>2.4E-2</v>
      </c>
      <c r="W39" s="163">
        <v>1.4E-2</v>
      </c>
      <c r="X39" s="158">
        <v>1.4E-2</v>
      </c>
      <c r="Y39" s="163">
        <v>1.6E-2</v>
      </c>
    </row>
    <row r="40" spans="2:25">
      <c r="B40" s="26"/>
      <c r="C40" s="119"/>
      <c r="D40" s="86" t="s">
        <v>140</v>
      </c>
      <c r="E40" s="96"/>
      <c r="F40" s="29"/>
      <c r="G40" s="29"/>
      <c r="H40" s="29"/>
      <c r="I40" s="29"/>
      <c r="J40" s="29"/>
      <c r="K40" s="29">
        <v>24.93</v>
      </c>
      <c r="L40" s="29">
        <v>0</v>
      </c>
      <c r="M40" s="29">
        <v>6</v>
      </c>
      <c r="N40" s="123"/>
      <c r="O40" s="27">
        <v>0.61</v>
      </c>
      <c r="P40" s="27">
        <v>1.014</v>
      </c>
      <c r="Q40" s="27">
        <v>1.333</v>
      </c>
      <c r="R40" s="27">
        <v>0.95099999999999996</v>
      </c>
      <c r="S40" s="27">
        <v>0.5262</v>
      </c>
      <c r="T40" s="100">
        <v>0</v>
      </c>
      <c r="U40" s="101">
        <v>0</v>
      </c>
      <c r="V40" s="101">
        <v>0</v>
      </c>
      <c r="W40" s="163">
        <v>3.87</v>
      </c>
      <c r="X40" s="158">
        <v>1.1200000000000001</v>
      </c>
      <c r="Y40" s="163">
        <v>0.63</v>
      </c>
    </row>
    <row r="41" spans="2:25" ht="14.25" customHeight="1">
      <c r="B41" s="26"/>
      <c r="C41" s="116" t="s">
        <v>143</v>
      </c>
      <c r="D41" s="117"/>
      <c r="E41" s="117" t="s">
        <v>72</v>
      </c>
      <c r="F41" s="26"/>
      <c r="G41" s="26"/>
      <c r="H41" s="26"/>
      <c r="I41" s="26"/>
      <c r="J41" s="26"/>
      <c r="K41" s="26"/>
      <c r="L41" s="26"/>
      <c r="M41" s="26"/>
      <c r="N41" s="123"/>
      <c r="O41" s="27">
        <v>745</v>
      </c>
      <c r="P41" s="27"/>
      <c r="Q41" s="27"/>
      <c r="R41" s="27"/>
      <c r="S41" s="27"/>
      <c r="T41" s="100">
        <v>1000</v>
      </c>
      <c r="U41" s="101">
        <v>800</v>
      </c>
      <c r="V41" s="101">
        <v>600</v>
      </c>
      <c r="W41" s="26"/>
      <c r="X41" s="158"/>
    </row>
    <row r="42" spans="2:25" ht="14.25" customHeight="1">
      <c r="B42" s="26"/>
      <c r="C42" s="120" t="s">
        <v>148</v>
      </c>
      <c r="D42" s="117" t="s">
        <v>59</v>
      </c>
      <c r="E42" s="117" t="s">
        <v>76</v>
      </c>
      <c r="F42" s="26"/>
      <c r="G42" s="26"/>
      <c r="H42" s="26"/>
      <c r="I42" s="26"/>
      <c r="J42" s="26"/>
      <c r="K42" s="26"/>
      <c r="L42" s="26"/>
      <c r="M42" s="26"/>
      <c r="N42" s="123"/>
      <c r="O42" s="27">
        <v>164</v>
      </c>
      <c r="P42" s="27"/>
      <c r="Q42" s="27"/>
      <c r="R42" s="27"/>
      <c r="S42" s="27"/>
      <c r="T42" s="100"/>
      <c r="U42" s="101"/>
      <c r="V42" s="101"/>
      <c r="W42" s="26"/>
      <c r="X42" s="159"/>
    </row>
    <row r="43" spans="2:25" ht="14.25" customHeight="1">
      <c r="B43" s="26"/>
      <c r="C43" s="109"/>
      <c r="D43" s="117" t="s">
        <v>147</v>
      </c>
      <c r="E43" s="117" t="s">
        <v>76</v>
      </c>
      <c r="F43" s="26"/>
      <c r="G43" s="26"/>
      <c r="H43" s="26"/>
      <c r="I43" s="26"/>
      <c r="J43" s="26"/>
      <c r="K43" s="26"/>
      <c r="L43" s="26"/>
      <c r="M43" s="26"/>
      <c r="N43" s="123"/>
      <c r="O43" s="27">
        <v>294</v>
      </c>
      <c r="P43" s="27"/>
      <c r="Q43" s="27"/>
      <c r="R43" s="27"/>
      <c r="S43" s="27"/>
      <c r="T43" s="100"/>
      <c r="U43" s="101"/>
      <c r="V43" s="101"/>
      <c r="W43" s="26"/>
      <c r="X43" s="159"/>
    </row>
    <row r="44" spans="2:25" ht="14.25" customHeight="1">
      <c r="B44" s="26"/>
      <c r="C44" s="109"/>
      <c r="D44" s="117" t="s">
        <v>149</v>
      </c>
      <c r="E44" s="117" t="s">
        <v>76</v>
      </c>
      <c r="F44" s="26"/>
      <c r="G44" s="26"/>
      <c r="H44" s="26"/>
      <c r="I44" s="26"/>
      <c r="J44" s="26"/>
      <c r="K44" s="26"/>
      <c r="L44" s="26"/>
      <c r="M44" s="26"/>
      <c r="N44" s="123"/>
      <c r="O44" s="27">
        <v>500</v>
      </c>
      <c r="P44" s="27"/>
      <c r="Q44" s="27"/>
      <c r="R44" s="27"/>
      <c r="S44" s="27"/>
      <c r="T44" s="100"/>
      <c r="U44" s="101"/>
      <c r="V44" s="101"/>
      <c r="W44" s="26"/>
      <c r="X44" s="159"/>
    </row>
    <row r="45" spans="2:25" ht="14.25" customHeight="1">
      <c r="B45" s="26"/>
      <c r="C45" s="121"/>
      <c r="D45" s="110" t="s">
        <v>150</v>
      </c>
      <c r="E45" s="111" t="s">
        <v>76</v>
      </c>
      <c r="F45" s="112"/>
      <c r="G45" s="113"/>
      <c r="H45" s="113"/>
      <c r="I45" s="113"/>
      <c r="J45" s="113"/>
      <c r="K45" s="113"/>
      <c r="L45" s="113"/>
      <c r="M45" s="113"/>
      <c r="N45" s="124"/>
      <c r="O45" s="139">
        <v>1.1599999999999999</v>
      </c>
      <c r="P45" s="139"/>
      <c r="Q45" s="139"/>
      <c r="R45" s="139"/>
      <c r="S45" s="139"/>
      <c r="T45" s="114"/>
      <c r="U45" s="115"/>
      <c r="V45" s="115"/>
      <c r="W45" s="113"/>
      <c r="X45" s="112"/>
      <c r="Y45" s="113"/>
    </row>
    <row r="46" spans="2:25">
      <c r="B46" s="26"/>
      <c r="C46" s="59" t="s">
        <v>114</v>
      </c>
      <c r="D46" s="59"/>
      <c r="E46" s="75"/>
      <c r="F46" s="77" t="s">
        <v>122</v>
      </c>
      <c r="G46" s="60" t="s">
        <v>115</v>
      </c>
      <c r="H46" s="60" t="s">
        <v>116</v>
      </c>
      <c r="I46" s="60" t="s">
        <v>117</v>
      </c>
      <c r="J46" s="98" t="s">
        <v>118</v>
      </c>
      <c r="K46" s="140"/>
      <c r="L46" s="140"/>
      <c r="M46" s="140"/>
      <c r="N46" s="125"/>
      <c r="O46" s="140"/>
      <c r="P46" s="127"/>
      <c r="Q46" s="127"/>
      <c r="R46" s="127"/>
      <c r="S46" s="142"/>
      <c r="T46" s="107"/>
      <c r="U46" s="58"/>
      <c r="V46" s="27"/>
      <c r="W46" s="26"/>
      <c r="X46" s="159"/>
    </row>
    <row r="47" spans="2:25">
      <c r="B47" s="26"/>
      <c r="C47" s="31" t="s">
        <v>119</v>
      </c>
      <c r="D47" s="31"/>
      <c r="E47" s="76"/>
      <c r="F47" s="78"/>
      <c r="G47" s="192">
        <v>1</v>
      </c>
      <c r="H47" s="192"/>
      <c r="I47" s="192"/>
      <c r="J47" s="193"/>
      <c r="K47" s="141">
        <v>9</v>
      </c>
      <c r="L47" s="141">
        <v>10</v>
      </c>
      <c r="M47" s="141">
        <v>11</v>
      </c>
      <c r="N47" s="126">
        <v>2</v>
      </c>
      <c r="O47" s="127">
        <v>4</v>
      </c>
      <c r="P47" s="190">
        <v>5</v>
      </c>
      <c r="Q47" s="190"/>
      <c r="R47" s="190"/>
      <c r="S47" s="145">
        <v>8</v>
      </c>
      <c r="T47" s="190">
        <v>3</v>
      </c>
      <c r="U47" s="190"/>
      <c r="V47" s="190"/>
      <c r="W47" s="146">
        <v>6</v>
      </c>
      <c r="X47" s="187">
        <v>7</v>
      </c>
      <c r="Y47" s="188"/>
    </row>
    <row r="48" spans="2:25">
      <c r="B48" s="26"/>
      <c r="C48" s="31" t="s">
        <v>120</v>
      </c>
      <c r="D48" s="31"/>
      <c r="E48" s="76"/>
      <c r="F48" s="78" t="s">
        <v>121</v>
      </c>
      <c r="G48" s="37" t="s">
        <v>121</v>
      </c>
      <c r="H48" s="37" t="s">
        <v>121</v>
      </c>
      <c r="I48" s="37" t="s">
        <v>121</v>
      </c>
      <c r="J48" s="99" t="s">
        <v>121</v>
      </c>
      <c r="K48" s="141"/>
      <c r="L48" s="141"/>
      <c r="M48" s="141"/>
      <c r="N48" s="126" t="s">
        <v>121</v>
      </c>
      <c r="O48" s="141" t="s">
        <v>121</v>
      </c>
      <c r="P48" s="127" t="s">
        <v>160</v>
      </c>
      <c r="Q48" s="127" t="s">
        <v>160</v>
      </c>
      <c r="R48" s="127" t="s">
        <v>160</v>
      </c>
      <c r="S48" s="142" t="s">
        <v>160</v>
      </c>
      <c r="T48" s="78" t="s">
        <v>121</v>
      </c>
      <c r="U48" s="144" t="s">
        <v>121</v>
      </c>
      <c r="V48" s="142" t="s">
        <v>121</v>
      </c>
      <c r="W48" s="183" t="s">
        <v>160</v>
      </c>
      <c r="X48" s="159" t="s">
        <v>160</v>
      </c>
      <c r="Y48" s="183" t="s">
        <v>160</v>
      </c>
    </row>
    <row r="49" spans="2:37">
      <c r="B49" s="26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6"/>
      <c r="X49" s="26"/>
    </row>
    <row r="50" spans="2:37">
      <c r="B50" s="26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6"/>
      <c r="X50" s="26"/>
    </row>
    <row r="51" spans="2:37">
      <c r="B51" s="26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6"/>
      <c r="X51" s="26"/>
    </row>
    <row r="52" spans="2:37">
      <c r="B52" s="26">
        <v>1</v>
      </c>
      <c r="C52" s="30" t="s">
        <v>171</v>
      </c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6"/>
      <c r="X52" s="26"/>
    </row>
    <row r="53" spans="2:37">
      <c r="B53" s="26">
        <v>2</v>
      </c>
      <c r="C53" s="191" t="s">
        <v>170</v>
      </c>
      <c r="D53" s="191"/>
      <c r="E53" s="191"/>
      <c r="F53" s="191"/>
      <c r="G53" s="191"/>
      <c r="H53" s="191"/>
      <c r="I53" s="191"/>
      <c r="J53" s="191"/>
      <c r="K53" s="191"/>
      <c r="L53" s="191"/>
      <c r="M53" s="191"/>
      <c r="N53" s="191"/>
      <c r="O53" s="108"/>
      <c r="P53" s="128"/>
      <c r="Q53" s="128"/>
      <c r="R53" s="128"/>
      <c r="S53" s="143"/>
      <c r="T53" s="27"/>
      <c r="U53" s="27"/>
      <c r="V53" s="27"/>
      <c r="W53" s="26"/>
      <c r="X53" s="26"/>
    </row>
    <row r="54" spans="2:37">
      <c r="B54" s="26">
        <v>3</v>
      </c>
      <c r="C54" s="191" t="s">
        <v>169</v>
      </c>
      <c r="D54" s="191"/>
      <c r="E54" s="191"/>
      <c r="F54" s="191"/>
      <c r="G54" s="191"/>
      <c r="H54" s="191"/>
      <c r="I54" s="191"/>
      <c r="J54" s="191"/>
      <c r="K54" s="143"/>
      <c r="L54" s="143"/>
      <c r="M54" s="143"/>
      <c r="N54" s="27"/>
      <c r="O54" s="27"/>
      <c r="P54" s="27"/>
      <c r="Q54" s="27"/>
      <c r="R54" s="27"/>
      <c r="S54" s="27"/>
      <c r="T54" s="27"/>
      <c r="U54" s="27"/>
      <c r="V54" s="27"/>
      <c r="W54" s="26"/>
      <c r="X54" s="26"/>
    </row>
    <row r="55" spans="2:37">
      <c r="B55" s="26">
        <v>4</v>
      </c>
      <c r="C55" s="26" t="s">
        <v>168</v>
      </c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</row>
    <row r="56" spans="2:37">
      <c r="B56" s="26">
        <v>5</v>
      </c>
      <c r="C56" s="189" t="s">
        <v>167</v>
      </c>
      <c r="D56" s="189"/>
      <c r="E56" s="189"/>
      <c r="F56" s="189"/>
      <c r="G56" s="189"/>
      <c r="H56" s="189"/>
      <c r="I56" s="189"/>
      <c r="J56" s="189"/>
      <c r="K56" s="189"/>
      <c r="L56" s="189"/>
      <c r="M56" s="189"/>
      <c r="N56" s="189"/>
      <c r="O56" s="189"/>
      <c r="P56" s="26"/>
      <c r="Q56" s="26"/>
      <c r="R56" s="26"/>
      <c r="S56" s="26"/>
      <c r="T56" s="26"/>
      <c r="U56" s="26"/>
      <c r="V56" s="26"/>
      <c r="W56" s="26"/>
      <c r="X56" s="26"/>
    </row>
    <row r="57" spans="2:37">
      <c r="B57" s="26">
        <v>6</v>
      </c>
      <c r="C57" s="200" t="s">
        <v>166</v>
      </c>
      <c r="D57" s="200"/>
      <c r="E57" s="200"/>
      <c r="F57" s="200"/>
      <c r="G57" s="200"/>
      <c r="H57" s="200"/>
      <c r="I57" s="200"/>
      <c r="J57" s="200"/>
      <c r="K57" s="200"/>
      <c r="L57" s="200"/>
      <c r="M57" s="200"/>
      <c r="N57" s="200"/>
      <c r="O57" s="200"/>
      <c r="P57" s="26"/>
      <c r="Q57" s="26"/>
      <c r="R57" s="26"/>
      <c r="S57" s="26"/>
      <c r="T57" s="26"/>
      <c r="U57" s="26"/>
      <c r="V57" s="26"/>
      <c r="W57" s="26"/>
      <c r="X57" s="26"/>
    </row>
    <row r="58" spans="2:37">
      <c r="B58" s="85">
        <v>6</v>
      </c>
      <c r="C58" s="189" t="s">
        <v>177</v>
      </c>
      <c r="D58" s="189"/>
      <c r="E58" s="189"/>
      <c r="F58" s="189"/>
      <c r="G58" s="189"/>
      <c r="H58" s="189"/>
      <c r="I58" s="189"/>
      <c r="J58" s="189"/>
      <c r="K58" s="189"/>
      <c r="L58" s="189"/>
      <c r="M58" s="189"/>
      <c r="N58" s="189"/>
      <c r="O58" s="189"/>
      <c r="P58" s="189"/>
      <c r="Q58" s="189"/>
      <c r="R58" s="189"/>
      <c r="S58" s="26"/>
      <c r="T58" s="26"/>
      <c r="U58" s="26"/>
      <c r="V58" s="26"/>
      <c r="W58" s="26"/>
      <c r="X58" s="26"/>
    </row>
    <row r="59" spans="2:37" ht="15.75">
      <c r="B59" s="85">
        <v>7</v>
      </c>
      <c r="C59" s="186" t="s">
        <v>173</v>
      </c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</row>
    <row r="60" spans="2:37" ht="16.5">
      <c r="B60" s="85">
        <v>8</v>
      </c>
      <c r="C60" s="176" t="s">
        <v>176</v>
      </c>
      <c r="D60" s="176"/>
      <c r="E60" s="176"/>
      <c r="F60" s="176"/>
      <c r="G60" s="176"/>
      <c r="H60" s="176"/>
      <c r="I60" s="176"/>
      <c r="J60" s="176"/>
      <c r="K60" s="176"/>
      <c r="L60" s="176"/>
      <c r="M60" s="176"/>
      <c r="N60" s="176"/>
      <c r="AK60" t="s">
        <v>49</v>
      </c>
    </row>
    <row r="61" spans="2:37">
      <c r="B61" s="85">
        <v>9</v>
      </c>
      <c r="C61" s="177" t="s">
        <v>180</v>
      </c>
    </row>
    <row r="62" spans="2:37" ht="16.5">
      <c r="B62" s="85">
        <v>10</v>
      </c>
      <c r="C62" s="175" t="s">
        <v>187</v>
      </c>
    </row>
    <row r="63" spans="2:37" ht="16.5">
      <c r="B63" s="85">
        <v>11</v>
      </c>
      <c r="C63" s="175" t="s">
        <v>189</v>
      </c>
    </row>
  </sheetData>
  <mergeCells count="18">
    <mergeCell ref="F6:K6"/>
    <mergeCell ref="X6:Y6"/>
    <mergeCell ref="F5:J5"/>
    <mergeCell ref="K5:M5"/>
    <mergeCell ref="C57:O57"/>
    <mergeCell ref="C6:E6"/>
    <mergeCell ref="T6:W6"/>
    <mergeCell ref="N6:R6"/>
    <mergeCell ref="O5:Y5"/>
    <mergeCell ref="C59:P59"/>
    <mergeCell ref="X47:Y47"/>
    <mergeCell ref="C58:R58"/>
    <mergeCell ref="C56:O56"/>
    <mergeCell ref="T47:V47"/>
    <mergeCell ref="C54:J54"/>
    <mergeCell ref="G47:J47"/>
    <mergeCell ref="C53:N53"/>
    <mergeCell ref="P47:R4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5B10-5B6F-4D38-8EC8-85892A4FDDD6}">
  <dimension ref="B2:AM37"/>
  <sheetViews>
    <sheetView zoomScale="90" zoomScaleNormal="90" workbookViewId="0">
      <pane xSplit="5" topLeftCell="Q1" activePane="topRight" state="frozen"/>
      <selection pane="topRight" activeCell="C6" sqref="C6"/>
    </sheetView>
  </sheetViews>
  <sheetFormatPr defaultRowHeight="15"/>
  <cols>
    <col min="2" max="2" width="14.28515625" customWidth="1"/>
    <col min="3" max="3" width="52.140625" customWidth="1"/>
    <col min="4" max="4" width="14.28515625" customWidth="1"/>
    <col min="5" max="5" width="22.42578125" bestFit="1" customWidth="1"/>
    <col min="6" max="6" width="14.7109375" customWidth="1"/>
    <col min="7" max="7" width="14.140625" customWidth="1"/>
    <col min="8" max="8" width="13.85546875" customWidth="1"/>
    <col min="9" max="9" width="15.28515625" customWidth="1"/>
    <col min="10" max="13" width="13" customWidth="1"/>
    <col min="14" max="22" width="15.5703125" customWidth="1"/>
    <col min="23" max="23" width="14.28515625" customWidth="1"/>
    <col min="24" max="24" width="13.42578125" bestFit="1" customWidth="1"/>
    <col min="25" max="25" width="12.7109375" bestFit="1" customWidth="1"/>
  </cols>
  <sheetData>
    <row r="2" spans="2:25">
      <c r="C2" s="205"/>
      <c r="D2" s="204"/>
      <c r="E2" s="79"/>
      <c r="F2" s="204" t="s">
        <v>53</v>
      </c>
      <c r="G2" s="204"/>
      <c r="H2" s="204"/>
      <c r="I2" s="204"/>
      <c r="J2" s="204"/>
      <c r="K2" s="184"/>
      <c r="L2" s="184"/>
      <c r="M2" s="184"/>
      <c r="N2" s="206" t="s">
        <v>60</v>
      </c>
      <c r="O2" s="207"/>
      <c r="P2" s="133"/>
      <c r="Q2" s="133"/>
      <c r="R2" s="133"/>
      <c r="S2" s="185"/>
      <c r="T2" s="207" t="s">
        <v>129</v>
      </c>
      <c r="U2" s="207"/>
      <c r="V2" s="207"/>
      <c r="W2" s="207"/>
      <c r="X2" s="207" t="s">
        <v>183</v>
      </c>
      <c r="Y2" s="207"/>
    </row>
    <row r="3" spans="2:25">
      <c r="C3" s="205"/>
      <c r="D3" s="204"/>
      <c r="E3" s="79"/>
      <c r="F3" s="38" t="s">
        <v>54</v>
      </c>
      <c r="G3" s="38" t="s">
        <v>55</v>
      </c>
      <c r="H3" s="38" t="s">
        <v>56</v>
      </c>
      <c r="I3" s="38" t="s">
        <v>57</v>
      </c>
      <c r="J3" s="38" t="s">
        <v>58</v>
      </c>
      <c r="K3" s="38" t="s">
        <v>178</v>
      </c>
      <c r="L3" s="38" t="s">
        <v>181</v>
      </c>
      <c r="M3" s="38" t="s">
        <v>182</v>
      </c>
      <c r="N3" s="38" t="s">
        <v>59</v>
      </c>
      <c r="O3" s="129" t="s">
        <v>147</v>
      </c>
      <c r="P3" s="129" t="s">
        <v>149</v>
      </c>
      <c r="Q3" s="129" t="s">
        <v>152</v>
      </c>
      <c r="R3" s="129" t="s">
        <v>153</v>
      </c>
      <c r="S3" s="129" t="s">
        <v>175</v>
      </c>
      <c r="T3" s="129" t="s">
        <v>130</v>
      </c>
      <c r="U3" s="129" t="s">
        <v>131</v>
      </c>
      <c r="V3" s="129" t="s">
        <v>132</v>
      </c>
      <c r="W3" s="129" t="s">
        <v>161</v>
      </c>
      <c r="X3" s="129" t="s">
        <v>162</v>
      </c>
      <c r="Y3" s="129" t="s">
        <v>163</v>
      </c>
    </row>
    <row r="4" spans="2:25" ht="15.75" thickBot="1">
      <c r="C4" s="51" t="s">
        <v>29</v>
      </c>
      <c r="D4" s="51" t="s">
        <v>66</v>
      </c>
      <c r="E4" s="51" t="s">
        <v>123</v>
      </c>
      <c r="F4" s="52" t="s">
        <v>52</v>
      </c>
      <c r="G4" s="53" t="s">
        <v>61</v>
      </c>
      <c r="H4" s="53" t="s">
        <v>62</v>
      </c>
      <c r="I4" s="53" t="s">
        <v>63</v>
      </c>
      <c r="J4" s="53" t="s">
        <v>64</v>
      </c>
      <c r="K4" s="53" t="str">
        <f>Sheet4!K8</f>
        <v>7075-T651</v>
      </c>
      <c r="L4" s="53" t="str">
        <f>Sheet4!L8</f>
        <v>2024-O</v>
      </c>
      <c r="M4" s="53" t="str">
        <f>Sheet4!M8</f>
        <v>7075-T6</v>
      </c>
      <c r="N4" s="53" t="s">
        <v>51</v>
      </c>
      <c r="O4" s="132">
        <f>Sheet4!O8</f>
        <v>4340</v>
      </c>
      <c r="P4" s="134" t="str">
        <f>Sheet4!P8</f>
        <v>WELDOX 460 E</v>
      </c>
      <c r="Q4" s="134" t="str">
        <f>Sheet4!Q8</f>
        <v>WELDOX 700 E</v>
      </c>
      <c r="R4" s="134" t="str">
        <f>Sheet4!R8</f>
        <v>WELDOX 900 E</v>
      </c>
      <c r="S4" s="134" t="str">
        <f>Sheet4!S8</f>
        <v>MILD STEEL</v>
      </c>
      <c r="T4" s="134" t="str">
        <f>Sheet4!T8</f>
        <v>VT6</v>
      </c>
      <c r="U4" s="134" t="str">
        <f>Sheet4!U8</f>
        <v>OT4</v>
      </c>
      <c r="V4" s="134" t="str">
        <f>Sheet4!V8</f>
        <v>OT4-O</v>
      </c>
      <c r="W4" s="208" t="str">
        <f>Sheet4!W8</f>
        <v>Ti-6Al-4V</v>
      </c>
      <c r="X4" s="210" t="str">
        <f>Sheet4!X8</f>
        <v>OFHC COPPER</v>
      </c>
      <c r="Y4" s="210" t="str">
        <f>Sheet4!Y8</f>
        <v>ARMOC IRON</v>
      </c>
    </row>
    <row r="5" spans="2:25">
      <c r="B5" s="25" t="s">
        <v>34</v>
      </c>
      <c r="C5" s="46" t="s">
        <v>68</v>
      </c>
      <c r="D5" s="47"/>
      <c r="E5" s="47"/>
      <c r="F5" s="48">
        <v>2.7</v>
      </c>
      <c r="G5" s="48">
        <v>2.7</v>
      </c>
      <c r="H5" s="48">
        <v>2.7</v>
      </c>
      <c r="I5" s="48">
        <v>2.7</v>
      </c>
      <c r="J5" s="48">
        <v>2.7</v>
      </c>
      <c r="K5" s="48"/>
      <c r="L5" s="48"/>
      <c r="M5" s="48"/>
      <c r="N5" s="50">
        <v>7.85</v>
      </c>
      <c r="O5" s="130">
        <f>Sheet4!O9</f>
        <v>7.8500000000000008E-9</v>
      </c>
      <c r="P5" s="130">
        <f>Sheet4!P9</f>
        <v>7.8500000000000008E-9</v>
      </c>
      <c r="Q5" s="130">
        <f>Sheet4!Q9</f>
        <v>7.8500000000000008E-9</v>
      </c>
      <c r="R5" s="130">
        <f>Sheet4!R9</f>
        <v>7.8500000000000008E-9</v>
      </c>
      <c r="S5" s="130">
        <f>Sheet4!S9</f>
        <v>7.8500000000000008E-9</v>
      </c>
      <c r="T5" s="130">
        <f>Sheet4!T9</f>
        <v>4.4299999999999998E-9</v>
      </c>
      <c r="U5" s="130">
        <f>Sheet4!U9</f>
        <v>4.5500000000000002E-9</v>
      </c>
      <c r="V5" s="130">
        <f>Sheet4!V9</f>
        <v>4.5500000000000002E-9</v>
      </c>
      <c r="W5" s="131">
        <f>Sheet4!W9</f>
        <v>4.4299999999999998E-9</v>
      </c>
      <c r="Y5" s="165">
        <f>Sheet4!Y9</f>
        <v>7.8899999999999998E-9</v>
      </c>
    </row>
    <row r="6" spans="2:25">
      <c r="B6" s="25"/>
      <c r="C6" s="39" t="s">
        <v>77</v>
      </c>
      <c r="D6" s="84" t="str">
        <f>VLOOKUP($C$6,Sheet4!$C$9:$N$33,2,FALSE)</f>
        <v>E</v>
      </c>
      <c r="E6" s="40" t="str">
        <f>VLOOKUP($C$6,Sheet4!$C$9:$N$33,3,FALSE)</f>
        <v>MPa</v>
      </c>
      <c r="F6" s="84">
        <f>VLOOKUP($C$6,Sheet4!$C$9:$N$33,4,FALSE)</f>
        <v>70000</v>
      </c>
      <c r="G6" s="84">
        <f>VLOOKUP($C$6,Sheet4!$C$9:$BI$33,5,FALSE)</f>
        <v>70000</v>
      </c>
      <c r="H6" s="84">
        <f>VLOOKUP($C$6,Sheet4!$C$9:$BI$33,6,FALSE)</f>
        <v>70000</v>
      </c>
      <c r="I6" s="84">
        <f>VLOOKUP($C$6,Sheet4!$C$9:$BI$33,7,FALSE)</f>
        <v>70000</v>
      </c>
      <c r="J6" s="84">
        <f>VLOOKUP($C$6,Sheet4!$C$9:$BI$33,8,FALSE)</f>
        <v>70000</v>
      </c>
      <c r="K6" s="84">
        <f>VLOOKUP($C$6,Sheet4!$C$9:$BI$33,9,FALSE)</f>
        <v>64000</v>
      </c>
      <c r="L6" s="84">
        <f>VLOOKUP($C$6,Sheet4!$C$9:$BI$33,10,FALSE)</f>
        <v>71000</v>
      </c>
      <c r="M6" s="84">
        <f>VLOOKUP($C$6,Sheet4!$C$9:$BI$33,11,FALSE)</f>
        <v>71700</v>
      </c>
      <c r="N6" s="84">
        <f>VLOOKUP($C$6,Sheet4!$C$9:$BI$33,12,FALSE)</f>
        <v>210000</v>
      </c>
      <c r="O6" s="84">
        <f>VLOOKUP($C$6,Sheet4!$C$9:$BI$33,13,FALSE)</f>
        <v>210000</v>
      </c>
      <c r="P6" s="84">
        <f>VLOOKUP($C$6,Sheet4!$C$9:$BI$33,14,FALSE)</f>
        <v>210000</v>
      </c>
      <c r="Q6" s="84">
        <f>VLOOKUP($C$6,Sheet4!$C$9:$BI$33,15,FALSE)</f>
        <v>210000</v>
      </c>
      <c r="R6" s="84">
        <f>VLOOKUP($C$6,Sheet4!$C$9:$BI$33,16,FALSE)</f>
        <v>210000</v>
      </c>
      <c r="S6" s="84">
        <f>VLOOKUP($C$6,Sheet4!$C$9:$BI$33,17,FALSE)</f>
        <v>203000</v>
      </c>
      <c r="T6" s="84">
        <f>VLOOKUP($C$6,Sheet4!$C$9:$BI$33,18,FALSE)</f>
        <v>114500</v>
      </c>
      <c r="U6" s="84">
        <f>VLOOKUP($C$6,Sheet4!$C$9:$BI$33,19,FALSE)</f>
        <v>114500</v>
      </c>
      <c r="V6" s="84">
        <f>VLOOKUP($C$6,Sheet4!$C$9:$BI$33,20,FALSE)</f>
        <v>114500</v>
      </c>
      <c r="W6" s="84">
        <f>VLOOKUP($C$6,Sheet4!$C$9:$BI$33,21,FALSE)</f>
        <v>113165.798</v>
      </c>
      <c r="X6" s="84">
        <f>VLOOKUP($C$6,Sheet4!$C$9:$BI$33,22,FALSE)</f>
        <v>124000</v>
      </c>
      <c r="Y6" s="84">
        <f>VLOOKUP($C$6,Sheet4!$C$9:$BI$33,23,FALSE)</f>
        <v>207000</v>
      </c>
    </row>
    <row r="7" spans="2:25" ht="15.75" thickBot="1">
      <c r="B7" s="5"/>
      <c r="C7" s="54"/>
      <c r="D7" s="54"/>
      <c r="E7" s="54"/>
      <c r="F7" s="55"/>
      <c r="G7" s="55"/>
      <c r="H7" s="55"/>
      <c r="I7" s="55"/>
      <c r="J7" s="55"/>
      <c r="K7" s="55"/>
      <c r="L7" s="55"/>
      <c r="M7" s="55"/>
      <c r="N7" s="55"/>
      <c r="O7" s="135"/>
      <c r="P7" s="135"/>
      <c r="Q7" s="135"/>
      <c r="R7" s="135"/>
      <c r="S7" s="135"/>
      <c r="T7" s="135"/>
      <c r="U7" s="135"/>
      <c r="V7" s="135"/>
      <c r="W7" s="26"/>
    </row>
    <row r="8" spans="2:25" ht="15.75" thickBot="1">
      <c r="B8" s="5"/>
      <c r="C8" s="46" t="s">
        <v>46</v>
      </c>
      <c r="E8" s="47" t="s">
        <v>43</v>
      </c>
      <c r="F8" s="49">
        <v>5.86</v>
      </c>
      <c r="G8" s="80">
        <f>AVERAGE(5.70739,5.75573,5.71911,5.75623)</f>
        <v>5.7346149999999998</v>
      </c>
      <c r="H8" s="81">
        <f>AVERAGE(5.5333,5.53117,5.50411,5.55659)</f>
        <v>5.5312925000000002</v>
      </c>
      <c r="I8" s="81">
        <f>AVERAGE(5.66583,5.60073,5.61915,5.59391,5.59718)</f>
        <v>5.6153599999999999</v>
      </c>
      <c r="J8" s="49">
        <v>5.42</v>
      </c>
      <c r="K8" s="49"/>
      <c r="L8" s="49"/>
      <c r="M8" s="49"/>
      <c r="N8" s="49">
        <v>6.96</v>
      </c>
      <c r="O8" s="137">
        <v>7.72</v>
      </c>
      <c r="P8" s="29"/>
      <c r="Q8" s="29"/>
      <c r="R8" s="29"/>
      <c r="S8" s="29">
        <v>7.38</v>
      </c>
      <c r="T8" s="136">
        <f>AVERAGE(5.59878,5.63895,5.73598,5.559)</f>
        <v>5.6331774999999995</v>
      </c>
      <c r="U8" s="136">
        <f>AVERAGE(5.72896,5.85194,5.71406,5.82871)</f>
        <v>5.7809175000000002</v>
      </c>
      <c r="V8" s="137">
        <v>6.13</v>
      </c>
      <c r="W8" s="26">
        <v>6.75</v>
      </c>
      <c r="Y8">
        <v>8.52</v>
      </c>
    </row>
    <row r="9" spans="2:25" ht="15.75" thickBot="1">
      <c r="B9" s="25" t="s">
        <v>34</v>
      </c>
      <c r="C9" s="39" t="s">
        <v>45</v>
      </c>
      <c r="E9" s="40" t="s">
        <v>43</v>
      </c>
      <c r="F9" s="42">
        <f>F8*2</f>
        <v>11.72</v>
      </c>
      <c r="G9" s="82">
        <f t="shared" ref="G9:J9" si="0">G8*2</f>
        <v>11.46923</v>
      </c>
      <c r="H9" s="82">
        <f t="shared" si="0"/>
        <v>11.062585</v>
      </c>
      <c r="I9" s="82">
        <f t="shared" si="0"/>
        <v>11.23072</v>
      </c>
      <c r="J9" s="42">
        <f t="shared" si="0"/>
        <v>10.84</v>
      </c>
      <c r="K9" s="42"/>
      <c r="L9" s="42"/>
      <c r="M9" s="42"/>
      <c r="N9" s="42">
        <f>N8*2</f>
        <v>13.92</v>
      </c>
      <c r="O9" s="42">
        <f t="shared" ref="O9:S9" si="1">O8*2</f>
        <v>15.44</v>
      </c>
      <c r="P9" s="42"/>
      <c r="Q9" s="42"/>
      <c r="R9" s="42"/>
      <c r="S9" s="42">
        <f t="shared" si="1"/>
        <v>14.76</v>
      </c>
      <c r="T9" s="82">
        <f t="shared" ref="T9:Y9" si="2">T8*2</f>
        <v>11.266354999999999</v>
      </c>
      <c r="U9" s="82">
        <f t="shared" si="2"/>
        <v>11.561835</v>
      </c>
      <c r="V9" s="82">
        <f t="shared" si="2"/>
        <v>12.26</v>
      </c>
      <c r="W9" s="82">
        <f t="shared" si="2"/>
        <v>13.5</v>
      </c>
      <c r="X9" s="82"/>
      <c r="Y9" s="82">
        <f t="shared" si="2"/>
        <v>17.04</v>
      </c>
    </row>
    <row r="10" spans="2:25" ht="15.75" thickBot="1">
      <c r="B10" s="25" t="s">
        <v>34</v>
      </c>
      <c r="C10" s="39" t="s">
        <v>44</v>
      </c>
      <c r="E10" s="40" t="s">
        <v>43</v>
      </c>
      <c r="F10" s="42">
        <v>62.2</v>
      </c>
      <c r="G10" s="82">
        <f>AVERAGE(51.78,51.7122,49.6736,50.0039)</f>
        <v>50.792424999999994</v>
      </c>
      <c r="H10" s="83">
        <v>54.277700000000003</v>
      </c>
      <c r="I10" s="83">
        <f>AVERAGE(52.2685,51.7548)</f>
        <v>52.011650000000003</v>
      </c>
      <c r="J10" s="42">
        <v>52</v>
      </c>
      <c r="K10" s="42"/>
      <c r="L10" s="42"/>
      <c r="M10" s="42"/>
      <c r="N10" s="42">
        <v>90</v>
      </c>
      <c r="O10" s="137">
        <v>98</v>
      </c>
      <c r="P10" s="29"/>
      <c r="Q10" s="29"/>
      <c r="R10" s="29"/>
      <c r="S10" s="29">
        <v>98.93</v>
      </c>
      <c r="T10" s="136">
        <f>AVERAGE(75.681,72.9799,72.8709,75.8579,74.0277)</f>
        <v>74.283479999999997</v>
      </c>
      <c r="U10" s="136">
        <f>AVERAGE(73.0359,74.5732,73.0406)</f>
        <v>73.549899999999994</v>
      </c>
      <c r="V10" s="137">
        <v>92.1</v>
      </c>
      <c r="W10" s="26">
        <v>88.4</v>
      </c>
      <c r="Y10">
        <v>97.7</v>
      </c>
    </row>
    <row r="11" spans="2:25" ht="15.75" thickBot="1">
      <c r="B11" s="25"/>
      <c r="C11" s="39" t="s">
        <v>27</v>
      </c>
      <c r="E11" s="40"/>
      <c r="F11" s="41">
        <v>1.22E-6</v>
      </c>
      <c r="G11" s="41">
        <v>1.22E-6</v>
      </c>
      <c r="H11" s="41">
        <v>1.22E-6</v>
      </c>
      <c r="I11" s="41">
        <v>1.22E-6</v>
      </c>
      <c r="J11" s="41">
        <v>1.22E-6</v>
      </c>
      <c r="K11" s="41"/>
      <c r="L11" s="41"/>
      <c r="M11" s="41"/>
      <c r="N11" s="41">
        <v>1.22E-6</v>
      </c>
      <c r="O11" s="138">
        <v>1.22E-6</v>
      </c>
      <c r="P11" s="138"/>
      <c r="Q11" s="138"/>
      <c r="R11" s="138"/>
      <c r="S11" s="138">
        <v>1.22E-6</v>
      </c>
      <c r="T11" s="41">
        <v>1.22E-6</v>
      </c>
      <c r="U11" s="41">
        <v>1.22E-6</v>
      </c>
      <c r="V11" s="138">
        <v>1.22E-6</v>
      </c>
      <c r="W11" s="138">
        <v>1.22E-6</v>
      </c>
      <c r="X11" s="138"/>
      <c r="Y11" s="138">
        <v>1.22E-6</v>
      </c>
    </row>
    <row r="12" spans="2:25" ht="15.75" thickBot="1">
      <c r="B12" s="25"/>
      <c r="C12" s="39" t="s">
        <v>28</v>
      </c>
      <c r="E12" s="40"/>
      <c r="F12" s="41">
        <v>3.1600000000000002E-7</v>
      </c>
      <c r="G12" s="41">
        <v>1.74E-7</v>
      </c>
      <c r="H12" s="45">
        <v>1.14E-7</v>
      </c>
      <c r="I12" s="45">
        <v>1.85E-7</v>
      </c>
      <c r="J12" s="41">
        <v>3.4700000000000002E-7</v>
      </c>
      <c r="K12" s="41"/>
      <c r="L12" s="41"/>
      <c r="M12" s="41"/>
      <c r="N12" s="41">
        <v>7.0000000000000005E-8</v>
      </c>
      <c r="O12" s="138">
        <v>3.3600000000000003E-8</v>
      </c>
      <c r="P12" s="28"/>
      <c r="Q12" s="28"/>
      <c r="R12" s="28"/>
      <c r="S12" s="28">
        <v>3.3600000000000003E-8</v>
      </c>
      <c r="T12" s="131">
        <v>9.6299999999999995E-8</v>
      </c>
      <c r="U12" s="131">
        <v>9.3499999999999997E-8</v>
      </c>
      <c r="V12" s="138">
        <v>7.1900000000000002E-8</v>
      </c>
      <c r="W12" s="131">
        <v>5.4100000000000001E-8</v>
      </c>
      <c r="Y12" s="165">
        <v>3.1E-8</v>
      </c>
    </row>
    <row r="13" spans="2:25" ht="15.75" thickBot="1">
      <c r="B13" s="25" t="s">
        <v>34</v>
      </c>
      <c r="C13" s="39" t="s">
        <v>38</v>
      </c>
      <c r="E13" s="40" t="s">
        <v>39</v>
      </c>
      <c r="F13" s="44">
        <f>(F12/F11)*100</f>
        <v>25.9016393442623</v>
      </c>
      <c r="G13" s="44">
        <f t="shared" ref="G13:J13" si="3">(G12/G11)*100</f>
        <v>14.262295081967213</v>
      </c>
      <c r="H13" s="44">
        <f t="shared" si="3"/>
        <v>9.3442622950819683</v>
      </c>
      <c r="I13" s="44">
        <f t="shared" si="3"/>
        <v>15.163934426229508</v>
      </c>
      <c r="J13" s="44">
        <f t="shared" si="3"/>
        <v>28.442622950819676</v>
      </c>
      <c r="K13" s="44"/>
      <c r="L13" s="44"/>
      <c r="M13" s="44"/>
      <c r="N13" s="44">
        <f>(N12/N11)*100</f>
        <v>5.7377049180327875</v>
      </c>
      <c r="O13" s="44">
        <f>(O12/O11)*100</f>
        <v>2.7540983606557381</v>
      </c>
      <c r="P13" s="44"/>
      <c r="Q13" s="44"/>
      <c r="R13" s="44"/>
      <c r="S13" s="44">
        <f t="shared" ref="P13:S13" si="4">(S12/S11)*100</f>
        <v>2.7540983606557381</v>
      </c>
      <c r="T13" s="44">
        <f>(T12/T11)*100</f>
        <v>7.8934426229508192</v>
      </c>
      <c r="U13" s="44">
        <f t="shared" ref="U13:V13" si="5">(U12/U11)*100</f>
        <v>7.6639344262295088</v>
      </c>
      <c r="V13" s="44">
        <f t="shared" si="5"/>
        <v>5.8934426229508201</v>
      </c>
      <c r="W13" s="44">
        <f>(W12/W11)*100</f>
        <v>4.4344262295081966</v>
      </c>
      <c r="X13" s="44"/>
      <c r="Y13" s="44">
        <f t="shared" ref="X13:Y13" si="6">(Y12/Y11)*100</f>
        <v>2.540983606557377</v>
      </c>
    </row>
    <row r="14" spans="2:25" ht="15.75" thickBot="1">
      <c r="B14" s="25" t="s">
        <v>34</v>
      </c>
      <c r="C14" s="39" t="s">
        <v>26</v>
      </c>
      <c r="E14" s="40" t="s">
        <v>37</v>
      </c>
      <c r="F14" s="41">
        <v>6470000</v>
      </c>
      <c r="G14" s="41">
        <v>6270000</v>
      </c>
      <c r="H14" s="45">
        <v>6250000</v>
      </c>
      <c r="I14" s="45">
        <v>6280000</v>
      </c>
      <c r="J14" s="41">
        <v>6450000</v>
      </c>
      <c r="K14" s="41"/>
      <c r="L14" s="41"/>
      <c r="M14" s="41"/>
      <c r="N14" s="41">
        <v>6070000</v>
      </c>
      <c r="O14" s="138">
        <v>5720000</v>
      </c>
      <c r="P14" s="28"/>
      <c r="Q14" s="28"/>
      <c r="R14" s="28"/>
      <c r="S14" s="28">
        <v>5720000</v>
      </c>
      <c r="T14" s="131">
        <v>6050000</v>
      </c>
      <c r="U14" s="131">
        <v>6060000</v>
      </c>
      <c r="V14" s="138">
        <v>6040000</v>
      </c>
      <c r="W14" s="131">
        <v>6090000</v>
      </c>
      <c r="Y14" s="165">
        <v>5720000</v>
      </c>
    </row>
    <row r="15" spans="2:25" ht="15.75" thickBot="1">
      <c r="B15" s="25" t="s">
        <v>34</v>
      </c>
      <c r="C15" s="39" t="s">
        <v>40</v>
      </c>
      <c r="E15" s="40" t="s">
        <v>39</v>
      </c>
      <c r="F15" s="82">
        <v>1.35</v>
      </c>
      <c r="G15" s="42">
        <v>4.9400000000000004</v>
      </c>
      <c r="H15" s="43">
        <v>5.64</v>
      </c>
      <c r="I15" s="43">
        <v>5.03</v>
      </c>
      <c r="J15" s="42">
        <v>3.08</v>
      </c>
      <c r="K15" s="42"/>
      <c r="L15" s="42"/>
      <c r="M15" s="42"/>
      <c r="N15" s="82">
        <v>4.96</v>
      </c>
      <c r="O15" s="137">
        <v>8.58</v>
      </c>
      <c r="P15" s="29"/>
      <c r="Q15" s="29"/>
      <c r="R15" s="29"/>
      <c r="S15" s="29">
        <v>9.01</v>
      </c>
      <c r="T15" s="136">
        <v>11.2</v>
      </c>
      <c r="U15" s="136">
        <v>11.4</v>
      </c>
      <c r="V15" s="137">
        <v>5.07</v>
      </c>
      <c r="W15" s="209">
        <v>3.48</v>
      </c>
      <c r="Y15">
        <v>8.52</v>
      </c>
    </row>
    <row r="16" spans="2:25">
      <c r="B16" s="25" t="s">
        <v>36</v>
      </c>
      <c r="C16" s="39" t="s">
        <v>41</v>
      </c>
      <c r="E16" s="40" t="s">
        <v>47</v>
      </c>
      <c r="F16" s="45"/>
      <c r="G16" s="42"/>
      <c r="H16" s="43"/>
      <c r="I16" s="43"/>
      <c r="J16" s="42"/>
      <c r="K16" s="42"/>
      <c r="L16" s="42"/>
      <c r="M16" s="42"/>
      <c r="N16" s="43"/>
      <c r="O16" s="85"/>
      <c r="P16" s="85"/>
      <c r="Q16" s="85"/>
      <c r="R16" s="85"/>
      <c r="S16" s="85"/>
      <c r="T16" s="85"/>
      <c r="U16" s="85"/>
      <c r="V16" s="85"/>
      <c r="W16" s="26"/>
    </row>
    <row r="17" spans="2:23">
      <c r="B17" s="25" t="s">
        <v>36</v>
      </c>
      <c r="C17" s="39" t="s">
        <v>42</v>
      </c>
      <c r="E17" s="40" t="s">
        <v>48</v>
      </c>
      <c r="F17" s="43"/>
      <c r="G17" s="42"/>
      <c r="H17" s="43"/>
      <c r="I17" s="43"/>
      <c r="J17" s="42"/>
      <c r="K17" s="42"/>
      <c r="L17" s="42"/>
      <c r="M17" s="42"/>
      <c r="N17" s="43"/>
      <c r="O17" s="85"/>
      <c r="P17" s="85"/>
      <c r="Q17" s="85"/>
      <c r="R17" s="85"/>
      <c r="S17" s="85"/>
      <c r="T17" s="85"/>
      <c r="U17" s="85"/>
      <c r="V17" s="85"/>
      <c r="W17" s="26"/>
    </row>
    <row r="18" spans="2:23">
      <c r="B18" s="5"/>
      <c r="C18" s="43"/>
      <c r="D18" s="43"/>
      <c r="E18" s="43"/>
      <c r="F18" s="43"/>
      <c r="G18" s="42"/>
      <c r="H18" s="43"/>
      <c r="I18" s="43"/>
      <c r="J18" s="42"/>
      <c r="K18" s="42"/>
      <c r="L18" s="42"/>
      <c r="M18" s="42"/>
      <c r="N18" s="43"/>
      <c r="O18" s="85"/>
      <c r="P18" s="85"/>
      <c r="Q18" s="85"/>
      <c r="R18" s="85"/>
      <c r="S18" s="85"/>
      <c r="T18" s="85"/>
      <c r="U18" s="85"/>
      <c r="V18" s="85"/>
    </row>
    <row r="19" spans="2:23">
      <c r="B19" s="5"/>
      <c r="C19" s="39" t="s">
        <v>35</v>
      </c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</row>
    <row r="20" spans="2:23">
      <c r="B20" s="5"/>
      <c r="C20" s="40"/>
      <c r="D20" s="40"/>
      <c r="E20" s="40"/>
      <c r="F20" s="40"/>
      <c r="G20" s="40"/>
      <c r="H20" s="43"/>
      <c r="I20" s="43"/>
      <c r="J20" s="43"/>
      <c r="K20" s="43"/>
      <c r="L20" s="43"/>
      <c r="M20" s="43"/>
      <c r="N20" s="43"/>
      <c r="O20" s="85"/>
      <c r="P20" s="85"/>
      <c r="Q20" s="85"/>
      <c r="R20" s="85"/>
      <c r="S20" s="85"/>
      <c r="T20" s="85"/>
      <c r="U20" s="85"/>
      <c r="V20" s="85"/>
    </row>
    <row r="21" spans="2:23">
      <c r="B21" s="5"/>
      <c r="C21" s="6"/>
      <c r="D21" s="6"/>
      <c r="E21" s="6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37" spans="39:39">
      <c r="AM37" t="s">
        <v>49</v>
      </c>
    </row>
  </sheetData>
  <mergeCells count="6">
    <mergeCell ref="X2:Y2"/>
    <mergeCell ref="F2:J2"/>
    <mergeCell ref="C2:C3"/>
    <mergeCell ref="D2:D3"/>
    <mergeCell ref="N2:O2"/>
    <mergeCell ref="T2:W2"/>
  </mergeCells>
  <dataValidations count="1">
    <dataValidation type="list" allowBlank="1" showInputMessage="1" showErrorMessage="1" sqref="C27" xr:uid="{870A3996-9EE3-46E4-9D9A-C30F47CF60E5}">
      <formula1>$C$8:$C$17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4E7DC7-58CF-4E5A-A1BF-67B55195319A}">
          <x14:formula1>
            <xm:f>Sheet4!$C$9:$C$33</xm:f>
          </x14:formula1>
          <xm:sqref>C6:C7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B03-FDC1-47B9-AF99-E205AFF1D2E2}">
  <dimension ref="C2:CB50"/>
  <sheetViews>
    <sheetView topLeftCell="AB1" zoomScaleNormal="100" workbookViewId="0">
      <selection activeCell="AT67" sqref="AT67"/>
    </sheetView>
  </sheetViews>
  <sheetFormatPr defaultRowHeight="15"/>
  <cols>
    <col min="3" max="3" width="9.85546875" customWidth="1"/>
    <col min="4" max="4" width="9.42578125" customWidth="1"/>
    <col min="12" max="12" width="8.85546875" customWidth="1"/>
  </cols>
  <sheetData>
    <row r="2" spans="3:67">
      <c r="AK2" s="5"/>
      <c r="AL2" s="5"/>
      <c r="AM2" s="5"/>
      <c r="AN2" s="5"/>
      <c r="AO2" s="5"/>
      <c r="BK2" s="5"/>
      <c r="BL2" s="5"/>
      <c r="BM2" s="5"/>
      <c r="BN2" s="5"/>
      <c r="BO2" s="5"/>
    </row>
    <row r="3" spans="3:67">
      <c r="C3" s="11" t="s">
        <v>30</v>
      </c>
      <c r="D3" s="11"/>
      <c r="L3" s="4" t="s">
        <v>31</v>
      </c>
      <c r="M3" s="10"/>
      <c r="AK3" s="5"/>
      <c r="AL3" s="6"/>
      <c r="AM3" s="5"/>
      <c r="AN3" s="5"/>
      <c r="AO3" s="5"/>
      <c r="BK3" s="5"/>
      <c r="BL3" s="6"/>
      <c r="BM3" s="5"/>
      <c r="BN3" s="5"/>
      <c r="BO3" s="5"/>
    </row>
    <row r="4" spans="3:67">
      <c r="AK4" s="5"/>
      <c r="AL4" s="5"/>
      <c r="AM4" s="5"/>
      <c r="AN4" s="5"/>
      <c r="AO4" s="5"/>
      <c r="BK4" s="5"/>
      <c r="BL4" s="5"/>
      <c r="BM4" s="5"/>
      <c r="BN4" s="5"/>
      <c r="BO4" s="5"/>
    </row>
    <row r="7" spans="3:67">
      <c r="AP7" t="str">
        <f>Sheet2!C6&amp; " and debris cloud diamter"</f>
        <v>Young's modulus and debris cloud diamter</v>
      </c>
    </row>
    <row r="8" spans="3:67">
      <c r="AD8" t="str">
        <f>Sheet2!C6&amp;" "&amp;Sheet2!D6</f>
        <v>Young's modulus E</v>
      </c>
    </row>
    <row r="10" spans="3:67">
      <c r="AD10" t="str">
        <f>Sheet2!C6&amp; " and target hole diameter"</f>
        <v>Young's modulus and target hole diameter</v>
      </c>
    </row>
    <row r="24" spans="30:80">
      <c r="AZ24" t="s">
        <v>49</v>
      </c>
    </row>
    <row r="26" spans="30:80">
      <c r="CB26" t="s">
        <v>49</v>
      </c>
    </row>
    <row r="29" spans="30:80">
      <c r="AD29" t="str">
        <f>Sheet2!C6&amp;" and percentage of solid material in debris cloud"</f>
        <v>Young's modulus and percentage of solid material in debris cloud</v>
      </c>
      <c r="AP29" t="str">
        <f>Sheet2!C6&amp; " and residual velocity"</f>
        <v>Young's modulus and residual velocity</v>
      </c>
    </row>
    <row r="46" spans="58:58">
      <c r="BF46" t="s">
        <v>49</v>
      </c>
    </row>
    <row r="50" spans="37:37">
      <c r="AK50" t="str">
        <f>Sheet2!C6&amp; " and percentage of converted particles due to temperature"</f>
        <v>Young's modulus and percentage of converted particles due to temperature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EAD1F-0AE4-48FA-822A-069021B6C158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Sheet1</vt:lpstr>
      <vt:lpstr>Sheet4</vt:lpstr>
      <vt:lpstr>Sheet2</vt:lpstr>
      <vt:lpstr>Sheet3</vt:lpstr>
      <vt:lpstr>Sheet5</vt:lpstr>
      <vt:lpstr>density</vt:lpstr>
      <vt:lpstr>rho</vt:lpstr>
      <vt:lpstr>ton_mm3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Kayleigh</dc:creator>
  <cp:lastModifiedBy>Kayleigh</cp:lastModifiedBy>
  <dcterms:created xsi:type="dcterms:W3CDTF">2022-02-22T08:13:26Z</dcterms:created>
  <dcterms:modified xsi:type="dcterms:W3CDTF">2022-03-01T09:53:15Z</dcterms:modified>
</cp:coreProperties>
</file>