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5" documentId="13_ncr:1_{CD7A96AB-9312-4B54-94B2-DCEE35A1906F}" xr6:coauthVersionLast="47" xr6:coauthVersionMax="47" xr10:uidLastSave="{1E210597-EE83-45DC-ADE1-298F87655E98}"/>
  <bookViews>
    <workbookView xWindow="420" yWindow="-108" windowWidth="22728" windowHeight="13176" activeTab="3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L13" i="2"/>
  <c r="M13" i="2"/>
  <c r="K10" i="2"/>
  <c r="K9" i="2"/>
  <c r="L9" i="2"/>
  <c r="M9" i="2"/>
  <c r="K8" i="2"/>
  <c r="L5" i="2"/>
  <c r="M5" i="2"/>
  <c r="K5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F6" i="2"/>
  <c r="D6" i="2"/>
  <c r="J6" i="2"/>
  <c r="I6" i="2"/>
  <c r="Y4" i="2"/>
  <c r="X4" i="2"/>
  <c r="L4" i="2"/>
  <c r="M4" i="2"/>
  <c r="K4" i="2"/>
  <c r="Y5" i="2"/>
  <c r="Y13" i="2"/>
  <c r="Y9" i="2"/>
  <c r="S13" i="2"/>
  <c r="S9" i="2"/>
  <c r="S5" i="2"/>
  <c r="S4" i="2"/>
  <c r="W5" i="2"/>
  <c r="W13" i="2"/>
  <c r="V9" i="2"/>
  <c r="W9" i="2"/>
  <c r="W4" i="2"/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9" i="2" l="1"/>
  <c r="Q5" i="2" l="1"/>
  <c r="R5" i="2"/>
  <c r="P5" i="2"/>
  <c r="Q4" i="2"/>
  <c r="R4" i="2"/>
  <c r="P4" i="2"/>
  <c r="P10" i="4"/>
  <c r="P11" i="4"/>
  <c r="Q11" i="4"/>
  <c r="R11" i="4"/>
  <c r="Q10" i="4"/>
  <c r="R10" i="4"/>
  <c r="E6" i="2"/>
  <c r="G6" i="2"/>
  <c r="H6" i="2"/>
  <c r="U13" i="2"/>
  <c r="V13" i="2"/>
  <c r="O13" i="2"/>
  <c r="U10" i="2" l="1"/>
  <c r="U8" i="2"/>
  <c r="U9" i="2" s="1"/>
  <c r="T13" i="2"/>
  <c r="T10" i="2"/>
  <c r="T8" i="2"/>
  <c r="T9" i="2" s="1"/>
  <c r="V5" i="2"/>
  <c r="U5" i="2"/>
  <c r="T5" i="2"/>
  <c r="V4" i="2"/>
  <c r="U4" i="2"/>
  <c r="T4" i="2"/>
  <c r="O5" i="2"/>
  <c r="O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N13" i="2"/>
  <c r="J9" i="2"/>
  <c r="N9" i="2"/>
  <c r="F13" i="2" l="1"/>
  <c r="F9" i="2"/>
</calcChain>
</file>

<file path=xl/sharedStrings.xml><?xml version="1.0" encoding="utf-8"?>
<sst xmlns="http://schemas.openxmlformats.org/spreadsheetml/2006/main" count="279" uniqueCount="190">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</sst>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5" borderId="42" xfId="0" applyFill="1" applyBorder="1"/>
    <xf numFmtId="2" fontId="0" fillId="0" borderId="0" xfId="0" applyNumberFormat="1" applyBorder="1"/>
    <xf numFmtId="0" fontId="2" fillId="0" borderId="43" xfId="0" applyFont="1" applyBorder="1" applyAlignment="1">
      <alignment horizontal="right" wrapText="1"/>
    </xf>
    <xf numFmtId="11" fontId="2" fillId="0" borderId="43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4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6" xfId="0" applyNumberFormat="1" applyFont="1" applyBorder="1" applyAlignment="1">
      <alignment horizontal="right" wrapText="1"/>
    </xf>
    <xf numFmtId="0" fontId="2" fillId="0" borderId="46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5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1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5" borderId="41" xfId="0" applyFill="1" applyBorder="1"/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1"/>
          <c:tx>
            <c:strRef>
              <c:f>Sheet2!$X$4</c:f>
              <c:strCache>
                <c:ptCount val="1"/>
                <c:pt idx="0">
                  <c:v>OFHC COPPER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Sheet2!$X$6</c:f>
              <c:numCache>
                <c:formatCode>General</c:formatCode>
                <c:ptCount val="1"/>
                <c:pt idx="0">
                  <c:v>124000</c:v>
                </c:pt>
              </c:numCache>
            </c:numRef>
          </c:xVal>
          <c:yVal>
            <c:numRef>
              <c:f>Sheet2!$W$15</c:f>
              <c:numCache>
                <c:formatCode>General</c:formatCode>
                <c:ptCount val="1"/>
                <c:pt idx="0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0A2-4916-A9C4-0059315FFAF5}"/>
              </c:ext>
            </c:extLst>
          </c:dPt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Sheet2!$K$6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Sheet2!$K$9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5"/>
          <c:order val="6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7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8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9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0"/>
          <c:order val="11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1"/>
          <c:order val="12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2"/>
          <c:order val="13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Sheet2!$K$10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5"/>
          <c:order val="6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7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8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9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0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0"/>
          <c:order val="11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1"/>
          <c:order val="12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2"/>
          <c:order val="13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1"/>
          <c:order val="11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Sheet2!$W$13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Sheet2!$O$14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Sheet2!$T$14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Sheet2!$U$14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Sheet2!$V$14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0"/>
          <c:order val="10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Sheet2!$S$14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1"/>
          <c:tx>
            <c:strRef>
              <c:f>Sheet2!$X$4</c:f>
              <c:strCache>
                <c:ptCount val="1"/>
                <c:pt idx="0">
                  <c:v>OFHC COPPER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Sheet2!$X$6</c:f>
              <c:numCache>
                <c:formatCode>General</c:formatCode>
                <c:ptCount val="1"/>
                <c:pt idx="0">
                  <c:v>124000</c:v>
                </c:pt>
              </c:numCache>
            </c:numRef>
          </c:xVal>
          <c:yVal>
            <c:numRef>
              <c:f>Sheet2!$W$14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2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zoomScale="80" zoomScaleNormal="80" workbookViewId="0">
      <pane xSplit="5" topLeftCell="I1" activePane="topRight" state="frozen"/>
      <selection pane="topRight" activeCell="M9" sqref="M9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5" width="14.88671875" customWidth="1"/>
    <col min="16" max="19" width="16.6640625" customWidth="1"/>
    <col min="20" max="20" width="14" customWidth="1"/>
    <col min="21" max="21" width="15.88671875" customWidth="1"/>
    <col min="22" max="22" width="14.33203125" customWidth="1"/>
    <col min="23" max="23" width="18.88671875" customWidth="1"/>
    <col min="24" max="24" width="17.44140625" customWidth="1"/>
    <col min="25" max="25" width="19.88671875" customWidth="1"/>
  </cols>
  <sheetData>
    <row r="3" spans="2:2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 x14ac:dyDescent="0.3">
      <c r="B5" s="26"/>
      <c r="C5" s="97"/>
      <c r="D5" s="97"/>
      <c r="E5" s="97"/>
      <c r="F5" s="193" t="s">
        <v>144</v>
      </c>
      <c r="G5" s="194"/>
      <c r="H5" s="194"/>
      <c r="I5" s="194"/>
      <c r="J5" s="194"/>
      <c r="K5" s="194" t="s">
        <v>184</v>
      </c>
      <c r="L5" s="194"/>
      <c r="M5" s="194"/>
      <c r="N5" s="160" t="s">
        <v>183</v>
      </c>
      <c r="O5" s="198" t="s">
        <v>145</v>
      </c>
      <c r="P5" s="198"/>
      <c r="Q5" s="198"/>
      <c r="R5" s="198"/>
      <c r="S5" s="198"/>
      <c r="T5" s="198"/>
      <c r="U5" s="198"/>
      <c r="V5" s="198"/>
      <c r="W5" s="198"/>
      <c r="X5" s="198"/>
      <c r="Y5" s="198"/>
    </row>
    <row r="6" spans="2:26" x14ac:dyDescent="0.3">
      <c r="B6" s="26"/>
      <c r="C6" s="196"/>
      <c r="D6" s="196"/>
      <c r="E6" s="197"/>
      <c r="F6" s="189" t="s">
        <v>53</v>
      </c>
      <c r="G6" s="190"/>
      <c r="H6" s="190"/>
      <c r="I6" s="190"/>
      <c r="J6" s="190"/>
      <c r="K6" s="190"/>
      <c r="L6" s="150"/>
      <c r="M6" s="148"/>
      <c r="N6" s="189" t="s">
        <v>60</v>
      </c>
      <c r="O6" s="190"/>
      <c r="P6" s="190"/>
      <c r="Q6" s="190"/>
      <c r="R6" s="190"/>
      <c r="S6" s="174"/>
      <c r="T6" s="190" t="s">
        <v>129</v>
      </c>
      <c r="U6" s="190"/>
      <c r="V6" s="190"/>
      <c r="W6" s="190"/>
      <c r="X6" s="191" t="s">
        <v>182</v>
      </c>
      <c r="Y6" s="192"/>
      <c r="Z6" s="168"/>
    </row>
    <row r="7" spans="2:26" x14ac:dyDescent="0.3">
      <c r="B7" s="26"/>
      <c r="C7" s="61"/>
      <c r="D7" s="61"/>
      <c r="E7" s="71"/>
      <c r="F7" s="149" t="s">
        <v>54</v>
      </c>
      <c r="G7" s="150" t="s">
        <v>55</v>
      </c>
      <c r="H7" s="150" t="s">
        <v>56</v>
      </c>
      <c r="I7" s="150" t="s">
        <v>57</v>
      </c>
      <c r="J7" s="147" t="s">
        <v>58</v>
      </c>
      <c r="K7" s="148" t="s">
        <v>178</v>
      </c>
      <c r="L7" s="150" t="s">
        <v>180</v>
      </c>
      <c r="M7" s="148" t="s">
        <v>181</v>
      </c>
      <c r="N7" s="151" t="s">
        <v>59</v>
      </c>
      <c r="O7" s="148" t="s">
        <v>147</v>
      </c>
      <c r="P7" s="147" t="s">
        <v>149</v>
      </c>
      <c r="Q7" s="148" t="s">
        <v>152</v>
      </c>
      <c r="R7" s="148" t="s">
        <v>153</v>
      </c>
      <c r="S7" s="160" t="s">
        <v>175</v>
      </c>
      <c r="T7" s="149" t="s">
        <v>130</v>
      </c>
      <c r="U7" s="150" t="s">
        <v>131</v>
      </c>
      <c r="V7" s="150" t="s">
        <v>132</v>
      </c>
      <c r="W7" s="157" t="s">
        <v>161</v>
      </c>
      <c r="X7" s="161" t="s">
        <v>162</v>
      </c>
      <c r="Y7" s="169" t="s">
        <v>163</v>
      </c>
      <c r="Z7" s="168"/>
    </row>
    <row r="8" spans="2:26" ht="19.5" customHeight="1" thickBot="1" x14ac:dyDescent="0.35">
      <c r="B8" s="26"/>
      <c r="C8" s="62" t="s">
        <v>65</v>
      </c>
      <c r="D8" s="62" t="s">
        <v>66</v>
      </c>
      <c r="E8" s="63" t="s">
        <v>67</v>
      </c>
      <c r="F8" s="152" t="s">
        <v>52</v>
      </c>
      <c r="G8" s="153" t="s">
        <v>61</v>
      </c>
      <c r="H8" s="153" t="s">
        <v>62</v>
      </c>
      <c r="I8" s="153" t="s">
        <v>63</v>
      </c>
      <c r="J8" s="154" t="s">
        <v>64</v>
      </c>
      <c r="K8" s="156" t="s">
        <v>187</v>
      </c>
      <c r="L8" s="153" t="s">
        <v>188</v>
      </c>
      <c r="M8" s="156" t="s">
        <v>189</v>
      </c>
      <c r="N8" s="155" t="s">
        <v>51</v>
      </c>
      <c r="O8" s="156">
        <v>4340</v>
      </c>
      <c r="P8" s="154" t="s">
        <v>151</v>
      </c>
      <c r="Q8" s="156" t="s">
        <v>154</v>
      </c>
      <c r="R8" s="156" t="s">
        <v>155</v>
      </c>
      <c r="S8" s="156" t="s">
        <v>174</v>
      </c>
      <c r="T8" s="152" t="s">
        <v>133</v>
      </c>
      <c r="U8" s="153" t="s">
        <v>134</v>
      </c>
      <c r="V8" s="153" t="s">
        <v>135</v>
      </c>
      <c r="W8" s="154" t="s">
        <v>165</v>
      </c>
      <c r="X8" s="162" t="s">
        <v>164</v>
      </c>
      <c r="Y8" s="173" t="s">
        <v>172</v>
      </c>
      <c r="Z8" s="168"/>
    </row>
    <row r="9" spans="2:26" ht="16.5" customHeight="1" x14ac:dyDescent="0.3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6">
        <v>8.9600000000000005E-9</v>
      </c>
      <c r="Y9" s="165">
        <v>7.8899999999999998E-9</v>
      </c>
    </row>
    <row r="10" spans="2:26" x14ac:dyDescent="0.3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0">
        <f>X13/(3*(1-2*X14))</f>
        <v>129166.66666666669</v>
      </c>
      <c r="Y10" s="28">
        <f t="shared" si="0"/>
        <v>164285.71428571426</v>
      </c>
    </row>
    <row r="11" spans="2:26" x14ac:dyDescent="0.3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 x14ac:dyDescent="0.3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 x14ac:dyDescent="0.3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4">
        <v>124000</v>
      </c>
      <c r="Y13" s="165">
        <v>207000</v>
      </c>
    </row>
    <row r="14" spans="2:26" x14ac:dyDescent="0.3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8">
        <v>0.34</v>
      </c>
      <c r="Y14" s="163">
        <v>0.28999999999999998</v>
      </c>
    </row>
    <row r="15" spans="2:26" x14ac:dyDescent="0.3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8"/>
    </row>
    <row r="16" spans="2:26" x14ac:dyDescent="0.3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8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4">
        <v>383000000</v>
      </c>
      <c r="Y16" s="167">
        <v>452000000</v>
      </c>
    </row>
    <row r="17" spans="2:25" x14ac:dyDescent="0.3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79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8"/>
    </row>
    <row r="18" spans="2:25" x14ac:dyDescent="0.3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8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1">
        <v>1</v>
      </c>
      <c r="X18" s="158">
        <v>1</v>
      </c>
      <c r="Y18" s="182">
        <v>1</v>
      </c>
    </row>
    <row r="19" spans="2:25" x14ac:dyDescent="0.3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0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8"/>
    </row>
    <row r="20" spans="2:25" x14ac:dyDescent="0.3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>
        <v>1650</v>
      </c>
      <c r="X20" s="158">
        <v>1356</v>
      </c>
      <c r="Y20">
        <v>1811</v>
      </c>
    </row>
    <row r="21" spans="2:25" x14ac:dyDescent="0.3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1">
        <v>293</v>
      </c>
      <c r="Y21" s="29">
        <v>293</v>
      </c>
    </row>
    <row r="22" spans="2:25" x14ac:dyDescent="0.3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2">
        <v>293</v>
      </c>
      <c r="Y22" s="29">
        <v>293</v>
      </c>
    </row>
    <row r="23" spans="2:25" x14ac:dyDescent="0.3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8"/>
    </row>
    <row r="24" spans="2:25" x14ac:dyDescent="0.3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3">
        <v>1098</v>
      </c>
      <c r="X24" s="158">
        <v>90</v>
      </c>
      <c r="Y24" s="163">
        <v>175</v>
      </c>
    </row>
    <row r="25" spans="2:25" x14ac:dyDescent="0.3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3">
        <v>1092</v>
      </c>
      <c r="X25" s="158">
        <v>292</v>
      </c>
      <c r="Y25" s="163">
        <v>380</v>
      </c>
    </row>
    <row r="26" spans="2:25" x14ac:dyDescent="0.3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3">
        <v>0.93</v>
      </c>
      <c r="X26" s="158">
        <v>0.31</v>
      </c>
      <c r="Y26" s="163">
        <v>0.32</v>
      </c>
    </row>
    <row r="27" spans="2:25" x14ac:dyDescent="0.3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3">
        <v>1.4E-2</v>
      </c>
      <c r="X27" s="158">
        <v>2.5000000000000001E-2</v>
      </c>
      <c r="Y27" s="163">
        <v>0.06</v>
      </c>
    </row>
    <row r="28" spans="2:25" x14ac:dyDescent="0.3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3">
        <v>1.1000000000000001</v>
      </c>
      <c r="X28" s="158">
        <v>1.0900000000000001</v>
      </c>
      <c r="Y28" s="163">
        <v>0.55000000000000004</v>
      </c>
    </row>
    <row r="29" spans="2:25" x14ac:dyDescent="0.3">
      <c r="B29" s="26"/>
      <c r="C29" s="36" t="s">
        <v>156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8"/>
    </row>
    <row r="30" spans="2:25" x14ac:dyDescent="0.3">
      <c r="B30" s="26"/>
      <c r="C30" s="36" t="s">
        <v>157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8"/>
    </row>
    <row r="31" spans="2:25" x14ac:dyDescent="0.3">
      <c r="B31" s="26"/>
      <c r="C31" s="36" t="s">
        <v>158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8"/>
    </row>
    <row r="32" spans="2:25" x14ac:dyDescent="0.3">
      <c r="B32" s="26"/>
      <c r="C32" s="36" t="s">
        <v>159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8"/>
    </row>
    <row r="33" spans="2:25" x14ac:dyDescent="0.3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8"/>
    </row>
    <row r="34" spans="2:25" x14ac:dyDescent="0.3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8"/>
    </row>
    <row r="35" spans="2:25" x14ac:dyDescent="0.3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8"/>
    </row>
    <row r="36" spans="2:25" x14ac:dyDescent="0.3">
      <c r="B36" s="26"/>
      <c r="C36" s="118" t="s">
        <v>146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>
        <v>-0.81</v>
      </c>
      <c r="U36" s="101">
        <v>-0.995</v>
      </c>
      <c r="V36" s="101">
        <v>-1.157</v>
      </c>
      <c r="W36" s="163">
        <v>-0.09</v>
      </c>
      <c r="X36" s="158">
        <v>0.54</v>
      </c>
      <c r="Y36" s="163">
        <v>-2.2000000000000002</v>
      </c>
    </row>
    <row r="37" spans="2:25" x14ac:dyDescent="0.3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3">
        <v>0.27</v>
      </c>
      <c r="X37" s="158">
        <v>4.8899999999999997</v>
      </c>
      <c r="Y37" s="163">
        <v>5.43</v>
      </c>
    </row>
    <row r="38" spans="2:25" x14ac:dyDescent="0.3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>
        <v>-0.15</v>
      </c>
      <c r="U38" s="101" t="s">
        <v>141</v>
      </c>
      <c r="V38" s="101">
        <v>-8.3000000000000004E-2</v>
      </c>
      <c r="W38" s="26">
        <v>0.48</v>
      </c>
      <c r="X38" s="158">
        <v>-3.03</v>
      </c>
      <c r="Y38">
        <v>-0.47</v>
      </c>
    </row>
    <row r="39" spans="2:25" x14ac:dyDescent="0.3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>
        <v>-0.02</v>
      </c>
      <c r="U39" s="101" t="s">
        <v>142</v>
      </c>
      <c r="V39" s="101">
        <v>2.4E-2</v>
      </c>
      <c r="W39" s="163">
        <v>1.4E-2</v>
      </c>
      <c r="X39" s="158">
        <v>1.4E-2</v>
      </c>
      <c r="Y39" s="163">
        <v>1.6E-2</v>
      </c>
    </row>
    <row r="40" spans="2:25" x14ac:dyDescent="0.3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3">
        <v>3.87</v>
      </c>
      <c r="X40" s="158">
        <v>1.1200000000000001</v>
      </c>
      <c r="Y40" s="163">
        <v>0.63</v>
      </c>
    </row>
    <row r="41" spans="2:25" ht="14.25" customHeight="1" x14ac:dyDescent="0.3">
      <c r="B41" s="26"/>
      <c r="C41" s="116" t="s">
        <v>143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8"/>
    </row>
    <row r="42" spans="2:25" ht="14.25" customHeight="1" x14ac:dyDescent="0.3">
      <c r="B42" s="26"/>
      <c r="C42" s="120" t="s">
        <v>148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59"/>
    </row>
    <row r="43" spans="2:25" ht="14.25" customHeight="1" x14ac:dyDescent="0.3">
      <c r="B43" s="26"/>
      <c r="C43" s="109"/>
      <c r="D43" s="117" t="s">
        <v>147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59"/>
    </row>
    <row r="44" spans="2:25" ht="14.25" customHeight="1" x14ac:dyDescent="0.3">
      <c r="B44" s="26"/>
      <c r="C44" s="109"/>
      <c r="D44" s="117" t="s">
        <v>149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59"/>
    </row>
    <row r="45" spans="2:25" ht="14.25" customHeight="1" x14ac:dyDescent="0.3">
      <c r="B45" s="26"/>
      <c r="C45" s="121"/>
      <c r="D45" s="110" t="s">
        <v>150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39">
        <v>1.1599999999999999</v>
      </c>
      <c r="P45" s="139"/>
      <c r="Q45" s="139"/>
      <c r="R45" s="139"/>
      <c r="S45" s="139"/>
      <c r="T45" s="114"/>
      <c r="U45" s="115"/>
      <c r="V45" s="115"/>
      <c r="W45" s="113"/>
      <c r="X45" s="112"/>
      <c r="Y45" s="113"/>
    </row>
    <row r="46" spans="2:25" x14ac:dyDescent="0.3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0"/>
      <c r="L46" s="140"/>
      <c r="M46" s="140"/>
      <c r="N46" s="125"/>
      <c r="O46" s="140"/>
      <c r="P46" s="127"/>
      <c r="Q46" s="127"/>
      <c r="R46" s="127"/>
      <c r="S46" s="142"/>
      <c r="T46" s="107"/>
      <c r="U46" s="58"/>
      <c r="V46" s="27"/>
      <c r="W46" s="26"/>
      <c r="X46" s="159"/>
    </row>
    <row r="47" spans="2:25" x14ac:dyDescent="0.3">
      <c r="B47" s="26"/>
      <c r="C47" s="31" t="s">
        <v>119</v>
      </c>
      <c r="D47" s="31"/>
      <c r="E47" s="76"/>
      <c r="F47" s="78"/>
      <c r="G47" s="205">
        <v>1</v>
      </c>
      <c r="H47" s="205"/>
      <c r="I47" s="205"/>
      <c r="J47" s="206"/>
      <c r="K47" s="141">
        <v>9</v>
      </c>
      <c r="L47" s="141">
        <v>10</v>
      </c>
      <c r="M47" s="141">
        <v>11</v>
      </c>
      <c r="N47" s="126">
        <v>2</v>
      </c>
      <c r="O47" s="127">
        <v>4</v>
      </c>
      <c r="P47" s="203">
        <v>5</v>
      </c>
      <c r="Q47" s="203"/>
      <c r="R47" s="203"/>
      <c r="S47" s="145">
        <v>8</v>
      </c>
      <c r="T47" s="203">
        <v>3</v>
      </c>
      <c r="U47" s="203"/>
      <c r="V47" s="203"/>
      <c r="W47" s="146">
        <v>6</v>
      </c>
      <c r="X47" s="200">
        <v>7</v>
      </c>
      <c r="Y47" s="201"/>
    </row>
    <row r="48" spans="2:25" x14ac:dyDescent="0.3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1"/>
      <c r="L48" s="141"/>
      <c r="M48" s="141"/>
      <c r="N48" s="126" t="s">
        <v>121</v>
      </c>
      <c r="O48" s="141" t="s">
        <v>121</v>
      </c>
      <c r="P48" s="127" t="s">
        <v>160</v>
      </c>
      <c r="Q48" s="127" t="s">
        <v>160</v>
      </c>
      <c r="R48" s="127" t="s">
        <v>160</v>
      </c>
      <c r="S48" s="142" t="s">
        <v>160</v>
      </c>
      <c r="T48" s="78" t="s">
        <v>121</v>
      </c>
      <c r="U48" s="144" t="s">
        <v>121</v>
      </c>
      <c r="V48" s="142" t="s">
        <v>121</v>
      </c>
      <c r="W48" s="183" t="s">
        <v>160</v>
      </c>
      <c r="X48" s="159" t="s">
        <v>160</v>
      </c>
      <c r="Y48" s="183" t="s">
        <v>160</v>
      </c>
    </row>
    <row r="49" spans="2:37" x14ac:dyDescent="0.3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 x14ac:dyDescent="0.3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 x14ac:dyDescent="0.3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 x14ac:dyDescent="0.3">
      <c r="B52" s="26">
        <v>1</v>
      </c>
      <c r="C52" s="30" t="s">
        <v>171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 x14ac:dyDescent="0.3">
      <c r="B53" s="26">
        <v>2</v>
      </c>
      <c r="C53" s="204" t="s">
        <v>170</v>
      </c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108"/>
      <c r="P53" s="128"/>
      <c r="Q53" s="128"/>
      <c r="R53" s="128"/>
      <c r="S53" s="143"/>
      <c r="T53" s="27"/>
      <c r="U53" s="27"/>
      <c r="V53" s="27"/>
      <c r="W53" s="26"/>
      <c r="X53" s="26"/>
    </row>
    <row r="54" spans="2:37" x14ac:dyDescent="0.3">
      <c r="B54" s="26">
        <v>3</v>
      </c>
      <c r="C54" s="204" t="s">
        <v>169</v>
      </c>
      <c r="D54" s="204"/>
      <c r="E54" s="204"/>
      <c r="F54" s="204"/>
      <c r="G54" s="204"/>
      <c r="H54" s="204"/>
      <c r="I54" s="204"/>
      <c r="J54" s="204"/>
      <c r="K54" s="143"/>
      <c r="L54" s="143"/>
      <c r="M54" s="143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 x14ac:dyDescent="0.3">
      <c r="B55" s="26">
        <v>4</v>
      </c>
      <c r="C55" s="26" t="s">
        <v>168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 x14ac:dyDescent="0.3">
      <c r="B56" s="26">
        <v>5</v>
      </c>
      <c r="C56" s="202" t="s">
        <v>167</v>
      </c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6"/>
      <c r="Q56" s="26"/>
      <c r="R56" s="26"/>
      <c r="S56" s="26"/>
      <c r="T56" s="26"/>
      <c r="U56" s="26"/>
      <c r="V56" s="26"/>
      <c r="W56" s="26"/>
      <c r="X56" s="26"/>
    </row>
    <row r="57" spans="2:37" x14ac:dyDescent="0.3">
      <c r="B57" s="26">
        <v>6</v>
      </c>
      <c r="C57" s="195" t="s">
        <v>166</v>
      </c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26"/>
      <c r="Q57" s="26"/>
      <c r="R57" s="26"/>
      <c r="S57" s="26"/>
      <c r="T57" s="26"/>
      <c r="U57" s="26"/>
      <c r="V57" s="26"/>
      <c r="W57" s="26"/>
      <c r="X57" s="26"/>
    </row>
    <row r="58" spans="2:37" x14ac:dyDescent="0.3">
      <c r="B58" s="85">
        <v>6</v>
      </c>
      <c r="C58" s="202" t="s">
        <v>177</v>
      </c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6"/>
      <c r="T58" s="26"/>
      <c r="U58" s="26"/>
      <c r="V58" s="26"/>
      <c r="W58" s="26"/>
      <c r="X58" s="26"/>
    </row>
    <row r="59" spans="2:37" ht="15.6" x14ac:dyDescent="0.3">
      <c r="B59" s="85">
        <v>7</v>
      </c>
      <c r="C59" s="199" t="s">
        <v>173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</row>
    <row r="60" spans="2:37" ht="16.8" x14ac:dyDescent="0.3">
      <c r="B60" s="85">
        <v>8</v>
      </c>
      <c r="C60" s="176" t="s">
        <v>176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AK60" t="s">
        <v>49</v>
      </c>
    </row>
    <row r="61" spans="2:37" x14ac:dyDescent="0.3">
      <c r="B61" s="85">
        <v>9</v>
      </c>
      <c r="C61" s="177" t="s">
        <v>179</v>
      </c>
    </row>
    <row r="62" spans="2:37" ht="16.8" x14ac:dyDescent="0.3">
      <c r="B62" s="85">
        <v>10</v>
      </c>
      <c r="C62" s="175" t="s">
        <v>185</v>
      </c>
    </row>
    <row r="63" spans="2:37" ht="16.8" x14ac:dyDescent="0.3">
      <c r="B63" s="85">
        <v>11</v>
      </c>
      <c r="C63" s="175" t="s">
        <v>186</v>
      </c>
    </row>
  </sheetData>
  <mergeCells count="18"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  <mergeCell ref="F6:K6"/>
    <mergeCell ref="X6:Y6"/>
    <mergeCell ref="F5:J5"/>
    <mergeCell ref="K5:M5"/>
    <mergeCell ref="C57:O57"/>
    <mergeCell ref="C6:E6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AM37"/>
  <sheetViews>
    <sheetView zoomScale="90" zoomScaleNormal="90" workbookViewId="0">
      <pane xSplit="5" topLeftCell="I1" activePane="topRight" state="frozen"/>
      <selection pane="topRight" activeCell="K16" sqref="K16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22" width="15.5546875" customWidth="1"/>
    <col min="23" max="23" width="14.33203125" customWidth="1"/>
    <col min="24" max="24" width="13.44140625" bestFit="1" customWidth="1"/>
    <col min="25" max="25" width="12.6640625" bestFit="1" customWidth="1"/>
  </cols>
  <sheetData>
    <row r="2" spans="2:25" x14ac:dyDescent="0.3">
      <c r="C2" s="209"/>
      <c r="D2" s="208"/>
      <c r="E2" s="79"/>
      <c r="F2" s="208" t="s">
        <v>53</v>
      </c>
      <c r="G2" s="208"/>
      <c r="H2" s="208"/>
      <c r="I2" s="208"/>
      <c r="J2" s="208"/>
      <c r="K2" s="184"/>
      <c r="L2" s="184"/>
      <c r="M2" s="184"/>
      <c r="N2" s="210" t="s">
        <v>60</v>
      </c>
      <c r="O2" s="207"/>
      <c r="P2" s="133"/>
      <c r="Q2" s="133"/>
      <c r="R2" s="133"/>
      <c r="S2" s="185"/>
      <c r="T2" s="207" t="s">
        <v>129</v>
      </c>
      <c r="U2" s="207"/>
      <c r="V2" s="207"/>
      <c r="W2" s="207"/>
      <c r="X2" s="207" t="s">
        <v>182</v>
      </c>
      <c r="Y2" s="207"/>
    </row>
    <row r="3" spans="2:25" x14ac:dyDescent="0.3">
      <c r="C3" s="209"/>
      <c r="D3" s="208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178</v>
      </c>
      <c r="L3" s="38" t="s">
        <v>180</v>
      </c>
      <c r="M3" s="38" t="s">
        <v>181</v>
      </c>
      <c r="N3" s="38" t="s">
        <v>59</v>
      </c>
      <c r="O3" s="129" t="s">
        <v>147</v>
      </c>
      <c r="P3" s="129" t="s">
        <v>149</v>
      </c>
      <c r="Q3" s="129" t="s">
        <v>152</v>
      </c>
      <c r="R3" s="129" t="s">
        <v>153</v>
      </c>
      <c r="S3" s="129" t="s">
        <v>175</v>
      </c>
      <c r="T3" s="129" t="s">
        <v>130</v>
      </c>
      <c r="U3" s="129" t="s">
        <v>131</v>
      </c>
      <c r="V3" s="129" t="s">
        <v>132</v>
      </c>
      <c r="W3" s="129" t="s">
        <v>161</v>
      </c>
      <c r="X3" s="129" t="s">
        <v>162</v>
      </c>
      <c r="Y3" s="129" t="s">
        <v>163</v>
      </c>
    </row>
    <row r="4" spans="2:25" ht="15" thickBot="1" x14ac:dyDescent="0.35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tr">
        <f>Sheet4!K8</f>
        <v>AA7075-T651</v>
      </c>
      <c r="L4" s="53" t="str">
        <f>Sheet4!L8</f>
        <v>AA2024-O</v>
      </c>
      <c r="M4" s="53" t="str">
        <f>Sheet4!M8</f>
        <v>AA7075-T6</v>
      </c>
      <c r="N4" s="53" t="s">
        <v>51</v>
      </c>
      <c r="O4" s="132">
        <f>Sheet4!O8</f>
        <v>4340</v>
      </c>
      <c r="P4" s="134" t="str">
        <f>Sheet4!P8</f>
        <v>WELDOX 460 E</v>
      </c>
      <c r="Q4" s="134" t="str">
        <f>Sheet4!Q8</f>
        <v>WELDOX 700 E</v>
      </c>
      <c r="R4" s="134" t="str">
        <f>Sheet4!R8</f>
        <v>WELDOX 900 E</v>
      </c>
      <c r="S4" s="134" t="str">
        <f>Sheet4!S8</f>
        <v>MILD STEEL</v>
      </c>
      <c r="T4" s="134" t="str">
        <f>Sheet4!T8</f>
        <v>VT6</v>
      </c>
      <c r="U4" s="134" t="str">
        <f>Sheet4!U8</f>
        <v>OT4</v>
      </c>
      <c r="V4" s="134" t="str">
        <f>Sheet4!V8</f>
        <v>OT4-O</v>
      </c>
      <c r="W4" s="186" t="str">
        <f>Sheet4!W8</f>
        <v>Ti-6Al-4V</v>
      </c>
      <c r="X4" s="188" t="str">
        <f>Sheet4!X8</f>
        <v>OFHC COPPER</v>
      </c>
      <c r="Y4" s="188" t="str">
        <f>Sheet4!Y8</f>
        <v>ARMOC IRON</v>
      </c>
    </row>
    <row r="5" spans="2:25" x14ac:dyDescent="0.3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48">
        <f>Sheet4!K9</f>
        <v>2.7099999999999999E-9</v>
      </c>
      <c r="L5" s="48">
        <f>Sheet4!L9</f>
        <v>2.7099999999999999E-9</v>
      </c>
      <c r="M5" s="48">
        <f>Sheet4!M9</f>
        <v>2.81E-9</v>
      </c>
      <c r="N5" s="50">
        <v>7.85</v>
      </c>
      <c r="O5" s="130">
        <f>Sheet4!O9</f>
        <v>7.8500000000000008E-9</v>
      </c>
      <c r="P5" s="130">
        <f>Sheet4!P9</f>
        <v>7.8500000000000008E-9</v>
      </c>
      <c r="Q5" s="130">
        <f>Sheet4!Q9</f>
        <v>7.8500000000000008E-9</v>
      </c>
      <c r="R5" s="130">
        <f>Sheet4!R9</f>
        <v>7.8500000000000008E-9</v>
      </c>
      <c r="S5" s="130">
        <f>Sheet4!S9</f>
        <v>7.8500000000000008E-9</v>
      </c>
      <c r="T5" s="130">
        <f>Sheet4!T9</f>
        <v>4.4299999999999998E-9</v>
      </c>
      <c r="U5" s="130">
        <f>Sheet4!U9</f>
        <v>4.5500000000000002E-9</v>
      </c>
      <c r="V5" s="130">
        <f>Sheet4!V9</f>
        <v>4.5500000000000002E-9</v>
      </c>
      <c r="W5" s="131">
        <f>Sheet4!W9</f>
        <v>4.4299999999999998E-9</v>
      </c>
      <c r="Y5" s="165">
        <f>Sheet4!Y9</f>
        <v>7.8899999999999998E-9</v>
      </c>
    </row>
    <row r="6" spans="2:25" x14ac:dyDescent="0.3">
      <c r="B6" s="25"/>
      <c r="C6" s="39" t="s">
        <v>77</v>
      </c>
      <c r="D6" s="84" t="str">
        <f>VLOOKUP($C$6,Sheet4!$C$9:$N$33,2,FALSE)</f>
        <v>E</v>
      </c>
      <c r="E6" s="40" t="str">
        <f>VLOOKUP($C$6,Sheet4!$C$9:$N$33,3,FALSE)</f>
        <v>MPa</v>
      </c>
      <c r="F6" s="84">
        <f>VLOOKUP($C$6,Sheet4!$C$9:$N$33,4,FALSE)</f>
        <v>70000</v>
      </c>
      <c r="G6" s="84">
        <f>VLOOKUP($C$6,Sheet4!$C$9:$BI$33,5,FALSE)</f>
        <v>70000</v>
      </c>
      <c r="H6" s="84">
        <f>VLOOKUP($C$6,Sheet4!$C$9:$BI$33,6,FALSE)</f>
        <v>70000</v>
      </c>
      <c r="I6" s="84">
        <f>VLOOKUP($C$6,Sheet4!$C$9:$BI$33,7,FALSE)</f>
        <v>70000</v>
      </c>
      <c r="J6" s="84">
        <f>VLOOKUP($C$6,Sheet4!$C$9:$BI$33,8,FALSE)</f>
        <v>70000</v>
      </c>
      <c r="K6" s="84">
        <f>VLOOKUP($C$6,Sheet4!$C$9:$BI$33,9,FALSE)</f>
        <v>64000</v>
      </c>
      <c r="L6" s="84">
        <f>VLOOKUP($C$6,Sheet4!$C$9:$BI$33,10,FALSE)</f>
        <v>71000</v>
      </c>
      <c r="M6" s="84">
        <f>VLOOKUP($C$6,Sheet4!$C$9:$BI$33,11,FALSE)</f>
        <v>71700</v>
      </c>
      <c r="N6" s="84">
        <f>VLOOKUP($C$6,Sheet4!$C$9:$BI$33,12,FALSE)</f>
        <v>210000</v>
      </c>
      <c r="O6" s="84">
        <f>VLOOKUP($C$6,Sheet4!$C$9:$BI$33,13,FALSE)</f>
        <v>210000</v>
      </c>
      <c r="P6" s="84">
        <f>VLOOKUP($C$6,Sheet4!$C$9:$BI$33,14,FALSE)</f>
        <v>210000</v>
      </c>
      <c r="Q6" s="84">
        <f>VLOOKUP($C$6,Sheet4!$C$9:$BI$33,15,FALSE)</f>
        <v>210000</v>
      </c>
      <c r="R6" s="84">
        <f>VLOOKUP($C$6,Sheet4!$C$9:$BI$33,16,FALSE)</f>
        <v>210000</v>
      </c>
      <c r="S6" s="84">
        <f>VLOOKUP($C$6,Sheet4!$C$9:$BI$33,17,FALSE)</f>
        <v>203000</v>
      </c>
      <c r="T6" s="84">
        <f>VLOOKUP($C$6,Sheet4!$C$9:$BI$33,18,FALSE)</f>
        <v>114500</v>
      </c>
      <c r="U6" s="84">
        <f>VLOOKUP($C$6,Sheet4!$C$9:$BI$33,19,FALSE)</f>
        <v>114500</v>
      </c>
      <c r="V6" s="84">
        <f>VLOOKUP($C$6,Sheet4!$C$9:$BI$33,20,FALSE)</f>
        <v>114500</v>
      </c>
      <c r="W6" s="84">
        <f>VLOOKUP($C$6,Sheet4!$C$9:$BI$33,21,FALSE)</f>
        <v>113165.798</v>
      </c>
      <c r="X6" s="84">
        <f>VLOOKUP($C$6,Sheet4!$C$9:$BI$33,22,FALSE)</f>
        <v>124000</v>
      </c>
      <c r="Y6" s="84">
        <f>VLOOKUP($C$6,Sheet4!$C$9:$BI$33,23,FALSE)</f>
        <v>207000</v>
      </c>
    </row>
    <row r="7" spans="2:25" ht="15" thickBot="1" x14ac:dyDescent="0.35">
      <c r="B7" s="5"/>
      <c r="C7" s="54"/>
      <c r="D7" s="54"/>
      <c r="E7" s="54"/>
      <c r="F7" s="55"/>
      <c r="G7" s="55"/>
      <c r="H7" s="55"/>
      <c r="I7" s="55"/>
      <c r="J7" s="55"/>
      <c r="K7" s="55"/>
      <c r="L7" s="55"/>
      <c r="M7" s="55"/>
      <c r="N7" s="55"/>
      <c r="O7" s="135"/>
      <c r="P7" s="135"/>
      <c r="Q7" s="135"/>
      <c r="R7" s="135"/>
      <c r="S7" s="135"/>
      <c r="T7" s="135"/>
      <c r="U7" s="135"/>
      <c r="V7" s="135"/>
      <c r="W7" s="26"/>
    </row>
    <row r="8" spans="2:25" ht="15" thickBot="1" x14ac:dyDescent="0.35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80">
        <f>AVERAGE(8.05266,7.99793,8.04067,8.1795)</f>
        <v>8.0676899999999989</v>
      </c>
      <c r="L8" s="80"/>
      <c r="M8" s="80"/>
      <c r="N8" s="49">
        <v>6.96</v>
      </c>
      <c r="O8" s="137">
        <v>7.72</v>
      </c>
      <c r="P8" s="29"/>
      <c r="Q8" s="29"/>
      <c r="R8" s="29"/>
      <c r="S8" s="29">
        <v>7.38</v>
      </c>
      <c r="T8" s="136">
        <f>AVERAGE(5.59878,5.63895,5.73598,5.559)</f>
        <v>5.6331774999999995</v>
      </c>
      <c r="U8" s="136">
        <f>AVERAGE(5.72896,5.85194,5.71406,5.82871)</f>
        <v>5.7809175000000002</v>
      </c>
      <c r="V8" s="137">
        <v>6.13</v>
      </c>
      <c r="W8" s="26">
        <v>6.75</v>
      </c>
      <c r="Y8">
        <v>8.52</v>
      </c>
    </row>
    <row r="9" spans="2:25" ht="15" thickBot="1" x14ac:dyDescent="0.35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M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82">
        <f t="shared" si="0"/>
        <v>16.135379999999998</v>
      </c>
      <c r="L9" s="82">
        <f t="shared" si="0"/>
        <v>0</v>
      </c>
      <c r="M9" s="82">
        <f t="shared" si="0"/>
        <v>0</v>
      </c>
      <c r="N9" s="42">
        <f>N8*2</f>
        <v>13.92</v>
      </c>
      <c r="O9" s="42">
        <f t="shared" ref="O9:S9" si="1">O8*2</f>
        <v>15.44</v>
      </c>
      <c r="P9" s="42"/>
      <c r="Q9" s="42"/>
      <c r="R9" s="42"/>
      <c r="S9" s="42">
        <f t="shared" si="1"/>
        <v>14.76</v>
      </c>
      <c r="T9" s="82">
        <f t="shared" ref="T9:Y9" si="2">T8*2</f>
        <v>11.266354999999999</v>
      </c>
      <c r="U9" s="82">
        <f t="shared" si="2"/>
        <v>11.561835</v>
      </c>
      <c r="V9" s="82">
        <f t="shared" si="2"/>
        <v>12.26</v>
      </c>
      <c r="W9" s="82">
        <f t="shared" si="2"/>
        <v>13.5</v>
      </c>
      <c r="X9" s="82"/>
      <c r="Y9" s="82">
        <f t="shared" si="2"/>
        <v>17.04</v>
      </c>
    </row>
    <row r="10" spans="2:25" ht="15" thickBot="1" x14ac:dyDescent="0.35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82">
        <f>AVERAGE(46.8536,46.2797,46.5596,47.2023,46.7921)</f>
        <v>46.737460000000006</v>
      </c>
      <c r="L10" s="42"/>
      <c r="M10" s="42"/>
      <c r="N10" s="42">
        <v>90</v>
      </c>
      <c r="O10" s="137">
        <v>98</v>
      </c>
      <c r="P10" s="29"/>
      <c r="Q10" s="29"/>
      <c r="R10" s="29"/>
      <c r="S10" s="29">
        <v>98.93</v>
      </c>
      <c r="T10" s="136">
        <f>AVERAGE(75.681,72.9799,72.8709,75.8579,74.0277)</f>
        <v>74.283479999999997</v>
      </c>
      <c r="U10" s="136">
        <f>AVERAGE(73.0359,74.5732,73.0406)</f>
        <v>73.549899999999994</v>
      </c>
      <c r="V10" s="137">
        <v>92.1</v>
      </c>
      <c r="W10" s="26">
        <v>88.4</v>
      </c>
      <c r="Y10">
        <v>97.7</v>
      </c>
    </row>
    <row r="11" spans="2:25" ht="15" thickBot="1" x14ac:dyDescent="0.35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41">
        <v>1.22E-6</v>
      </c>
      <c r="M11" s="41">
        <v>1.22E-6</v>
      </c>
      <c r="N11" s="41">
        <v>1.22E-6</v>
      </c>
      <c r="O11" s="138">
        <v>1.22E-6</v>
      </c>
      <c r="P11" s="138"/>
      <c r="Q11" s="138"/>
      <c r="R11" s="138"/>
      <c r="S11" s="138">
        <v>1.22E-6</v>
      </c>
      <c r="T11" s="41">
        <v>1.22E-6</v>
      </c>
      <c r="U11" s="41">
        <v>1.22E-6</v>
      </c>
      <c r="V11" s="138">
        <v>1.22E-6</v>
      </c>
      <c r="W11" s="138">
        <v>1.22E-6</v>
      </c>
      <c r="X11" s="138"/>
      <c r="Y11" s="138">
        <v>1.22E-6</v>
      </c>
    </row>
    <row r="12" spans="2:25" ht="15" thickBot="1" x14ac:dyDescent="0.35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1.1600000000000001E-7</v>
      </c>
      <c r="L12" s="41"/>
      <c r="M12" s="41"/>
      <c r="N12" s="41">
        <v>7.0000000000000005E-8</v>
      </c>
      <c r="O12" s="138">
        <v>3.3600000000000003E-8</v>
      </c>
      <c r="P12" s="28"/>
      <c r="Q12" s="28"/>
      <c r="R12" s="28"/>
      <c r="S12" s="28">
        <v>3.3600000000000003E-8</v>
      </c>
      <c r="T12" s="131">
        <v>9.6299999999999995E-8</v>
      </c>
      <c r="U12" s="131">
        <v>9.3499999999999997E-8</v>
      </c>
      <c r="V12" s="138">
        <v>7.1900000000000002E-8</v>
      </c>
      <c r="W12" s="131">
        <v>5.4100000000000001E-8</v>
      </c>
      <c r="Y12" s="165">
        <v>3.1E-8</v>
      </c>
    </row>
    <row r="13" spans="2:25" ht="15" thickBot="1" x14ac:dyDescent="0.35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M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 t="shared" si="3"/>
        <v>9.5081967213114762</v>
      </c>
      <c r="L13" s="44">
        <f t="shared" si="3"/>
        <v>0</v>
      </c>
      <c r="M13" s="44">
        <f t="shared" si="3"/>
        <v>0</v>
      </c>
      <c r="N13" s="44">
        <f>(N12/N11)*100</f>
        <v>5.7377049180327875</v>
      </c>
      <c r="O13" s="44">
        <f>(O12/O11)*100</f>
        <v>2.7540983606557381</v>
      </c>
      <c r="P13" s="44"/>
      <c r="Q13" s="44"/>
      <c r="R13" s="44"/>
      <c r="S13" s="44">
        <f t="shared" ref="S13" si="4">(S12/S11)*100</f>
        <v>2.7540983606557381</v>
      </c>
      <c r="T13" s="44">
        <f>(T12/T11)*100</f>
        <v>7.8934426229508192</v>
      </c>
      <c r="U13" s="44">
        <f t="shared" ref="U13:V13" si="5">(U12/U11)*100</f>
        <v>7.6639344262295088</v>
      </c>
      <c r="V13" s="44">
        <f t="shared" si="5"/>
        <v>5.8934426229508201</v>
      </c>
      <c r="W13" s="44">
        <f>(W12/W11)*100</f>
        <v>4.4344262295081966</v>
      </c>
      <c r="X13" s="44"/>
      <c r="Y13" s="44">
        <f t="shared" ref="Y13" si="6">(Y12/Y11)*100</f>
        <v>2.540983606557377</v>
      </c>
    </row>
    <row r="14" spans="2:25" ht="15" thickBot="1" x14ac:dyDescent="0.35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6320000</v>
      </c>
      <c r="L14" s="41"/>
      <c r="M14" s="41"/>
      <c r="N14" s="41">
        <v>6070000</v>
      </c>
      <c r="O14" s="138">
        <v>5720000</v>
      </c>
      <c r="P14" s="28"/>
      <c r="Q14" s="28"/>
      <c r="R14" s="28"/>
      <c r="S14" s="28">
        <v>5720000</v>
      </c>
      <c r="T14" s="131">
        <v>6050000</v>
      </c>
      <c r="U14" s="131">
        <v>6060000</v>
      </c>
      <c r="V14" s="138">
        <v>6040000</v>
      </c>
      <c r="W14" s="131">
        <v>6090000</v>
      </c>
      <c r="Y14" s="165">
        <v>5720000</v>
      </c>
    </row>
    <row r="15" spans="2:25" ht="15" thickBot="1" x14ac:dyDescent="0.35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42">
        <v>1.34</v>
      </c>
      <c r="L15" s="42"/>
      <c r="M15" s="42"/>
      <c r="N15" s="82">
        <v>4.96</v>
      </c>
      <c r="O15" s="137">
        <v>8.58</v>
      </c>
      <c r="P15" s="29"/>
      <c r="Q15" s="29"/>
      <c r="R15" s="29"/>
      <c r="S15" s="29">
        <v>9.01</v>
      </c>
      <c r="T15" s="136">
        <v>11.2</v>
      </c>
      <c r="U15" s="136">
        <v>11.4</v>
      </c>
      <c r="V15" s="137">
        <v>5.07</v>
      </c>
      <c r="W15" s="187">
        <v>3.48</v>
      </c>
      <c r="Y15">
        <v>8.52</v>
      </c>
    </row>
    <row r="16" spans="2:25" x14ac:dyDescent="0.3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2"/>
      <c r="L16" s="42"/>
      <c r="M16" s="42"/>
      <c r="N16" s="43"/>
      <c r="O16" s="85"/>
      <c r="P16" s="85"/>
      <c r="Q16" s="85"/>
      <c r="R16" s="85"/>
      <c r="S16" s="85"/>
      <c r="T16" s="85"/>
      <c r="U16" s="85"/>
      <c r="V16" s="85"/>
      <c r="W16" s="26"/>
    </row>
    <row r="17" spans="2:23" x14ac:dyDescent="0.3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2"/>
      <c r="L17" s="42"/>
      <c r="M17" s="42"/>
      <c r="N17" s="43"/>
      <c r="O17" s="85"/>
      <c r="P17" s="85"/>
      <c r="Q17" s="85"/>
      <c r="R17" s="85"/>
      <c r="S17" s="85"/>
      <c r="T17" s="85"/>
      <c r="U17" s="85"/>
      <c r="V17" s="85"/>
      <c r="W17" s="26"/>
    </row>
    <row r="18" spans="2:23" x14ac:dyDescent="0.3">
      <c r="B18" s="5"/>
      <c r="C18" s="43"/>
      <c r="D18" s="43"/>
      <c r="E18" s="43"/>
      <c r="F18" s="43"/>
      <c r="G18" s="42"/>
      <c r="H18" s="43"/>
      <c r="I18" s="43"/>
      <c r="J18" s="42"/>
      <c r="K18" s="42"/>
      <c r="L18" s="42"/>
      <c r="M18" s="42"/>
      <c r="N18" s="43"/>
      <c r="O18" s="85"/>
      <c r="P18" s="85"/>
      <c r="Q18" s="85"/>
      <c r="R18" s="85"/>
      <c r="S18" s="85"/>
      <c r="T18" s="85"/>
      <c r="U18" s="85"/>
      <c r="V18" s="85"/>
    </row>
    <row r="19" spans="2:23" x14ac:dyDescent="0.3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2:23" x14ac:dyDescent="0.3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43"/>
      <c r="M20" s="43"/>
      <c r="N20" s="43"/>
      <c r="O20" s="85"/>
      <c r="P20" s="85"/>
      <c r="Q20" s="85"/>
      <c r="R20" s="85"/>
      <c r="S20" s="85"/>
      <c r="T20" s="85"/>
      <c r="U20" s="85"/>
      <c r="V20" s="85"/>
    </row>
    <row r="21" spans="2:23" x14ac:dyDescent="0.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37" spans="39:39" x14ac:dyDescent="0.3">
      <c r="AM37" t="s">
        <v>49</v>
      </c>
    </row>
  </sheetData>
  <mergeCells count="6">
    <mergeCell ref="X2:Y2"/>
    <mergeCell ref="F2:J2"/>
    <mergeCell ref="C2:C3"/>
    <mergeCell ref="D2:D3"/>
    <mergeCell ref="N2:O2"/>
    <mergeCell ref="T2:W2"/>
  </mergeCells>
  <dataValidations count="1">
    <dataValidation type="list" allowBlank="1" showInputMessage="1" showErrorMessage="1" sqref="C27" xr:uid="{870A3996-9EE3-46E4-9D9A-C30F47CF60E5}">
      <formula1>$C$8:$C$17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AA1" zoomScaleNormal="100" workbookViewId="0">
      <selection activeCell="AM4" sqref="AM4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</cols>
  <sheetData>
    <row r="2" spans="3:67" x14ac:dyDescent="0.3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Sheet2!C6&amp; " and debris cloud diamter"</f>
        <v>Young's modulus and debris cloud diamter</v>
      </c>
    </row>
    <row r="8" spans="3:67" x14ac:dyDescent="0.3">
      <c r="AD8" t="str">
        <f>Sheet2!C6&amp;" "&amp;Sheet2!D6</f>
        <v>Young's modulus E</v>
      </c>
    </row>
    <row r="10" spans="3:67" x14ac:dyDescent="0.3">
      <c r="AD10" t="str">
        <f>Sheet2!C6&amp; " and target hole diameter"</f>
        <v>Young's modulus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Sheet2!C6&amp;" and percentage of solid material in debris cloud"</f>
        <v>Young's modulus and percentage of solid material in debris cloud</v>
      </c>
      <c r="AP29" t="str">
        <f>Sheet2!C6&amp; " and residual velocity"</f>
        <v>Young's modulus and residual velocity</v>
      </c>
    </row>
    <row r="46" spans="58:58" x14ac:dyDescent="0.3">
      <c r="BF46" t="s">
        <v>49</v>
      </c>
    </row>
    <row r="50" spans="37:37" x14ac:dyDescent="0.3">
      <c r="AK50" t="str">
        <f>Sheet2!C6&amp;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2022-03-01T10:13:58Z</dcterms:modified>
</cp:coreProperties>
</file>