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9CB9BC30-93CF-4157-973E-DA29C468663F}" xr6:coauthVersionLast="36" xr6:coauthVersionMax="47" xr10:uidLastSave="{00000000-0000-0000-0000-000000000000}"/>
  <bookViews>
    <workbookView xWindow="420" yWindow="-105" windowWidth="22725" windowHeight="13170" activeTab="2" xr2:uid="{84D0EFE8-BE55-4288-8C02-3F60F3E82B53}"/>
  </bookViews>
  <sheets>
    <sheet name="notes" sheetId="1" r:id="rId1"/>
    <sheet name="mat_param" sheetId="4" r:id="rId2"/>
    <sheet name="sim_results" sheetId="2" r:id="rId3"/>
    <sheet name="plots" sheetId="3" r:id="rId4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" i="2" l="1"/>
  <c r="AK17" i="2"/>
  <c r="AK22" i="2" l="1"/>
  <c r="AK23" i="2" s="1"/>
  <c r="AC22" i="2"/>
  <c r="AC23" i="2" s="1"/>
  <c r="U22" i="2"/>
  <c r="U23" i="2" s="1"/>
  <c r="M22" i="2"/>
  <c r="M23" i="2" s="1"/>
  <c r="AM20" i="2"/>
  <c r="AM22" i="2" s="1"/>
  <c r="AM23" i="2" s="1"/>
  <c r="AL20" i="2"/>
  <c r="AL22" i="2" s="1"/>
  <c r="AL23" i="2" s="1"/>
  <c r="AK20" i="2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E19" i="2"/>
  <c r="AC19" i="2"/>
  <c r="J19" i="2"/>
  <c r="AM18" i="2"/>
  <c r="AM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D18" i="2"/>
  <c r="AD19" i="2" s="1"/>
  <c r="AC18" i="2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AI9" i="2"/>
  <c r="AG9" i="2"/>
  <c r="AF9" i="2"/>
  <c r="AE9" i="2"/>
  <c r="AB9" i="2"/>
  <c r="Z9" i="2"/>
  <c r="W9" i="2"/>
  <c r="V9" i="2"/>
  <c r="R9" i="2"/>
  <c r="Q9" i="2"/>
  <c r="L9" i="2"/>
  <c r="J9" i="2"/>
  <c r="F9" i="2"/>
  <c r="AE8" i="2"/>
  <c r="AD8" i="2"/>
  <c r="AD9" i="2" s="1"/>
  <c r="X8" i="2"/>
  <c r="X9" i="2" s="1"/>
  <c r="M8" i="2"/>
  <c r="M9" i="2" s="1"/>
  <c r="L8" i="2"/>
  <c r="K8" i="2"/>
  <c r="K9" i="2" s="1"/>
  <c r="I8" i="2"/>
  <c r="I9" i="2" s="1"/>
  <c r="H8" i="2"/>
  <c r="H9" i="2" s="1"/>
  <c r="G8" i="2"/>
  <c r="G9" i="2" s="1"/>
  <c r="C6" i="2"/>
  <c r="AK50" i="3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F6" i="2" l="1"/>
  <c r="N6" i="2"/>
  <c r="V6" i="2"/>
  <c r="AD6" i="2"/>
  <c r="AL6" i="2"/>
  <c r="G6" i="2"/>
  <c r="O6" i="2"/>
  <c r="W6" i="2"/>
  <c r="AE6" i="2"/>
  <c r="H6" i="2"/>
  <c r="P6" i="2"/>
  <c r="X6" i="2"/>
  <c r="AF6" i="2"/>
  <c r="AP7" i="3"/>
  <c r="I6" i="2"/>
  <c r="Q6" i="2"/>
  <c r="Y6" i="2"/>
  <c r="AG6" i="2"/>
  <c r="AD10" i="3"/>
  <c r="J6" i="2"/>
  <c r="R6" i="2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AD12" i="3" l="1"/>
</calcChain>
</file>

<file path=xl/sharedStrings.xml><?xml version="1.0" encoding="utf-8"?>
<sst xmlns="http://schemas.openxmlformats.org/spreadsheetml/2006/main" count="363" uniqueCount="243">
  <si>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</si>
  <si>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</si>
  <si>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</si>
  <si>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</si>
  <si>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</si>
  <si>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</si>
  <si>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</si>
  <si>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</si>
  <si>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</si>
  <si>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</si>
  <si>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</si>
  <si>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</si>
  <si>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</si>
  <si>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</si>
  <si>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</si>
  <si>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</si>
  <si>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</si>
  <si>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</si>
  <si>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</si>
  <si>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</si>
  <si>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</si>
  <si>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</si>
  <si>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</si>
  <si>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</si>
  <si>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</si>
  <si>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</si>
  <si>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</si>
  <si>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</si>
  <si>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</si>
  <si>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</si>
  <si>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</si>
  <si>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</si>
  <si>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</si>
  <si>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</si>
  <si>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</si>
  <si>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</si>
  <si>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</si>
  <si>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</si>
  <si>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</si>
  <si>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</si>
  <si>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</si>
  <si>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</si>
  <si>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</si>
  <si>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</si>
  <si>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</si>
  <si>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</si>
  <si>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</si>
  <si>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</si>
  <si>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</si>
  <si>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</si>
  <si>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</si>
  <si>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</si>
  <si>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</si>
  <si>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</si>
  <si>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</si>
  <si>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</si>
  <si>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</si>
  <si>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</si>
  <si>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</si>
  <si>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</si>
  <si>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</si>
  <si>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</si>
  <si>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</si>
  <si>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</si>
  <si>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</si>
  <si>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</si>
  <si>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</si>
  <si>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</si>
  <si>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</si>
  <si>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</si>
  <si>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</si>
  <si>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</si>
  <si>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</si>
  <si>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</si>
  <si>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</si>
  <si>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</si>
  <si>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</si>
  <si>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</si>
  <si>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</si>
  <si>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</si>
  <si>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</si>
  <si>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</si>
  <si>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</si>
  <si>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</si>
  <si>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</si>
  <si>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</si>
  <si>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</si>
  <si>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</si>
  <si>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</si>
  <si>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</si>
  <si>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</si>
  <si>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</si>
  <si>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</si>
  <si>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</si>
  <si>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</si>
  <si>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</si>
  <si>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</si>
  <si>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</si>
  <si>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</si>
  <si>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</si>
  <si>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</si>
  <si>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</si>
  <si>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</si>
  <si>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</si>
  <si>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</si>
  <si>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</si>
  <si>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</si>
  <si>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</si>
  <si>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</si>
  <si>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</si>
  <si>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</si>
  <si>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</si>
  <si>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</si>
  <si>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</si>
  <si>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</si>
  <si>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</si>
  <si>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</si>
  <si>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</si>
  <si>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</si>
  <si>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</si>
  <si>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</si>
  <si>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</si>
  <si>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</si>
  <si>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</si>
  <si>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</si>
  <si>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</si>
  <si>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</si>
  <si>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</si>
  <si>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</si>
  <si>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</si>
  <si>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</si>
  <si>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</si>
  <si>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</si>
  <si>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</si>
  <si>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</si>
  <si>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</si>
  <si>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</si>
  <si>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</si>
  <si>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</si>
  <si>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</si>
  <si>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</si>
  <si>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</si>
  <si>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</si>
  <si>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</si>
  <si>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</si>
  <si>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</si>
  <si>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</si>
  <si>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</si>
  <si>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</si>
  <si>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</si>
  <si>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</si>
  <si>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</si>
  <si>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</si>
  <si>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</si>
  <si>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</si>
  <si>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</si>
  <si>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</si>
  <si>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</si>
  <si>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</si>
  <si>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</si>
  <si>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</si>
  <si>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</si>
  <si>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</si>
  <si>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</si>
  <si>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</si>
  <si>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</si>
  <si>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</si>
  <si>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</si>
  <si>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</si>
  <si>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</si>
  <si>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</si>
  <si>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</si>
  <si>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</si>
  <si>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</si>
  <si>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</si>
  <si>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</si>
  <si>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</si>
  <si>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</si>
  <si>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</si>
  <si>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</si>
  <si>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</si>
  <si>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</si>
  <si>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</si>
  <si>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</si>
  <si>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</si>
  <si>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</si>
  <si>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</si>
  <si>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</si>
  <si>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</si>
  <si>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</si>
  <si>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</si>
  <si>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</si>
  <si>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</si>
  <si>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</si>
  <si>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</si>
  <si>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</si>
  <si>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</si>
  <si>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</si>
  <si>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</si>
  <si>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</si>
  <si>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</si>
  <si>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</si>
  <si>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</si>
  <si>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</si>
  <si>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</si>
  <si>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</si>
  <si>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</si>
  <si>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</si>
  <si>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</si>
  <si>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</si>
  <si>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</si>
  <si>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</si>
  <si>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</si>
  <si>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</si>
  <si>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</si>
  <si>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</si>
  <si>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</si>
  <si>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</si>
  <si>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</si>
  <si>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</si>
  <si>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</si>
  <si>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</si>
  <si>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</si>
  <si>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</si>
  <si>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</si>
  <si>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</si>
  <si>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</si>
  <si>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AA 2014-T652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</si>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</sst>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</borders>
  <cellStyleXfs count="4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</cellStyleXfs>
  <cellXfs count="264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4" borderId="20" xfId="0" applyFont="1" applyFill="1" applyBorder="1" applyAlignment="1">
      <alignment horizontal="center" vertical="top"/>
    </xf>
    <xf numFmtId="0" fontId="1" fillId="4" borderId="40" xfId="0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Young's modulus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25458406845472"/>
          <c:y val="2.0300478929297802E-2"/>
          <c:w val="0.21674541593154525"/>
          <c:h val="0.9699678526909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Young's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073847966612969"/>
          <c:h val="0.98768763004872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Young's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6325103301006494"/>
          <c:h val="0.96450886038627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Young's modulus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6357822087492033"/>
          <c:h val="0.99171744724502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Young's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8574283867348979"/>
          <c:h val="0.94123223466030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701994</xdr:colOff>
      <xdr:row>4</xdr:row>
      <xdr:rowOff>114301</xdr:rowOff>
    </xdr:from>
    <xdr:to>
      <xdr:col>37</xdr:col>
      <xdr:colOff>202809</xdr:colOff>
      <xdr:row>23</xdr:row>
      <xdr:rowOff>86251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5"/>
  <sheetViews>
    <sheetView topLeftCell="A4" zoomScale="80" zoomScaleNormal="80" workbookViewId="0">
      <pane xSplit="5" topLeftCell="AP1" activePane="topRight" state="frozen"/>
      <selection pane="topRight" activeCell="C33" sqref="C33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5.5703125" customWidth="1"/>
    <col min="7" max="7" width="13.140625" customWidth="1"/>
    <col min="8" max="8" width="16.28515625" customWidth="1"/>
    <col min="9" max="9" width="13.85546875" customWidth="1"/>
    <col min="10" max="10" width="13.42578125" customWidth="1"/>
    <col min="11" max="11" width="16.85546875" customWidth="1"/>
    <col min="12" max="13" width="13.42578125" customWidth="1"/>
    <col min="14" max="18" width="18.42578125" customWidth="1"/>
    <col min="19" max="19" width="16.85546875" customWidth="1"/>
    <col min="20" max="20" width="14.85546875" customWidth="1"/>
    <col min="21" max="23" width="18.28515625" bestFit="1" customWidth="1"/>
    <col min="24" max="24" width="16.7109375" customWidth="1"/>
    <col min="25" max="25" width="18.28515625" bestFit="1" customWidth="1"/>
    <col min="26" max="31" width="16.7109375" customWidth="1"/>
    <col min="32" max="32" width="14" customWidth="1"/>
    <col min="33" max="33" width="15.85546875" customWidth="1"/>
    <col min="34" max="34" width="14.28515625" customWidth="1"/>
    <col min="35" max="35" width="18.85546875" customWidth="1"/>
    <col min="36" max="36" width="22.5703125" customWidth="1"/>
    <col min="37" max="37" width="21.42578125" customWidth="1"/>
    <col min="38" max="38" width="21" customWidth="1"/>
    <col min="39" max="39" width="22.7109375" customWidth="1"/>
    <col min="40" max="40" width="27.42578125" customWidth="1"/>
    <col min="41" max="41" width="28.28515625" bestFit="1" customWidth="1"/>
    <col min="42" max="42" width="15" bestFit="1" customWidth="1"/>
    <col min="43" max="43" width="15" customWidth="1"/>
    <col min="44" max="44" width="16.28515625" customWidth="1"/>
    <col min="45" max="45" width="15.7109375" customWidth="1"/>
    <col min="46" max="46" width="16.28515625" customWidth="1"/>
  </cols>
  <sheetData>
    <row r="2" spans="2:46">
      <c r="AM2">
        <v>12</v>
      </c>
    </row>
    <row r="3" spans="2:46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>
      <c r="B5" s="25"/>
      <c r="C5" s="71"/>
      <c r="D5" s="71"/>
      <c r="E5" s="71"/>
      <c r="F5" s="256" t="s">
        <v>140</v>
      </c>
      <c r="G5" s="257"/>
      <c r="H5" s="257"/>
      <c r="I5" s="257"/>
      <c r="J5" s="257"/>
      <c r="K5" s="257" t="s">
        <v>178</v>
      </c>
      <c r="L5" s="257"/>
      <c r="M5" s="257"/>
      <c r="N5" s="162"/>
      <c r="O5" s="162"/>
      <c r="P5" s="178"/>
      <c r="Q5" s="213"/>
      <c r="R5" s="237"/>
      <c r="S5" s="123" t="s">
        <v>177</v>
      </c>
      <c r="T5" s="252" t="s">
        <v>141</v>
      </c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>
      <c r="B6" s="25"/>
      <c r="C6" s="240"/>
      <c r="D6" s="240"/>
      <c r="E6" s="241"/>
      <c r="F6" s="251" t="s">
        <v>49</v>
      </c>
      <c r="G6" s="250"/>
      <c r="H6" s="250"/>
      <c r="I6" s="250"/>
      <c r="J6" s="250"/>
      <c r="K6" s="250"/>
      <c r="L6" s="113"/>
      <c r="M6" s="111"/>
      <c r="N6" s="161"/>
      <c r="O6" s="161"/>
      <c r="P6" s="177"/>
      <c r="Q6" s="212"/>
      <c r="R6" s="236"/>
      <c r="S6" s="251" t="s">
        <v>56</v>
      </c>
      <c r="T6" s="250"/>
      <c r="U6" s="250"/>
      <c r="V6" s="250"/>
      <c r="W6" s="250"/>
      <c r="X6" s="136"/>
      <c r="Y6" s="148"/>
      <c r="Z6" s="163"/>
      <c r="AA6" s="163"/>
      <c r="AB6" s="163"/>
      <c r="AC6" s="163"/>
      <c r="AD6" s="163"/>
      <c r="AE6" s="163"/>
      <c r="AF6" s="250" t="s">
        <v>125</v>
      </c>
      <c r="AG6" s="250"/>
      <c r="AH6" s="250"/>
      <c r="AI6" s="250"/>
      <c r="AJ6" s="253" t="s">
        <v>176</v>
      </c>
      <c r="AK6" s="254"/>
      <c r="AL6" s="255"/>
      <c r="AM6" s="120"/>
      <c r="AN6" s="219"/>
      <c r="AO6" s="220"/>
      <c r="AP6" s="220"/>
      <c r="AQ6" s="223"/>
      <c r="AR6" s="1"/>
      <c r="AS6" s="223"/>
      <c r="AT6" s="223"/>
    </row>
    <row r="7" spans="2:46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215</v>
      </c>
      <c r="Q7" s="212" t="s">
        <v>222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220</v>
      </c>
      <c r="AO7" s="224" t="s">
        <v>223</v>
      </c>
      <c r="AP7" s="224" t="s">
        <v>224</v>
      </c>
      <c r="AQ7" s="224" t="s">
        <v>229</v>
      </c>
      <c r="AR7" s="262" t="s">
        <v>237</v>
      </c>
      <c r="AS7" s="223"/>
      <c r="AT7" s="223"/>
    </row>
    <row r="8" spans="2:46" ht="19.5" customHeight="1" thickBot="1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211</v>
      </c>
      <c r="P8" s="119" t="s">
        <v>216</v>
      </c>
      <c r="Q8" s="119" t="s">
        <v>227</v>
      </c>
      <c r="R8" s="119"/>
      <c r="S8" s="118" t="s">
        <v>47</v>
      </c>
      <c r="T8" s="119">
        <v>4340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213</v>
      </c>
      <c r="AN8" s="135" t="s">
        <v>221</v>
      </c>
      <c r="AO8" s="135" t="s">
        <v>226</v>
      </c>
      <c r="AP8" s="135" t="s">
        <v>225</v>
      </c>
      <c r="AQ8" s="135" t="s">
        <v>230</v>
      </c>
      <c r="AR8" s="263" t="s">
        <v>240</v>
      </c>
      <c r="AS8" s="263" t="s">
        <v>241</v>
      </c>
      <c r="AT8" s="263" t="s">
        <v>242</v>
      </c>
    </row>
    <row r="9" spans="2:46" ht="16.5" customHeight="1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27">
        <f t="shared" si="1"/>
        <v>197058.82352941175</v>
      </c>
      <c r="AF10" s="73">
        <v>116</v>
      </c>
      <c r="AG10" s="74">
        <v>116</v>
      </c>
      <c r="AH10" s="74">
        <v>116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2">K13/(2*(1+K14))</f>
        <v>24427.480916030534</v>
      </c>
      <c r="L11" s="27">
        <f t="shared" si="2"/>
        <v>26691.729323308271</v>
      </c>
      <c r="M11" s="27">
        <f t="shared" si="2"/>
        <v>26954.887218045111</v>
      </c>
      <c r="N11" s="27">
        <f t="shared" si="2"/>
        <v>26691.729323308271</v>
      </c>
      <c r="O11" s="27">
        <f t="shared" si="2"/>
        <v>27692.307692307691</v>
      </c>
      <c r="P11" s="27">
        <f t="shared" si="2"/>
        <v>230769.23076923075</v>
      </c>
      <c r="Q11" s="27">
        <f t="shared" si="2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3">U13/(2*(1+U14))</f>
        <v>78947.368421052626</v>
      </c>
      <c r="V11" s="27">
        <f t="shared" si="3"/>
        <v>78947.368421052626</v>
      </c>
      <c r="W11" s="27">
        <f t="shared" si="3"/>
        <v>78947.368421052626</v>
      </c>
      <c r="X11" s="27">
        <f t="shared" si="3"/>
        <v>76315.789473684214</v>
      </c>
      <c r="Y11" s="27">
        <f t="shared" si="3"/>
        <v>75187.969924812031</v>
      </c>
      <c r="Z11" s="27">
        <f t="shared" si="3"/>
        <v>80769.230769230766</v>
      </c>
      <c r="AA11" s="27">
        <f t="shared" si="3"/>
        <v>72093.023255813954</v>
      </c>
      <c r="AB11" s="27">
        <f t="shared" si="3"/>
        <v>79844.961240310076</v>
      </c>
      <c r="AC11" s="27">
        <f t="shared" si="3"/>
        <v>80769.230769230766</v>
      </c>
      <c r="AD11" s="27">
        <f t="shared" si="3"/>
        <v>74806.201550387588</v>
      </c>
      <c r="AE11" s="27">
        <f t="shared" si="3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3">
        <v>114500</v>
      </c>
      <c r="AG13" s="74">
        <v>114500</v>
      </c>
      <c r="AH13" s="74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>
        <v>18.61</v>
      </c>
      <c r="AS29">
        <v>9.68</v>
      </c>
      <c r="AT29">
        <v>43.63</v>
      </c>
    </row>
    <row r="30" spans="2:46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>
        <v>28240</v>
      </c>
      <c r="AS30">
        <v>6310</v>
      </c>
      <c r="AT30">
        <v>106000</v>
      </c>
    </row>
    <row r="31" spans="2:46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>
        <v>204.8</v>
      </c>
      <c r="AS31">
        <v>178.8</v>
      </c>
      <c r="AT31">
        <v>125.6</v>
      </c>
    </row>
    <row r="32" spans="2:46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>
        <v>12900</v>
      </c>
      <c r="AS32">
        <v>10490</v>
      </c>
      <c r="AT32">
        <v>6256</v>
      </c>
    </row>
    <row r="33" spans="2:67">
      <c r="B33" s="25"/>
      <c r="C33" s="35"/>
      <c r="D33" s="35" t="s">
        <v>238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1.05</v>
      </c>
      <c r="AS33">
        <v>12.24</v>
      </c>
      <c r="AT33">
        <v>43.23</v>
      </c>
    </row>
    <row r="34" spans="2:67">
      <c r="B34" s="25"/>
      <c r="C34" s="35"/>
      <c r="D34" s="35" t="s">
        <v>239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67.260000000000005</v>
      </c>
      <c r="AS34">
        <v>11.11</v>
      </c>
      <c r="AT34">
        <v>135.5</v>
      </c>
    </row>
    <row r="35" spans="2:67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>
      <c r="B38" s="25"/>
      <c r="C38" s="89" t="s">
        <v>219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</row>
    <row r="48" spans="2:67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>
      <c r="B49" s="25"/>
      <c r="C49" s="30" t="s">
        <v>115</v>
      </c>
      <c r="D49" s="30"/>
      <c r="E49" s="56"/>
      <c r="F49" s="58"/>
      <c r="G49" s="248">
        <v>1</v>
      </c>
      <c r="H49" s="248"/>
      <c r="I49" s="248"/>
      <c r="J49" s="249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/>
      <c r="R49" s="106"/>
      <c r="S49" s="97">
        <v>2</v>
      </c>
      <c r="T49" s="98">
        <v>4</v>
      </c>
      <c r="U49" s="246">
        <v>5</v>
      </c>
      <c r="V49" s="246"/>
      <c r="W49" s="246"/>
      <c r="X49" s="149">
        <v>8</v>
      </c>
      <c r="Y49" s="159">
        <v>12</v>
      </c>
      <c r="Z49" s="159">
        <v>13</v>
      </c>
      <c r="AA49" s="246">
        <v>14</v>
      </c>
      <c r="AB49" s="246"/>
      <c r="AC49" s="246"/>
      <c r="AD49" s="246"/>
      <c r="AE49" s="173">
        <v>15</v>
      </c>
      <c r="AF49" s="246">
        <v>3</v>
      </c>
      <c r="AG49" s="246"/>
      <c r="AH49" s="246"/>
      <c r="AI49" s="109">
        <v>6</v>
      </c>
      <c r="AJ49" s="243">
        <v>7</v>
      </c>
      <c r="AK49" s="244"/>
      <c r="AL49" s="143">
        <v>16</v>
      </c>
      <c r="AM49" s="180">
        <v>18</v>
      </c>
    </row>
    <row r="50" spans="2:51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228</v>
      </c>
      <c r="AO50" s="222" t="s">
        <v>185</v>
      </c>
    </row>
    <row r="51" spans="2:51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>
      <c r="B55" s="25">
        <v>2</v>
      </c>
      <c r="C55" s="247" t="s">
        <v>164</v>
      </c>
      <c r="D55" s="247"/>
      <c r="E55" s="247"/>
      <c r="F55" s="247"/>
      <c r="G55" s="247"/>
      <c r="H55" s="247"/>
      <c r="I55" s="247"/>
      <c r="J55" s="247"/>
      <c r="K55" s="247"/>
      <c r="L55" s="247"/>
      <c r="M55" s="247"/>
      <c r="N55" s="247"/>
      <c r="O55" s="247"/>
      <c r="P55" s="247"/>
      <c r="Q55" s="247"/>
      <c r="R55" s="247"/>
      <c r="S55" s="247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>
      <c r="B56" s="25">
        <v>3</v>
      </c>
      <c r="C56" s="247" t="s">
        <v>163</v>
      </c>
      <c r="D56" s="247"/>
      <c r="E56" s="247"/>
      <c r="F56" s="247"/>
      <c r="G56" s="247"/>
      <c r="H56" s="247"/>
      <c r="I56" s="247"/>
      <c r="J56" s="247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>
      <c r="B58" s="25">
        <v>5</v>
      </c>
      <c r="C58" s="245" t="s">
        <v>161</v>
      </c>
      <c r="D58" s="245"/>
      <c r="E58" s="245"/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>
      <c r="B59" s="25">
        <v>6</v>
      </c>
      <c r="C59" s="239" t="s">
        <v>160</v>
      </c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>
      <c r="B60" s="59">
        <v>6</v>
      </c>
      <c r="C60" s="245" t="s">
        <v>171</v>
      </c>
      <c r="D60" s="245"/>
      <c r="E60" s="245"/>
      <c r="F60" s="245"/>
      <c r="G60" s="245"/>
      <c r="H60" s="245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  <c r="U60" s="245"/>
      <c r="V60" s="245"/>
      <c r="W60" s="24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75">
      <c r="B61" s="59">
        <v>7</v>
      </c>
      <c r="C61" s="242" t="s">
        <v>167</v>
      </c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  <c r="U61" s="242"/>
    </row>
    <row r="62" spans="2:51" ht="16.5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>
      <c r="B63" s="59">
        <v>9</v>
      </c>
      <c r="C63" s="139" t="s">
        <v>173</v>
      </c>
    </row>
    <row r="64" spans="2:51" ht="16.5">
      <c r="B64" s="59">
        <v>10</v>
      </c>
      <c r="C64" s="137" t="s">
        <v>179</v>
      </c>
    </row>
    <row r="65" spans="2:3" ht="16.5">
      <c r="B65" s="59">
        <v>11</v>
      </c>
      <c r="C65" s="137" t="s">
        <v>180</v>
      </c>
    </row>
    <row r="66" spans="2:3">
      <c r="B66" s="59">
        <v>12</v>
      </c>
      <c r="C66" t="s">
        <v>187</v>
      </c>
    </row>
    <row r="67" spans="2:3">
      <c r="B67" s="59">
        <v>13</v>
      </c>
      <c r="C67" t="s">
        <v>190</v>
      </c>
    </row>
    <row r="68" spans="2:3">
      <c r="B68" s="59">
        <v>14</v>
      </c>
      <c r="C68" t="s">
        <v>201</v>
      </c>
    </row>
    <row r="69" spans="2:3">
      <c r="B69" s="59">
        <v>15</v>
      </c>
      <c r="C69" t="s">
        <v>204</v>
      </c>
    </row>
    <row r="70" spans="2:3">
      <c r="B70" s="59">
        <v>16</v>
      </c>
      <c r="C70" t="s">
        <v>207</v>
      </c>
    </row>
    <row r="71" spans="2:3">
      <c r="B71" s="59">
        <v>16</v>
      </c>
      <c r="C71" t="s">
        <v>209</v>
      </c>
    </row>
    <row r="72" spans="2:3">
      <c r="B72" s="59">
        <v>17</v>
      </c>
      <c r="C72" t="s">
        <v>212</v>
      </c>
    </row>
    <row r="73" spans="2:3">
      <c r="B73" s="59">
        <v>18</v>
      </c>
      <c r="C73" t="s">
        <v>214</v>
      </c>
    </row>
    <row r="74" spans="2:3">
      <c r="B74" s="59">
        <v>19</v>
      </c>
      <c r="C74" t="s">
        <v>217</v>
      </c>
    </row>
    <row r="75" spans="2:3">
      <c r="B75" s="59">
        <v>20</v>
      </c>
      <c r="C75" t="s">
        <v>218</v>
      </c>
    </row>
  </sheetData>
  <mergeCells count="19">
    <mergeCell ref="T5:AK5"/>
    <mergeCell ref="AJ6:AL6"/>
    <mergeCell ref="F6:K6"/>
    <mergeCell ref="F5:J5"/>
    <mergeCell ref="K5:M5"/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</mergeCells>
  <phoneticPr fontId="2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W38"/>
  <sheetViews>
    <sheetView tabSelected="1" zoomScale="90" zoomScaleNormal="90" workbookViewId="0">
      <pane xSplit="5" topLeftCell="Y1" activePane="topRight" state="frozen"/>
      <selection pane="topRight" activeCell="AC22" sqref="AC22"/>
    </sheetView>
  </sheetViews>
  <sheetFormatPr defaultRowHeight="15"/>
  <cols>
    <col min="2" max="2" width="14.28515625" customWidth="1"/>
    <col min="3" max="3" width="52.140625" customWidth="1"/>
    <col min="4" max="4" width="7.5703125" bestFit="1" customWidth="1"/>
    <col min="5" max="5" width="6.28515625" bestFit="1" customWidth="1"/>
    <col min="6" max="6" width="14.7109375" customWidth="1"/>
    <col min="7" max="7" width="14.140625" customWidth="1"/>
    <col min="8" max="8" width="13.85546875" customWidth="1"/>
    <col min="9" max="9" width="15.2851562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  <col min="38" max="38" width="18.140625" bestFit="1" customWidth="1"/>
    <col min="39" max="39" width="11.28515625" customWidth="1"/>
  </cols>
  <sheetData>
    <row r="1" spans="2:40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2:40">
      <c r="B2" s="25"/>
      <c r="C2" s="261"/>
      <c r="D2" s="259"/>
      <c r="E2" s="171"/>
      <c r="F2" s="259" t="s">
        <v>49</v>
      </c>
      <c r="G2" s="259"/>
      <c r="H2" s="259"/>
      <c r="I2" s="259"/>
      <c r="J2" s="259"/>
      <c r="K2" s="259"/>
      <c r="L2" s="259"/>
      <c r="M2" s="259"/>
      <c r="N2" s="259"/>
      <c r="O2" s="259"/>
      <c r="P2" s="179"/>
      <c r="Q2" s="258" t="s">
        <v>56</v>
      </c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60"/>
      <c r="AD2" s="258" t="s">
        <v>125</v>
      </c>
      <c r="AE2" s="259"/>
      <c r="AF2" s="259"/>
      <c r="AG2" s="259"/>
      <c r="AH2" s="258" t="s">
        <v>176</v>
      </c>
      <c r="AI2" s="259"/>
      <c r="AJ2" s="259"/>
      <c r="AK2" s="259"/>
      <c r="AL2" s="217"/>
      <c r="AM2" s="217"/>
      <c r="AN2" s="25"/>
    </row>
    <row r="3" spans="2:40">
      <c r="B3" s="25"/>
      <c r="C3" s="261"/>
      <c r="D3" s="259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215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14"/>
      <c r="AN3" s="25"/>
    </row>
    <row r="4" spans="2:40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57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2024-T351</v>
      </c>
      <c r="P4" s="182" t="str">
        <f>mat_param!P8</f>
        <v>Al-4.8Cu-1.2Mg</v>
      </c>
      <c r="Q4" s="191" t="s">
        <v>47</v>
      </c>
      <c r="R4" s="182">
        <f>mat_param!T8</f>
        <v>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14"/>
      <c r="AN4" s="25"/>
    </row>
    <row r="5" spans="2:40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</row>
    <row r="6" spans="2:40">
      <c r="B6" s="126"/>
      <c r="C6" s="183" t="str">
        <f>VLOOKUP(plots!AC3,mat_param!C9:C47,1,FALSE)</f>
        <v>Young's modulus</v>
      </c>
      <c r="D6" s="185" t="str">
        <f>VLOOKUP($C$6,mat_param!$C$9:$BE$47,COLUMN(mat_param!D9)-COLUMN(mat_param!$C$9)+1,FALSE)</f>
        <v>E</v>
      </c>
      <c r="E6" s="185" t="str">
        <f>VLOOKUP($C$6,mat_param!$C$9:$BE$47,COLUMN(mat_param!E9)-COLUMN(mat_param!$C$9)+1,FALSE)</f>
        <v>MPa</v>
      </c>
      <c r="F6" s="185">
        <f>VLOOKUP($C$6,mat_param!$C$9:$BE$47,COLUMN(mat_param!F9)-COLUMN(mat_param!$C$9)+1,FALSE)</f>
        <v>70000</v>
      </c>
      <c r="G6" s="185">
        <f>VLOOKUP($C$6,mat_param!$C$9:$BE$47,COLUMN(mat_param!G9)-COLUMN(mat_param!$C$9)+1,FALSE)</f>
        <v>70000</v>
      </c>
      <c r="H6" s="185">
        <f>VLOOKUP($C$6,mat_param!$C$9:$BE$47,COLUMN(mat_param!H9)-COLUMN(mat_param!$C$9)+1,FALSE)</f>
        <v>70000</v>
      </c>
      <c r="I6" s="185">
        <f>VLOOKUP($C$6,mat_param!$C$9:$BE$47,COLUMN(mat_param!I9)-COLUMN(mat_param!$C$9)+1,FALSE)</f>
        <v>70000</v>
      </c>
      <c r="J6" s="185">
        <f>VLOOKUP($C$6,mat_param!$C$9:$BE$47,COLUMN(mat_param!J9)-COLUMN(mat_param!$C$9)+1,FALSE)</f>
        <v>70000</v>
      </c>
      <c r="K6" s="185">
        <f>VLOOKUP($C$6,mat_param!$C$9:$BE$47,COLUMN(mat_param!K9)-COLUMN(mat_param!$C$9)+1,FALSE)</f>
        <v>64000</v>
      </c>
      <c r="L6" s="185">
        <f>VLOOKUP($C$6,mat_param!$C$9:$BE$47,COLUMN(mat_param!L9)-COLUMN(mat_param!$C$9)+1,FALSE)</f>
        <v>71000</v>
      </c>
      <c r="M6" s="185">
        <f>VLOOKUP($C$6,mat_param!$C$9:$BE$47,COLUMN(mat_param!M9)-COLUMN(mat_param!$C$9)+1,FALSE)</f>
        <v>71700</v>
      </c>
      <c r="N6" s="185">
        <f>VLOOKUP($C$6,mat_param!$C$9:$BE$47,COLUMN(mat_param!N9)-COLUMN(mat_param!$C$9)+1,FALSE)</f>
        <v>71000</v>
      </c>
      <c r="O6" s="185">
        <f>VLOOKUP($C$6,mat_param!$C$9:$BE$47,COLUMN(mat_param!O9)-COLUMN(mat_param!$C$9)+1,FALSE)</f>
        <v>72000</v>
      </c>
      <c r="P6" s="207">
        <f>VLOOKUP($C$6,mat_param!$C$9:$BE$47,COLUMN(mat_param!P9)-COLUMN(mat_param!$C$9)+1,FALSE)</f>
        <v>600000</v>
      </c>
      <c r="Q6" s="185">
        <f>VLOOKUP($C$6,mat_param!$C$9:$BE$47,COLUMN(mat_param!S9)-COLUMN(mat_param!$C$9)+1,FALSE)</f>
        <v>210000</v>
      </c>
      <c r="R6" s="185">
        <f>VLOOKUP($C$6,mat_param!$C$9:$BE$47,COLUMN(mat_param!T9)-COLUMN(mat_param!$C$9)+1,FALSE)</f>
        <v>210000</v>
      </c>
      <c r="S6" s="185">
        <f>VLOOKUP($C$6,mat_param!$C$9:$BE$47,COLUMN(mat_param!U9)-COLUMN(mat_param!$C$9)+1,FALSE)</f>
        <v>210000</v>
      </c>
      <c r="T6" s="185">
        <f>VLOOKUP($C$6,mat_param!$C$9:$BE$47,COLUMN(mat_param!V9)-COLUMN(mat_param!$C$9)+1,FALSE)</f>
        <v>210000</v>
      </c>
      <c r="U6" s="185">
        <f>VLOOKUP($C$6,mat_param!$C$9:$BE$47,COLUMN(mat_param!W9)-COLUMN(mat_param!$C$9)+1,FALSE)</f>
        <v>210000</v>
      </c>
      <c r="V6" s="185">
        <f>VLOOKUP($C$6,mat_param!$C$9:$BE$47,COLUMN(mat_param!X9)-COLUMN(mat_param!$C$9)+1,FALSE)</f>
        <v>203000</v>
      </c>
      <c r="W6" s="185">
        <f>VLOOKUP($C$6,mat_param!$C$9:$BE$47,COLUMN(mat_param!Y9)-COLUMN(mat_param!$C$9)+1,FALSE)</f>
        <v>200000</v>
      </c>
      <c r="X6" s="185">
        <f>VLOOKUP($C$6,mat_param!$C$9:$BE$47,COLUMN(mat_param!Z9)-COLUMN(mat_param!$C$9)+1,FALSE)</f>
        <v>210000</v>
      </c>
      <c r="Y6" s="185">
        <f>VLOOKUP($C$6,mat_param!$C$9:$BE$47,COLUMN(mat_param!AA9)-COLUMN(mat_param!$C$9)+1,FALSE)</f>
        <v>186000</v>
      </c>
      <c r="Z6" s="185">
        <f>VLOOKUP($C$6,mat_param!$C$9:$BE$47,COLUMN(mat_param!AB9)-COLUMN(mat_param!$C$9)+1,FALSE)</f>
        <v>206000</v>
      </c>
      <c r="AA6" s="185">
        <f>VLOOKUP($C$6,mat_param!$C$9:$BE$47,COLUMN(mat_param!AC9)-COLUMN(mat_param!$C$9)+1,FALSE)</f>
        <v>210000</v>
      </c>
      <c r="AB6" s="185">
        <f>VLOOKUP($C$6,mat_param!$C$9:$BE$47,COLUMN(mat_param!AD9)-COLUMN(mat_param!$C$9)+1,FALSE)</f>
        <v>193000</v>
      </c>
      <c r="AC6" s="185">
        <f>VLOOKUP($C$6,mat_param!$C$9:$BE$47,COLUMN(mat_param!AE9)-COLUMN(mat_param!$C$9)+1,FALSE)</f>
        <v>201000</v>
      </c>
      <c r="AD6" s="185">
        <f>VLOOKUP($C$6,mat_param!$C$9:$BE$47,COLUMN(mat_param!AF9)-COLUMN(mat_param!$C$9)+1,FALSE)</f>
        <v>114500</v>
      </c>
      <c r="AE6" s="185">
        <f>VLOOKUP($C$6,mat_param!$C$9:$BE$47,COLUMN(mat_param!AG9)-COLUMN(mat_param!$C$9)+1,FALSE)</f>
        <v>114500</v>
      </c>
      <c r="AF6" s="185">
        <f>VLOOKUP($C$6,mat_param!$C$9:$BE$47,COLUMN(mat_param!AH9)-COLUMN(mat_param!$C$9)+1,FALSE)</f>
        <v>114500</v>
      </c>
      <c r="AG6" s="185">
        <f>VLOOKUP($C$6,mat_param!$C$9:$BE$47,COLUMN(mat_param!AI9)-COLUMN(mat_param!$C$9)+1,FALSE)</f>
        <v>113165.798</v>
      </c>
      <c r="AH6" s="185">
        <f>VLOOKUP($C$6,mat_param!$C$9:$BE$47,COLUMN(mat_param!AJ9)-COLUMN(mat_param!$C$9)+1,FALSE)</f>
        <v>124000</v>
      </c>
      <c r="AI6" s="185">
        <f>VLOOKUP($C$6,mat_param!$C$9:$BE$47,COLUMN(mat_param!AK9)-COLUMN(mat_param!$C$9)+1,FALSE)</f>
        <v>207000</v>
      </c>
      <c r="AJ6" s="185">
        <f>VLOOKUP($C$6,mat_param!$C$9:$BE$47,COLUMN(mat_param!AL9)-COLUMN(mat_param!$C$9)+1,FALSE)</f>
        <v>215624.80000000002</v>
      </c>
      <c r="AK6" s="185">
        <f>VLOOKUP($C$6,mat_param!$C$9:$BE$47,COLUMN(mat_param!AM9)-COLUMN(mat_param!$C$9)+1,FALSE)</f>
        <v>412800</v>
      </c>
      <c r="AL6" s="185">
        <f>VLOOKUP($C$6,mat_param!$C$9:$BE$47,COLUMN(mat_param!AN9)-COLUMN(mat_param!$C$9)+1,FALSE)</f>
        <v>0</v>
      </c>
      <c r="AM6" s="25"/>
      <c r="AN6" s="25"/>
    </row>
    <row r="7" spans="2:40" ht="9" customHeight="1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25"/>
      <c r="AM7" s="25"/>
      <c r="AN7" s="25"/>
    </row>
    <row r="8" spans="2:40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25"/>
      <c r="AN8" s="25"/>
    </row>
    <row r="9" spans="2:40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L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25"/>
      <c r="AN9" s="25"/>
    </row>
    <row r="10" spans="2:40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92.1</v>
      </c>
      <c r="AG10" s="25">
        <v>88.4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25"/>
      <c r="AN10" s="25"/>
    </row>
    <row r="11" spans="2:40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5"/>
      <c r="AN11" s="25"/>
    </row>
    <row r="12" spans="2:40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25"/>
      <c r="AN12" s="25"/>
    </row>
    <row r="13" spans="2:40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25"/>
      <c r="AN13" s="25"/>
    </row>
    <row r="14" spans="2:40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25"/>
      <c r="AN14" s="25"/>
    </row>
    <row r="15" spans="2:40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25"/>
      <c r="AN15" s="25"/>
    </row>
    <row r="16" spans="2:40">
      <c r="B16" s="126" t="s">
        <v>36</v>
      </c>
      <c r="C16" s="183" t="s">
        <v>231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>
        <v>27400000</v>
      </c>
      <c r="AN16" s="25"/>
    </row>
    <row r="17" spans="2:40">
      <c r="B17" s="126" t="s">
        <v>36</v>
      </c>
      <c r="C17" s="183" t="s">
        <v>232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</row>
    <row r="18" spans="2:40">
      <c r="B18" s="59"/>
      <c r="C18" s="183" t="s">
        <v>233</v>
      </c>
      <c r="D18" s="59"/>
      <c r="E18" s="59"/>
      <c r="F18" s="188">
        <f>F17-F16</f>
        <v>4800000</v>
      </c>
      <c r="G18" s="188">
        <f t="shared" ref="G18:AM18" si="5">G17-G16</f>
        <v>-27400000</v>
      </c>
      <c r="H18" s="188">
        <f t="shared" si="5"/>
        <v>-27400000</v>
      </c>
      <c r="I18" s="188">
        <f t="shared" si="5"/>
        <v>-27400000</v>
      </c>
      <c r="J18" s="188">
        <f t="shared" si="5"/>
        <v>4300000</v>
      </c>
      <c r="K18" s="188">
        <f t="shared" si="5"/>
        <v>1500000</v>
      </c>
      <c r="L18" s="188">
        <f t="shared" si="5"/>
        <v>1400000</v>
      </c>
      <c r="M18" s="188">
        <f t="shared" si="5"/>
        <v>1200000</v>
      </c>
      <c r="N18" s="188">
        <f t="shared" si="5"/>
        <v>-27400000</v>
      </c>
      <c r="O18" s="188">
        <f t="shared" si="5"/>
        <v>1500000</v>
      </c>
      <c r="P18" s="230">
        <f t="shared" si="5"/>
        <v>3700000</v>
      </c>
      <c r="Q18" s="188">
        <f t="shared" si="5"/>
        <v>-1100000</v>
      </c>
      <c r="R18" s="188">
        <f t="shared" si="5"/>
        <v>-3800000</v>
      </c>
      <c r="S18" s="188">
        <f t="shared" si="5"/>
        <v>-3100000</v>
      </c>
      <c r="T18" s="188">
        <f t="shared" si="5"/>
        <v>-27400000</v>
      </c>
      <c r="U18" s="188">
        <f t="shared" si="5"/>
        <v>4400000</v>
      </c>
      <c r="V18" s="188">
        <f t="shared" si="5"/>
        <v>-3600000</v>
      </c>
      <c r="W18" s="188">
        <f t="shared" si="5"/>
        <v>-3200000</v>
      </c>
      <c r="X18" s="188">
        <f t="shared" si="5"/>
        <v>-3100000</v>
      </c>
      <c r="Y18" s="188">
        <f t="shared" si="5"/>
        <v>-27400000</v>
      </c>
      <c r="Z18" s="188">
        <f t="shared" si="5"/>
        <v>-5200000</v>
      </c>
      <c r="AA18" s="188">
        <f t="shared" si="5"/>
        <v>-3200000</v>
      </c>
      <c r="AB18" s="188">
        <f t="shared" si="5"/>
        <v>-3300000</v>
      </c>
      <c r="AC18" s="230">
        <f t="shared" si="5"/>
        <v>-3500000</v>
      </c>
      <c r="AD18" s="188">
        <f t="shared" si="5"/>
        <v>-2600000</v>
      </c>
      <c r="AE18" s="188">
        <f t="shared" si="5"/>
        <v>-2600000</v>
      </c>
      <c r="AF18" s="188">
        <f t="shared" si="5"/>
        <v>-2200000</v>
      </c>
      <c r="AG18" s="230">
        <f t="shared" si="5"/>
        <v>-1400000</v>
      </c>
      <c r="AH18" s="188">
        <f t="shared" si="5"/>
        <v>-1800000</v>
      </c>
      <c r="AI18" s="188">
        <f t="shared" si="5"/>
        <v>-3900000</v>
      </c>
      <c r="AJ18" s="188">
        <f t="shared" si="5"/>
        <v>-27400000</v>
      </c>
      <c r="AK18" s="188">
        <f t="shared" si="5"/>
        <v>-8500000</v>
      </c>
      <c r="AL18" s="188">
        <f t="shared" si="5"/>
        <v>-27400000</v>
      </c>
      <c r="AM18" s="188">
        <f t="shared" si="5"/>
        <v>-27400000</v>
      </c>
      <c r="AN18" s="25"/>
    </row>
    <row r="19" spans="2:40">
      <c r="B19" s="59"/>
      <c r="C19" s="183" t="s">
        <v>236</v>
      </c>
      <c r="D19" s="223"/>
      <c r="E19" s="223"/>
      <c r="F19" s="227">
        <f>(F18/F16)*100</f>
        <v>17.518248175182482</v>
      </c>
      <c r="G19" s="228">
        <f t="shared" ref="G19:AM19" si="6">(G18/G16)*100</f>
        <v>-100</v>
      </c>
      <c r="H19" s="228">
        <f t="shared" si="6"/>
        <v>-100</v>
      </c>
      <c r="I19" s="228">
        <f t="shared" si="6"/>
        <v>-100</v>
      </c>
      <c r="J19" s="227">
        <f t="shared" si="6"/>
        <v>15.693430656934307</v>
      </c>
      <c r="K19" s="234">
        <f t="shared" si="6"/>
        <v>5.4744525547445262</v>
      </c>
      <c r="L19" s="234">
        <f t="shared" si="6"/>
        <v>5.1094890510948909</v>
      </c>
      <c r="M19" s="229">
        <f t="shared" si="6"/>
        <v>4.3795620437956204</v>
      </c>
      <c r="N19" s="228">
        <f t="shared" si="6"/>
        <v>-100</v>
      </c>
      <c r="O19" s="228">
        <f t="shared" si="6"/>
        <v>5.4744525547445262</v>
      </c>
      <c r="P19" s="232">
        <f t="shared" si="6"/>
        <v>13.503649635036496</v>
      </c>
      <c r="Q19" s="228">
        <f t="shared" si="6"/>
        <v>-4.0145985401459852</v>
      </c>
      <c r="R19" s="228">
        <f t="shared" si="6"/>
        <v>-13.868613138686131</v>
      </c>
      <c r="S19" s="228">
        <f t="shared" si="6"/>
        <v>-11.313868613138686</v>
      </c>
      <c r="T19" s="228">
        <f t="shared" si="6"/>
        <v>-100</v>
      </c>
      <c r="U19" s="228">
        <f t="shared" si="6"/>
        <v>16.058394160583941</v>
      </c>
      <c r="V19" s="228">
        <f t="shared" si="6"/>
        <v>-13.138686131386862</v>
      </c>
      <c r="W19" s="228">
        <f t="shared" si="6"/>
        <v>-11.678832116788321</v>
      </c>
      <c r="X19" s="228">
        <f t="shared" si="6"/>
        <v>-11.313868613138686</v>
      </c>
      <c r="Y19" s="228">
        <f t="shared" si="6"/>
        <v>-100</v>
      </c>
      <c r="Z19" s="228">
        <f t="shared" si="6"/>
        <v>-18.978102189781019</v>
      </c>
      <c r="AA19" s="228">
        <f t="shared" si="6"/>
        <v>-11.678832116788321</v>
      </c>
      <c r="AB19" s="228">
        <f t="shared" si="6"/>
        <v>-12.043795620437956</v>
      </c>
      <c r="AC19" s="232">
        <f t="shared" si="6"/>
        <v>-12.773722627737227</v>
      </c>
      <c r="AD19" s="228">
        <f t="shared" si="6"/>
        <v>-9.4890510948905096</v>
      </c>
      <c r="AE19" s="228">
        <f t="shared" si="6"/>
        <v>-9.4890510948905096</v>
      </c>
      <c r="AF19" s="228">
        <f t="shared" si="6"/>
        <v>-8.0291970802919703</v>
      </c>
      <c r="AG19" s="232">
        <f t="shared" si="6"/>
        <v>-5.1094890510948909</v>
      </c>
      <c r="AH19" s="228">
        <f t="shared" si="6"/>
        <v>-6.5693430656934311</v>
      </c>
      <c r="AI19" s="228">
        <f t="shared" si="6"/>
        <v>-14.233576642335766</v>
      </c>
      <c r="AJ19" s="228">
        <f t="shared" si="6"/>
        <v>-100</v>
      </c>
      <c r="AK19" s="228">
        <f t="shared" si="6"/>
        <v>-31.021897810218981</v>
      </c>
      <c r="AL19" s="228">
        <f t="shared" si="6"/>
        <v>-100</v>
      </c>
      <c r="AM19" s="228">
        <f t="shared" si="6"/>
        <v>-100</v>
      </c>
      <c r="AN19" s="25"/>
    </row>
    <row r="20" spans="2:40">
      <c r="B20" s="59"/>
      <c r="C20" s="225" t="s">
        <v>234</v>
      </c>
      <c r="D20" s="184"/>
      <c r="E20" s="184"/>
      <c r="F20" s="226">
        <f>F16</f>
        <v>27400000</v>
      </c>
      <c r="G20" s="226">
        <f t="shared" ref="G20:AM20" si="7">G16</f>
        <v>27400000</v>
      </c>
      <c r="H20" s="226">
        <f t="shared" si="7"/>
        <v>27400000</v>
      </c>
      <c r="I20" s="226">
        <f t="shared" si="7"/>
        <v>27400000</v>
      </c>
      <c r="J20" s="226">
        <f t="shared" si="7"/>
        <v>27400000</v>
      </c>
      <c r="K20" s="226">
        <f t="shared" si="7"/>
        <v>27400000</v>
      </c>
      <c r="L20" s="226">
        <f t="shared" si="7"/>
        <v>27400000</v>
      </c>
      <c r="M20" s="226">
        <f t="shared" si="7"/>
        <v>27400000</v>
      </c>
      <c r="N20" s="226">
        <f t="shared" si="7"/>
        <v>27400000</v>
      </c>
      <c r="O20" s="226">
        <f t="shared" si="7"/>
        <v>27400000</v>
      </c>
      <c r="P20" s="233">
        <f t="shared" si="7"/>
        <v>27400000</v>
      </c>
      <c r="Q20" s="226">
        <f t="shared" si="7"/>
        <v>27400000</v>
      </c>
      <c r="R20" s="226">
        <f t="shared" si="7"/>
        <v>27400000</v>
      </c>
      <c r="S20" s="226">
        <f t="shared" si="7"/>
        <v>27400000</v>
      </c>
      <c r="T20" s="226">
        <f t="shared" si="7"/>
        <v>27400000</v>
      </c>
      <c r="U20" s="226">
        <f t="shared" si="7"/>
        <v>27400000</v>
      </c>
      <c r="V20" s="226">
        <f t="shared" si="7"/>
        <v>27400000</v>
      </c>
      <c r="W20" s="226">
        <f t="shared" si="7"/>
        <v>27400000</v>
      </c>
      <c r="X20" s="226">
        <f t="shared" si="7"/>
        <v>27400000</v>
      </c>
      <c r="Y20" s="226">
        <f t="shared" si="7"/>
        <v>27400000</v>
      </c>
      <c r="Z20" s="226">
        <f t="shared" si="7"/>
        <v>27400000</v>
      </c>
      <c r="AA20" s="226">
        <f t="shared" si="7"/>
        <v>27400000</v>
      </c>
      <c r="AB20" s="226">
        <f t="shared" si="7"/>
        <v>27400000</v>
      </c>
      <c r="AC20" s="233">
        <f t="shared" si="7"/>
        <v>27400000</v>
      </c>
      <c r="AD20" s="226">
        <f t="shared" si="7"/>
        <v>27400000</v>
      </c>
      <c r="AE20" s="226">
        <f t="shared" si="7"/>
        <v>27400000</v>
      </c>
      <c r="AF20" s="226">
        <f t="shared" si="7"/>
        <v>27400000</v>
      </c>
      <c r="AG20" s="233">
        <f t="shared" si="7"/>
        <v>27400000</v>
      </c>
      <c r="AH20" s="226">
        <f t="shared" si="7"/>
        <v>27400000</v>
      </c>
      <c r="AI20" s="226">
        <f t="shared" si="7"/>
        <v>27400000</v>
      </c>
      <c r="AJ20" s="226">
        <f t="shared" si="7"/>
        <v>27400000</v>
      </c>
      <c r="AK20" s="226">
        <f t="shared" si="7"/>
        <v>27400000</v>
      </c>
      <c r="AL20" s="226">
        <f t="shared" si="7"/>
        <v>27400000</v>
      </c>
      <c r="AM20" s="226">
        <f t="shared" si="7"/>
        <v>27400000</v>
      </c>
      <c r="AN20" s="25"/>
    </row>
    <row r="21" spans="2:40">
      <c r="B21" s="59"/>
      <c r="C21" s="183" t="s">
        <v>235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25"/>
      <c r="AN21" s="25"/>
    </row>
    <row r="22" spans="2:40">
      <c r="B22" s="59"/>
      <c r="C22" s="183" t="s">
        <v>233</v>
      </c>
      <c r="D22" s="184"/>
      <c r="E22" s="184"/>
      <c r="F22" s="188">
        <f>F21-F20</f>
        <v>4400000</v>
      </c>
      <c r="G22" s="188">
        <f t="shared" ref="G22:AM22" si="8">G21-G20</f>
        <v>-27400000</v>
      </c>
      <c r="H22" s="188">
        <f t="shared" si="8"/>
        <v>-27400000</v>
      </c>
      <c r="I22" s="188">
        <f t="shared" si="8"/>
        <v>-27400000</v>
      </c>
      <c r="J22" s="188">
        <f t="shared" si="8"/>
        <v>3900000</v>
      </c>
      <c r="K22" s="188">
        <f t="shared" si="8"/>
        <v>1100000</v>
      </c>
      <c r="L22" s="188">
        <f t="shared" si="8"/>
        <v>1000000</v>
      </c>
      <c r="M22" s="188">
        <f t="shared" si="8"/>
        <v>700000</v>
      </c>
      <c r="N22" s="188">
        <f t="shared" si="8"/>
        <v>-27400000</v>
      </c>
      <c r="O22" s="188">
        <f t="shared" si="8"/>
        <v>1100000</v>
      </c>
      <c r="P22" s="230">
        <f t="shared" si="8"/>
        <v>2900000</v>
      </c>
      <c r="Q22" s="188">
        <f t="shared" si="8"/>
        <v>-1700000</v>
      </c>
      <c r="R22" s="188">
        <f t="shared" si="8"/>
        <v>-4300000</v>
      </c>
      <c r="S22" s="188">
        <f t="shared" si="8"/>
        <v>-100000</v>
      </c>
      <c r="T22" s="188">
        <f t="shared" si="8"/>
        <v>-27400000</v>
      </c>
      <c r="U22" s="188">
        <f t="shared" si="8"/>
        <v>2600000</v>
      </c>
      <c r="V22" s="188">
        <f t="shared" si="8"/>
        <v>-4000000</v>
      </c>
      <c r="W22" s="188">
        <f t="shared" si="8"/>
        <v>-3700000</v>
      </c>
      <c r="X22" s="188">
        <f t="shared" si="8"/>
        <v>-3700000</v>
      </c>
      <c r="Y22" s="188">
        <f t="shared" si="8"/>
        <v>-27400000</v>
      </c>
      <c r="Z22" s="188">
        <f t="shared" si="8"/>
        <v>-5500000</v>
      </c>
      <c r="AA22" s="188">
        <f t="shared" si="8"/>
        <v>-3800000</v>
      </c>
      <c r="AB22" s="188">
        <f t="shared" si="8"/>
        <v>-3800000</v>
      </c>
      <c r="AC22" s="230">
        <f t="shared" si="8"/>
        <v>-4000000</v>
      </c>
      <c r="AD22" s="188">
        <f t="shared" si="8"/>
        <v>-3000000</v>
      </c>
      <c r="AE22" s="188">
        <f t="shared" si="8"/>
        <v>-3000000</v>
      </c>
      <c r="AF22" s="188">
        <f t="shared" si="8"/>
        <v>-2400000</v>
      </c>
      <c r="AG22" s="230">
        <f t="shared" si="8"/>
        <v>-1700000</v>
      </c>
      <c r="AH22" s="188">
        <f t="shared" si="8"/>
        <v>-27400000</v>
      </c>
      <c r="AI22" s="188">
        <f t="shared" si="8"/>
        <v>-4200000</v>
      </c>
      <c r="AJ22" s="188">
        <f t="shared" si="8"/>
        <v>-27400000</v>
      </c>
      <c r="AK22" s="188">
        <f t="shared" si="8"/>
        <v>-8700000</v>
      </c>
      <c r="AL22" s="188">
        <f t="shared" si="8"/>
        <v>-27400000</v>
      </c>
      <c r="AM22" s="188">
        <f t="shared" si="8"/>
        <v>-27400000</v>
      </c>
      <c r="AN22" s="25"/>
    </row>
    <row r="23" spans="2:40">
      <c r="B23" s="25"/>
      <c r="C23" s="183" t="s">
        <v>236</v>
      </c>
      <c r="D23" s="25"/>
      <c r="E23" s="25"/>
      <c r="F23" s="234">
        <f>(F22/F20)*100</f>
        <v>16.058394160583941</v>
      </c>
      <c r="G23" s="234">
        <f t="shared" ref="G23:AM23" si="9">(G22/G20)*100</f>
        <v>-100</v>
      </c>
      <c r="H23" s="234">
        <f t="shared" si="9"/>
        <v>-100</v>
      </c>
      <c r="I23" s="234">
        <v>-8</v>
      </c>
      <c r="J23" s="234">
        <f t="shared" si="9"/>
        <v>14.233576642335766</v>
      </c>
      <c r="K23" s="234">
        <f t="shared" si="9"/>
        <v>4.0145985401459852</v>
      </c>
      <c r="L23" s="103">
        <f t="shared" si="9"/>
        <v>3.6496350364963499</v>
      </c>
      <c r="M23" s="103">
        <f t="shared" si="9"/>
        <v>2.5547445255474455</v>
      </c>
      <c r="N23" s="103">
        <f t="shared" si="9"/>
        <v>-100</v>
      </c>
      <c r="O23" s="103">
        <f t="shared" si="9"/>
        <v>4.0145985401459852</v>
      </c>
      <c r="P23" s="235">
        <f t="shared" si="9"/>
        <v>10.583941605839415</v>
      </c>
      <c r="Q23" s="103">
        <f t="shared" si="9"/>
        <v>-6.2043795620437958</v>
      </c>
      <c r="R23" s="103">
        <f t="shared" si="9"/>
        <v>-15.693430656934307</v>
      </c>
      <c r="S23" s="103">
        <f t="shared" si="9"/>
        <v>-0.36496350364963503</v>
      </c>
      <c r="T23" s="103">
        <f t="shared" si="9"/>
        <v>-100</v>
      </c>
      <c r="U23" s="103">
        <f t="shared" si="9"/>
        <v>9.4890510948905096</v>
      </c>
      <c r="V23" s="103">
        <f t="shared" si="9"/>
        <v>-14.5985401459854</v>
      </c>
      <c r="W23" s="103">
        <f t="shared" si="9"/>
        <v>-13.503649635036496</v>
      </c>
      <c r="X23" s="103">
        <f t="shared" si="9"/>
        <v>-13.503649635036496</v>
      </c>
      <c r="Y23" s="103">
        <f t="shared" si="9"/>
        <v>-100</v>
      </c>
      <c r="Z23" s="103">
        <f t="shared" si="9"/>
        <v>-20.072992700729927</v>
      </c>
      <c r="AA23" s="103">
        <f t="shared" si="9"/>
        <v>-13.868613138686131</v>
      </c>
      <c r="AB23" s="103">
        <f t="shared" si="9"/>
        <v>-13.868613138686131</v>
      </c>
      <c r="AC23" s="235">
        <f t="shared" si="9"/>
        <v>-14.5985401459854</v>
      </c>
      <c r="AD23" s="103">
        <f t="shared" si="9"/>
        <v>-10.948905109489052</v>
      </c>
      <c r="AE23" s="103">
        <f t="shared" si="9"/>
        <v>-10.948905109489052</v>
      </c>
      <c r="AF23" s="103">
        <f t="shared" si="9"/>
        <v>-8.7591240875912408</v>
      </c>
      <c r="AG23" s="235">
        <f t="shared" si="9"/>
        <v>-6.2043795620437958</v>
      </c>
      <c r="AH23" s="103">
        <f t="shared" si="9"/>
        <v>-100</v>
      </c>
      <c r="AI23" s="103">
        <f t="shared" si="9"/>
        <v>-15.328467153284672</v>
      </c>
      <c r="AJ23" s="103">
        <f t="shared" si="9"/>
        <v>-100</v>
      </c>
      <c r="AK23" s="103">
        <f t="shared" si="9"/>
        <v>-31.751824817518248</v>
      </c>
      <c r="AL23" s="103">
        <f t="shared" si="9"/>
        <v>-100</v>
      </c>
      <c r="AM23" s="103">
        <f t="shared" si="9"/>
        <v>-100</v>
      </c>
      <c r="AN23" s="25"/>
    </row>
    <row r="24" spans="2:40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2:40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2:40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2:40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2:40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2:40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</row>
    <row r="38" spans="49:49">
      <c r="AW38" t="s">
        <v>45</v>
      </c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M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M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M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B21" zoomScaleNormal="100" workbookViewId="0">
      <selection activeCell="AC3" sqref="AC3"/>
    </sheetView>
  </sheetViews>
  <sheetFormatPr defaultRowHeight="1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51" max="51" width="33.28515625" customWidth="1"/>
  </cols>
  <sheetData>
    <row r="2" spans="3:67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C3" s="145" t="s">
        <v>73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sim_results!C6&amp; " and debris cloud diamter"</f>
        <v>Young's modulus and debris cloud diamter</v>
      </c>
    </row>
    <row r="10" spans="3:67">
      <c r="AD10" t="str">
        <f>sim_results!C6&amp; " and target hole diameter"</f>
        <v>Young's modulus and target hole diameter</v>
      </c>
    </row>
    <row r="12" spans="3:67">
      <c r="AD12" t="str">
        <f>CONCATENATE(sim_results!D6," (",sim_results!E6,")")</f>
        <v>E (MPa)</v>
      </c>
    </row>
    <row r="24" spans="30:80">
      <c r="AZ24" t="s">
        <v>45</v>
      </c>
    </row>
    <row r="26" spans="30:80">
      <c r="CB26" t="s">
        <v>45</v>
      </c>
    </row>
    <row r="29" spans="30:80">
      <c r="AD29" t="str">
        <f>sim_results!C6&amp;" and percentage of solid material in debris cloud"</f>
        <v>Young's modulus and percentage of solid material in debris cloud</v>
      </c>
      <c r="AP29" t="str">
        <f>sim_results!C6&amp; " and residual velocity"</f>
        <v>Young's modulus and residual velocity</v>
      </c>
    </row>
    <row r="46" spans="58:58">
      <c r="BF46" t="s">
        <v>45</v>
      </c>
    </row>
    <row r="50" spans="37:37">
      <c r="AK50" t="str">
        <f>sim_results!C6&amp; " and percentage of converted particles due to temperature"</f>
        <v>Young's modulus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notes</vt:lpstr>
      <vt:lpstr>mat_param</vt:lpstr>
      <vt:lpstr>sim_results</vt:lpstr>
      <vt:lpstr>plots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2022-03-08T14:09:10Z</dcterms:modified>
</cp:coreProperties>
</file>