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7BBB47F6-A3F5-45E2-B829-7AF3421CBD98}" xr6:coauthVersionLast="36" xr6:coauthVersionMax="47" xr10:uidLastSave="{00000000-0000-0000-0000-000000000000}"/>
  <bookViews>
    <workbookView xWindow="28680" yWindow="-120" windowWidth="25440" windowHeight="15990" activeTab="3" xr2:uid="{84D0EFE8-BE55-4288-8C02-3F60F3E82B53}"/>
  </bookViews>
  <sheets>
    <sheet name="notes" sheetId="1" r:id="rId1"/>
    <sheet name="mat_param" sheetId="4" r:id="rId2"/>
    <sheet name="sim_results" sheetId="2" r:id="rId3"/>
    <sheet name="plots" sheetId="3" r:id="rId4"/>
  </sheets>
  <definedNames>
    <definedName name="density">mat_param!$C$10:$C$34</definedName>
    <definedName name="rho">mat_param!$D$10:$D$34</definedName>
    <definedName name="ton_mm3">mat_param!$E$10:$E$34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2" l="1"/>
  <c r="AA13" i="2"/>
  <c r="AC13" i="2"/>
  <c r="X10" i="2" l="1"/>
  <c r="X8" i="2"/>
  <c r="W5" i="2"/>
  <c r="X5" i="2"/>
  <c r="W13" i="2"/>
  <c r="X13" i="2"/>
  <c r="W10" i="2"/>
  <c r="W9" i="2"/>
  <c r="X9" i="2"/>
  <c r="P11" i="4"/>
  <c r="P10" i="4"/>
  <c r="P4" i="2"/>
  <c r="AJ4" i="2" l="1"/>
  <c r="AK4" i="2"/>
  <c r="AJ3" i="2"/>
  <c r="AK3" i="2"/>
  <c r="AI3" i="2"/>
  <c r="AD3" i="2"/>
  <c r="Z4" i="2"/>
  <c r="AA4" i="2"/>
  <c r="AB4" i="2"/>
  <c r="AC4" i="2"/>
  <c r="Z3" i="2"/>
  <c r="AA3" i="2"/>
  <c r="AB3" i="2"/>
  <c r="AC3" i="2"/>
  <c r="W3" i="2"/>
  <c r="X3" i="2"/>
  <c r="Y3" i="2"/>
  <c r="X4" i="2"/>
  <c r="Y4" i="2"/>
  <c r="V3" i="2"/>
  <c r="O4" i="2"/>
  <c r="N4" i="2"/>
  <c r="AK13" i="4"/>
  <c r="O10" i="4" l="1"/>
  <c r="O11" i="4"/>
  <c r="AJ13" i="4"/>
  <c r="AJ10" i="4" s="1"/>
  <c r="AI11" i="4"/>
  <c r="AC11" i="4"/>
  <c r="AC10" i="4"/>
  <c r="AB20" i="4"/>
  <c r="AB11" i="4"/>
  <c r="AB10" i="4"/>
  <c r="AA20" i="4"/>
  <c r="AA11" i="4"/>
  <c r="AA10" i="4"/>
  <c r="Z20" i="4"/>
  <c r="Z11" i="4"/>
  <c r="Z10" i="4"/>
  <c r="Y20" i="4"/>
  <c r="Y11" i="4"/>
  <c r="Y10" i="4"/>
  <c r="N11" i="4"/>
  <c r="N10" i="4"/>
  <c r="X11" i="4"/>
  <c r="X10" i="4"/>
  <c r="W11" i="4" l="1"/>
  <c r="W10" i="4"/>
  <c r="W8" i="4"/>
  <c r="W4" i="2" s="1"/>
  <c r="C6" i="2" l="1"/>
  <c r="AJ6" i="2" s="1"/>
  <c r="M10" i="2"/>
  <c r="M8" i="2"/>
  <c r="M9" i="2" s="1"/>
  <c r="L10" i="2"/>
  <c r="L8" i="2"/>
  <c r="L9" i="2" s="1"/>
  <c r="K13" i="2"/>
  <c r="L13" i="2"/>
  <c r="M13" i="2"/>
  <c r="K10" i="2"/>
  <c r="K8" i="2"/>
  <c r="K9" i="2" s="1"/>
  <c r="L5" i="2"/>
  <c r="M5" i="2"/>
  <c r="K5" i="2"/>
  <c r="AI4" i="2"/>
  <c r="AH4" i="2"/>
  <c r="L4" i="2"/>
  <c r="M4" i="2"/>
  <c r="K4" i="2"/>
  <c r="AI5" i="2"/>
  <c r="AI13" i="2"/>
  <c r="AI9" i="2"/>
  <c r="V13" i="2"/>
  <c r="V9" i="2"/>
  <c r="V5" i="2"/>
  <c r="V4" i="2"/>
  <c r="AG5" i="2"/>
  <c r="AG13" i="2"/>
  <c r="AF9" i="2"/>
  <c r="AG9" i="2"/>
  <c r="AG4" i="2"/>
  <c r="D6" i="2" l="1"/>
  <c r="E6" i="2"/>
  <c r="J6" i="2"/>
  <c r="K6" i="2"/>
  <c r="S6" i="2"/>
  <c r="AA6" i="2"/>
  <c r="AI6" i="2"/>
  <c r="M6" i="2"/>
  <c r="AK6" i="2"/>
  <c r="AD6" i="2"/>
  <c r="O6" i="2"/>
  <c r="AE6" i="2"/>
  <c r="Q6" i="2"/>
  <c r="Z6" i="2"/>
  <c r="L6" i="2"/>
  <c r="T6" i="2"/>
  <c r="AB6" i="2"/>
  <c r="U6" i="2"/>
  <c r="AC6" i="2"/>
  <c r="V6" i="2"/>
  <c r="G6" i="2"/>
  <c r="W6" i="2"/>
  <c r="H6" i="2"/>
  <c r="Y6" i="2"/>
  <c r="R6" i="2"/>
  <c r="N6" i="2"/>
  <c r="F6" i="2"/>
  <c r="P6" i="2"/>
  <c r="X6" i="2"/>
  <c r="AF6" i="2"/>
  <c r="I6" i="2"/>
  <c r="AG6" i="2"/>
  <c r="AH6" i="2"/>
  <c r="M11" i="4"/>
  <c r="M10" i="4"/>
  <c r="L10" i="4"/>
  <c r="L11" i="4"/>
  <c r="K11" i="4"/>
  <c r="K10" i="4"/>
  <c r="R10" i="4"/>
  <c r="V11" i="4"/>
  <c r="V10" i="4"/>
  <c r="AH11" i="4"/>
  <c r="AH10" i="4"/>
  <c r="AI10" i="4"/>
  <c r="AG11" i="4"/>
  <c r="AG10" i="4"/>
  <c r="R9" i="2" l="1"/>
  <c r="T4" i="2" l="1"/>
  <c r="U4" i="2"/>
  <c r="S4" i="2"/>
  <c r="S10" i="4"/>
  <c r="S11" i="4"/>
  <c r="T11" i="4"/>
  <c r="U11" i="4"/>
  <c r="T10" i="4"/>
  <c r="U10" i="4"/>
  <c r="AE13" i="2"/>
  <c r="AF13" i="2"/>
  <c r="R13" i="2"/>
  <c r="AE10" i="2" l="1"/>
  <c r="AE8" i="2"/>
  <c r="AE9" i="2" s="1"/>
  <c r="AD13" i="2"/>
  <c r="AD10" i="2"/>
  <c r="AD8" i="2"/>
  <c r="AD9" i="2" s="1"/>
  <c r="AF5" i="2"/>
  <c r="AE5" i="2"/>
  <c r="AD5" i="2"/>
  <c r="AF4" i="2"/>
  <c r="AE4" i="2"/>
  <c r="AD4" i="2"/>
  <c r="R5" i="2"/>
  <c r="R4" i="2"/>
  <c r="R19" i="4"/>
  <c r="R11" i="4"/>
  <c r="AD19" i="4"/>
  <c r="AE20" i="4"/>
  <c r="AF20" i="4"/>
  <c r="AD20" i="4"/>
  <c r="AE19" i="4"/>
  <c r="AF19" i="4"/>
  <c r="AK50" i="3" l="1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Q13" i="2"/>
  <c r="J9" i="2"/>
  <c r="Q9" i="2"/>
  <c r="F13" i="2" l="1"/>
  <c r="F9" i="2"/>
</calcChain>
</file>

<file path=xl/sharedStrings.xml><?xml version="1.0" encoding="utf-8"?>
<sst xmlns="http://schemas.openxmlformats.org/spreadsheetml/2006/main" count="332" uniqueCount="225">
  <si>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</si>
  <si>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</si>
  <si>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</si>
  <si>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</si>
  <si>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</si>
  <si>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</si>
  <si>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</si>
  <si>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</si>
  <si>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</si>
  <si>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</si>
  <si>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</si>
  <si>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</si>
  <si>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</si>
  <si>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</si>
  <si>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</si>
  <si>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</si>
  <si>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</si>
  <si>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</si>
  <si>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</si>
  <si>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</si>
  <si>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</si>
  <si>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</si>
  <si>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</si>
  <si>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</si>
  <si>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</si>
  <si>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</si>
  <si>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</si>
  <si>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</si>
  <si>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</si>
  <si>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</si>
  <si>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</si>
  <si>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</si>
  <si>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</si>
  <si>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</si>
  <si>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</si>
  <si>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</si>
  <si>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</si>
  <si>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</si>
  <si>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</si>
  <si>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</si>
  <si>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</si>
  <si>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</si>
  <si>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</si>
  <si>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</si>
  <si>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</si>
  <si>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</si>
  <si>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</si>
  <si>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</si>
  <si>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</si>
  <si>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</si>
  <si>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</si>
  <si>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</si>
  <si>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</si>
  <si>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</si>
  <si>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</si>
  <si>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</si>
  <si>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</si>
  <si>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</si>
  <si>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</si>
  <si>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</si>
  <si>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</si>
  <si>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</si>
  <si>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</si>
  <si>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</si>
  <si>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</si>
  <si>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</si>
  <si>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</si>
  <si>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</si>
  <si>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</si>
  <si>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</si>
  <si>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</si>
  <si>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</si>
  <si>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</si>
  <si>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</si>
  <si>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</si>
  <si>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</si>
  <si>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</si>
  <si>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</si>
  <si>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</si>
  <si>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</si>
  <si>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</si>
  <si>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</si>
  <si>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</si>
  <si>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</si>
  <si>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</si>
  <si>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</si>
  <si>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</si>
  <si>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</si>
  <si>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</si>
  <si>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</si>
  <si>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</si>
  <si>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</si>
  <si>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</si>
  <si>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</si>
  <si>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</si>
  <si>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</si>
  <si>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</si>
  <si>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</si>
  <si>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</si>
  <si>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</si>
  <si>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</si>
  <si>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</si>
  <si>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</si>
  <si>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</si>
  <si>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</si>
  <si>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</si>
  <si>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</si>
  <si>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</si>
  <si>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</si>
  <si>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</si>
  <si>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</si>
  <si>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</si>
  <si>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</si>
  <si>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</si>
  <si>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</si>
  <si>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</si>
  <si>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</si>
  <si>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</si>
  <si>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</si>
  <si>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</si>
  <si>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</si>
  <si>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</si>
  <si>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</si>
  <si>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</si>
  <si>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</si>
  <si>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</si>
  <si>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</si>
  <si>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</si>
  <si>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</si>
  <si>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</si>
  <si>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</si>
  <si>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</si>
  <si>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</si>
  <si>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</si>
  <si>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</si>
  <si>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</si>
  <si>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</si>
  <si>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</si>
  <si>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</si>
  <si>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</si>
  <si>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</si>
  <si>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</si>
  <si>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</si>
  <si>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</si>
  <si>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</si>
  <si>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</si>
  <si>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</si>
  <si>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</si>
  <si>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</si>
  <si>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</si>
  <si>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</si>
  <si>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</si>
  <si>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</si>
  <si>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</si>
  <si>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</si>
  <si>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</si>
  <si>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</si>
  <si>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</si>
  <si>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</si>
  <si>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</si>
  <si>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</si>
  <si>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</si>
  <si>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</si>
  <si>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</si>
  <si>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</si>
  <si>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</si>
  <si>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</si>
  <si>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</si>
  <si>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</si>
  <si>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</si>
  <si>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</si>
  <si>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</si>
  <si>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</si>
  <si>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</si>
  <si>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</si>
  <si>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</si>
  <si>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</si>
  <si>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</si>
  <si>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</si>
  <si>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</si>
  <si>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</si>
  <si>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</si>
  <si>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</si>
  <si>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</si>
  <si>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</si>
  <si>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</si>
  <si>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</si>
  <si>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</si>
  <si>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</si>
  <si>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</si>
  <si>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</si>
  <si>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</si>
  <si>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running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</si>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</sst>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</borders>
  <cellStyleXfs count="4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3" borderId="0" applyNumberFormat="0" applyBorder="0" applyAlignment="0" applyProtection="0"/>
  </cellStyleXfs>
  <cellXfs count="240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2" fillId="13" borderId="0" xfId="3" applyBorder="1" applyAlignment="1">
      <alignment horizontal="center" wrapText="1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24" xfId="0" applyFont="1" applyBorder="1" applyAlignment="1">
      <alignment horizontal="right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0" borderId="5" xfId="0" applyFill="1" applyBorder="1"/>
    <xf numFmtId="0" fontId="0" fillId="14" borderId="5" xfId="0" applyFill="1" applyBorder="1"/>
    <xf numFmtId="2" fontId="0" fillId="14" borderId="5" xfId="0" applyNumberFormat="1" applyFill="1" applyBorder="1"/>
    <xf numFmtId="11" fontId="2" fillId="14" borderId="5" xfId="0" applyNumberFormat="1" applyFont="1" applyFill="1" applyBorder="1" applyAlignment="1">
      <alignment horizontal="right" wrapText="1"/>
    </xf>
    <xf numFmtId="164" fontId="0" fillId="14" borderId="5" xfId="0" applyNumberFormat="1" applyFill="1" applyBorder="1"/>
    <xf numFmtId="11" fontId="2" fillId="14" borderId="0" xfId="0" applyNumberFormat="1" applyFont="1" applyFill="1" applyBorder="1"/>
    <xf numFmtId="0" fontId="0" fillId="14" borderId="0" xfId="0" applyFill="1" applyBorder="1"/>
    <xf numFmtId="0" fontId="2" fillId="14" borderId="0" xfId="0" applyFont="1" applyFill="1" applyBorder="1" applyAlignment="1">
      <alignment horizontal="right" wrapText="1"/>
    </xf>
    <xf numFmtId="11" fontId="2" fillId="14" borderId="0" xfId="0" applyNumberFormat="1" applyFont="1" applyFill="1" applyBorder="1" applyAlignment="1">
      <alignment horizontal="right" wrapText="1"/>
    </xf>
    <xf numFmtId="164" fontId="0" fillId="14" borderId="0" xfId="0" applyNumberFormat="1" applyFill="1" applyBorder="1"/>
    <xf numFmtId="11" fontId="2" fillId="0" borderId="24" xfId="0" applyNumberFormat="1" applyFont="1" applyBorder="1" applyAlignment="1">
      <alignment horizontal="right" wrapText="1"/>
    </xf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4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64" fontId="0" fillId="0" borderId="37" xfId="0" applyNumberFormat="1" applyBorder="1"/>
    <xf numFmtId="0" fontId="0" fillId="0" borderId="37" xfId="0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Young's modulus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Young's modulus 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62468066863794"/>
          <c:y val="0.12028519714911474"/>
          <c:w val="0.1376414797695979"/>
          <c:h val="0.83247641121942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Young's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sim_results!$AA$9</c:f>
              <c:numCache>
                <c:formatCode>General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Young's modulus E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69790072279308"/>
          <c:y val="0"/>
          <c:w val="0.1108520406049922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Young's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sim_results!$AA$10</c:f>
              <c:numCache>
                <c:formatCode>General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Young's modulus E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06191618390914"/>
          <c:y val="6.4082753501879489E-2"/>
          <c:w val="0.14000293210026404"/>
          <c:h val="0.88586415886693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Young's modulus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Young's modulus E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69790072279308"/>
          <c:y val="1.1749600887517926E-2"/>
          <c:w val="0.11085204060499226"/>
          <c:h val="0.93900911870552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Young's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Young's modulus 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19779985562305"/>
          <c:y val="0.13936225294990034"/>
          <c:w val="0.13987772246232014"/>
          <c:h val="0.86063774705009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23814</xdr:colOff>
      <xdr:row>4</xdr:row>
      <xdr:rowOff>85726</xdr:rowOff>
    </xdr:from>
    <xdr:to>
      <xdr:col>38</xdr:col>
      <xdr:colOff>319089</xdr:colOff>
      <xdr:row>23</xdr:row>
      <xdr:rowOff>166690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431246</xdr:colOff>
      <xdr:row>4</xdr:row>
      <xdr:rowOff>61435</xdr:rowOff>
    </xdr:from>
    <xdr:to>
      <xdr:col>49</xdr:col>
      <xdr:colOff>63581</xdr:colOff>
      <xdr:row>23</xdr:row>
      <xdr:rowOff>144304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59531</xdr:colOff>
      <xdr:row>24</xdr:row>
      <xdr:rowOff>78580</xdr:rowOff>
    </xdr:from>
    <xdr:to>
      <xdr:col>38</xdr:col>
      <xdr:colOff>354806</xdr:colOff>
      <xdr:row>43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440532</xdr:colOff>
      <xdr:row>24</xdr:row>
      <xdr:rowOff>102394</xdr:rowOff>
    </xdr:from>
    <xdr:to>
      <xdr:col>49</xdr:col>
      <xdr:colOff>78582</xdr:colOff>
      <xdr:row>43</xdr:row>
      <xdr:rowOff>183358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474074</xdr:colOff>
      <xdr:row>44</xdr:row>
      <xdr:rowOff>105523</xdr:rowOff>
    </xdr:from>
    <xdr:to>
      <xdr:col>45</xdr:col>
      <xdr:colOff>215946</xdr:colOff>
      <xdr:row>63</xdr:row>
      <xdr:rowOff>168388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AV73"/>
  <sheetViews>
    <sheetView zoomScale="80" zoomScaleNormal="80" workbookViewId="0">
      <pane xSplit="5" topLeftCell="AD1" activePane="topRight" state="frozen"/>
      <selection pane="topRight" activeCell="J26" sqref="J26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2.5703125" customWidth="1"/>
    <col min="7" max="7" width="13.140625" customWidth="1"/>
    <col min="8" max="8" width="13.28515625" customWidth="1"/>
    <col min="9" max="9" width="13.85546875" customWidth="1"/>
    <col min="10" max="13" width="13.42578125" customWidth="1"/>
    <col min="14" max="16" width="18.42578125" customWidth="1"/>
    <col min="17" max="17" width="16.85546875" customWidth="1"/>
    <col min="18" max="18" width="14.85546875" customWidth="1"/>
    <col min="19" max="29" width="16.7109375" customWidth="1"/>
    <col min="30" max="30" width="14" customWidth="1"/>
    <col min="31" max="31" width="15.85546875" customWidth="1"/>
    <col min="32" max="32" width="14.28515625" customWidth="1"/>
    <col min="33" max="33" width="18.85546875" customWidth="1"/>
    <col min="34" max="34" width="22.5703125" customWidth="1"/>
    <col min="35" max="35" width="21.42578125" customWidth="1"/>
    <col min="36" max="36" width="21" customWidth="1"/>
    <col min="37" max="37" width="22.7109375" customWidth="1"/>
    <col min="38" max="38" width="11.140625" customWidth="1"/>
    <col min="39" max="39" width="11" customWidth="1"/>
    <col min="40" max="40" width="11.140625" customWidth="1"/>
    <col min="41" max="41" width="10.7109375" customWidth="1"/>
  </cols>
  <sheetData>
    <row r="3" spans="2:37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</row>
    <row r="4" spans="2:37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</row>
    <row r="5" spans="2:37" ht="15" customHeight="1">
      <c r="B5" s="25"/>
      <c r="C5" s="71"/>
      <c r="D5" s="71"/>
      <c r="E5" s="71"/>
      <c r="F5" s="221" t="s">
        <v>144</v>
      </c>
      <c r="G5" s="222"/>
      <c r="H5" s="222"/>
      <c r="I5" s="222"/>
      <c r="J5" s="222"/>
      <c r="K5" s="222" t="s">
        <v>182</v>
      </c>
      <c r="L5" s="222"/>
      <c r="M5" s="222"/>
      <c r="N5" s="162"/>
      <c r="O5" s="162"/>
      <c r="P5" s="181"/>
      <c r="Q5" s="123" t="s">
        <v>181</v>
      </c>
      <c r="R5" s="215" t="s">
        <v>145</v>
      </c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144"/>
      <c r="AK5" s="176"/>
    </row>
    <row r="6" spans="2:37">
      <c r="B6" s="25"/>
      <c r="C6" s="224"/>
      <c r="D6" s="224"/>
      <c r="E6" s="225"/>
      <c r="F6" s="219" t="s">
        <v>53</v>
      </c>
      <c r="G6" s="220"/>
      <c r="H6" s="220"/>
      <c r="I6" s="220"/>
      <c r="J6" s="220"/>
      <c r="K6" s="220"/>
      <c r="L6" s="113"/>
      <c r="M6" s="111"/>
      <c r="N6" s="161"/>
      <c r="O6" s="161"/>
      <c r="P6" s="180"/>
      <c r="Q6" s="219" t="s">
        <v>60</v>
      </c>
      <c r="R6" s="220"/>
      <c r="S6" s="220"/>
      <c r="T6" s="220"/>
      <c r="U6" s="220"/>
      <c r="V6" s="136"/>
      <c r="W6" s="148"/>
      <c r="X6" s="163"/>
      <c r="Y6" s="163"/>
      <c r="Z6" s="163"/>
      <c r="AA6" s="163"/>
      <c r="AB6" s="163"/>
      <c r="AC6" s="163"/>
      <c r="AD6" s="220" t="s">
        <v>129</v>
      </c>
      <c r="AE6" s="220"/>
      <c r="AF6" s="220"/>
      <c r="AG6" s="220"/>
      <c r="AH6" s="216" t="s">
        <v>180</v>
      </c>
      <c r="AI6" s="217"/>
      <c r="AJ6" s="218"/>
      <c r="AK6" s="175"/>
    </row>
    <row r="7" spans="2:37">
      <c r="B7" s="25"/>
      <c r="C7" s="41"/>
      <c r="D7" s="41"/>
      <c r="E7" s="51"/>
      <c r="F7" s="112" t="s">
        <v>54</v>
      </c>
      <c r="G7" s="113" t="s">
        <v>55</v>
      </c>
      <c r="H7" s="113" t="s">
        <v>56</v>
      </c>
      <c r="I7" s="113" t="s">
        <v>57</v>
      </c>
      <c r="J7" s="110" t="s">
        <v>58</v>
      </c>
      <c r="K7" s="111" t="s">
        <v>176</v>
      </c>
      <c r="L7" s="113" t="s">
        <v>178</v>
      </c>
      <c r="M7" s="111" t="s">
        <v>179</v>
      </c>
      <c r="N7" s="161" t="s">
        <v>196</v>
      </c>
      <c r="O7" s="161" t="s">
        <v>215</v>
      </c>
      <c r="P7" s="180" t="s">
        <v>220</v>
      </c>
      <c r="Q7" s="114" t="s">
        <v>59</v>
      </c>
      <c r="R7" s="111" t="s">
        <v>146</v>
      </c>
      <c r="S7" s="110" t="s">
        <v>148</v>
      </c>
      <c r="T7" s="111" t="s">
        <v>151</v>
      </c>
      <c r="U7" s="111" t="s">
        <v>152</v>
      </c>
      <c r="V7" s="123" t="s">
        <v>173</v>
      </c>
      <c r="W7" s="147" t="s">
        <v>190</v>
      </c>
      <c r="X7" s="162" t="s">
        <v>193</v>
      </c>
      <c r="Y7" s="162" t="s">
        <v>198</v>
      </c>
      <c r="Z7" s="162" t="s">
        <v>199</v>
      </c>
      <c r="AA7" s="162" t="s">
        <v>200</v>
      </c>
      <c r="AB7" s="162" t="s">
        <v>201</v>
      </c>
      <c r="AC7" s="162" t="s">
        <v>207</v>
      </c>
      <c r="AD7" s="112" t="s">
        <v>130</v>
      </c>
      <c r="AE7" s="113" t="s">
        <v>131</v>
      </c>
      <c r="AF7" s="113" t="s">
        <v>132</v>
      </c>
      <c r="AG7" s="120" t="s">
        <v>159</v>
      </c>
      <c r="AH7" s="124" t="s">
        <v>160</v>
      </c>
      <c r="AI7" s="131" t="s">
        <v>161</v>
      </c>
      <c r="AJ7" s="131" t="s">
        <v>210</v>
      </c>
      <c r="AK7" s="175" t="s">
        <v>213</v>
      </c>
    </row>
    <row r="8" spans="2:37" ht="19.5" customHeight="1" thickBot="1">
      <c r="B8" s="25"/>
      <c r="C8" s="42" t="s">
        <v>65</v>
      </c>
      <c r="D8" s="42" t="s">
        <v>66</v>
      </c>
      <c r="E8" s="43" t="s">
        <v>67</v>
      </c>
      <c r="F8" s="115" t="s">
        <v>52</v>
      </c>
      <c r="G8" s="116" t="s">
        <v>61</v>
      </c>
      <c r="H8" s="116" t="s">
        <v>62</v>
      </c>
      <c r="I8" s="116" t="s">
        <v>63</v>
      </c>
      <c r="J8" s="117" t="s">
        <v>64</v>
      </c>
      <c r="K8" s="119" t="s">
        <v>185</v>
      </c>
      <c r="L8" s="116" t="s">
        <v>186</v>
      </c>
      <c r="M8" s="119" t="s">
        <v>187</v>
      </c>
      <c r="N8" s="119" t="s">
        <v>197</v>
      </c>
      <c r="O8" s="119" t="s">
        <v>216</v>
      </c>
      <c r="P8" s="119" t="s">
        <v>221</v>
      </c>
      <c r="Q8" s="118" t="s">
        <v>51</v>
      </c>
      <c r="R8" s="119">
        <v>4340</v>
      </c>
      <c r="S8" s="117" t="s">
        <v>150</v>
      </c>
      <c r="T8" s="119" t="s">
        <v>153</v>
      </c>
      <c r="U8" s="119" t="s">
        <v>154</v>
      </c>
      <c r="V8" s="119" t="s">
        <v>172</v>
      </c>
      <c r="W8" s="119" t="str">
        <f>S8</f>
        <v>WELDOX 460 E</v>
      </c>
      <c r="X8" s="119" t="s">
        <v>194</v>
      </c>
      <c r="Y8" s="119" t="s">
        <v>202</v>
      </c>
      <c r="Z8" s="119" t="s">
        <v>203</v>
      </c>
      <c r="AA8" s="119" t="s">
        <v>204</v>
      </c>
      <c r="AB8" s="119" t="s">
        <v>205</v>
      </c>
      <c r="AC8" s="119" t="s">
        <v>208</v>
      </c>
      <c r="AD8" s="115" t="s">
        <v>133</v>
      </c>
      <c r="AE8" s="116" t="s">
        <v>134</v>
      </c>
      <c r="AF8" s="116" t="s">
        <v>135</v>
      </c>
      <c r="AG8" s="117" t="s">
        <v>163</v>
      </c>
      <c r="AH8" s="125" t="s">
        <v>162</v>
      </c>
      <c r="AI8" s="135" t="s">
        <v>170</v>
      </c>
      <c r="AJ8" s="135" t="s">
        <v>211</v>
      </c>
      <c r="AK8" s="135" t="s">
        <v>218</v>
      </c>
    </row>
    <row r="9" spans="2:37" ht="16.5" customHeight="1">
      <c r="B9" s="25"/>
      <c r="C9" s="36" t="s">
        <v>68</v>
      </c>
      <c r="D9" s="36" t="s">
        <v>69</v>
      </c>
      <c r="E9" s="52" t="s">
        <v>50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93">
        <v>7.8500000000000008E-9</v>
      </c>
      <c r="R9" s="27">
        <v>7.8500000000000008E-9</v>
      </c>
      <c r="S9" s="27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7.8000000000000004E-9</v>
      </c>
      <c r="Y9" s="27">
        <v>7.8700000000000003E-9</v>
      </c>
      <c r="Z9" s="27">
        <v>7.8500000000000008E-9</v>
      </c>
      <c r="AA9" s="27">
        <v>7.8100000000000001E-9</v>
      </c>
      <c r="AB9" s="27">
        <v>8.0000000000000005E-9</v>
      </c>
      <c r="AC9" s="27">
        <v>7.8500000000000008E-9</v>
      </c>
      <c r="AD9" s="73">
        <v>4.4299999999999998E-9</v>
      </c>
      <c r="AE9" s="74">
        <v>4.5500000000000002E-9</v>
      </c>
      <c r="AF9" s="75">
        <v>4.5500000000000002E-9</v>
      </c>
      <c r="AG9" s="27">
        <v>4.4299999999999998E-9</v>
      </c>
      <c r="AH9" s="129">
        <v>8.9600000000000005E-9</v>
      </c>
      <c r="AI9" s="128">
        <v>7.8899999999999998E-9</v>
      </c>
      <c r="AJ9" s="128">
        <v>7.8899999999999998E-9</v>
      </c>
      <c r="AK9" s="128">
        <v>1.7599999999999999E-8</v>
      </c>
    </row>
    <row r="10" spans="2:37">
      <c r="B10" s="25"/>
      <c r="C10" s="31" t="s">
        <v>70</v>
      </c>
      <c r="D10" s="31" t="s">
        <v>71</v>
      </c>
      <c r="E10" s="53" t="s">
        <v>72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P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93">
        <v>205880</v>
      </c>
      <c r="R10" s="27">
        <f>R13/(3*(1-2*R14))</f>
        <v>174999.99999999997</v>
      </c>
      <c r="S10" s="27">
        <f>S13/(3*(1-2*S14))</f>
        <v>205882.35294117648</v>
      </c>
      <c r="T10" s="27">
        <f t="shared" ref="T10:AI10" si="1">T13/(3*(1-2*T14))</f>
        <v>205882.35294117648</v>
      </c>
      <c r="U10" s="27">
        <f t="shared" si="1"/>
        <v>205882.35294117648</v>
      </c>
      <c r="V10" s="27">
        <f t="shared" si="1"/>
        <v>199019.60784313726</v>
      </c>
      <c r="W10" s="27">
        <f t="shared" si="1"/>
        <v>196078.43137254901</v>
      </c>
      <c r="X10" s="27">
        <f t="shared" si="1"/>
        <v>174999.99999999997</v>
      </c>
      <c r="Y10" s="27">
        <f t="shared" si="1"/>
        <v>147619.0476190476</v>
      </c>
      <c r="Z10" s="27">
        <f t="shared" si="1"/>
        <v>163492.06349206346</v>
      </c>
      <c r="AA10" s="27">
        <f t="shared" si="1"/>
        <v>174999.99999999997</v>
      </c>
      <c r="AB10" s="27">
        <f t="shared" si="1"/>
        <v>153174.60317460314</v>
      </c>
      <c r="AC10" s="27">
        <f t="shared" si="1"/>
        <v>197058.82352941175</v>
      </c>
      <c r="AD10" s="73">
        <v>116</v>
      </c>
      <c r="AE10" s="74">
        <v>116</v>
      </c>
      <c r="AF10" s="74">
        <v>116</v>
      </c>
      <c r="AG10" s="27">
        <f>AG13/(3*(1-2*AG14))</f>
        <v>117881.03958333335</v>
      </c>
      <c r="AH10" s="132">
        <f>AH13/(3*(1-2*AH14))</f>
        <v>129166.66666666669</v>
      </c>
      <c r="AI10" s="27">
        <f t="shared" si="1"/>
        <v>164285.71428571426</v>
      </c>
      <c r="AJ10" s="27">
        <f>AJ13/(3*(1-2*AJ14))</f>
        <v>197458.60805860805</v>
      </c>
      <c r="AK10" s="27">
        <v>310000</v>
      </c>
    </row>
    <row r="11" spans="2:37">
      <c r="B11" s="25"/>
      <c r="C11" s="31" t="s">
        <v>73</v>
      </c>
      <c r="D11" s="31" t="s">
        <v>74</v>
      </c>
      <c r="E11" s="53" t="s">
        <v>72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L11" si="2">K13/(2*(1+K14))</f>
        <v>24427.480916030534</v>
      </c>
      <c r="L11" s="27">
        <f t="shared" si="2"/>
        <v>26691.729323308271</v>
      </c>
      <c r="M11" s="27">
        <f>M13/(2*(1+M14))</f>
        <v>26954.887218045111</v>
      </c>
      <c r="N11" s="27">
        <f>N13/(2*(1+N14))</f>
        <v>26691.729323308271</v>
      </c>
      <c r="O11" s="27">
        <f>O13/(2*(1+O14))</f>
        <v>27692.307692307691</v>
      </c>
      <c r="P11" s="27">
        <f>P13/(2*(1+P14))</f>
        <v>230769.23076923075</v>
      </c>
      <c r="Q11" s="93">
        <v>78947</v>
      </c>
      <c r="R11" s="27">
        <f>R13/(2*(1+R14))</f>
        <v>80769.230769230766</v>
      </c>
      <c r="S11" s="27">
        <f t="shared" ref="S11:AC11" si="3">S13/(2*(1+S14))</f>
        <v>78947.368421052626</v>
      </c>
      <c r="T11" s="27">
        <f t="shared" si="3"/>
        <v>78947.368421052626</v>
      </c>
      <c r="U11" s="27">
        <f t="shared" si="3"/>
        <v>78947.368421052626</v>
      </c>
      <c r="V11" s="27">
        <f t="shared" si="3"/>
        <v>76315.789473684214</v>
      </c>
      <c r="W11" s="27">
        <f t="shared" si="3"/>
        <v>75187.969924812031</v>
      </c>
      <c r="X11" s="27">
        <f t="shared" si="3"/>
        <v>80769.230769230766</v>
      </c>
      <c r="Y11" s="27">
        <f t="shared" si="3"/>
        <v>72093.023255813954</v>
      </c>
      <c r="Z11" s="27">
        <f t="shared" si="3"/>
        <v>79844.961240310076</v>
      </c>
      <c r="AA11" s="27">
        <f t="shared" si="3"/>
        <v>80769.230769230766</v>
      </c>
      <c r="AB11" s="27">
        <f t="shared" si="3"/>
        <v>74806.201550387588</v>
      </c>
      <c r="AC11" s="27">
        <f t="shared" si="3"/>
        <v>75563.909774436092</v>
      </c>
      <c r="AD11" s="73">
        <v>38000</v>
      </c>
      <c r="AE11" s="74">
        <v>38000</v>
      </c>
      <c r="AF11" s="74">
        <v>38000</v>
      </c>
      <c r="AG11" s="27">
        <f t="shared" ref="AG11:AH11" si="4">AG13/(2*(1+AG14))</f>
        <v>42226.044029850746</v>
      </c>
      <c r="AH11" s="93">
        <f t="shared" si="4"/>
        <v>46268.656716417907</v>
      </c>
      <c r="AI11" s="27">
        <f>AI13/(2*(1+AI14))</f>
        <v>80232.558139534885</v>
      </c>
      <c r="AJ11" s="27">
        <v>81800</v>
      </c>
      <c r="AK11" s="128">
        <v>160000</v>
      </c>
    </row>
    <row r="12" spans="2:37">
      <c r="B12" s="25"/>
      <c r="C12" s="31" t="s">
        <v>75</v>
      </c>
      <c r="D12" s="31" t="s">
        <v>76</v>
      </c>
      <c r="E12" s="53" t="s">
        <v>76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77">
        <v>47</v>
      </c>
      <c r="R12" s="28">
        <v>47</v>
      </c>
      <c r="S12" s="28">
        <v>47</v>
      </c>
      <c r="T12" s="28">
        <v>47</v>
      </c>
      <c r="U12" s="28">
        <v>47</v>
      </c>
      <c r="V12" s="28">
        <v>47</v>
      </c>
      <c r="W12" s="28"/>
      <c r="X12" s="28"/>
      <c r="Y12" s="28"/>
      <c r="Z12" s="28"/>
      <c r="AA12" s="28"/>
      <c r="AB12" s="28"/>
      <c r="AC12" s="28"/>
      <c r="AD12" s="73">
        <v>47</v>
      </c>
      <c r="AE12" s="74">
        <v>47</v>
      </c>
      <c r="AF12" s="74">
        <v>47</v>
      </c>
      <c r="AG12" s="74">
        <v>47</v>
      </c>
      <c r="AH12" s="73">
        <v>47</v>
      </c>
      <c r="AI12" s="74">
        <v>47</v>
      </c>
      <c r="AJ12" s="74"/>
    </row>
    <row r="13" spans="2:37">
      <c r="B13" s="25"/>
      <c r="C13" s="31" t="s">
        <v>77</v>
      </c>
      <c r="D13" s="31" t="s">
        <v>78</v>
      </c>
      <c r="E13" s="53" t="s">
        <v>72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93">
        <v>210000</v>
      </c>
      <c r="R13" s="27">
        <v>210000</v>
      </c>
      <c r="S13" s="27">
        <v>210000</v>
      </c>
      <c r="T13" s="27">
        <v>210000</v>
      </c>
      <c r="U13" s="27">
        <v>210000</v>
      </c>
      <c r="V13" s="27">
        <v>203000</v>
      </c>
      <c r="W13" s="27">
        <v>200000</v>
      </c>
      <c r="X13" s="27">
        <v>210000</v>
      </c>
      <c r="Y13" s="27">
        <v>186000</v>
      </c>
      <c r="Z13" s="27">
        <v>206000</v>
      </c>
      <c r="AA13" s="27">
        <v>210000</v>
      </c>
      <c r="AB13" s="27">
        <v>193000</v>
      </c>
      <c r="AC13" s="27">
        <v>201000</v>
      </c>
      <c r="AD13" s="73">
        <v>114500</v>
      </c>
      <c r="AE13" s="74">
        <v>114500</v>
      </c>
      <c r="AF13" s="74">
        <v>114500</v>
      </c>
      <c r="AG13" s="27">
        <v>113165.798</v>
      </c>
      <c r="AH13" s="127">
        <v>124000</v>
      </c>
      <c r="AI13" s="128">
        <v>207000</v>
      </c>
      <c r="AJ13" s="128">
        <f>(2*AJ11)*(1+AJ14)</f>
        <v>215624.80000000002</v>
      </c>
      <c r="AK13" s="128">
        <f>(2*AK11)*(1+AK14)</f>
        <v>412800</v>
      </c>
    </row>
    <row r="14" spans="2:37">
      <c r="B14" s="25"/>
      <c r="C14" s="31" t="s">
        <v>79</v>
      </c>
      <c r="D14" s="31" t="s">
        <v>80</v>
      </c>
      <c r="E14" s="53" t="s">
        <v>76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77">
        <v>0.33</v>
      </c>
      <c r="R14" s="28">
        <v>0.3</v>
      </c>
      <c r="S14" s="28">
        <v>0.33</v>
      </c>
      <c r="T14" s="28">
        <v>0.33</v>
      </c>
      <c r="U14" s="28">
        <v>0.33</v>
      </c>
      <c r="V14" s="28">
        <v>0.33</v>
      </c>
      <c r="W14" s="28">
        <v>0.33</v>
      </c>
      <c r="X14" s="28">
        <v>0.3</v>
      </c>
      <c r="Y14" s="28">
        <v>0.28999999999999998</v>
      </c>
      <c r="Z14" s="28">
        <v>0.28999999999999998</v>
      </c>
      <c r="AA14" s="28">
        <v>0.3</v>
      </c>
      <c r="AB14" s="28">
        <v>0.28999999999999998</v>
      </c>
      <c r="AC14" s="28">
        <v>0.33</v>
      </c>
      <c r="AD14" s="73">
        <v>0.34499999999999997</v>
      </c>
      <c r="AE14" s="74">
        <v>0.34499999999999997</v>
      </c>
      <c r="AF14" s="74">
        <v>0.34499999999999997</v>
      </c>
      <c r="AG14" s="28">
        <v>0.34</v>
      </c>
      <c r="AH14" s="121">
        <v>0.34</v>
      </c>
      <c r="AI14" s="126">
        <v>0.28999999999999998</v>
      </c>
      <c r="AJ14" s="126">
        <v>0.318</v>
      </c>
      <c r="AK14" s="126">
        <v>0.28999999999999998</v>
      </c>
    </row>
    <row r="15" spans="2:37">
      <c r="B15" s="25"/>
      <c r="C15" s="31" t="s">
        <v>81</v>
      </c>
      <c r="D15" s="31" t="s">
        <v>82</v>
      </c>
      <c r="E15" s="53" t="s">
        <v>76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173"/>
      <c r="Q15" s="28">
        <v>0.9</v>
      </c>
      <c r="R15" s="28"/>
      <c r="S15" s="28">
        <v>0.9</v>
      </c>
      <c r="T15" s="28">
        <v>0.9</v>
      </c>
      <c r="U15" s="28">
        <v>0.9</v>
      </c>
      <c r="V15" s="28"/>
      <c r="W15" s="28">
        <v>0.9</v>
      </c>
      <c r="X15" s="28">
        <v>0.9</v>
      </c>
      <c r="Y15" s="28"/>
      <c r="Z15" s="28"/>
      <c r="AA15" s="28"/>
      <c r="AB15" s="28"/>
      <c r="AC15" s="28"/>
      <c r="AD15" s="73"/>
      <c r="AE15" s="74"/>
      <c r="AF15" s="74"/>
      <c r="AG15" s="28"/>
      <c r="AH15" s="121"/>
    </row>
    <row r="16" spans="2:37">
      <c r="B16" s="25"/>
      <c r="C16" s="31" t="s">
        <v>83</v>
      </c>
      <c r="D16" s="31" t="s">
        <v>84</v>
      </c>
      <c r="E16" s="53" t="s">
        <v>85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210">
        <v>910000000</v>
      </c>
      <c r="Q16" s="27">
        <v>452000000</v>
      </c>
      <c r="R16" s="27">
        <v>452000000</v>
      </c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490000000</v>
      </c>
      <c r="Y16" s="27">
        <v>486000000</v>
      </c>
      <c r="Z16" s="27">
        <v>486000000</v>
      </c>
      <c r="AA16" s="27">
        <v>475000000</v>
      </c>
      <c r="AB16" s="27">
        <v>500000000</v>
      </c>
      <c r="AC16" s="27">
        <v>455000000</v>
      </c>
      <c r="AD16" s="76">
        <v>720000000</v>
      </c>
      <c r="AE16" s="75">
        <v>720000000</v>
      </c>
      <c r="AF16" s="75">
        <v>720000000</v>
      </c>
      <c r="AG16" s="27">
        <v>620750000</v>
      </c>
      <c r="AH16" s="127">
        <v>383000000</v>
      </c>
      <c r="AI16" s="130">
        <v>452000000</v>
      </c>
      <c r="AJ16" s="130">
        <v>452000000</v>
      </c>
      <c r="AK16" s="128">
        <v>133977600</v>
      </c>
    </row>
    <row r="17" spans="2:37">
      <c r="B17" s="25"/>
      <c r="C17" s="31" t="s">
        <v>86</v>
      </c>
      <c r="D17" s="31" t="s">
        <v>87</v>
      </c>
      <c r="E17" s="53" t="s">
        <v>88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177"/>
      <c r="Q17" s="27">
        <v>2.3200000000000001E-5</v>
      </c>
      <c r="R17" s="27">
        <v>2.3200000000000001E-5</v>
      </c>
      <c r="S17" s="27">
        <v>1.2E-5</v>
      </c>
      <c r="T17" s="27">
        <v>1.2E-5</v>
      </c>
      <c r="U17" s="27">
        <v>1.2E-5</v>
      </c>
      <c r="V17" s="27"/>
      <c r="W17" s="27"/>
      <c r="X17" s="27"/>
      <c r="Y17" s="27"/>
      <c r="Z17" s="27"/>
      <c r="AA17" s="27"/>
      <c r="AB17" s="27"/>
      <c r="AC17" s="27"/>
      <c r="AD17" s="73"/>
      <c r="AE17" s="74"/>
      <c r="AF17" s="74"/>
      <c r="AG17" s="27"/>
      <c r="AH17" s="121"/>
      <c r="AJ17" s="128"/>
    </row>
    <row r="18" spans="2:37">
      <c r="B18" s="25"/>
      <c r="C18" s="31" t="s">
        <v>89</v>
      </c>
      <c r="D18" s="31" t="s">
        <v>90</v>
      </c>
      <c r="E18" s="53"/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140">
        <v>1</v>
      </c>
      <c r="Q18" s="27">
        <v>1E-4</v>
      </c>
      <c r="R18" s="27">
        <v>1E-4</v>
      </c>
      <c r="S18" s="27">
        <v>5.0000000000000001E-4</v>
      </c>
      <c r="T18" s="27">
        <v>5.0000000000000001E-4</v>
      </c>
      <c r="U18" s="27">
        <v>5.0000000000000001E-4</v>
      </c>
      <c r="V18" s="27">
        <v>1E-4</v>
      </c>
      <c r="W18" s="27">
        <v>5.0000000000000001E-4</v>
      </c>
      <c r="X18" s="27">
        <v>0.02</v>
      </c>
      <c r="Y18" s="27">
        <v>4.0000000000000001E-3</v>
      </c>
      <c r="Z18" s="27">
        <v>1</v>
      </c>
      <c r="AA18" s="27">
        <v>1</v>
      </c>
      <c r="AB18" s="27">
        <v>0.1</v>
      </c>
      <c r="AC18" s="27">
        <v>1</v>
      </c>
      <c r="AD18" s="165">
        <v>9.7999999999999997E-3</v>
      </c>
      <c r="AE18" s="166">
        <v>7.1999999999999998E-3</v>
      </c>
      <c r="AF18" s="166">
        <v>6.3499999999999997E-3</v>
      </c>
      <c r="AG18" s="167">
        <v>1</v>
      </c>
      <c r="AH18" s="121">
        <v>1</v>
      </c>
      <c r="AI18" s="141">
        <v>1</v>
      </c>
      <c r="AJ18" s="141">
        <v>1</v>
      </c>
      <c r="AK18">
        <v>1</v>
      </c>
    </row>
    <row r="19" spans="2:37">
      <c r="B19" s="25"/>
      <c r="C19" s="31"/>
      <c r="D19" s="31" t="s">
        <v>91</v>
      </c>
      <c r="E19" s="53"/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177"/>
      <c r="Q19" s="27">
        <v>3.548</v>
      </c>
      <c r="R19" s="27">
        <f>R16*R9</f>
        <v>3.5482000000000005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168">
        <f>AD16*AD9</f>
        <v>3.1896</v>
      </c>
      <c r="AE19" s="169">
        <f t="shared" ref="AE19:AF19" si="5">AE16*AE9</f>
        <v>3.2760000000000002</v>
      </c>
      <c r="AF19" s="169">
        <f t="shared" si="5"/>
        <v>3.2760000000000002</v>
      </c>
      <c r="AG19" s="170"/>
      <c r="AH19" s="121"/>
      <c r="AJ19" s="128"/>
    </row>
    <row r="20" spans="2:37">
      <c r="B20" s="25"/>
      <c r="C20" s="35" t="s">
        <v>92</v>
      </c>
      <c r="D20" s="35" t="s">
        <v>93</v>
      </c>
      <c r="E20" s="54" t="s">
        <v>71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173">
        <v>933.3</v>
      </c>
      <c r="Q20" s="28">
        <v>1800</v>
      </c>
      <c r="R20" s="28">
        <v>1800</v>
      </c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f>1515+273</f>
        <v>1788</v>
      </c>
      <c r="Z20" s="28">
        <f>1495+273</f>
        <v>1768</v>
      </c>
      <c r="AA20" s="28">
        <f>1424+273</f>
        <v>1697</v>
      </c>
      <c r="AB20" s="28">
        <f>1427+273</f>
        <v>1700</v>
      </c>
      <c r="AC20" s="28">
        <v>1800</v>
      </c>
      <c r="AD20" s="73">
        <f>1668+273</f>
        <v>1941</v>
      </c>
      <c r="AE20" s="74">
        <f t="shared" ref="AE20:AF20" si="6">1668+273</f>
        <v>1941</v>
      </c>
      <c r="AF20" s="74">
        <f t="shared" si="6"/>
        <v>1941</v>
      </c>
      <c r="AG20" s="25">
        <v>1650</v>
      </c>
      <c r="AH20" s="121">
        <v>1356</v>
      </c>
      <c r="AI20">
        <v>1811</v>
      </c>
      <c r="AJ20">
        <v>1811</v>
      </c>
      <c r="AK20">
        <v>1723</v>
      </c>
    </row>
    <row r="21" spans="2:37">
      <c r="B21" s="25"/>
      <c r="C21" s="35" t="s">
        <v>94</v>
      </c>
      <c r="D21" s="35" t="s">
        <v>95</v>
      </c>
      <c r="E21" s="54" t="s">
        <v>71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178">
        <v>293</v>
      </c>
      <c r="Q21" s="28">
        <v>293</v>
      </c>
      <c r="R21" s="28">
        <v>293</v>
      </c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77">
        <v>293</v>
      </c>
      <c r="AE21" s="28">
        <v>293</v>
      </c>
      <c r="AF21" s="28">
        <v>293</v>
      </c>
      <c r="AG21" s="28">
        <v>293</v>
      </c>
      <c r="AH21" s="133">
        <v>293</v>
      </c>
      <c r="AI21" s="28">
        <v>293</v>
      </c>
      <c r="AJ21" s="28">
        <v>293</v>
      </c>
      <c r="AK21" s="28">
        <v>293</v>
      </c>
    </row>
    <row r="22" spans="2:37">
      <c r="B22" s="25"/>
      <c r="C22" s="35" t="s">
        <v>96</v>
      </c>
      <c r="D22" s="35" t="s">
        <v>97</v>
      </c>
      <c r="E22" s="54" t="s">
        <v>71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178">
        <v>293</v>
      </c>
      <c r="Q22" s="28">
        <v>293</v>
      </c>
      <c r="R22" s="28">
        <v>293</v>
      </c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77">
        <v>293</v>
      </c>
      <c r="AE22" s="28">
        <v>293</v>
      </c>
      <c r="AF22" s="28">
        <v>293</v>
      </c>
      <c r="AG22" s="28">
        <v>293</v>
      </c>
      <c r="AH22" s="134">
        <v>293</v>
      </c>
      <c r="AI22" s="28">
        <v>293</v>
      </c>
      <c r="AJ22" s="28">
        <v>293</v>
      </c>
      <c r="AK22" s="28">
        <v>293</v>
      </c>
    </row>
    <row r="23" spans="2:37">
      <c r="B23" s="25"/>
      <c r="C23" s="35" t="s">
        <v>98</v>
      </c>
      <c r="D23" s="35" t="s">
        <v>99</v>
      </c>
      <c r="E23" s="54" t="s">
        <v>71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77">
        <v>893</v>
      </c>
      <c r="R23" s="28">
        <v>893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73"/>
      <c r="AE23" s="74"/>
      <c r="AF23" s="74"/>
      <c r="AG23" s="25"/>
      <c r="AH23" s="121"/>
    </row>
    <row r="24" spans="2:37">
      <c r="B24" s="25"/>
      <c r="C24" s="31" t="s">
        <v>124</v>
      </c>
      <c r="D24" s="31" t="s">
        <v>100</v>
      </c>
      <c r="E24" s="53" t="s">
        <v>72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158">
        <v>325.70001000000002</v>
      </c>
      <c r="R24" s="28">
        <v>910</v>
      </c>
      <c r="S24" s="28">
        <v>499</v>
      </c>
      <c r="T24" s="28">
        <v>859</v>
      </c>
      <c r="U24" s="28">
        <v>992</v>
      </c>
      <c r="V24" s="27">
        <v>304.33</v>
      </c>
      <c r="W24" s="27">
        <v>490</v>
      </c>
      <c r="X24" s="27">
        <v>392</v>
      </c>
      <c r="Y24" s="27">
        <v>213</v>
      </c>
      <c r="Z24" s="27">
        <v>506</v>
      </c>
      <c r="AA24" s="27">
        <v>774.78</v>
      </c>
      <c r="AB24" s="27">
        <v>310</v>
      </c>
      <c r="AC24" s="27">
        <v>137.24879999999999</v>
      </c>
      <c r="AD24" s="73">
        <v>900</v>
      </c>
      <c r="AE24" s="74">
        <v>600</v>
      </c>
      <c r="AF24" s="74">
        <v>500</v>
      </c>
      <c r="AG24" s="126">
        <v>1098</v>
      </c>
      <c r="AH24" s="121">
        <v>90</v>
      </c>
      <c r="AI24" s="126">
        <v>175</v>
      </c>
      <c r="AJ24" s="126">
        <v>448.2</v>
      </c>
      <c r="AK24" s="130">
        <v>1506</v>
      </c>
    </row>
    <row r="25" spans="2:37">
      <c r="B25" s="25"/>
      <c r="C25" s="31" t="s">
        <v>125</v>
      </c>
      <c r="D25" s="31" t="s">
        <v>101</v>
      </c>
      <c r="E25" s="53" t="s">
        <v>76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77">
        <v>0</v>
      </c>
      <c r="R25" s="28">
        <v>586</v>
      </c>
      <c r="S25" s="28">
        <v>382</v>
      </c>
      <c r="T25" s="28">
        <v>329</v>
      </c>
      <c r="U25" s="28">
        <v>364</v>
      </c>
      <c r="V25" s="28">
        <v>422.00700000000001</v>
      </c>
      <c r="W25" s="28">
        <v>383</v>
      </c>
      <c r="X25" s="28">
        <v>697</v>
      </c>
      <c r="Y25" s="28">
        <v>53</v>
      </c>
      <c r="Z25" s="28">
        <v>320</v>
      </c>
      <c r="AA25" s="28">
        <v>134</v>
      </c>
      <c r="AB25" s="28">
        <v>1000</v>
      </c>
      <c r="AC25" s="27">
        <v>835.02200000000005</v>
      </c>
      <c r="AD25" s="73">
        <v>509.75</v>
      </c>
      <c r="AE25" s="74">
        <v>528</v>
      </c>
      <c r="AF25" s="74">
        <v>353.9</v>
      </c>
      <c r="AG25" s="126">
        <v>1092</v>
      </c>
      <c r="AH25" s="121">
        <v>292</v>
      </c>
      <c r="AI25" s="126">
        <v>380</v>
      </c>
      <c r="AJ25" s="126">
        <v>303.39999999999998</v>
      </c>
      <c r="AK25" s="126">
        <v>177</v>
      </c>
    </row>
    <row r="26" spans="2:37">
      <c r="B26" s="25"/>
      <c r="C26" s="31" t="s">
        <v>126</v>
      </c>
      <c r="D26" s="31" t="s">
        <v>102</v>
      </c>
      <c r="E26" s="53" t="s">
        <v>76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77">
        <v>0</v>
      </c>
      <c r="R26" s="28">
        <v>0.26</v>
      </c>
      <c r="S26" s="28">
        <v>0.45800000000000002</v>
      </c>
      <c r="T26" s="28">
        <v>0.57899999999999996</v>
      </c>
      <c r="U26" s="28">
        <v>0.56799999999999995</v>
      </c>
      <c r="V26" s="28">
        <v>0.34499999999999997</v>
      </c>
      <c r="W26" s="28">
        <v>0.45</v>
      </c>
      <c r="X26" s="28">
        <v>0.4</v>
      </c>
      <c r="Y26" s="28">
        <v>0.34499999999999997</v>
      </c>
      <c r="Z26" s="28">
        <v>0.28000000000000003</v>
      </c>
      <c r="AA26" s="28">
        <v>0.37</v>
      </c>
      <c r="AB26" s="28">
        <v>0.65</v>
      </c>
      <c r="AC26" s="28">
        <v>0.2467</v>
      </c>
      <c r="AD26" s="73">
        <v>0.50600000000000001</v>
      </c>
      <c r="AE26" s="74">
        <v>0.38600000000000001</v>
      </c>
      <c r="AF26" s="74">
        <v>0.50800000000000001</v>
      </c>
      <c r="AG26" s="126">
        <v>0.93</v>
      </c>
      <c r="AH26" s="121">
        <v>0.31</v>
      </c>
      <c r="AI26" s="126">
        <v>0.32</v>
      </c>
      <c r="AJ26" s="126">
        <v>0.15</v>
      </c>
      <c r="AK26" s="126">
        <v>0.12</v>
      </c>
    </row>
    <row r="27" spans="2:37">
      <c r="B27" s="25"/>
      <c r="C27" s="31" t="s">
        <v>127</v>
      </c>
      <c r="D27" s="31" t="s">
        <v>103</v>
      </c>
      <c r="E27" s="53" t="s">
        <v>76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77">
        <v>0.01</v>
      </c>
      <c r="R27" s="28">
        <v>1.4E-2</v>
      </c>
      <c r="S27" s="28">
        <v>7.9000000000000008E-3</v>
      </c>
      <c r="T27" s="28">
        <v>1.15E-2</v>
      </c>
      <c r="U27" s="28">
        <v>8.6999999999999994E-3</v>
      </c>
      <c r="V27" s="28">
        <v>1.5599999999999999E-2</v>
      </c>
      <c r="W27" s="28">
        <v>1.14E-2</v>
      </c>
      <c r="X27" s="28">
        <v>1.5299999999999999E-2</v>
      </c>
      <c r="Y27" s="28">
        <v>5.5E-2</v>
      </c>
      <c r="Z27" s="28">
        <v>6.4000000000000001E-2</v>
      </c>
      <c r="AA27" s="28">
        <v>1.7999999999999999E-2</v>
      </c>
      <c r="AB27" s="28">
        <v>7.0000000000000007E-2</v>
      </c>
      <c r="AC27" s="28">
        <v>6.1699999999999998E-2</v>
      </c>
      <c r="AD27" s="73">
        <v>0.03</v>
      </c>
      <c r="AE27" s="74">
        <v>0.03</v>
      </c>
      <c r="AF27" s="74">
        <v>0.03</v>
      </c>
      <c r="AG27" s="126">
        <v>1.4E-2</v>
      </c>
      <c r="AH27" s="121">
        <v>2.5000000000000001E-2</v>
      </c>
      <c r="AI27" s="126">
        <v>0.06</v>
      </c>
      <c r="AJ27" s="126">
        <v>3.3E-3</v>
      </c>
      <c r="AK27" s="126">
        <v>1.6E-2</v>
      </c>
    </row>
    <row r="28" spans="2:37">
      <c r="B28" s="25"/>
      <c r="C28" s="31" t="s">
        <v>128</v>
      </c>
      <c r="D28" s="31" t="s">
        <v>104</v>
      </c>
      <c r="E28" s="53" t="s">
        <v>76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77">
        <v>1</v>
      </c>
      <c r="R28" s="28">
        <v>1.03</v>
      </c>
      <c r="S28" s="28">
        <v>0.89300000000000002</v>
      </c>
      <c r="T28" s="28">
        <v>1.071</v>
      </c>
      <c r="U28" s="28">
        <v>1.131</v>
      </c>
      <c r="V28" s="28">
        <v>0.87</v>
      </c>
      <c r="W28" s="28">
        <v>0.94</v>
      </c>
      <c r="X28" s="28">
        <v>1</v>
      </c>
      <c r="Y28" s="28">
        <v>0.81</v>
      </c>
      <c r="Z28" s="28">
        <v>1.06</v>
      </c>
      <c r="AA28" s="28">
        <v>3.1709999999999998</v>
      </c>
      <c r="AB28" s="28">
        <v>1</v>
      </c>
      <c r="AC28" s="28">
        <v>0.84</v>
      </c>
      <c r="AD28" s="73">
        <v>0</v>
      </c>
      <c r="AE28" s="74">
        <v>0</v>
      </c>
      <c r="AF28" s="74">
        <v>0</v>
      </c>
      <c r="AG28" s="126">
        <v>1.1000000000000001</v>
      </c>
      <c r="AH28" s="121">
        <v>1.0900000000000001</v>
      </c>
      <c r="AI28" s="126">
        <v>0.55000000000000004</v>
      </c>
      <c r="AJ28" s="126">
        <v>1.03</v>
      </c>
      <c r="AK28" s="126">
        <v>1</v>
      </c>
    </row>
    <row r="29" spans="2:37">
      <c r="B29" s="25"/>
      <c r="C29" s="35" t="s">
        <v>155</v>
      </c>
      <c r="D29" s="35" t="s">
        <v>105</v>
      </c>
      <c r="E29" s="54" t="s">
        <v>72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77">
        <v>234.8</v>
      </c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73"/>
      <c r="AE29" s="74"/>
      <c r="AF29" s="74"/>
      <c r="AG29" s="25"/>
      <c r="AH29" s="121"/>
    </row>
    <row r="30" spans="2:37">
      <c r="B30" s="25"/>
      <c r="C30" s="35" t="s">
        <v>156</v>
      </c>
      <c r="D30" s="35" t="s">
        <v>106</v>
      </c>
      <c r="E30" s="54" t="s">
        <v>76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77">
        <v>56.200001</v>
      </c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73"/>
      <c r="AE30" s="74"/>
      <c r="AF30" s="74"/>
      <c r="AG30" s="25"/>
      <c r="AH30" s="121"/>
    </row>
    <row r="31" spans="2:37">
      <c r="B31" s="25"/>
      <c r="C31" s="35" t="s">
        <v>157</v>
      </c>
      <c r="D31" s="35" t="s">
        <v>107</v>
      </c>
      <c r="E31" s="54" t="s">
        <v>72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77">
        <v>445.70001000000002</v>
      </c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73"/>
      <c r="AE31" s="74"/>
      <c r="AF31" s="74"/>
      <c r="AG31" s="25"/>
      <c r="AH31" s="121"/>
    </row>
    <row r="32" spans="2:37">
      <c r="B32" s="25"/>
      <c r="C32" s="35" t="s">
        <v>158</v>
      </c>
      <c r="D32" s="35" t="s">
        <v>108</v>
      </c>
      <c r="E32" s="54" t="s">
        <v>76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77">
        <v>4.6999997999999996</v>
      </c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73"/>
      <c r="AE32" s="74"/>
      <c r="AF32" s="74"/>
      <c r="AG32" s="25"/>
      <c r="AH32" s="121"/>
    </row>
    <row r="33" spans="2:37">
      <c r="B33" s="25"/>
      <c r="C33" s="35" t="s">
        <v>109</v>
      </c>
      <c r="D33" s="35" t="s">
        <v>110</v>
      </c>
      <c r="E33" s="54" t="s">
        <v>111</v>
      </c>
      <c r="F33" s="50">
        <v>278</v>
      </c>
      <c r="G33" s="33">
        <v>151</v>
      </c>
      <c r="H33" s="33">
        <v>211</v>
      </c>
      <c r="I33" s="33">
        <v>115</v>
      </c>
      <c r="J33" s="45">
        <v>128</v>
      </c>
      <c r="K33" s="28"/>
      <c r="L33" s="28"/>
      <c r="M33" s="28"/>
      <c r="N33" s="28"/>
      <c r="O33" s="28"/>
      <c r="P33" s="28"/>
      <c r="Q33" s="77">
        <v>555</v>
      </c>
      <c r="R33" s="28"/>
      <c r="S33" s="28">
        <v>1292</v>
      </c>
      <c r="T33" s="28">
        <v>1424</v>
      </c>
      <c r="U33" s="28">
        <v>1510</v>
      </c>
      <c r="V33" s="28"/>
      <c r="W33" s="28"/>
      <c r="X33" s="28"/>
      <c r="Y33" s="28"/>
      <c r="Z33" s="28"/>
      <c r="AA33" s="28"/>
      <c r="AB33" s="28"/>
      <c r="AC33" s="28"/>
      <c r="AD33" s="73"/>
      <c r="AE33" s="74"/>
      <c r="AF33" s="74"/>
      <c r="AG33" s="25"/>
      <c r="AH33" s="121"/>
    </row>
    <row r="34" spans="2:37">
      <c r="B34" s="25"/>
      <c r="C34" s="31"/>
      <c r="D34" s="31" t="s">
        <v>112</v>
      </c>
      <c r="E34" s="53" t="s">
        <v>76</v>
      </c>
      <c r="F34" s="50">
        <v>1E-3</v>
      </c>
      <c r="G34" s="33">
        <v>1E-3</v>
      </c>
      <c r="H34" s="33">
        <v>1E-3</v>
      </c>
      <c r="I34" s="33">
        <v>1E-3</v>
      </c>
      <c r="J34" s="45">
        <v>1E-3</v>
      </c>
      <c r="K34" s="28"/>
      <c r="L34" s="28"/>
      <c r="M34" s="28"/>
      <c r="N34" s="28"/>
      <c r="O34" s="28"/>
      <c r="P34" s="28"/>
      <c r="Q34" s="94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73"/>
      <c r="AE34" s="74"/>
      <c r="AF34" s="74"/>
      <c r="AG34" s="25"/>
      <c r="AH34" s="121"/>
    </row>
    <row r="35" spans="2:37">
      <c r="B35" s="25"/>
      <c r="C35" s="60"/>
      <c r="D35" s="60" t="s">
        <v>113</v>
      </c>
      <c r="E35" s="61" t="s">
        <v>72</v>
      </c>
      <c r="F35" s="62">
        <v>292.60000000000002</v>
      </c>
      <c r="G35" s="63">
        <v>51</v>
      </c>
      <c r="H35" s="63">
        <v>187</v>
      </c>
      <c r="I35" s="63">
        <v>373</v>
      </c>
      <c r="J35" s="64">
        <v>341</v>
      </c>
      <c r="K35" s="28"/>
      <c r="L35" s="28"/>
      <c r="M35" s="28"/>
      <c r="N35" s="28"/>
      <c r="O35" s="28"/>
      <c r="P35" s="28"/>
      <c r="Q35" s="94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73"/>
      <c r="AE35" s="74"/>
      <c r="AF35" s="74"/>
      <c r="AG35" s="25"/>
      <c r="AH35" s="121"/>
    </row>
    <row r="36" spans="2:37">
      <c r="B36" s="25"/>
      <c r="C36" s="89" t="s">
        <v>224</v>
      </c>
      <c r="D36" s="31" t="s">
        <v>136</v>
      </c>
      <c r="E36" s="69"/>
      <c r="F36" s="28"/>
      <c r="G36" s="28"/>
      <c r="H36" s="28"/>
      <c r="I36" s="28"/>
      <c r="J36" s="28"/>
      <c r="K36" s="28">
        <v>-0.42799999999999999</v>
      </c>
      <c r="L36" s="28">
        <v>0.13</v>
      </c>
      <c r="M36" s="28">
        <v>-6.8000000000000005E-2</v>
      </c>
      <c r="N36" s="28">
        <v>2.6100000000000002E-2</v>
      </c>
      <c r="O36" s="28">
        <v>3.4000000000000002E-2</v>
      </c>
      <c r="P36" s="28">
        <v>0.05</v>
      </c>
      <c r="Q36" s="94"/>
      <c r="R36" s="26">
        <v>-0.8</v>
      </c>
      <c r="S36" s="26">
        <v>0.63600000000000001</v>
      </c>
      <c r="T36" s="26">
        <v>0.36099999999999999</v>
      </c>
      <c r="U36" s="26">
        <v>0.29399999999999998</v>
      </c>
      <c r="V36" s="26">
        <v>0.1152</v>
      </c>
      <c r="W36" s="26">
        <v>7.0499999999999993E-2</v>
      </c>
      <c r="X36" s="26">
        <v>0.7</v>
      </c>
      <c r="Y36" s="26">
        <v>0.05</v>
      </c>
      <c r="Z36" s="26">
        <v>0.1</v>
      </c>
      <c r="AA36" s="26">
        <v>3.6799999999999999E-2</v>
      </c>
      <c r="AB36" s="26">
        <v>0.53</v>
      </c>
      <c r="AC36" s="26">
        <v>4.2889999999999998E-2</v>
      </c>
      <c r="AD36" s="73">
        <v>-0.81</v>
      </c>
      <c r="AE36" s="74">
        <v>-0.995</v>
      </c>
      <c r="AF36" s="74">
        <v>-1.157</v>
      </c>
      <c r="AG36" s="126">
        <v>-0.09</v>
      </c>
      <c r="AH36" s="121">
        <v>0.54</v>
      </c>
      <c r="AI36" s="126">
        <v>-2.2000000000000002</v>
      </c>
      <c r="AJ36" s="126">
        <v>2.25</v>
      </c>
      <c r="AK36" s="126">
        <v>0</v>
      </c>
    </row>
    <row r="37" spans="2:37">
      <c r="B37" s="25"/>
      <c r="C37" s="90" t="s">
        <v>137</v>
      </c>
      <c r="D37" s="31" t="s">
        <v>137</v>
      </c>
      <c r="E37" s="69"/>
      <c r="F37" s="67"/>
      <c r="G37" s="65"/>
      <c r="H37" s="65"/>
      <c r="I37" s="65"/>
      <c r="J37" s="66"/>
      <c r="K37" s="28">
        <v>0.75660000000000005</v>
      </c>
      <c r="L37" s="28">
        <v>0.13</v>
      </c>
      <c r="M37" s="28">
        <v>0.45</v>
      </c>
      <c r="N37" s="28">
        <v>0.26300000000000001</v>
      </c>
      <c r="O37" s="28">
        <v>0.66400000000000003</v>
      </c>
      <c r="P37" s="28">
        <v>1.2809999999999999</v>
      </c>
      <c r="Q37" s="94"/>
      <c r="R37" s="26">
        <v>2.1</v>
      </c>
      <c r="S37" s="26">
        <v>1.9359999999999999</v>
      </c>
      <c r="T37" s="26">
        <v>4.7679999999999998</v>
      </c>
      <c r="U37" s="26">
        <v>5.149</v>
      </c>
      <c r="V37" s="26">
        <v>1.0116000000000001</v>
      </c>
      <c r="W37" s="26">
        <v>1.732</v>
      </c>
      <c r="X37" s="26">
        <v>0.5</v>
      </c>
      <c r="Y37" s="26">
        <v>3.44</v>
      </c>
      <c r="Z37" s="26">
        <v>0.76</v>
      </c>
      <c r="AA37" s="26">
        <v>2.34</v>
      </c>
      <c r="AB37" s="26">
        <v>0.5</v>
      </c>
      <c r="AC37" s="26">
        <v>2.1520999999999999</v>
      </c>
      <c r="AD37" s="73">
        <v>1.18</v>
      </c>
      <c r="AE37" s="74">
        <v>1.45</v>
      </c>
      <c r="AF37" s="74">
        <v>1.6850000000000001</v>
      </c>
      <c r="AG37" s="126">
        <v>0.27</v>
      </c>
      <c r="AH37" s="121">
        <v>4.8899999999999997</v>
      </c>
      <c r="AI37" s="126">
        <v>5.43</v>
      </c>
      <c r="AJ37" s="126">
        <v>5.0000000000000001E-4</v>
      </c>
      <c r="AK37" s="128">
        <v>0.33</v>
      </c>
    </row>
    <row r="38" spans="2:37">
      <c r="B38" s="25"/>
      <c r="C38" s="90" t="s">
        <v>138</v>
      </c>
      <c r="D38" s="31" t="s">
        <v>138</v>
      </c>
      <c r="E38" s="69"/>
      <c r="F38" s="68"/>
      <c r="G38" s="63"/>
      <c r="H38" s="63"/>
      <c r="I38" s="63"/>
      <c r="J38" s="64"/>
      <c r="K38" s="28">
        <v>-3.4077999999999999</v>
      </c>
      <c r="L38" s="28">
        <v>-1.5</v>
      </c>
      <c r="M38" s="28">
        <v>-0.95</v>
      </c>
      <c r="N38" s="28">
        <v>-0.34899999999999998</v>
      </c>
      <c r="O38" s="28">
        <v>-1.5</v>
      </c>
      <c r="P38" s="28">
        <v>-3.5</v>
      </c>
      <c r="Q38" s="94"/>
      <c r="R38" s="26">
        <v>-0.5</v>
      </c>
      <c r="S38" s="26">
        <v>-2.9689999999999999</v>
      </c>
      <c r="T38" s="26">
        <v>-5.1070000000000002</v>
      </c>
      <c r="U38" s="26">
        <v>-5.5830000000000002</v>
      </c>
      <c r="V38" s="26">
        <v>-1.7684</v>
      </c>
      <c r="W38" s="26">
        <v>-0.54</v>
      </c>
      <c r="X38" s="26">
        <v>5</v>
      </c>
      <c r="Y38" s="26">
        <v>-2.12</v>
      </c>
      <c r="Z38" s="26">
        <v>-1.57</v>
      </c>
      <c r="AA38" s="26">
        <v>-1.484</v>
      </c>
      <c r="AB38" s="26">
        <v>-6.8</v>
      </c>
      <c r="AC38" s="26">
        <v>-2.7574999999999998</v>
      </c>
      <c r="AD38" s="73">
        <v>-0.15</v>
      </c>
      <c r="AE38" s="74" t="s">
        <v>141</v>
      </c>
      <c r="AF38" s="74">
        <v>-8.3000000000000004E-2</v>
      </c>
      <c r="AG38" s="25">
        <v>0.48</v>
      </c>
      <c r="AH38" s="121">
        <v>-3.03</v>
      </c>
      <c r="AI38">
        <v>-0.47</v>
      </c>
      <c r="AJ38">
        <v>-3.6</v>
      </c>
      <c r="AK38">
        <v>-1.5</v>
      </c>
    </row>
    <row r="39" spans="2:37">
      <c r="B39" s="25"/>
      <c r="C39" s="90" t="s">
        <v>139</v>
      </c>
      <c r="D39" s="31" t="s">
        <v>139</v>
      </c>
      <c r="E39" s="69"/>
      <c r="F39" s="68"/>
      <c r="G39" s="63"/>
      <c r="H39" s="63"/>
      <c r="I39" s="63"/>
      <c r="J39" s="64"/>
      <c r="K39" s="28">
        <v>-3.0000000000000001E-3</v>
      </c>
      <c r="L39" s="28">
        <v>1.0999999999999999E-2</v>
      </c>
      <c r="M39" s="28">
        <v>3.5999999999999997E-2</v>
      </c>
      <c r="N39" s="28">
        <v>0.14699999999999999</v>
      </c>
      <c r="O39" s="28">
        <v>1.0999999999999999E-2</v>
      </c>
      <c r="P39" s="28">
        <v>0.13800000000000001</v>
      </c>
      <c r="Q39" s="94"/>
      <c r="R39" s="26">
        <v>2E-3</v>
      </c>
      <c r="S39" s="26">
        <v>-1.4E-2</v>
      </c>
      <c r="T39" s="26">
        <v>-1.2999999999999999E-3</v>
      </c>
      <c r="U39" s="26">
        <v>2.3E-3</v>
      </c>
      <c r="V39" s="26">
        <v>-5.2789999999999997E-2</v>
      </c>
      <c r="W39" s="26">
        <v>-1.4999999999999999E-2</v>
      </c>
      <c r="X39" s="26">
        <v>-6.0000000000000001E-3</v>
      </c>
      <c r="Y39" s="26">
        <v>2E-3</v>
      </c>
      <c r="Z39" s="26">
        <v>5.0000000000000001E-3</v>
      </c>
      <c r="AA39" s="26">
        <v>3.5000000000000001E-3</v>
      </c>
      <c r="AB39" s="26">
        <v>-1.4E-2</v>
      </c>
      <c r="AC39" s="26">
        <v>-6.6E-3</v>
      </c>
      <c r="AD39" s="73">
        <v>-0.02</v>
      </c>
      <c r="AE39" s="74" t="s">
        <v>142</v>
      </c>
      <c r="AF39" s="74">
        <v>2.4E-2</v>
      </c>
      <c r="AG39" s="126">
        <v>1.4E-2</v>
      </c>
      <c r="AH39" s="121">
        <v>1.4E-2</v>
      </c>
      <c r="AI39" s="126">
        <v>1.6E-2</v>
      </c>
      <c r="AJ39" s="126">
        <v>-1.23E-2</v>
      </c>
      <c r="AK39" s="126">
        <v>0</v>
      </c>
    </row>
    <row r="40" spans="2:37">
      <c r="B40" s="25"/>
      <c r="C40" s="90" t="s">
        <v>140</v>
      </c>
      <c r="D40" s="60" t="s">
        <v>140</v>
      </c>
      <c r="E40" s="70"/>
      <c r="F40" s="28"/>
      <c r="G40" s="28"/>
      <c r="H40" s="28"/>
      <c r="I40" s="28"/>
      <c r="J40" s="28"/>
      <c r="K40" s="28">
        <v>24.93</v>
      </c>
      <c r="L40" s="28">
        <v>0</v>
      </c>
      <c r="M40" s="28">
        <v>6</v>
      </c>
      <c r="N40" s="28">
        <v>16.8</v>
      </c>
      <c r="O40" s="28">
        <v>0</v>
      </c>
      <c r="P40" s="28">
        <v>4.0999999999999996</v>
      </c>
      <c r="Q40" s="94"/>
      <c r="R40" s="26">
        <v>0.61</v>
      </c>
      <c r="S40" s="26">
        <v>1.014</v>
      </c>
      <c r="T40" s="26">
        <v>1.333</v>
      </c>
      <c r="U40" s="26">
        <v>0.95099999999999996</v>
      </c>
      <c r="V40" s="26">
        <v>0.5262</v>
      </c>
      <c r="W40" s="26">
        <v>0</v>
      </c>
      <c r="X40" s="26">
        <v>0</v>
      </c>
      <c r="Y40" s="26">
        <v>0.61</v>
      </c>
      <c r="Z40" s="26">
        <v>-0.84</v>
      </c>
      <c r="AA40" s="26">
        <v>0.41099999999999998</v>
      </c>
      <c r="AB40" s="26">
        <v>0</v>
      </c>
      <c r="AC40" s="26">
        <v>0.86</v>
      </c>
      <c r="AD40" s="73">
        <v>0</v>
      </c>
      <c r="AE40" s="74">
        <v>0</v>
      </c>
      <c r="AF40" s="74">
        <v>0</v>
      </c>
      <c r="AG40" s="126">
        <v>3.87</v>
      </c>
      <c r="AH40" s="121">
        <v>1.1200000000000001</v>
      </c>
      <c r="AI40" s="126">
        <v>0.63</v>
      </c>
      <c r="AJ40" s="126">
        <v>0</v>
      </c>
      <c r="AK40" s="126">
        <v>0</v>
      </c>
    </row>
    <row r="41" spans="2:37" ht="14.25" customHeight="1">
      <c r="B41" s="25"/>
      <c r="C41" s="87" t="s">
        <v>143</v>
      </c>
      <c r="D41" s="88"/>
      <c r="E41" s="88" t="s">
        <v>72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94"/>
      <c r="R41" s="26">
        <v>745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73">
        <v>1000</v>
      </c>
      <c r="AE41" s="74">
        <v>800</v>
      </c>
      <c r="AF41" s="74">
        <v>600</v>
      </c>
      <c r="AG41" s="25"/>
      <c r="AH41" s="121"/>
    </row>
    <row r="42" spans="2:37" ht="14.25" customHeight="1">
      <c r="B42" s="25"/>
      <c r="C42" s="91" t="s">
        <v>147</v>
      </c>
      <c r="D42" s="88" t="s">
        <v>59</v>
      </c>
      <c r="E42" s="88" t="s">
        <v>76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94"/>
      <c r="R42" s="26">
        <v>164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73"/>
      <c r="AE42" s="74"/>
      <c r="AF42" s="74"/>
      <c r="AG42" s="25"/>
      <c r="AH42" s="122"/>
    </row>
    <row r="43" spans="2:37" ht="14.25" customHeight="1">
      <c r="B43" s="25"/>
      <c r="C43" s="80"/>
      <c r="D43" s="88" t="s">
        <v>146</v>
      </c>
      <c r="E43" s="88" t="s">
        <v>76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94"/>
      <c r="R43" s="26">
        <v>294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73"/>
      <c r="AE43" s="74"/>
      <c r="AF43" s="74"/>
      <c r="AG43" s="25"/>
      <c r="AH43" s="122"/>
    </row>
    <row r="44" spans="2:37" ht="14.25" customHeight="1">
      <c r="B44" s="25"/>
      <c r="C44" s="80"/>
      <c r="D44" s="88" t="s">
        <v>148</v>
      </c>
      <c r="E44" s="88" t="s">
        <v>76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94"/>
      <c r="R44" s="26">
        <v>500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73"/>
      <c r="AE44" s="74"/>
      <c r="AF44" s="74"/>
      <c r="AG44" s="25"/>
      <c r="AH44" s="122"/>
    </row>
    <row r="45" spans="2:37" ht="14.25" customHeight="1">
      <c r="B45" s="25"/>
      <c r="C45" s="92"/>
      <c r="D45" s="81" t="s">
        <v>149</v>
      </c>
      <c r="E45" s="82" t="s">
        <v>76</v>
      </c>
      <c r="F45" s="83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95"/>
      <c r="R45" s="104">
        <v>1.1599999999999999</v>
      </c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85"/>
      <c r="AE45" s="86"/>
      <c r="AF45" s="86"/>
      <c r="AG45" s="84"/>
      <c r="AH45" s="83"/>
      <c r="AI45" s="84"/>
      <c r="AJ45" s="84"/>
      <c r="AK45" s="84"/>
    </row>
    <row r="46" spans="2:37">
      <c r="B46" s="25"/>
      <c r="C46" s="39" t="s">
        <v>114</v>
      </c>
      <c r="D46" s="39"/>
      <c r="E46" s="55"/>
      <c r="F46" s="57" t="s">
        <v>122</v>
      </c>
      <c r="G46" s="40" t="s">
        <v>115</v>
      </c>
      <c r="H46" s="40" t="s">
        <v>116</v>
      </c>
      <c r="I46" s="40" t="s">
        <v>117</v>
      </c>
      <c r="J46" s="72" t="s">
        <v>118</v>
      </c>
      <c r="K46" s="105"/>
      <c r="L46" s="105"/>
      <c r="M46" s="105"/>
      <c r="N46" s="105"/>
      <c r="O46" s="105"/>
      <c r="P46" s="105"/>
      <c r="Q46" s="96"/>
      <c r="R46" s="105"/>
      <c r="S46" s="98"/>
      <c r="T46" s="98"/>
      <c r="U46" s="98"/>
      <c r="V46" s="107"/>
      <c r="W46" s="149"/>
      <c r="X46" s="159"/>
      <c r="Y46" s="159"/>
      <c r="Z46" s="159"/>
      <c r="AA46" s="159"/>
      <c r="AB46" s="159"/>
      <c r="AC46" s="159"/>
      <c r="AD46" s="78"/>
      <c r="AE46" s="38"/>
      <c r="AF46" s="26"/>
      <c r="AG46" s="25"/>
      <c r="AH46" s="122"/>
    </row>
    <row r="47" spans="2:37">
      <c r="B47" s="25"/>
      <c r="C47" s="30" t="s">
        <v>119</v>
      </c>
      <c r="D47" s="30"/>
      <c r="E47" s="56"/>
      <c r="F47" s="58"/>
      <c r="G47" s="232">
        <v>1</v>
      </c>
      <c r="H47" s="232"/>
      <c r="I47" s="232"/>
      <c r="J47" s="233"/>
      <c r="K47" s="106">
        <v>9</v>
      </c>
      <c r="L47" s="106">
        <v>10</v>
      </c>
      <c r="M47" s="106">
        <v>11</v>
      </c>
      <c r="N47" s="106">
        <v>20</v>
      </c>
      <c r="O47" s="106">
        <v>17</v>
      </c>
      <c r="P47" s="106">
        <v>19</v>
      </c>
      <c r="Q47" s="97">
        <v>2</v>
      </c>
      <c r="R47" s="98">
        <v>4</v>
      </c>
      <c r="S47" s="230">
        <v>5</v>
      </c>
      <c r="T47" s="230"/>
      <c r="U47" s="230"/>
      <c r="V47" s="149">
        <v>8</v>
      </c>
      <c r="W47" s="159">
        <v>12</v>
      </c>
      <c r="X47" s="159">
        <v>13</v>
      </c>
      <c r="Y47" s="230">
        <v>14</v>
      </c>
      <c r="Z47" s="230"/>
      <c r="AA47" s="230"/>
      <c r="AB47" s="230"/>
      <c r="AC47" s="174">
        <v>15</v>
      </c>
      <c r="AD47" s="230">
        <v>3</v>
      </c>
      <c r="AE47" s="230"/>
      <c r="AF47" s="230"/>
      <c r="AG47" s="109">
        <v>6</v>
      </c>
      <c r="AH47" s="227">
        <v>7</v>
      </c>
      <c r="AI47" s="228"/>
      <c r="AJ47" s="143">
        <v>16</v>
      </c>
      <c r="AK47" s="183">
        <v>18</v>
      </c>
    </row>
    <row r="48" spans="2:37">
      <c r="B48" s="25"/>
      <c r="C48" s="30" t="s">
        <v>120</v>
      </c>
      <c r="D48" s="30"/>
      <c r="E48" s="56"/>
      <c r="F48" s="151" t="s">
        <v>121</v>
      </c>
      <c r="G48" s="152" t="s">
        <v>121</v>
      </c>
      <c r="H48" s="152" t="s">
        <v>121</v>
      </c>
      <c r="I48" s="152" t="s">
        <v>121</v>
      </c>
      <c r="J48" s="153" t="s">
        <v>121</v>
      </c>
      <c r="K48" s="154" t="s">
        <v>121</v>
      </c>
      <c r="L48" s="154" t="s">
        <v>121</v>
      </c>
      <c r="M48" s="154" t="s">
        <v>121</v>
      </c>
      <c r="N48" s="211" t="s">
        <v>189</v>
      </c>
      <c r="O48" s="154" t="s">
        <v>121</v>
      </c>
      <c r="P48" s="211" t="s">
        <v>189</v>
      </c>
      <c r="Q48" s="155" t="s">
        <v>121</v>
      </c>
      <c r="R48" s="154" t="s">
        <v>121</v>
      </c>
      <c r="S48" s="156" t="s">
        <v>189</v>
      </c>
      <c r="T48" s="156" t="s">
        <v>189</v>
      </c>
      <c r="U48" s="156" t="s">
        <v>189</v>
      </c>
      <c r="V48" s="157" t="s">
        <v>121</v>
      </c>
      <c r="W48" s="157" t="s">
        <v>121</v>
      </c>
      <c r="X48" s="157" t="s">
        <v>121</v>
      </c>
      <c r="Y48" s="156" t="s">
        <v>189</v>
      </c>
      <c r="Z48" s="157" t="s">
        <v>121</v>
      </c>
      <c r="AA48" s="157" t="s">
        <v>121</v>
      </c>
      <c r="AB48" s="157" t="s">
        <v>121</v>
      </c>
      <c r="AC48" s="157" t="s">
        <v>121</v>
      </c>
      <c r="AD48" s="151" t="s">
        <v>121</v>
      </c>
      <c r="AE48" s="152" t="s">
        <v>121</v>
      </c>
      <c r="AF48" s="157" t="s">
        <v>121</v>
      </c>
      <c r="AG48" s="157" t="s">
        <v>121</v>
      </c>
      <c r="AH48" s="164" t="s">
        <v>189</v>
      </c>
      <c r="AI48" s="157" t="s">
        <v>121</v>
      </c>
      <c r="AJ48" s="156" t="s">
        <v>189</v>
      </c>
      <c r="AK48" s="172" t="s">
        <v>192</v>
      </c>
    </row>
    <row r="49" spans="2:48"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5"/>
      <c r="AH49" s="25"/>
    </row>
    <row r="50" spans="2:48"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5"/>
      <c r="AH50" s="25"/>
    </row>
    <row r="51" spans="2:48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5"/>
      <c r="AH51" s="25"/>
    </row>
    <row r="52" spans="2:48">
      <c r="B52" s="25">
        <v>1</v>
      </c>
      <c r="C52" s="29" t="s">
        <v>169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5"/>
      <c r="AH52" s="25"/>
    </row>
    <row r="53" spans="2:48">
      <c r="B53" s="25">
        <v>2</v>
      </c>
      <c r="C53" s="231" t="s">
        <v>168</v>
      </c>
      <c r="D53" s="231"/>
      <c r="E53" s="231"/>
      <c r="F53" s="231"/>
      <c r="G53" s="231"/>
      <c r="H53" s="231"/>
      <c r="I53" s="231"/>
      <c r="J53" s="231"/>
      <c r="K53" s="231"/>
      <c r="L53" s="231"/>
      <c r="M53" s="231"/>
      <c r="N53" s="231"/>
      <c r="O53" s="231"/>
      <c r="P53" s="231"/>
      <c r="Q53" s="231"/>
      <c r="R53" s="79"/>
      <c r="S53" s="99"/>
      <c r="T53" s="99"/>
      <c r="U53" s="99"/>
      <c r="V53" s="108"/>
      <c r="W53" s="150"/>
      <c r="X53" s="160"/>
      <c r="Y53" s="160"/>
      <c r="Z53" s="160"/>
      <c r="AA53" s="160"/>
      <c r="AB53" s="160"/>
      <c r="AC53" s="160"/>
      <c r="AD53" s="26"/>
      <c r="AE53" s="26"/>
      <c r="AF53" s="26"/>
      <c r="AG53" s="25"/>
      <c r="AH53" s="25"/>
    </row>
    <row r="54" spans="2:48">
      <c r="B54" s="25">
        <v>3</v>
      </c>
      <c r="C54" s="231" t="s">
        <v>167</v>
      </c>
      <c r="D54" s="231"/>
      <c r="E54" s="231"/>
      <c r="F54" s="231"/>
      <c r="G54" s="231"/>
      <c r="H54" s="231"/>
      <c r="I54" s="231"/>
      <c r="J54" s="231"/>
      <c r="K54" s="108"/>
      <c r="L54" s="108"/>
      <c r="M54" s="108"/>
      <c r="N54" s="160"/>
      <c r="O54" s="160"/>
      <c r="P54" s="179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5"/>
      <c r="AH54" s="25"/>
    </row>
    <row r="55" spans="2:48">
      <c r="B55" s="25">
        <v>4</v>
      </c>
      <c r="C55" s="25" t="s">
        <v>166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2:48">
      <c r="B56" s="25">
        <v>5</v>
      </c>
      <c r="C56" s="229" t="s">
        <v>165</v>
      </c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2:48">
      <c r="B57" s="25">
        <v>6</v>
      </c>
      <c r="C57" s="223" t="s">
        <v>164</v>
      </c>
      <c r="D57" s="223"/>
      <c r="E57" s="223"/>
      <c r="F57" s="223"/>
      <c r="G57" s="223"/>
      <c r="H57" s="223"/>
      <c r="I57" s="223"/>
      <c r="J57" s="223"/>
      <c r="K57" s="223"/>
      <c r="L57" s="223"/>
      <c r="M57" s="223"/>
      <c r="N57" s="223"/>
      <c r="O57" s="223"/>
      <c r="P57" s="223"/>
      <c r="Q57" s="223"/>
      <c r="R57" s="223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2:48">
      <c r="B58" s="59">
        <v>6</v>
      </c>
      <c r="C58" s="229" t="s">
        <v>175</v>
      </c>
      <c r="D58" s="229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  <c r="U58" s="229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2:48" ht="15.75">
      <c r="B59" s="59">
        <v>7</v>
      </c>
      <c r="C59" s="226" t="s">
        <v>171</v>
      </c>
      <c r="D59" s="226"/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</row>
    <row r="60" spans="2:48" ht="16.5">
      <c r="B60" s="59">
        <v>8</v>
      </c>
      <c r="C60" s="138" t="s">
        <v>174</v>
      </c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AV60" t="s">
        <v>49</v>
      </c>
    </row>
    <row r="61" spans="2:48">
      <c r="B61" s="59">
        <v>9</v>
      </c>
      <c r="C61" s="139" t="s">
        <v>177</v>
      </c>
    </row>
    <row r="62" spans="2:48" ht="16.5">
      <c r="B62" s="59">
        <v>10</v>
      </c>
      <c r="C62" s="137" t="s">
        <v>183</v>
      </c>
    </row>
    <row r="63" spans="2:48" ht="16.5">
      <c r="B63" s="59">
        <v>11</v>
      </c>
      <c r="C63" s="137" t="s">
        <v>184</v>
      </c>
    </row>
    <row r="64" spans="2:48">
      <c r="B64" s="59">
        <v>12</v>
      </c>
      <c r="C64" t="s">
        <v>191</v>
      </c>
    </row>
    <row r="65" spans="2:3">
      <c r="B65" s="59">
        <v>13</v>
      </c>
      <c r="C65" t="s">
        <v>195</v>
      </c>
    </row>
    <row r="66" spans="2:3">
      <c r="B66" s="59">
        <v>14</v>
      </c>
      <c r="C66" t="s">
        <v>206</v>
      </c>
    </row>
    <row r="67" spans="2:3">
      <c r="B67" s="59">
        <v>15</v>
      </c>
      <c r="C67" t="s">
        <v>209</v>
      </c>
    </row>
    <row r="68" spans="2:3">
      <c r="B68" s="59">
        <v>16</v>
      </c>
      <c r="C68" t="s">
        <v>212</v>
      </c>
    </row>
    <row r="69" spans="2:3">
      <c r="B69" s="59">
        <v>16</v>
      </c>
      <c r="C69" t="s">
        <v>214</v>
      </c>
    </row>
    <row r="70" spans="2:3">
      <c r="B70" s="59">
        <v>17</v>
      </c>
      <c r="C70" t="s">
        <v>217</v>
      </c>
    </row>
    <row r="71" spans="2:3">
      <c r="B71" s="59">
        <v>18</v>
      </c>
      <c r="C71" t="s">
        <v>219</v>
      </c>
    </row>
    <row r="72" spans="2:3">
      <c r="B72" s="59">
        <v>19</v>
      </c>
      <c r="C72" t="s">
        <v>222</v>
      </c>
    </row>
    <row r="73" spans="2:3">
      <c r="B73" s="59">
        <v>20</v>
      </c>
      <c r="C73" t="s">
        <v>223</v>
      </c>
    </row>
  </sheetData>
  <mergeCells count="19">
    <mergeCell ref="C57:R57"/>
    <mergeCell ref="C6:E6"/>
    <mergeCell ref="C59:S59"/>
    <mergeCell ref="AH47:AI47"/>
    <mergeCell ref="C58:U58"/>
    <mergeCell ref="C56:R56"/>
    <mergeCell ref="AD47:AF47"/>
    <mergeCell ref="C54:J54"/>
    <mergeCell ref="G47:J47"/>
    <mergeCell ref="C53:Q53"/>
    <mergeCell ref="S47:U47"/>
    <mergeCell ref="Y47:AB47"/>
    <mergeCell ref="AD6:AG6"/>
    <mergeCell ref="Q6:U6"/>
    <mergeCell ref="R5:AI5"/>
    <mergeCell ref="AH6:AJ6"/>
    <mergeCell ref="F6:K6"/>
    <mergeCell ref="F5:J5"/>
    <mergeCell ref="K5:M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W37"/>
  <sheetViews>
    <sheetView zoomScale="90" zoomScaleNormal="90" workbookViewId="0">
      <pane xSplit="5" topLeftCell="AB1" activePane="topRight" state="frozen"/>
      <selection pane="topRight" activeCell="AD29" sqref="AD29"/>
    </sheetView>
  </sheetViews>
  <sheetFormatPr defaultRowHeight="15"/>
  <cols>
    <col min="2" max="2" width="14.28515625" customWidth="1"/>
    <col min="3" max="3" width="52.140625" customWidth="1"/>
    <col min="4" max="4" width="14.28515625" customWidth="1"/>
    <col min="5" max="5" width="22.42578125" bestFit="1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</cols>
  <sheetData>
    <row r="1" spans="2:40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2:40">
      <c r="B2" s="25"/>
      <c r="C2" s="237"/>
      <c r="D2" s="235"/>
      <c r="E2" s="171"/>
      <c r="F2" s="235" t="s">
        <v>53</v>
      </c>
      <c r="G2" s="235"/>
      <c r="H2" s="235"/>
      <c r="I2" s="235"/>
      <c r="J2" s="235"/>
      <c r="K2" s="235"/>
      <c r="L2" s="235"/>
      <c r="M2" s="235"/>
      <c r="N2" s="235"/>
      <c r="O2" s="235"/>
      <c r="P2" s="182"/>
      <c r="Q2" s="234" t="s">
        <v>60</v>
      </c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6"/>
      <c r="AD2" s="234" t="s">
        <v>129</v>
      </c>
      <c r="AE2" s="235"/>
      <c r="AF2" s="235"/>
      <c r="AG2" s="235"/>
      <c r="AH2" s="234" t="s">
        <v>180</v>
      </c>
      <c r="AI2" s="235"/>
      <c r="AJ2" s="235"/>
      <c r="AK2" s="235"/>
      <c r="AL2" s="25"/>
      <c r="AM2" s="25"/>
      <c r="AN2" s="25"/>
    </row>
    <row r="3" spans="2:40">
      <c r="B3" s="25"/>
      <c r="C3" s="237"/>
      <c r="D3" s="235"/>
      <c r="E3" s="171"/>
      <c r="F3" s="171" t="s">
        <v>54</v>
      </c>
      <c r="G3" s="171" t="s">
        <v>55</v>
      </c>
      <c r="H3" s="171" t="s">
        <v>56</v>
      </c>
      <c r="I3" s="171" t="s">
        <v>57</v>
      </c>
      <c r="J3" s="171" t="s">
        <v>58</v>
      </c>
      <c r="K3" s="171" t="s">
        <v>176</v>
      </c>
      <c r="L3" s="171" t="s">
        <v>178</v>
      </c>
      <c r="M3" s="171" t="s">
        <v>179</v>
      </c>
      <c r="N3" s="171" t="s">
        <v>196</v>
      </c>
      <c r="O3" s="171" t="s">
        <v>215</v>
      </c>
      <c r="P3" s="182" t="s">
        <v>220</v>
      </c>
      <c r="Q3" s="193" t="s">
        <v>59</v>
      </c>
      <c r="R3" s="171" t="s">
        <v>146</v>
      </c>
      <c r="S3" s="171" t="s">
        <v>148</v>
      </c>
      <c r="T3" s="171" t="s">
        <v>151</v>
      </c>
      <c r="U3" s="171" t="s">
        <v>152</v>
      </c>
      <c r="V3" s="171" t="str">
        <f>mat_param!V7</f>
        <v>S6</v>
      </c>
      <c r="W3" s="171" t="str">
        <f>mat_param!W7</f>
        <v>S7</v>
      </c>
      <c r="X3" s="171" t="str">
        <f>mat_param!X7</f>
        <v>S8</v>
      </c>
      <c r="Y3" s="171" t="str">
        <f>mat_param!Y7</f>
        <v>S9</v>
      </c>
      <c r="Z3" s="171" t="str">
        <f>mat_param!Z7</f>
        <v>S10</v>
      </c>
      <c r="AA3" s="171" t="str">
        <f>mat_param!AA7</f>
        <v>S11</v>
      </c>
      <c r="AB3" s="171" t="str">
        <f>mat_param!AB7</f>
        <v>S12</v>
      </c>
      <c r="AC3" s="171" t="str">
        <f>mat_param!AC7</f>
        <v>S13</v>
      </c>
      <c r="AD3" s="193" t="str">
        <f>mat_param!AD7</f>
        <v>T1</v>
      </c>
      <c r="AE3" s="171" t="s">
        <v>131</v>
      </c>
      <c r="AF3" s="171" t="s">
        <v>132</v>
      </c>
      <c r="AG3" s="171" t="s">
        <v>159</v>
      </c>
      <c r="AH3" s="193" t="s">
        <v>160</v>
      </c>
      <c r="AI3" s="171" t="str">
        <f>mat_param!AI7</f>
        <v>M2</v>
      </c>
      <c r="AJ3" s="171" t="str">
        <f>mat_param!AJ7</f>
        <v>M3</v>
      </c>
      <c r="AK3" s="171" t="str">
        <f>mat_param!AK7</f>
        <v>M4</v>
      </c>
      <c r="AL3" s="25"/>
      <c r="AM3" s="25"/>
      <c r="AN3" s="25"/>
    </row>
    <row r="4" spans="2:40">
      <c r="B4" s="25"/>
      <c r="C4" s="100" t="s">
        <v>29</v>
      </c>
      <c r="D4" s="100" t="s">
        <v>66</v>
      </c>
      <c r="E4" s="100" t="s">
        <v>123</v>
      </c>
      <c r="F4" s="184" t="s">
        <v>52</v>
      </c>
      <c r="G4" s="185" t="s">
        <v>61</v>
      </c>
      <c r="H4" s="185" t="s">
        <v>62</v>
      </c>
      <c r="I4" s="185" t="s">
        <v>63</v>
      </c>
      <c r="J4" s="185" t="s">
        <v>64</v>
      </c>
      <c r="K4" s="185" t="str">
        <f>mat_param!K8</f>
        <v>AA7075-T651</v>
      </c>
      <c r="L4" s="185" t="str">
        <f>mat_param!L8</f>
        <v>AA2024-O</v>
      </c>
      <c r="M4" s="185" t="str">
        <f>mat_param!M8</f>
        <v>AA7075-T6</v>
      </c>
      <c r="N4" s="185" t="str">
        <f>mat_param!N8</f>
        <v>AA5083-H116</v>
      </c>
      <c r="O4" s="185" t="str">
        <f>mat_param!O8</f>
        <v>2024-T351</v>
      </c>
      <c r="P4" s="185" t="str">
        <f>mat_param!P8</f>
        <v>Al-4.8Cu-1.2Mg</v>
      </c>
      <c r="Q4" s="194" t="s">
        <v>51</v>
      </c>
      <c r="R4" s="185">
        <f>mat_param!R8</f>
        <v>4340</v>
      </c>
      <c r="S4" s="185" t="str">
        <f>mat_param!S8</f>
        <v>WELDOX 460 E</v>
      </c>
      <c r="T4" s="185" t="str">
        <f>mat_param!T8</f>
        <v>WELDOX 700 E</v>
      </c>
      <c r="U4" s="185" t="str">
        <f>mat_param!U8</f>
        <v>WELDOX 900 E</v>
      </c>
      <c r="V4" s="185" t="str">
        <f>mat_param!V8</f>
        <v>MILD STEEL</v>
      </c>
      <c r="W4" s="185" t="str">
        <f>mat_param!W8</f>
        <v>WELDOX 460 E</v>
      </c>
      <c r="X4" s="185" t="str">
        <f>mat_param!X8</f>
        <v>DP590</v>
      </c>
      <c r="Y4" s="185" t="str">
        <f>mat_param!Y8</f>
        <v>AISI 1020</v>
      </c>
      <c r="Z4" s="185" t="str">
        <f>mat_param!Z8</f>
        <v>AISI 1045</v>
      </c>
      <c r="AA4" s="185" t="str">
        <f>mat_param!AA8</f>
        <v>AISI 52100</v>
      </c>
      <c r="AB4" s="185" t="str">
        <f>mat_param!AB8</f>
        <v>AISI 304</v>
      </c>
      <c r="AC4" s="185" t="str">
        <f>mat_param!AC8</f>
        <v>ARMOX 500T</v>
      </c>
      <c r="AD4" s="194" t="str">
        <f>mat_param!AD8</f>
        <v>VT6</v>
      </c>
      <c r="AE4" s="185" t="str">
        <f>mat_param!AE8</f>
        <v>OT4</v>
      </c>
      <c r="AF4" s="185" t="str">
        <f>mat_param!AF8</f>
        <v>OT4-O</v>
      </c>
      <c r="AG4" s="171" t="str">
        <f>mat_param!AG8</f>
        <v>Ti-6Al-4V</v>
      </c>
      <c r="AH4" s="193" t="str">
        <f>mat_param!AH8</f>
        <v>OFHC COPPER</v>
      </c>
      <c r="AI4" s="171" t="str">
        <f>mat_param!AI8</f>
        <v>ARMOC IRON</v>
      </c>
      <c r="AJ4" s="171" t="str">
        <f>mat_param!AJ8</f>
        <v>BRASS</v>
      </c>
      <c r="AK4" s="171" t="str">
        <f>mat_param!AK8</f>
        <v>TUNGSTEN ALLOY</v>
      </c>
      <c r="AL4" s="25"/>
      <c r="AM4" s="25"/>
      <c r="AN4" s="25"/>
    </row>
    <row r="5" spans="2:40">
      <c r="B5" s="126" t="s">
        <v>34</v>
      </c>
      <c r="C5" s="186" t="s">
        <v>68</v>
      </c>
      <c r="D5" s="187"/>
      <c r="E5" s="187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5"/>
      <c r="O5" s="25"/>
      <c r="P5" s="205"/>
      <c r="Q5" s="195">
        <v>7.85</v>
      </c>
      <c r="R5" s="101">
        <f>mat_param!R9</f>
        <v>7.8500000000000008E-9</v>
      </c>
      <c r="S5" s="205"/>
      <c r="T5" s="205"/>
      <c r="U5" s="205"/>
      <c r="V5" s="101">
        <f>mat_param!V9</f>
        <v>7.8500000000000008E-9</v>
      </c>
      <c r="W5" s="101">
        <f>mat_param!W9</f>
        <v>7.8500000000000008E-9</v>
      </c>
      <c r="X5" s="101">
        <f>mat_param!X9</f>
        <v>7.8000000000000004E-9</v>
      </c>
      <c r="Y5" s="208"/>
      <c r="Z5" s="101"/>
      <c r="AA5" s="59"/>
      <c r="AB5" s="101"/>
      <c r="AC5" s="59"/>
      <c r="AD5" s="195">
        <f>mat_param!AD9</f>
        <v>4.4299999999999998E-9</v>
      </c>
      <c r="AE5" s="101">
        <f>mat_param!AE9</f>
        <v>4.5500000000000002E-9</v>
      </c>
      <c r="AF5" s="101">
        <f>mat_param!AF9</f>
        <v>4.5500000000000002E-9</v>
      </c>
      <c r="AG5" s="102">
        <f>mat_param!AG9</f>
        <v>4.4299999999999998E-9</v>
      </c>
      <c r="AH5" s="201"/>
      <c r="AI5" s="102">
        <f>mat_param!AI9</f>
        <v>7.8899999999999998E-9</v>
      </c>
      <c r="AJ5" s="206"/>
      <c r="AK5" s="25"/>
      <c r="AL5" s="25"/>
      <c r="AM5" s="25"/>
      <c r="AN5" s="25"/>
    </row>
    <row r="6" spans="2:40">
      <c r="B6" s="126"/>
      <c r="C6" s="186" t="str">
        <f>VLOOKUP(plots!AC3,mat_param!C9:C45,1,FALSE)</f>
        <v>Young's modulus</v>
      </c>
      <c r="D6" s="188" t="str">
        <f>VLOOKUP($C$6,mat_param!$C$9:$BB$45,COLUMN(mat_param!D9)-COLUMN(mat_param!$C$9)+1,FALSE)</f>
        <v>E</v>
      </c>
      <c r="E6" s="188" t="str">
        <f>VLOOKUP($C$6,mat_param!$C$9:$BB$45,COLUMN(mat_param!E9)-COLUMN(mat_param!$C$9)+1,FALSE)</f>
        <v>MPa</v>
      </c>
      <c r="F6" s="188">
        <f>VLOOKUP($C$6,mat_param!$C$9:$BB$45,COLUMN(mat_param!F9)-COLUMN(mat_param!$C$9)+1,FALSE)</f>
        <v>70000</v>
      </c>
      <c r="G6" s="188">
        <f>VLOOKUP($C$6,mat_param!$C$9:$BB$45,COLUMN(mat_param!G9)-COLUMN(mat_param!$C$9)+1,FALSE)</f>
        <v>70000</v>
      </c>
      <c r="H6" s="188">
        <f>VLOOKUP($C$6,mat_param!$C$9:$BB$45,COLUMN(mat_param!H9)-COLUMN(mat_param!$C$9)+1,FALSE)</f>
        <v>70000</v>
      </c>
      <c r="I6" s="188">
        <f>VLOOKUP($C$6,mat_param!$C$9:$BB$45,COLUMN(mat_param!I9)-COLUMN(mat_param!$C$9)+1,FALSE)</f>
        <v>70000</v>
      </c>
      <c r="J6" s="188">
        <f>VLOOKUP($C$6,mat_param!$C$9:$BB$45,COLUMN(mat_param!J9)-COLUMN(mat_param!$C$9)+1,FALSE)</f>
        <v>70000</v>
      </c>
      <c r="K6" s="188">
        <f>VLOOKUP($C$6,mat_param!$C$9:$BB$45,COLUMN(mat_param!K9)-COLUMN(mat_param!$C$9)+1,FALSE)</f>
        <v>64000</v>
      </c>
      <c r="L6" s="188">
        <f>VLOOKUP($C$6,mat_param!$C$9:$BB$45,COLUMN(mat_param!L9)-COLUMN(mat_param!$C$9)+1,FALSE)</f>
        <v>71000</v>
      </c>
      <c r="M6" s="188">
        <f>VLOOKUP($C$6,mat_param!$C$9:$BB$45,COLUMN(mat_param!M9)-COLUMN(mat_param!$C$9)+1,FALSE)</f>
        <v>71700</v>
      </c>
      <c r="N6" s="188">
        <f>VLOOKUP($C$6,mat_param!$C$9:$BB$45,COLUMN(mat_param!N9)-COLUMN(mat_param!$C$9)+1,FALSE)</f>
        <v>71000</v>
      </c>
      <c r="O6" s="188">
        <f>VLOOKUP($C$6,mat_param!$C$9:$BB$45,COLUMN(mat_param!O9)-COLUMN(mat_param!$C$9)+1,FALSE)</f>
        <v>72000</v>
      </c>
      <c r="P6" s="212">
        <f>VLOOKUP($C$6,mat_param!$C$9:$BB$45,COLUMN(mat_param!P9)-COLUMN(mat_param!$C$9)+1,FALSE)</f>
        <v>600000</v>
      </c>
      <c r="Q6" s="188">
        <f>VLOOKUP($C$6,mat_param!$C$9:$BB$45,COLUMN(mat_param!Q9)-COLUMN(mat_param!$C$9)+1,FALSE)</f>
        <v>210000</v>
      </c>
      <c r="R6" s="188">
        <f>VLOOKUP($C$6,mat_param!$C$9:$BB$45,COLUMN(mat_param!R9)-COLUMN(mat_param!$C$9)+1,FALSE)</f>
        <v>210000</v>
      </c>
      <c r="S6" s="188">
        <f>VLOOKUP($C$6,mat_param!$C$9:$BB$45,COLUMN(mat_param!S9)-COLUMN(mat_param!$C$9)+1,FALSE)</f>
        <v>210000</v>
      </c>
      <c r="T6" s="188">
        <f>VLOOKUP($C$6,mat_param!$C$9:$BB$45,COLUMN(mat_param!T9)-COLUMN(mat_param!$C$9)+1,FALSE)</f>
        <v>210000</v>
      </c>
      <c r="U6" s="188">
        <f>VLOOKUP($C$6,mat_param!$C$9:$BB$45,COLUMN(mat_param!U9)-COLUMN(mat_param!$C$9)+1,FALSE)</f>
        <v>210000</v>
      </c>
      <c r="V6" s="188">
        <f>VLOOKUP($C$6,mat_param!$C$9:$BB$45,COLUMN(mat_param!V9)-COLUMN(mat_param!$C$9)+1,FALSE)</f>
        <v>203000</v>
      </c>
      <c r="W6" s="188">
        <f>VLOOKUP($C$6,mat_param!$C$9:$BB$45,COLUMN(mat_param!W9)-COLUMN(mat_param!$C$9)+1,FALSE)</f>
        <v>200000</v>
      </c>
      <c r="X6" s="188">
        <f>VLOOKUP($C$6,mat_param!$C$9:$BB$45,COLUMN(mat_param!X9)-COLUMN(mat_param!$C$9)+1,FALSE)</f>
        <v>210000</v>
      </c>
      <c r="Y6" s="188">
        <f>VLOOKUP($C$6,mat_param!$C$9:$BB$45,COLUMN(mat_param!Y9)-COLUMN(mat_param!$C$9)+1,FALSE)</f>
        <v>186000</v>
      </c>
      <c r="Z6" s="188">
        <f>VLOOKUP($C$6,mat_param!$C$9:$BB$45,COLUMN(mat_param!Z9)-COLUMN(mat_param!$C$9)+1,FALSE)</f>
        <v>206000</v>
      </c>
      <c r="AA6" s="188">
        <f>VLOOKUP($C$6,mat_param!$C$9:$BB$45,COLUMN(mat_param!AA9)-COLUMN(mat_param!$C$9)+1,FALSE)</f>
        <v>210000</v>
      </c>
      <c r="AB6" s="188">
        <f>VLOOKUP($C$6,mat_param!$C$9:$BB$45,COLUMN(mat_param!AB9)-COLUMN(mat_param!$C$9)+1,FALSE)</f>
        <v>193000</v>
      </c>
      <c r="AC6" s="188">
        <f>VLOOKUP($C$6,mat_param!$C$9:$BB$45,COLUMN(mat_param!AC9)-COLUMN(mat_param!$C$9)+1,FALSE)</f>
        <v>201000</v>
      </c>
      <c r="AD6" s="188">
        <f>VLOOKUP($C$6,mat_param!$C$9:$BB$45,COLUMN(mat_param!AD9)-COLUMN(mat_param!$C$9)+1,FALSE)</f>
        <v>114500</v>
      </c>
      <c r="AE6" s="188">
        <f>VLOOKUP($C$6,mat_param!$C$9:$BB$45,COLUMN(mat_param!AE9)-COLUMN(mat_param!$C$9)+1,FALSE)</f>
        <v>114500</v>
      </c>
      <c r="AF6" s="188">
        <f>VLOOKUP($C$6,mat_param!$C$9:$BB$45,COLUMN(mat_param!AF9)-COLUMN(mat_param!$C$9)+1,FALSE)</f>
        <v>114500</v>
      </c>
      <c r="AG6" s="188">
        <f>VLOOKUP($C$6,mat_param!$C$9:$BB$45,COLUMN(mat_param!AG9)-COLUMN(mat_param!$C$9)+1,FALSE)</f>
        <v>113165.798</v>
      </c>
      <c r="AH6" s="188">
        <f>VLOOKUP($C$6,mat_param!$C$9:$BB$45,COLUMN(mat_param!AH9)-COLUMN(mat_param!$C$9)+1,FALSE)</f>
        <v>124000</v>
      </c>
      <c r="AI6" s="188">
        <f>VLOOKUP($C$6,mat_param!$C$9:$BB$45,COLUMN(mat_param!AI9)-COLUMN(mat_param!$C$9)+1,FALSE)</f>
        <v>207000</v>
      </c>
      <c r="AJ6" s="188">
        <f>VLOOKUP($C$6,mat_param!$C$9:$BB$45,COLUMN(mat_param!AJ9)-COLUMN(mat_param!$C$9)+1,FALSE)</f>
        <v>215624.80000000002</v>
      </c>
      <c r="AK6" s="188">
        <f>VLOOKUP($C$6,mat_param!$C$9:$BB$45,COLUMN(mat_param!AK9)-COLUMN(mat_param!$C$9)+1,FALSE)</f>
        <v>412800</v>
      </c>
      <c r="AL6" s="25"/>
      <c r="AM6" s="25"/>
      <c r="AN6" s="25"/>
    </row>
    <row r="7" spans="2:40" ht="9" customHeight="1">
      <c r="B7" s="59"/>
      <c r="C7" s="100"/>
      <c r="D7" s="100"/>
      <c r="E7" s="100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96"/>
      <c r="R7" s="189"/>
      <c r="S7" s="206"/>
      <c r="T7" s="206"/>
      <c r="U7" s="206"/>
      <c r="V7" s="189"/>
      <c r="W7" s="189"/>
      <c r="X7" s="189"/>
      <c r="Y7" s="189"/>
      <c r="Z7" s="189"/>
      <c r="AA7" s="189"/>
      <c r="AB7" s="189"/>
      <c r="AC7" s="189"/>
      <c r="AD7" s="196"/>
      <c r="AE7" s="189"/>
      <c r="AF7" s="189"/>
      <c r="AG7" s="189"/>
      <c r="AH7" s="189"/>
      <c r="AI7" s="189"/>
      <c r="AJ7" s="189"/>
      <c r="AK7" s="189"/>
      <c r="AL7" s="25"/>
      <c r="AM7" s="25"/>
      <c r="AN7" s="25"/>
    </row>
    <row r="8" spans="2:40">
      <c r="B8" s="59"/>
      <c r="C8" s="186" t="s">
        <v>46</v>
      </c>
      <c r="D8" s="25"/>
      <c r="E8" s="187" t="s">
        <v>43</v>
      </c>
      <c r="F8" s="25">
        <v>5.86</v>
      </c>
      <c r="G8" s="103">
        <f>AVERAGE(5.70739,5.75573,5.71911,5.75623)</f>
        <v>5.7346149999999998</v>
      </c>
      <c r="H8" s="190">
        <f>AVERAGE(5.5333,5.53117,5.50411,5.55659)</f>
        <v>5.5312925000000002</v>
      </c>
      <c r="I8" s="190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6"/>
      <c r="O8" s="28">
        <v>6.98</v>
      </c>
      <c r="P8" s="206"/>
      <c r="Q8" s="122">
        <v>6.96</v>
      </c>
      <c r="R8" s="28">
        <v>7.72</v>
      </c>
      <c r="S8" s="207"/>
      <c r="T8" s="207"/>
      <c r="U8" s="207"/>
      <c r="V8" s="28">
        <v>7.38</v>
      </c>
      <c r="W8" s="28">
        <v>8.23</v>
      </c>
      <c r="X8" s="214">
        <f>AVERAGE(9.05459,8.956,8.94757,9.05559)</f>
        <v>9.0034375000000004</v>
      </c>
      <c r="Y8" s="206"/>
      <c r="Z8" s="28"/>
      <c r="AA8" s="28">
        <v>7.89</v>
      </c>
      <c r="AB8" s="28"/>
      <c r="AC8" s="173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201"/>
      <c r="AI8" s="25">
        <v>8.52</v>
      </c>
      <c r="AJ8" s="206"/>
      <c r="AK8" s="25"/>
      <c r="AL8" s="25"/>
      <c r="AM8" s="25"/>
      <c r="AN8" s="25"/>
    </row>
    <row r="9" spans="2:40">
      <c r="B9" s="126" t="s">
        <v>34</v>
      </c>
      <c r="C9" s="186" t="s">
        <v>45</v>
      </c>
      <c r="D9" s="25"/>
      <c r="E9" s="187" t="s">
        <v>43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7"/>
      <c r="O9" s="28">
        <v>13.96</v>
      </c>
      <c r="P9" s="207"/>
      <c r="Q9" s="122">
        <f>Q8*2</f>
        <v>13.92</v>
      </c>
      <c r="R9" s="25">
        <f t="shared" ref="R9:X9" si="1">R8*2</f>
        <v>15.44</v>
      </c>
      <c r="S9" s="206"/>
      <c r="T9" s="206"/>
      <c r="U9" s="206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7"/>
      <c r="Z9" s="25"/>
      <c r="AA9" s="28">
        <v>15.78</v>
      </c>
      <c r="AB9" s="25"/>
      <c r="AC9" s="173">
        <v>16.68</v>
      </c>
      <c r="AD9" s="103">
        <f t="shared" ref="AD9:AI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202"/>
      <c r="AI9" s="103">
        <f t="shared" si="2"/>
        <v>17.04</v>
      </c>
      <c r="AJ9" s="213"/>
      <c r="AK9" s="25"/>
      <c r="AL9" s="25"/>
      <c r="AM9" s="25"/>
      <c r="AN9" s="25"/>
    </row>
    <row r="10" spans="2:40">
      <c r="B10" s="126" t="s">
        <v>34</v>
      </c>
      <c r="C10" s="186" t="s">
        <v>44</v>
      </c>
      <c r="D10" s="25"/>
      <c r="E10" s="187" t="s">
        <v>43</v>
      </c>
      <c r="F10" s="25">
        <v>62.2</v>
      </c>
      <c r="G10" s="103">
        <f>AVERAGE(51.78,51.7122,49.6736,50.0039)</f>
        <v>50.792424999999994</v>
      </c>
      <c r="H10" s="190">
        <v>54.277700000000003</v>
      </c>
      <c r="I10" s="190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6"/>
      <c r="O10" s="28">
        <v>50.75</v>
      </c>
      <c r="P10" s="206"/>
      <c r="Q10" s="122">
        <v>90</v>
      </c>
      <c r="R10" s="28">
        <v>98</v>
      </c>
      <c r="S10" s="207"/>
      <c r="T10" s="207"/>
      <c r="U10" s="207"/>
      <c r="V10" s="28">
        <v>98.93</v>
      </c>
      <c r="W10" s="214">
        <f>AVERAGE(97.6774,96.9017,96.5479,98.0725)</f>
        <v>97.299875</v>
      </c>
      <c r="X10" s="214">
        <f>AVERAGE(93.7094,93.198,95.0169,91.887,91.7092)</f>
        <v>93.104100000000003</v>
      </c>
      <c r="Y10" s="206"/>
      <c r="Z10" s="28"/>
      <c r="AA10" s="28">
        <v>98.64</v>
      </c>
      <c r="AB10" s="28"/>
      <c r="AC10" s="173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92.1</v>
      </c>
      <c r="AG10" s="25">
        <v>88.4</v>
      </c>
      <c r="AH10" s="201"/>
      <c r="AI10" s="25">
        <v>97.7</v>
      </c>
      <c r="AJ10" s="206"/>
      <c r="AK10" s="25"/>
      <c r="AL10" s="25"/>
      <c r="AM10" s="25"/>
      <c r="AN10" s="25"/>
    </row>
    <row r="11" spans="2:40">
      <c r="B11" s="126"/>
      <c r="C11" s="186" t="s">
        <v>27</v>
      </c>
      <c r="D11" s="25"/>
      <c r="E11" s="187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7"/>
      <c r="O11" s="27">
        <v>1.22E-6</v>
      </c>
      <c r="P11" s="207"/>
      <c r="Q11" s="198">
        <v>1.22E-6</v>
      </c>
      <c r="R11" s="27">
        <v>1.22E-6</v>
      </c>
      <c r="S11" s="208"/>
      <c r="T11" s="208"/>
      <c r="U11" s="208"/>
      <c r="V11" s="27">
        <v>1.22E-6</v>
      </c>
      <c r="W11" s="27">
        <v>1.22E-6</v>
      </c>
      <c r="X11" s="27">
        <v>1.22E-6</v>
      </c>
      <c r="Y11" s="207"/>
      <c r="Z11" s="27"/>
      <c r="AA11" s="27">
        <v>1.22E-6</v>
      </c>
      <c r="AB11" s="27"/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203"/>
      <c r="AI11" s="27">
        <v>1.22E-6</v>
      </c>
      <c r="AJ11" s="208"/>
      <c r="AK11" s="25"/>
      <c r="AL11" s="25"/>
      <c r="AM11" s="25"/>
      <c r="AN11" s="25"/>
    </row>
    <row r="12" spans="2:40">
      <c r="B12" s="126"/>
      <c r="C12" s="186" t="s">
        <v>28</v>
      </c>
      <c r="D12" s="25"/>
      <c r="E12" s="187"/>
      <c r="F12" s="102">
        <v>3.1600000000000002E-7</v>
      </c>
      <c r="G12" s="102">
        <v>1.74E-7</v>
      </c>
      <c r="H12" s="191">
        <v>1.14E-7</v>
      </c>
      <c r="I12" s="191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8"/>
      <c r="O12" s="27">
        <v>1.0700000000000001E-7</v>
      </c>
      <c r="P12" s="208"/>
      <c r="Q12" s="198">
        <v>7.0000000000000005E-8</v>
      </c>
      <c r="R12" s="27">
        <v>3.3600000000000003E-8</v>
      </c>
      <c r="S12" s="208"/>
      <c r="T12" s="208"/>
      <c r="U12" s="208"/>
      <c r="V12" s="27">
        <v>3.3600000000000003E-8</v>
      </c>
      <c r="W12" s="27">
        <v>4.3499999999999999E-8</v>
      </c>
      <c r="X12" s="27">
        <v>4.2300000000000002E-8</v>
      </c>
      <c r="Y12" s="208"/>
      <c r="Z12" s="27"/>
      <c r="AA12" s="27">
        <v>4.43E-8</v>
      </c>
      <c r="AB12" s="27"/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201"/>
      <c r="AI12" s="102">
        <v>3.1E-8</v>
      </c>
      <c r="AJ12" s="206"/>
      <c r="AK12" s="25"/>
      <c r="AL12" s="25"/>
      <c r="AM12" s="25"/>
      <c r="AN12" s="25"/>
    </row>
    <row r="13" spans="2:40">
      <c r="B13" s="126" t="s">
        <v>34</v>
      </c>
      <c r="C13" s="186" t="s">
        <v>38</v>
      </c>
      <c r="D13" s="25"/>
      <c r="E13" s="187" t="s">
        <v>39</v>
      </c>
      <c r="F13" s="192">
        <f>(F12/F11)*100</f>
        <v>25.9016393442623</v>
      </c>
      <c r="G13" s="192">
        <f t="shared" ref="G13:O13" si="3">(G12/G11)*100</f>
        <v>14.262295081967213</v>
      </c>
      <c r="H13" s="192">
        <f t="shared" si="3"/>
        <v>9.3442622950819683</v>
      </c>
      <c r="I13" s="192">
        <f t="shared" si="3"/>
        <v>15.163934426229508</v>
      </c>
      <c r="J13" s="192">
        <f t="shared" si="3"/>
        <v>28.442622950819676</v>
      </c>
      <c r="K13" s="192">
        <f t="shared" si="3"/>
        <v>9.5081967213114762</v>
      </c>
      <c r="L13" s="192">
        <f t="shared" si="3"/>
        <v>9.8360655737704921</v>
      </c>
      <c r="M13" s="192">
        <f t="shared" si="3"/>
        <v>9.0983606557377055</v>
      </c>
      <c r="N13" s="208"/>
      <c r="O13" s="192">
        <f t="shared" si="3"/>
        <v>8.7704918032786896</v>
      </c>
      <c r="P13" s="208"/>
      <c r="Q13" s="199">
        <f>(Q12/Q11)*100</f>
        <v>5.7377049180327875</v>
      </c>
      <c r="R13" s="192">
        <f>(R12/R11)*100</f>
        <v>2.7540983606557381</v>
      </c>
      <c r="S13" s="209"/>
      <c r="T13" s="209"/>
      <c r="U13" s="209"/>
      <c r="V13" s="192">
        <f t="shared" ref="V13:AC13" si="4">(V12/V11)*100</f>
        <v>2.7540983606557381</v>
      </c>
      <c r="W13" s="192">
        <f t="shared" si="4"/>
        <v>3.5655737704918034</v>
      </c>
      <c r="X13" s="192">
        <f t="shared" si="4"/>
        <v>3.4672131147540988</v>
      </c>
      <c r="Y13" s="192"/>
      <c r="Z13" s="192"/>
      <c r="AA13" s="192">
        <f>(AA12/AA11)*100</f>
        <v>3.6311475409836063</v>
      </c>
      <c r="AB13" s="192"/>
      <c r="AC13" s="238">
        <f>(AC12/AC11)*100</f>
        <v>3.5737704918032791</v>
      </c>
      <c r="AD13" s="192">
        <f>(AD12/AD11)*100</f>
        <v>7.8934426229508192</v>
      </c>
      <c r="AE13" s="192">
        <f t="shared" ref="AE13:AF13" si="5">(AE12/AE11)*100</f>
        <v>7.6639344262295088</v>
      </c>
      <c r="AF13" s="192">
        <f t="shared" si="5"/>
        <v>5.8934426229508201</v>
      </c>
      <c r="AG13" s="192">
        <f>(AG12/AG11)*100</f>
        <v>4.4344262295081966</v>
      </c>
      <c r="AH13" s="204"/>
      <c r="AI13" s="192">
        <f t="shared" ref="AI13" si="6">(AI12/AI11)*100</f>
        <v>2.540983606557377</v>
      </c>
      <c r="AJ13" s="209"/>
      <c r="AK13" s="25"/>
      <c r="AL13" s="25"/>
      <c r="AM13" s="25"/>
      <c r="AN13" s="25"/>
    </row>
    <row r="14" spans="2:40">
      <c r="B14" s="126" t="s">
        <v>34</v>
      </c>
      <c r="C14" s="186" t="s">
        <v>26</v>
      </c>
      <c r="D14" s="25"/>
      <c r="E14" s="187" t="s">
        <v>37</v>
      </c>
      <c r="F14" s="102">
        <v>6470000</v>
      </c>
      <c r="G14" s="102">
        <v>6270000</v>
      </c>
      <c r="H14" s="191">
        <v>6250000</v>
      </c>
      <c r="I14" s="191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9"/>
      <c r="O14" s="27">
        <v>6320000</v>
      </c>
      <c r="P14" s="209"/>
      <c r="Q14" s="198">
        <v>6070000</v>
      </c>
      <c r="R14" s="27">
        <v>5720000</v>
      </c>
      <c r="S14" s="208"/>
      <c r="T14" s="208"/>
      <c r="U14" s="208"/>
      <c r="V14" s="27">
        <v>5720000</v>
      </c>
      <c r="W14" s="27">
        <v>5720000</v>
      </c>
      <c r="X14" s="27">
        <v>5750000</v>
      </c>
      <c r="Y14" s="209"/>
      <c r="Z14" s="27"/>
      <c r="AA14" s="27">
        <v>5680000</v>
      </c>
      <c r="AB14" s="27"/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201"/>
      <c r="AI14" s="102">
        <v>5720000</v>
      </c>
      <c r="AJ14" s="206"/>
      <c r="AK14" s="25"/>
      <c r="AL14" s="25"/>
      <c r="AM14" s="25"/>
      <c r="AN14" s="25"/>
    </row>
    <row r="15" spans="2:40">
      <c r="B15" s="126" t="s">
        <v>34</v>
      </c>
      <c r="C15" s="186" t="s">
        <v>40</v>
      </c>
      <c r="D15" s="25"/>
      <c r="E15" s="187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8"/>
      <c r="O15" s="28">
        <v>1.47</v>
      </c>
      <c r="P15" s="208"/>
      <c r="Q15" s="197">
        <v>4.96</v>
      </c>
      <c r="R15" s="28">
        <v>8.58</v>
      </c>
      <c r="S15" s="207"/>
      <c r="T15" s="207"/>
      <c r="U15" s="207"/>
      <c r="V15" s="28">
        <v>9.01</v>
      </c>
      <c r="W15" s="28">
        <v>8.14</v>
      </c>
      <c r="X15" s="28">
        <v>7.79</v>
      </c>
      <c r="Y15" s="208"/>
      <c r="Z15" s="28"/>
      <c r="AA15" s="28">
        <v>8.52</v>
      </c>
      <c r="AB15" s="28"/>
      <c r="AC15" s="173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201"/>
      <c r="AI15" s="25">
        <v>8.52</v>
      </c>
      <c r="AJ15" s="206"/>
      <c r="AK15" s="25"/>
      <c r="AL15" s="25"/>
      <c r="AM15" s="25"/>
      <c r="AN15" s="25"/>
    </row>
    <row r="16" spans="2:40">
      <c r="B16" s="126" t="s">
        <v>36</v>
      </c>
      <c r="C16" s="186" t="s">
        <v>41</v>
      </c>
      <c r="D16" s="25"/>
      <c r="E16" s="187" t="s">
        <v>47</v>
      </c>
      <c r="F16" s="191"/>
      <c r="G16" s="25"/>
      <c r="H16" s="59"/>
      <c r="I16" s="59"/>
      <c r="J16" s="25"/>
      <c r="K16" s="25"/>
      <c r="L16" s="25"/>
      <c r="M16" s="25"/>
      <c r="N16" s="207"/>
      <c r="O16" s="25"/>
      <c r="P16" s="207"/>
      <c r="Q16" s="59"/>
      <c r="R16" s="59"/>
      <c r="S16" s="59"/>
      <c r="T16" s="59"/>
      <c r="U16" s="59"/>
      <c r="V16" s="59"/>
      <c r="W16" s="59"/>
      <c r="X16" s="59"/>
      <c r="Y16" s="207"/>
      <c r="Z16" s="59"/>
      <c r="AA16" s="59"/>
      <c r="AB16" s="59"/>
      <c r="AC16" s="239"/>
      <c r="AD16" s="59"/>
      <c r="AE16" s="59"/>
      <c r="AF16" s="59"/>
      <c r="AG16" s="25"/>
      <c r="AH16" s="122"/>
      <c r="AI16" s="25"/>
      <c r="AJ16" s="25"/>
      <c r="AK16" s="25"/>
      <c r="AL16" s="25"/>
      <c r="AM16" s="25"/>
      <c r="AN16" s="25"/>
    </row>
    <row r="17" spans="2:40">
      <c r="B17" s="126" t="s">
        <v>36</v>
      </c>
      <c r="C17" s="186" t="s">
        <v>42</v>
      </c>
      <c r="D17" s="25"/>
      <c r="E17" s="187" t="s">
        <v>48</v>
      </c>
      <c r="F17" s="59"/>
      <c r="G17" s="25"/>
      <c r="H17" s="59"/>
      <c r="I17" s="59"/>
      <c r="J17" s="25"/>
      <c r="K17" s="25"/>
      <c r="L17" s="25"/>
      <c r="M17" s="25"/>
      <c r="N17" s="25"/>
      <c r="O17" s="25"/>
      <c r="P17" s="25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200"/>
      <c r="AE17" s="59"/>
      <c r="AF17" s="59"/>
      <c r="AG17" s="25"/>
      <c r="AH17" s="122"/>
      <c r="AI17" s="25"/>
      <c r="AJ17" s="25"/>
      <c r="AK17" s="25"/>
      <c r="AL17" s="25"/>
      <c r="AM17" s="25"/>
      <c r="AN17" s="25"/>
    </row>
    <row r="18" spans="2:40">
      <c r="B18" s="59"/>
      <c r="C18" s="59"/>
      <c r="D18" s="59"/>
      <c r="E18" s="59"/>
      <c r="F18" s="59"/>
      <c r="G18" s="25"/>
      <c r="H18" s="59"/>
      <c r="I18" s="59"/>
      <c r="J18" s="25"/>
      <c r="K18" s="25"/>
      <c r="L18" s="25"/>
      <c r="M18" s="25"/>
      <c r="N18" s="25"/>
      <c r="O18" s="25"/>
      <c r="P18" s="25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5"/>
      <c r="AH18" s="25"/>
      <c r="AI18" s="25"/>
      <c r="AJ18" s="25"/>
      <c r="AK18" s="25"/>
      <c r="AL18" s="25"/>
      <c r="AM18" s="25"/>
      <c r="AN18" s="25"/>
    </row>
    <row r="19" spans="2:40">
      <c r="B19" s="59"/>
      <c r="C19" s="186" t="s">
        <v>35</v>
      </c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25"/>
      <c r="AM19" s="25"/>
      <c r="AN19" s="25"/>
    </row>
    <row r="20" spans="2:40">
      <c r="B20" s="59"/>
      <c r="C20" s="187"/>
      <c r="D20" s="187"/>
      <c r="E20" s="187"/>
      <c r="F20" s="187"/>
      <c r="G20" s="187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5"/>
      <c r="AH20" s="25"/>
      <c r="AI20" s="25"/>
      <c r="AJ20" s="25"/>
      <c r="AK20" s="25"/>
      <c r="AL20" s="25"/>
      <c r="AM20" s="25"/>
      <c r="AN20" s="25"/>
    </row>
    <row r="21" spans="2:40">
      <c r="B21" s="59"/>
      <c r="C21" s="187"/>
      <c r="D21" s="187"/>
      <c r="E21" s="187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5"/>
      <c r="AH21" s="25"/>
      <c r="AI21" s="25"/>
      <c r="AJ21" s="25"/>
      <c r="AK21" s="25"/>
      <c r="AL21" s="25"/>
      <c r="AM21" s="25"/>
      <c r="AN21" s="25"/>
    </row>
    <row r="22" spans="2:40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2:40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2:40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2:40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2:40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2:40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2:40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37" spans="49:49">
      <c r="AW37" t="s">
        <v>49</v>
      </c>
    </row>
  </sheetData>
  <mergeCells count="6">
    <mergeCell ref="AH2:AK2"/>
    <mergeCell ref="F2:O2"/>
    <mergeCell ref="Q2:AC2"/>
    <mergeCell ref="C2:C3"/>
    <mergeCell ref="D2:D3"/>
    <mergeCell ref="AD2:AG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mat_param!$C$9:$C$33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abSelected="1" topLeftCell="AA10" zoomScale="90" zoomScaleNormal="90" workbookViewId="0">
      <selection activeCell="AY24" sqref="AY24"/>
    </sheetView>
  </sheetViews>
  <sheetFormatPr defaultRowHeight="1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51" max="51" width="33.28515625" customWidth="1"/>
  </cols>
  <sheetData>
    <row r="2" spans="3:67">
      <c r="AC2" s="146" t="s">
        <v>188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C3" s="145" t="s">
        <v>77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sim_results!C6&amp; " and debris cloud diamter"</f>
        <v>Young's modulus and debris cloud diamter</v>
      </c>
    </row>
    <row r="8" spans="3:67">
      <c r="AD8" t="str">
        <f>sim_results!C6&amp;" "&amp;sim_results!D6</f>
        <v>Young's modulus E</v>
      </c>
    </row>
    <row r="10" spans="3:67">
      <c r="AD10" t="str">
        <f>sim_results!C6&amp; " and target hole diameter"</f>
        <v>Young's modulus and target hole diameter</v>
      </c>
    </row>
    <row r="24" spans="30:80">
      <c r="AZ24" t="s">
        <v>49</v>
      </c>
    </row>
    <row r="26" spans="30:80">
      <c r="CB26" t="s">
        <v>49</v>
      </c>
    </row>
    <row r="29" spans="30:80">
      <c r="AD29" t="str">
        <f>sim_results!C6&amp;" and percentage of solid material in debris cloud"</f>
        <v>Young's modulus and percentage of solid material in debris cloud</v>
      </c>
      <c r="AP29" t="str">
        <f>sim_results!C6&amp; " and residual velocity"</f>
        <v>Young's modulus and residual velocity</v>
      </c>
    </row>
    <row r="46" spans="58:58">
      <c r="BF46" t="s">
        <v>49</v>
      </c>
    </row>
    <row r="50" spans="37:37">
      <c r="AK50" t="str">
        <f>sim_results!C6&amp; " and percentage of converted particles due to temperature"</f>
        <v>Young's modulus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mat_param!$C$9:$C$45</xm:f>
          </x14:formula1>
          <xm:sqref>AC3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notes</vt:lpstr>
      <vt:lpstr>mat_param</vt:lpstr>
      <vt:lpstr>sim_results</vt:lpstr>
      <vt:lpstr>plots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2022-03-03T11:42:35Z</dcterms:modified>
</cp:coreProperties>
</file>