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6.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ggela\Desktop\PHD Related\All things Submission\Ear &amp; Hearing\Revision\"/>
    </mc:Choice>
  </mc:AlternateContent>
  <xr:revisionPtr revIDLastSave="0" documentId="13_ncr:1_{A56C34B3-B705-4B37-A340-F1CBCFBFD5B7}" xr6:coauthVersionLast="47" xr6:coauthVersionMax="47" xr10:uidLastSave="{00000000-0000-0000-0000-000000000000}"/>
  <bookViews>
    <workbookView xWindow="-110" yWindow="-110" windowWidth="19420" windowHeight="10300" tabRatio="599" firstSheet="30" activeTab="32" xr2:uid="{407A9036-D2BE-421C-A07C-B692235F027C}"/>
  </bookViews>
  <sheets>
    <sheet name="UK Raw Data" sheetId="42" r:id="rId1"/>
    <sheet name="GR Raw Data" sheetId="41" r:id="rId2"/>
    <sheet name="Prolific Raw Data" sheetId="46" r:id="rId3"/>
    <sheet name="All Responses" sheetId="45" r:id="rId4"/>
    <sheet name="All Non - Migraineur" sheetId="2" r:id="rId5"/>
    <sheet name="All Migraineur" sheetId="1" r:id="rId6"/>
    <sheet name="NM - M Analysis" sheetId="18" r:id="rId7"/>
    <sheet name="M-NM Analysis P-values" sheetId="19" r:id="rId8"/>
    <sheet name="All Female Migraineur" sheetId="52" r:id="rId9"/>
    <sheet name="All Male Migraineur" sheetId="53" r:id="rId10"/>
    <sheet name="Female-Male Migraineur Analysis" sheetId="54" r:id="rId11"/>
    <sheet name="GR only - Non Migraineur" sheetId="27" r:id="rId12"/>
    <sheet name="GR only - Migraineur" sheetId="26" r:id="rId13"/>
    <sheet name="GR only M-NM analysis" sheetId="28" r:id="rId14"/>
    <sheet name="Prolific Non-Migraineur Group " sheetId="50" r:id="rId15"/>
    <sheet name="Prolific Migraineur Group " sheetId="51" r:id="rId16"/>
    <sheet name="UK+ Prolific -Non Migraineur" sheetId="29" r:id="rId17"/>
    <sheet name="UK + Prolific - Migraineur" sheetId="30" r:id="rId18"/>
    <sheet name="UK +Prolific NM-M analysis" sheetId="31" r:id="rId19"/>
    <sheet name="All Migraineur On attack" sheetId="5" r:id="rId20"/>
    <sheet name="All Migraineur Off attack" sheetId="4" r:id="rId21"/>
    <sheet name="On Attack Off Attack Analysis" sheetId="6" r:id="rId22"/>
    <sheet name="On Attack -Off attack P-values" sheetId="39" r:id="rId23"/>
    <sheet name="All Migraineur Low Sev" sheetId="23" r:id="rId24"/>
    <sheet name="All Migraineur High Sev" sheetId="24" r:id="rId25"/>
    <sheet name="All Migraineur Hi-Lo S Analysis" sheetId="25" r:id="rId26"/>
    <sheet name="All Migr Hi-Lo sever p-values" sheetId="35" r:id="rId27"/>
    <sheet name="All Migraineur chronic" sheetId="20" r:id="rId28"/>
    <sheet name="All Migraineur episodic" sheetId="21" r:id="rId29"/>
    <sheet name="All Migraineur C-E Analysis" sheetId="22" r:id="rId30"/>
    <sheet name="All Migraineur On Med" sheetId="7" r:id="rId31"/>
    <sheet name="All Migraineur No Med" sheetId="8" r:id="rId32"/>
    <sheet name="All Migrain Med-No Med Analysis" sheetId="9" r:id="rId33"/>
  </sheets>
  <definedNames>
    <definedName name="_xlchart.v1.0" hidden="1">'All Responses'!$A:$A</definedName>
    <definedName name="_xlchart.v1.1" hidden="1">'All Responses'!$B:$B</definedName>
    <definedName name="_xlchart.v1.2" hidden="1">'All Responses'!$C:$C</definedName>
    <definedName name="_xlchart.v1.3" hidden="1">'All Responses'!$D:$D</definedName>
    <definedName name="_xlchart.v1.4" hidden="1">'All Responses'!$E:$E</definedName>
    <definedName name="_xlchart.v1.5" hidden="1">'All Responses'!$F:$F</definedName>
    <definedName name="_xlchart.v1.6" hidden="1">'All Responses'!$G:$G</definedName>
    <definedName name="_xlchart.v1.7" hidden="1">'All Responses'!$H:$H</definedName>
    <definedName name="ExternalData_1" localSheetId="1" hidden="1">'GR Raw Data'!$A$1:$DH$135</definedName>
    <definedName name="ExternalData_1" localSheetId="0" hidden="1">'UK Raw Data'!$A$1:$DH$56</definedName>
    <definedName name="ExternalData_2" localSheetId="2" hidden="1">'Prolific Raw Data'!$A$1:$DB$29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53" l="1"/>
  <c r="C10" i="53"/>
  <c r="D10" i="53"/>
  <c r="E10" i="53"/>
  <c r="F10" i="53"/>
  <c r="G10" i="53"/>
  <c r="H10" i="53"/>
  <c r="I10" i="53"/>
  <c r="J10" i="53"/>
  <c r="K10" i="53"/>
  <c r="L10" i="53"/>
  <c r="M10" i="53"/>
  <c r="A10" i="53"/>
  <c r="C48" i="52"/>
  <c r="D48" i="52"/>
  <c r="E48" i="52"/>
  <c r="F48" i="52"/>
  <c r="G48" i="52"/>
  <c r="H48" i="52"/>
  <c r="I48" i="52"/>
  <c r="J48" i="52"/>
  <c r="K48" i="52"/>
  <c r="L48" i="52"/>
  <c r="M48" i="52"/>
  <c r="B48" i="52"/>
  <c r="A48" i="52"/>
  <c r="B33" i="22"/>
  <c r="B32" i="22"/>
  <c r="B31" i="22"/>
  <c r="B30" i="22"/>
  <c r="B29" i="22"/>
  <c r="B28" i="22"/>
  <c r="B27" i="22"/>
  <c r="B26" i="22"/>
  <c r="B25" i="22"/>
  <c r="B24" i="22"/>
  <c r="B23" i="22"/>
  <c r="B22" i="22"/>
  <c r="B21" i="22"/>
  <c r="A33" i="22"/>
  <c r="A32" i="22"/>
  <c r="A31" i="22"/>
  <c r="A30" i="22"/>
  <c r="A29" i="22"/>
  <c r="A28" i="22"/>
  <c r="A27" i="22"/>
  <c r="A26" i="22"/>
  <c r="A25" i="22"/>
  <c r="A24" i="22"/>
  <c r="A23" i="22"/>
  <c r="A22" i="22"/>
  <c r="A21" i="22"/>
  <c r="B14" i="22"/>
  <c r="B13" i="22"/>
  <c r="B12" i="22"/>
  <c r="B11" i="22"/>
  <c r="B10" i="22"/>
  <c r="B9" i="22"/>
  <c r="B8" i="22"/>
  <c r="B7" i="22"/>
  <c r="B6" i="22"/>
  <c r="B5" i="22"/>
  <c r="B4" i="22"/>
  <c r="B3" i="22"/>
  <c r="B2" i="22"/>
  <c r="A14" i="22"/>
  <c r="A13" i="22"/>
  <c r="A12" i="22"/>
  <c r="A11" i="22"/>
  <c r="A10" i="22"/>
  <c r="A9" i="22"/>
  <c r="A8" i="22"/>
  <c r="A7" i="22"/>
  <c r="A6" i="22"/>
  <c r="A5" i="22"/>
  <c r="A4" i="22"/>
  <c r="A3" i="22"/>
  <c r="A2" i="22"/>
  <c r="B32" i="9"/>
  <c r="B31" i="9"/>
  <c r="B30" i="9"/>
  <c r="B29" i="9"/>
  <c r="B28" i="9"/>
  <c r="B27" i="9"/>
  <c r="B26" i="9"/>
  <c r="B25" i="9"/>
  <c r="B24" i="9"/>
  <c r="B23" i="9"/>
  <c r="B22" i="9"/>
  <c r="B21" i="9"/>
  <c r="B20" i="9"/>
  <c r="A32" i="9"/>
  <c r="A31" i="9"/>
  <c r="A30" i="9"/>
  <c r="A29" i="9"/>
  <c r="A28" i="9"/>
  <c r="A27" i="9"/>
  <c r="A26" i="9"/>
  <c r="A25" i="9"/>
  <c r="A24" i="9"/>
  <c r="A23" i="9"/>
  <c r="A22" i="9"/>
  <c r="A21" i="9"/>
  <c r="A20" i="9"/>
  <c r="B15" i="9"/>
  <c r="B14" i="9"/>
  <c r="B13" i="9"/>
  <c r="B12" i="9"/>
  <c r="B11" i="9"/>
  <c r="B10" i="9"/>
  <c r="B9" i="9"/>
  <c r="B8" i="9"/>
  <c r="B7" i="9"/>
  <c r="B6" i="9"/>
  <c r="B5" i="9"/>
  <c r="B4" i="9"/>
  <c r="B3" i="9"/>
  <c r="A15" i="9"/>
  <c r="A14" i="9"/>
  <c r="A13" i="9"/>
  <c r="A12" i="9"/>
  <c r="A11" i="9"/>
  <c r="A10" i="9"/>
  <c r="A9" i="9"/>
  <c r="A8" i="9"/>
  <c r="A7" i="9"/>
  <c r="A6" i="9"/>
  <c r="A5" i="9"/>
  <c r="A4" i="9"/>
  <c r="A3" i="9"/>
  <c r="B30" i="6"/>
  <c r="B29" i="6"/>
  <c r="B28" i="6"/>
  <c r="B27" i="6"/>
  <c r="B26" i="6"/>
  <c r="B25" i="6"/>
  <c r="B24" i="6"/>
  <c r="B23" i="6"/>
  <c r="B22" i="6"/>
  <c r="B21" i="6"/>
  <c r="B20" i="6"/>
  <c r="B19" i="6"/>
  <c r="B18" i="6"/>
  <c r="A30" i="6"/>
  <c r="A29" i="6"/>
  <c r="A28" i="6"/>
  <c r="A27" i="6"/>
  <c r="A26" i="6"/>
  <c r="A25" i="6"/>
  <c r="A24" i="6"/>
  <c r="A23" i="6"/>
  <c r="A22" i="6"/>
  <c r="A21" i="6"/>
  <c r="A20" i="6"/>
  <c r="A19" i="6"/>
  <c r="A18" i="6"/>
  <c r="B15" i="6"/>
  <c r="B14" i="6"/>
  <c r="B13" i="6"/>
  <c r="B12" i="6"/>
  <c r="B11" i="6"/>
  <c r="B10" i="6"/>
  <c r="B9" i="6"/>
  <c r="B8" i="6"/>
  <c r="B7" i="6"/>
  <c r="B6" i="6"/>
  <c r="B5" i="6"/>
  <c r="B4" i="6"/>
  <c r="B3" i="6"/>
  <c r="A15" i="6"/>
  <c r="A14" i="6"/>
  <c r="A13" i="6"/>
  <c r="A12" i="6"/>
  <c r="A11" i="6"/>
  <c r="A10" i="6"/>
  <c r="A9" i="6"/>
  <c r="A8" i="6"/>
  <c r="A7" i="6"/>
  <c r="A6" i="6"/>
  <c r="A5" i="6"/>
  <c r="A4" i="6"/>
  <c r="A3" i="6"/>
  <c r="A31" i="31"/>
  <c r="A30" i="31"/>
  <c r="A29" i="31"/>
  <c r="A28" i="31"/>
  <c r="A27" i="31"/>
  <c r="A26" i="31"/>
  <c r="A25" i="31"/>
  <c r="A24" i="31"/>
  <c r="A23" i="31"/>
  <c r="A22" i="31"/>
  <c r="A21" i="31"/>
  <c r="A20" i="31"/>
  <c r="A19" i="31"/>
  <c r="B31" i="31"/>
  <c r="B30" i="31"/>
  <c r="B29" i="31"/>
  <c r="B28" i="31"/>
  <c r="B27" i="31"/>
  <c r="B26" i="31"/>
  <c r="B25" i="31"/>
  <c r="B24" i="31"/>
  <c r="B23" i="31"/>
  <c r="B22" i="31"/>
  <c r="B21" i="31"/>
  <c r="B20" i="31"/>
  <c r="B19" i="31"/>
  <c r="B15" i="31"/>
  <c r="B14" i="31"/>
  <c r="B13" i="31"/>
  <c r="B12" i="31"/>
  <c r="B11" i="31"/>
  <c r="B10" i="31"/>
  <c r="B9" i="31"/>
  <c r="B8" i="31"/>
  <c r="B7" i="31"/>
  <c r="B6" i="31"/>
  <c r="B5" i="31"/>
  <c r="B4" i="31"/>
  <c r="B3" i="31"/>
  <c r="A15" i="31"/>
  <c r="A14" i="31"/>
  <c r="A13" i="31"/>
  <c r="A12" i="31"/>
  <c r="A11" i="31"/>
  <c r="A10" i="31"/>
  <c r="A9" i="31"/>
  <c r="A8" i="31"/>
  <c r="A7" i="31"/>
  <c r="A6" i="31"/>
  <c r="A5" i="31"/>
  <c r="A4" i="31"/>
  <c r="A3" i="31"/>
  <c r="B31" i="18" l="1"/>
  <c r="B30" i="18"/>
  <c r="B29" i="18"/>
  <c r="B28" i="18"/>
  <c r="B27" i="18"/>
  <c r="B26" i="18"/>
  <c r="B25" i="18"/>
  <c r="B24" i="18"/>
  <c r="B23" i="18"/>
  <c r="B22" i="18"/>
  <c r="B21" i="18"/>
  <c r="B20" i="18"/>
  <c r="B19" i="18"/>
  <c r="A31" i="18"/>
  <c r="A30" i="18"/>
  <c r="A29" i="18"/>
  <c r="A28" i="18"/>
  <c r="A27" i="18"/>
  <c r="A26" i="18"/>
  <c r="A25" i="18"/>
  <c r="A24" i="18"/>
  <c r="A23" i="18"/>
  <c r="A22" i="18"/>
  <c r="A21" i="18"/>
  <c r="A20" i="18"/>
  <c r="A19" i="18"/>
  <c r="B16" i="18"/>
  <c r="B15" i="18"/>
  <c r="B14" i="18"/>
  <c r="B13" i="18"/>
  <c r="B12" i="18"/>
  <c r="B11" i="18"/>
  <c r="B10" i="18"/>
  <c r="B9" i="18"/>
  <c r="B8" i="18"/>
  <c r="B7" i="18"/>
  <c r="B6" i="18"/>
  <c r="B5" i="18"/>
  <c r="B4" i="18"/>
  <c r="A16" i="18"/>
  <c r="A15" i="18"/>
  <c r="A14" i="18"/>
  <c r="A13" i="18"/>
  <c r="A12" i="18"/>
  <c r="A11" i="18"/>
  <c r="A10" i="18"/>
  <c r="A9" i="18"/>
  <c r="A8" i="18"/>
  <c r="A7" i="18"/>
  <c r="A6" i="18"/>
  <c r="A5" i="18"/>
  <c r="A4" i="18"/>
  <c r="C51" i="2"/>
  <c r="D51" i="2"/>
  <c r="E51" i="2"/>
  <c r="F51" i="2"/>
  <c r="M24" i="30"/>
  <c r="L24" i="30"/>
  <c r="K24" i="30"/>
  <c r="J24" i="30"/>
  <c r="I24" i="30"/>
  <c r="H24" i="30"/>
  <c r="G24" i="30"/>
  <c r="F24" i="30"/>
  <c r="E24" i="30"/>
  <c r="D24" i="30"/>
  <c r="C24" i="30"/>
  <c r="B24" i="30"/>
  <c r="A24" i="30"/>
  <c r="M30" i="29"/>
  <c r="L30" i="29"/>
  <c r="K30" i="29"/>
  <c r="J30" i="29"/>
  <c r="I30" i="29"/>
  <c r="H30" i="29"/>
  <c r="G30" i="29"/>
  <c r="F30" i="29"/>
  <c r="E30" i="29"/>
  <c r="D30" i="29"/>
  <c r="C30" i="29"/>
  <c r="B30" i="29"/>
  <c r="A30" i="29"/>
  <c r="A36" i="26"/>
  <c r="B33" i="28"/>
  <c r="B32" i="28"/>
  <c r="B31" i="28"/>
  <c r="B30" i="28"/>
  <c r="B29" i="28"/>
  <c r="B28" i="28"/>
  <c r="B27" i="28"/>
  <c r="B26" i="28"/>
  <c r="B25" i="28"/>
  <c r="B24" i="28"/>
  <c r="B23" i="28"/>
  <c r="B22" i="28"/>
  <c r="B21" i="28"/>
  <c r="A33" i="28"/>
  <c r="A32" i="28"/>
  <c r="A31" i="28"/>
  <c r="A30" i="28"/>
  <c r="A29" i="28"/>
  <c r="A28" i="28"/>
  <c r="A27" i="28"/>
  <c r="A26" i="28"/>
  <c r="A25" i="28"/>
  <c r="A24" i="28"/>
  <c r="A23" i="28"/>
  <c r="A22" i="28"/>
  <c r="A21" i="28"/>
  <c r="M36" i="26"/>
  <c r="L36" i="26"/>
  <c r="K36" i="26"/>
  <c r="J36" i="26"/>
  <c r="I36" i="26"/>
  <c r="H36" i="26"/>
  <c r="G36" i="26"/>
  <c r="F36" i="26"/>
  <c r="E36" i="26"/>
  <c r="D36" i="26"/>
  <c r="C36" i="26"/>
  <c r="B36" i="26"/>
  <c r="M25" i="27"/>
  <c r="L25" i="27"/>
  <c r="K25" i="27"/>
  <c r="J25" i="27"/>
  <c r="I25" i="27"/>
  <c r="H25" i="27"/>
  <c r="G25" i="27"/>
  <c r="F25" i="27"/>
  <c r="E25" i="27"/>
  <c r="D25" i="27"/>
  <c r="C25" i="27"/>
  <c r="B25" i="27"/>
  <c r="A25" i="27"/>
  <c r="I58" i="1"/>
  <c r="M19" i="8"/>
  <c r="L19" i="8"/>
  <c r="K19" i="8"/>
  <c r="J19" i="8"/>
  <c r="I19" i="8"/>
  <c r="H19" i="8"/>
  <c r="G19" i="8"/>
  <c r="F19" i="8"/>
  <c r="E19" i="8"/>
  <c r="D19" i="8"/>
  <c r="C19" i="8"/>
  <c r="B19" i="8"/>
  <c r="A19" i="8"/>
  <c r="M42" i="7"/>
  <c r="L42" i="7"/>
  <c r="K42" i="7"/>
  <c r="J42" i="7"/>
  <c r="I42" i="7"/>
  <c r="H42" i="7"/>
  <c r="G42" i="7"/>
  <c r="F42" i="7"/>
  <c r="E42" i="7"/>
  <c r="D42" i="7"/>
  <c r="C42" i="7"/>
  <c r="B42" i="7"/>
  <c r="A42" i="7"/>
  <c r="A14" i="5"/>
  <c r="E47" i="21"/>
  <c r="D47" i="21"/>
  <c r="C47" i="21"/>
  <c r="B47" i="21"/>
  <c r="F12" i="20"/>
  <c r="M47" i="21"/>
  <c r="L47" i="21"/>
  <c r="K47" i="21"/>
  <c r="J47" i="21"/>
  <c r="I47" i="21"/>
  <c r="H47" i="21"/>
  <c r="G47" i="21"/>
  <c r="F47" i="21"/>
  <c r="A47" i="21"/>
  <c r="L12" i="20"/>
  <c r="M12" i="20"/>
  <c r="K12" i="20"/>
  <c r="J12" i="20"/>
  <c r="I12" i="20"/>
  <c r="H12" i="20"/>
  <c r="G12" i="20"/>
  <c r="E12" i="20"/>
  <c r="D12" i="20"/>
  <c r="C12" i="20"/>
  <c r="B12" i="20"/>
  <c r="A12" i="20"/>
  <c r="A29" i="24"/>
  <c r="M29" i="29"/>
  <c r="L29" i="29"/>
  <c r="K29" i="29"/>
  <c r="J29" i="29"/>
  <c r="I29" i="29"/>
  <c r="H29" i="29"/>
  <c r="G29" i="29"/>
  <c r="F29" i="29"/>
  <c r="E29" i="29"/>
  <c r="D29" i="29"/>
  <c r="C29" i="29"/>
  <c r="B29" i="29"/>
  <c r="A29" i="29"/>
  <c r="M23" i="30"/>
  <c r="L23" i="30"/>
  <c r="K23" i="30"/>
  <c r="J23" i="30"/>
  <c r="I23" i="30"/>
  <c r="H23" i="30"/>
  <c r="G23" i="30"/>
  <c r="F23" i="30"/>
  <c r="E23" i="30"/>
  <c r="D23" i="30"/>
  <c r="C23" i="30"/>
  <c r="B23" i="30"/>
  <c r="A23" i="30"/>
  <c r="B17" i="28"/>
  <c r="B16" i="28"/>
  <c r="B15" i="28"/>
  <c r="B14" i="28"/>
  <c r="B13" i="28"/>
  <c r="B12" i="28"/>
  <c r="B11" i="28"/>
  <c r="B10" i="28"/>
  <c r="B9" i="28"/>
  <c r="B8" i="28"/>
  <c r="B7" i="28"/>
  <c r="B6" i="28"/>
  <c r="B5" i="28"/>
  <c r="A17" i="28"/>
  <c r="A16" i="28"/>
  <c r="A15" i="28"/>
  <c r="A14" i="28"/>
  <c r="A13" i="28"/>
  <c r="A12" i="28"/>
  <c r="A11" i="28"/>
  <c r="A10" i="28"/>
  <c r="A9" i="28"/>
  <c r="A8" i="28"/>
  <c r="A7" i="28"/>
  <c r="A6" i="28"/>
  <c r="A5" i="28"/>
  <c r="M35" i="26"/>
  <c r="L35" i="26"/>
  <c r="K35" i="26"/>
  <c r="J35" i="26"/>
  <c r="I35" i="26"/>
  <c r="H35" i="26"/>
  <c r="G35" i="26"/>
  <c r="F35" i="26"/>
  <c r="E35" i="26"/>
  <c r="D35" i="26"/>
  <c r="C35" i="26"/>
  <c r="B35" i="26"/>
  <c r="A35" i="26"/>
  <c r="M24" i="27"/>
  <c r="L24" i="27"/>
  <c r="K24" i="27"/>
  <c r="J24" i="27"/>
  <c r="I24" i="27"/>
  <c r="H24" i="27"/>
  <c r="G24" i="27"/>
  <c r="F24" i="27"/>
  <c r="E24" i="27"/>
  <c r="D24" i="27"/>
  <c r="C24" i="27"/>
  <c r="B24" i="27"/>
  <c r="A24" i="27"/>
  <c r="B30" i="25"/>
  <c r="B29" i="25"/>
  <c r="B28" i="25"/>
  <c r="B27" i="25"/>
  <c r="B26" i="25"/>
  <c r="B25" i="25"/>
  <c r="B24" i="25"/>
  <c r="B23" i="25"/>
  <c r="B22" i="25"/>
  <c r="B21" i="25"/>
  <c r="B20" i="25"/>
  <c r="B19" i="25"/>
  <c r="B18" i="25"/>
  <c r="M29" i="24"/>
  <c r="L29" i="24"/>
  <c r="K29" i="24"/>
  <c r="J29" i="24"/>
  <c r="I29" i="24"/>
  <c r="H29" i="24"/>
  <c r="G29" i="24"/>
  <c r="F29" i="24"/>
  <c r="E29" i="24"/>
  <c r="D29" i="24"/>
  <c r="C29" i="24"/>
  <c r="B29" i="24"/>
  <c r="A30" i="25"/>
  <c r="A29" i="25"/>
  <c r="A28" i="25"/>
  <c r="A27" i="25"/>
  <c r="A26" i="25"/>
  <c r="A25" i="25"/>
  <c r="A24" i="25"/>
  <c r="A23" i="25"/>
  <c r="A22" i="25"/>
  <c r="A21" i="25"/>
  <c r="A20" i="25"/>
  <c r="A19" i="25"/>
  <c r="A18" i="25"/>
  <c r="M13" i="23"/>
  <c r="L13" i="23"/>
  <c r="K13" i="23"/>
  <c r="J13" i="23"/>
  <c r="I13" i="23"/>
  <c r="H13" i="23"/>
  <c r="G13" i="23"/>
  <c r="F13" i="23"/>
  <c r="E13" i="23"/>
  <c r="D13" i="23"/>
  <c r="C13" i="23"/>
  <c r="B13" i="23"/>
  <c r="A13" i="23"/>
  <c r="B15" i="25"/>
  <c r="B14" i="25"/>
  <c r="B13" i="25"/>
  <c r="B12" i="25"/>
  <c r="B11" i="25"/>
  <c r="B10" i="25"/>
  <c r="B9" i="25"/>
  <c r="B8" i="25"/>
  <c r="B7" i="25"/>
  <c r="B6" i="25"/>
  <c r="B5" i="25"/>
  <c r="B4" i="25"/>
  <c r="B3" i="25"/>
  <c r="A15" i="25"/>
  <c r="A14" i="25"/>
  <c r="A13" i="25"/>
  <c r="A12" i="25"/>
  <c r="A11" i="25"/>
  <c r="A10" i="25"/>
  <c r="A9" i="25"/>
  <c r="A8" i="25"/>
  <c r="A7" i="25"/>
  <c r="A6" i="25"/>
  <c r="A5" i="25"/>
  <c r="A4" i="25"/>
  <c r="A3" i="25"/>
  <c r="E28" i="24"/>
  <c r="A28" i="24"/>
  <c r="M28" i="24"/>
  <c r="L28" i="24"/>
  <c r="K28" i="24"/>
  <c r="J28" i="24"/>
  <c r="I28" i="24"/>
  <c r="H28" i="24"/>
  <c r="G28" i="24"/>
  <c r="F28" i="24"/>
  <c r="D28" i="24"/>
  <c r="C28" i="24"/>
  <c r="B28" i="24"/>
  <c r="M12" i="23"/>
  <c r="L12" i="23"/>
  <c r="K12" i="23"/>
  <c r="J12" i="23"/>
  <c r="I12" i="23"/>
  <c r="H12" i="23"/>
  <c r="G12" i="23"/>
  <c r="F12" i="23"/>
  <c r="E12" i="23"/>
  <c r="D12" i="23"/>
  <c r="C12" i="23"/>
  <c r="B12" i="23"/>
  <c r="A12" i="23"/>
  <c r="M11" i="20"/>
  <c r="L11" i="20"/>
  <c r="K11" i="20"/>
  <c r="J11" i="20"/>
  <c r="I11" i="20"/>
  <c r="H11" i="20"/>
  <c r="G11" i="20"/>
  <c r="F11" i="20"/>
  <c r="E11" i="20"/>
  <c r="D11" i="20"/>
  <c r="C11" i="20"/>
  <c r="B11" i="20"/>
  <c r="A11" i="20"/>
  <c r="M46" i="21"/>
  <c r="L46" i="21"/>
  <c r="K46" i="21"/>
  <c r="J46" i="21"/>
  <c r="I46" i="21"/>
  <c r="H46" i="21"/>
  <c r="G46" i="21"/>
  <c r="F46" i="21"/>
  <c r="E46" i="21"/>
  <c r="D46" i="21"/>
  <c r="C46" i="21"/>
  <c r="B46" i="21"/>
  <c r="A46" i="21"/>
  <c r="M41" i="7"/>
  <c r="L41" i="7"/>
  <c r="K41" i="7"/>
  <c r="J41" i="7"/>
  <c r="I41" i="7"/>
  <c r="H41" i="7"/>
  <c r="G41" i="7"/>
  <c r="F41" i="7"/>
  <c r="E41" i="7"/>
  <c r="D41" i="7"/>
  <c r="C41" i="7"/>
  <c r="B41" i="7"/>
  <c r="A41" i="7"/>
  <c r="M18" i="8"/>
  <c r="L18" i="8"/>
  <c r="K18" i="8"/>
  <c r="J18" i="8"/>
  <c r="I18" i="8"/>
  <c r="H18" i="8"/>
  <c r="G18" i="8"/>
  <c r="F18" i="8"/>
  <c r="E18" i="8"/>
  <c r="D18" i="8"/>
  <c r="C18" i="8"/>
  <c r="B18" i="8"/>
  <c r="A18" i="8"/>
  <c r="M47" i="4"/>
  <c r="L47" i="4"/>
  <c r="K47" i="4"/>
  <c r="J47" i="4"/>
  <c r="I47" i="4"/>
  <c r="H47" i="4"/>
  <c r="G47" i="4"/>
  <c r="F47" i="4"/>
  <c r="E47" i="4"/>
  <c r="D47" i="4"/>
  <c r="C47" i="4"/>
  <c r="B47" i="4"/>
  <c r="A47" i="4"/>
  <c r="M14" i="5"/>
  <c r="L14" i="5"/>
  <c r="K14" i="5"/>
  <c r="J14" i="5"/>
  <c r="I14" i="5"/>
  <c r="H14" i="5"/>
  <c r="G14" i="5"/>
  <c r="F14" i="5"/>
  <c r="E14" i="5"/>
  <c r="D14" i="5"/>
  <c r="C14" i="5"/>
  <c r="B14" i="5"/>
  <c r="M46" i="4"/>
  <c r="L46" i="4"/>
  <c r="K46" i="4"/>
  <c r="J46" i="4"/>
  <c r="I46" i="4"/>
  <c r="H46" i="4"/>
  <c r="G46" i="4"/>
  <c r="F46" i="4"/>
  <c r="E46" i="4"/>
  <c r="D46" i="4"/>
  <c r="C46" i="4"/>
  <c r="B46" i="4"/>
  <c r="A46" i="4"/>
  <c r="M13" i="5"/>
  <c r="L13" i="5"/>
  <c r="K13" i="5"/>
  <c r="J13" i="5"/>
  <c r="I13" i="5"/>
  <c r="H13" i="5"/>
  <c r="G13" i="5"/>
  <c r="F13" i="5"/>
  <c r="E13" i="5"/>
  <c r="D13" i="5"/>
  <c r="C13" i="5"/>
  <c r="B13" i="5"/>
  <c r="A13" i="5"/>
  <c r="U58" i="1"/>
  <c r="T58" i="1"/>
  <c r="S58" i="1"/>
  <c r="R58" i="1"/>
  <c r="Q58" i="1"/>
  <c r="P58" i="1"/>
  <c r="O58" i="1"/>
  <c r="N58" i="1"/>
  <c r="M58" i="1"/>
  <c r="L58" i="1"/>
  <c r="K58" i="1"/>
  <c r="J58" i="1"/>
  <c r="O52" i="2"/>
  <c r="N52" i="2"/>
  <c r="M52" i="2"/>
  <c r="L52" i="2"/>
  <c r="K52" i="2"/>
  <c r="J52" i="2"/>
  <c r="I52" i="2"/>
  <c r="H52" i="2"/>
  <c r="G52" i="2"/>
  <c r="F52" i="2"/>
  <c r="E52" i="2"/>
  <c r="D52" i="2"/>
  <c r="C52" i="2"/>
  <c r="U57" i="1"/>
  <c r="T57" i="1"/>
  <c r="S57" i="1"/>
  <c r="R57" i="1"/>
  <c r="Q57" i="1"/>
  <c r="P57" i="1"/>
  <c r="O57" i="1"/>
  <c r="N57" i="1"/>
  <c r="M57" i="1"/>
  <c r="L57" i="1"/>
  <c r="K57" i="1"/>
  <c r="J57" i="1"/>
  <c r="I57" i="1"/>
  <c r="O51" i="2"/>
  <c r="N51" i="2"/>
  <c r="M51" i="2"/>
  <c r="L51" i="2"/>
  <c r="K51" i="2"/>
  <c r="J51" i="2"/>
  <c r="I51" i="2"/>
  <c r="H51" i="2"/>
  <c r="G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DCEAE-931C-4D6E-8C43-8138D6687FF2}" keepAlive="1" name="Query - female_nomig_response" description="Connection to the 'female_nomig_response' query in the workbook." type="5" refreshedVersion="7" background="1" saveData="1">
    <dbPr connection="Provider=Microsoft.Mashup.OleDb.1;Data Source=$Workbook$;Location=female_nomig_response;Extended Properties=&quot;&quot;" command="SELECT * FROM [female_nomig_response]"/>
  </connection>
  <connection id="2" xr16:uid="{E0EA197F-0D3C-44F2-80AF-96A6BD90CB3C}" keepAlive="1" name="Query - hearingSurveys-20210309160307_UK final" description="Connection to the 'hearingSurveys-20210309160307_UK final' query in the workbook." type="5" refreshedVersion="7" background="1" saveData="1">
    <dbPr connection="Provider=Microsoft.Mashup.OleDb.1;Data Source=$Workbook$;Location=&quot;hearingSurveys-20210309160307_UK final&quot;;Extended Properties=&quot;&quot;" command="SELECT * FROM [hearingSurveys-20210309160307_UK final]"/>
  </connection>
  <connection id="3" xr16:uid="{19A8B6E5-1B31-4CCF-BF2D-651D77B7EC43}" keepAlive="1" name="Query - hearingSurveys-20210309160333_GR FINAL" description="Connection to the 'hearingSurveys-20210309160333_GR FINAL' query in the workbook." type="5" refreshedVersion="7" background="1" saveData="1">
    <dbPr connection="Provider=Microsoft.Mashup.OleDb.1;Data Source=$Workbook$;Location=&quot;hearingSurveys-20210309160333_GR FINAL&quot;;Extended Properties=&quot;&quot;" command="SELECT * FROM [hearingSurveys-20210309160333_GR FINAL]"/>
  </connection>
  <connection id="4" xr16:uid="{DC08B9F6-58D6-4AF3-9369-4ED72B8C512D}" keepAlive="1" name="Query - male_responses" description="Connection to the 'male_responses' query in the workbook." type="5" refreshedVersion="0" background="1">
    <dbPr connection="Provider=Microsoft.Mashup.OleDb.1;Data Source=$Workbook$;Location=male_responses;Extended Properties=&quot;&quot;" command="SELECT * FROM [male_responses]"/>
  </connection>
</connections>
</file>

<file path=xl/sharedStrings.xml><?xml version="1.0" encoding="utf-8"?>
<sst xmlns="http://schemas.openxmlformats.org/spreadsheetml/2006/main" count="25641" uniqueCount="9202">
  <si>
    <t>100</t>
  </si>
  <si>
    <t>200</t>
  </si>
  <si>
    <t>400</t>
  </si>
  <si>
    <t>500</t>
  </si>
  <si>
    <t>800</t>
  </si>
  <si>
    <t>1000</t>
  </si>
  <si>
    <t>2000</t>
  </si>
  <si>
    <t>3000</t>
  </si>
  <si>
    <t>4000</t>
  </si>
  <si>
    <t>6000</t>
  </si>
  <si>
    <t>8000</t>
  </si>
  <si>
    <t>10000</t>
  </si>
  <si>
    <t>12000</t>
  </si>
  <si>
    <t>Please select your age group:</t>
  </si>
  <si>
    <t>Please select your sex:</t>
  </si>
  <si>
    <t>45-64</t>
  </si>
  <si>
    <t>Male</t>
  </si>
  <si>
    <t>Female</t>
  </si>
  <si>
    <t>25-44</t>
  </si>
  <si>
    <t>Αρσενικό</t>
  </si>
  <si>
    <t>18-24</t>
  </si>
  <si>
    <t>Θηλυκό</t>
  </si>
  <si>
    <t xml:space="preserve">Have you ever received a medical diagnosis for your migraines? </t>
  </si>
  <si>
    <t xml:space="preserve">Do you receive any medication for your migraine (prophylactic or on symptomatic)? </t>
  </si>
  <si>
    <t xml:space="preserve">You have reported experiencing and/or being diagnosed with migraines. Does the following statement apply to you? Sounds that others believe are moderately loud are too loud to me. </t>
  </si>
  <si>
    <t>How often do you experience migraines?</t>
  </si>
  <si>
    <t>Rate the severity of your migraines on a scale of 0 to 100.</t>
  </si>
  <si>
    <t>Are you experiencing a migraine or an aura (*sensory disturbances that happen shortly before a migraine*) right now?</t>
  </si>
  <si>
    <t>Yes</t>
  </si>
  <si>
    <t>No</t>
  </si>
  <si>
    <t>episodic</t>
  </si>
  <si>
    <t>70 or more</t>
  </si>
  <si>
    <t>No, I am not experiencing a migraine or an aura right now</t>
  </si>
  <si>
    <t xml:space="preserve">Yes </t>
  </si>
  <si>
    <t>chronic</t>
  </si>
  <si>
    <t>Yes, I am experiencing a migraine right now</t>
  </si>
  <si>
    <t>NA</t>
  </si>
  <si>
    <t>Other/I do not wish to answer this question</t>
  </si>
  <si>
    <t>na</t>
  </si>
  <si>
    <t>'Οχι</t>
  </si>
  <si>
    <t>Ναι</t>
  </si>
  <si>
    <t>Όχι, δεν αντιμετωπίζω ημικρανία ή αύρα αυτήν τη στιγμή</t>
  </si>
  <si>
    <t>30 or less</t>
  </si>
  <si>
    <t>Όχι</t>
  </si>
  <si>
    <t>Οχι</t>
  </si>
  <si>
    <t>Ναι, αντιμετωπίζω ημικρανία αυτή τη στιγμή</t>
  </si>
  <si>
    <t xml:space="preserve"> Ναι, αντιμετωπίζω αύρα αυτή τη στιγμή</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</si>
  <si>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</si>
  <si>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</si>
  <si>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</si>
  <si>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</si>
  <si>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</si>
  <si>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</si>
  <si>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</si>
  <si>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</si>
  <si>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</si>
  <si>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</si>
  <si>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</si>
  <si>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</si>
  <si>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UK CONTROL GROUP</t>
  </si>
  <si>
    <t>UK FOCUS GROUP</t>
  </si>
  <si>
    <t>Severity of 30 or below</t>
  </si>
  <si>
    <t>Severity of 70 or above</t>
  </si>
  <si>
    <t>std error 30</t>
  </si>
  <si>
    <t>std error 70</t>
  </si>
  <si>
    <t>Control Group</t>
  </si>
  <si>
    <t>Focus Group</t>
  </si>
  <si>
    <t>ERROR CTRL</t>
  </si>
  <si>
    <t>ERROR FOCUS</t>
  </si>
  <si>
    <t xml:space="preserve">Focus Group-On attack </t>
  </si>
  <si>
    <t>Focus Group-Off attack</t>
  </si>
  <si>
    <t>Medication</t>
  </si>
  <si>
    <t xml:space="preserve">No Medication </t>
  </si>
  <si>
    <t>Imigran</t>
  </si>
  <si>
    <t>Παυσίπονα</t>
  </si>
  <si>
    <t>Maxalt</t>
  </si>
  <si>
    <t>relpax 40mg     voltaren</t>
  </si>
  <si>
    <t>Relpax</t>
  </si>
  <si>
    <t>maxalt</t>
  </si>
  <si>
    <t>Depaline/ minitran</t>
  </si>
  <si>
    <t xml:space="preserve">minitran </t>
  </si>
  <si>
    <t>cimbalta</t>
  </si>
  <si>
    <t>RELPAX 40MG ΜΑΖΙ ΜΕ NAPROCYN (ΣΥΜΠΤΩΜΑΤΙΚΗ ΑΓΩΓΗ)</t>
  </si>
  <si>
    <t>Citakopram</t>
  </si>
  <si>
    <t xml:space="preserve">Triptans </t>
  </si>
  <si>
    <t xml:space="preserve">Rizatriptan </t>
  </si>
  <si>
    <t>Efexor topamac vivinor</t>
  </si>
  <si>
    <t>Petagran</t>
  </si>
  <si>
    <t>IMIGRAN</t>
  </si>
  <si>
    <t>Nurofen 400mg, Maxalt</t>
  </si>
  <si>
    <t>Cefaly  sutriptan</t>
  </si>
  <si>
    <t>Vertigo-vomex / panmigran</t>
  </si>
  <si>
    <t xml:space="preserve">Onelar </t>
  </si>
  <si>
    <t>imigran, maxalt</t>
  </si>
  <si>
    <t>Minitran 2-25</t>
  </si>
  <si>
    <t>ΕΝΕΣΗ AIMOVIG 140MG/1 ΦΟΡΑ ΤΟ ΜΗΝΑ, DEPREVIX 150MG/ 1 ΚΑΘΕ ΒΡΑΔΥ, ABILIFY 10MG/ ΜΙΣΟ ΧΑΠΙ ΚΑΘΕ ΒΡΑΔΥ</t>
  </si>
  <si>
    <t>Vivinor</t>
  </si>
  <si>
    <t>Aimovig</t>
  </si>
  <si>
    <t>Chronic</t>
  </si>
  <si>
    <t>Episodic</t>
  </si>
  <si>
    <t>chronic err</t>
  </si>
  <si>
    <t>episodic err</t>
  </si>
  <si>
    <t>on med err</t>
  </si>
  <si>
    <t>no med err</t>
  </si>
  <si>
    <t>age group</t>
  </si>
  <si>
    <t>sex</t>
  </si>
  <si>
    <t>on attack err</t>
  </si>
  <si>
    <t>off attack err</t>
  </si>
  <si>
    <t>Comparison between focus group participants receiving medication and not receiving medication</t>
  </si>
  <si>
    <t>Comparison between focus group participants taking the test on-attack versus participants taking the test in the migraine free interval</t>
  </si>
  <si>
    <t>Comparison between focus group participants with episodic versus chronic migraine</t>
  </si>
  <si>
    <t>Comparison between focus group participants in the high and low severity of migraine subgroups</t>
  </si>
  <si>
    <t>Analysis between UK focus group and control group</t>
  </si>
  <si>
    <t>Analysis between GR focus and control group</t>
  </si>
  <si>
    <t xml:space="preserve">Analysis between combined focus and control group </t>
  </si>
  <si>
    <t>Name</t>
  </si>
  <si>
    <t>Date</t>
  </si>
  <si>
    <t>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t>
  </si>
  <si>
    <t>Time (s)</t>
  </si>
  <si>
    <t xml:space="preserve">**Τίτλος Μελέτης:**  \
Διερεύνηση επιπέδων ηχητικής έντασης και συχνοτικού περιεχομένου εμφάνισης ακουστικής δυσφορίας, σε ημικρανικούς ακροατές με υπερευευαισθησία ήχου. 
**Κύριος ερευνητής:** Joshua D. Reiss \
**Queen Mary Ethics of Research Committee </t>
  </si>
  <si>
    <t>Time (s)2</t>
  </si>
  <si>
    <t>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t>
  </si>
  <si>
    <t>Time (s)3</t>
  </si>
  <si>
    <t xml:space="preserv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t>
  </si>
  <si>
    <t>Time (s)4</t>
  </si>
  <si>
    <t>Γράψτε το email σας εδώ (παρακαλούμε βεβαιωθείτε πώς έχετε γράψει το ίδιο email και τις δύο φορές)</t>
  </si>
  <si>
    <t>Time (s)5</t>
  </si>
  <si>
    <t xml:space="preserve">Παρακαλούμε επιλέξτε την ηλικιακή σας ομάδα : </t>
  </si>
  <si>
    <t>Time (s)6</t>
  </si>
  <si>
    <t>Παρακαλούμε επιλέξτε το φύλο σας :</t>
  </si>
  <si>
    <t>Time (s)7</t>
  </si>
  <si>
    <t>Είναι η πρώτη φορά που κάνετε αυτή τη μελέτη;</t>
  </si>
  <si>
    <t>Time (s)8</t>
  </si>
  <si>
    <t xml:space="preserve"> Έχετε ποτέ διαγνωστεί ή αντιμετωπίσετε οποιαδήποτε μορφή ημικρανίας;</t>
  </si>
  <si>
    <t>Time (s)9</t>
  </si>
  <si>
    <t>Έχετε λάβει ποτέ ιατρική διάγνωση για τις ημικρανίες σας;</t>
  </si>
  <si>
    <t>Time (s)10</t>
  </si>
  <si>
    <t>Λαμβάνετε κάποιου είδους φαρμακευτική αγωγή για την ημικρανία ( προφυλακτική ή συμπτωματική);</t>
  </si>
  <si>
    <t>Time (s)11</t>
  </si>
  <si>
    <t>Παρακαλούμε σημειώστε το όνομα της αγωγής που λαμβάνετε χρησιμοποιώντας το παρακάτω κουτί (Αν δεν είναι διαθέσιμο σημειώστε Μ/Δ)</t>
  </si>
  <si>
    <t>Time (s)12</t>
  </si>
  <si>
    <t>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t>
  </si>
  <si>
    <t>Time (s)13</t>
  </si>
  <si>
    <t>Πόσο καιρό έχετε παρατηρήσει αυτό το φαινόμενο;</t>
  </si>
  <si>
    <t>Time (s)14</t>
  </si>
  <si>
    <t>Ποιό αυτι(ά) φαίνεται να επηρεάζεται από αυτό το φαινόμενο:</t>
  </si>
  <si>
    <t>Time (s)15</t>
  </si>
  <si>
    <t>Αυτό το φαινόμενο φαίνεται να συμπίπτει με τις ημικρανίες σας;</t>
  </si>
  <si>
    <t>Time (s)16</t>
  </si>
  <si>
    <t xml:space="preserve"> Πότε συμβαίνει αυτό το φαινόμενο (επιλέξτε όλα όσα ισχύουν)</t>
  </si>
  <si>
    <t>Time (s)17</t>
  </si>
  <si>
    <t>Ποιος από τους παρακάτω ήχους ή συμβάντα είναι συχνά πολύ δυνατός για εσάς (επιλέξτε όλα όσα ισχύουν);</t>
  </si>
  <si>
    <t>Time (s)18</t>
  </si>
  <si>
    <t>Πόσο συχνά αντιμετωπίζετε ημικρανίες; (κρίσεις ανά μήνα)</t>
  </si>
  <si>
    <t>Time (s)19</t>
  </si>
  <si>
    <t>Βαθμολογήστε τη σοβαρότητα των ημικρανιών σας σε κλίμακα από 0 έως 100.</t>
  </si>
  <si>
    <t>Time (s)20</t>
  </si>
  <si>
    <t>Αντιμετωπίζετε ημικρανία ή αύρα (αισθητηριακές διαταραχές που συμβαίνουν λίγο πριν από την ημικρανία) αυτήν τη στιγμή;</t>
  </si>
  <si>
    <t>Time (s)21</t>
  </si>
  <si>
    <t>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t>
  </si>
  <si>
    <t>Time (s)22</t>
  </si>
  <si>
    <t xml:space="preserve">Βαθμονόμηση συστήματος </t>
  </si>
  <si>
    <t>Time (s)23</t>
  </si>
  <si>
    <t>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t>
  </si>
  <si>
    <t>Time (s)24</t>
  </si>
  <si>
    <t xml:space="preserve">Τέστ Στέρεο  </t>
  </si>
  <si>
    <t>Time (s)25</t>
  </si>
  <si>
    <t>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 **Προσαρμόστε τους τόνους χρησ</t>
  </si>
  <si>
    <t>Time (s)26</t>
  </si>
  <si>
    <t>Τόνος 1 - Μόλις να ακούγεται rating</t>
  </si>
  <si>
    <t>Time (s)27</t>
  </si>
  <si>
    <t>Τόνος 1 - Ελάχιστα ενοχλητικός rating</t>
  </si>
  <si>
    <t>Time (s)28</t>
  </si>
  <si>
    <t>Τόνος 2 - Μόλις να ακούγεται rating</t>
  </si>
  <si>
    <t>Time (s)29</t>
  </si>
  <si>
    <t>Τόνος 2 - Ελάχιστα ενοχλητικός rating</t>
  </si>
  <si>
    <t>Time (s)30</t>
  </si>
  <si>
    <t>Τόνος 3 - Μόλις να ακούγεται rating</t>
  </si>
  <si>
    <t>Time (s)31</t>
  </si>
  <si>
    <t>Τόνος 3 - Ελάχιστα ενοχλητικός rating</t>
  </si>
  <si>
    <t>Time (s)32</t>
  </si>
  <si>
    <t>Τόνος 4 - Μόλις να ακούγεται rating</t>
  </si>
  <si>
    <t>Time (s)33</t>
  </si>
  <si>
    <t>Τόνος 4 - Ελάχιστα ενοχλητικός rating</t>
  </si>
  <si>
    <t>Time (s)34</t>
  </si>
  <si>
    <t>Τόνος 5 - Μόλις να ακούγεται rating</t>
  </si>
  <si>
    <t>Time (s)35</t>
  </si>
  <si>
    <t>Τόνος 5 - Ελάχιστα ενοχλητικός rating</t>
  </si>
  <si>
    <t>Time (s)36</t>
  </si>
  <si>
    <t>Τόνος 6 - Μόλις να ακούγεται rating</t>
  </si>
  <si>
    <t>Time (s)37</t>
  </si>
  <si>
    <t>Τόνος 6 - Ελάχιστα ενοχλητικός rating</t>
  </si>
  <si>
    <t>Time (s)38</t>
  </si>
  <si>
    <t>Τόνος 7 - Μόλις να ακούγεται rating</t>
  </si>
  <si>
    <t>Time (s)39</t>
  </si>
  <si>
    <t>Τόνος 7 - Ελάχιστα ενοχλητικός rating</t>
  </si>
  <si>
    <t>Time (s)40</t>
  </si>
  <si>
    <t>Τόνος 8 - Μόλις να ακούγεται rating</t>
  </si>
  <si>
    <t>Time (s)41</t>
  </si>
  <si>
    <t>Τόνος 8 - Ελάχιστα ενοχλητικός rating</t>
  </si>
  <si>
    <t>Time (s)42</t>
  </si>
  <si>
    <t>Τόνος 9 - Μόλις να ακούγεται rating</t>
  </si>
  <si>
    <t>Time (s)43</t>
  </si>
  <si>
    <t>Τόνος 9 - Ελάχιστα ενοχλητικός rating</t>
  </si>
  <si>
    <t>Time (s)44</t>
  </si>
  <si>
    <t>Τόνος 10 - Μόλις να ακούγεται rating</t>
  </si>
  <si>
    <t>Time (s)45</t>
  </si>
  <si>
    <t>Τόνος 10 - Ελάχιστα ενοχλητικός rating</t>
  </si>
  <si>
    <t>Time (s)46</t>
  </si>
  <si>
    <t>Τόνος 11 - Μόλις να ακούγεται rating</t>
  </si>
  <si>
    <t>Time (s)47</t>
  </si>
  <si>
    <t>Τόνος 11 - Ελάχιστα ενοχλητικός rating</t>
  </si>
  <si>
    <t>Time (s)48</t>
  </si>
  <si>
    <t>Τόνος 12 - Μόλις να ακούγεται rating</t>
  </si>
  <si>
    <t>Time (s)49</t>
  </si>
  <si>
    <t>Τόνος 12 - Ελάχιστα ενοχλητικός rating</t>
  </si>
  <si>
    <t>Time (s)50</t>
  </si>
  <si>
    <t>Τόνος 13 - Μόλις να ακούγεται rating</t>
  </si>
  <si>
    <t>Time (s)51</t>
  </si>
  <si>
    <t>Τόνος 13 - Ελάχιστα ενοχλητικός rating</t>
  </si>
  <si>
    <t>Time (s)52</t>
  </si>
  <si>
    <t>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t>
  </si>
  <si>
    <t>Time (s)53</t>
  </si>
  <si>
    <t>Μπορείτε είτε να χρησιμοποιήσετε το παρακάτω πλαίσιο ή να στείλετε email στο a.mourgela@qmul.ac.uk</t>
  </si>
  <si>
    <t>Time (s)54</t>
  </si>
  <si>
    <t xml:space="preserve"> Τέλος της μελέτης, παρακαλούμε πατήστε "submit" και μπορείτε να κλείσετε αυτήν τη σελίδα.</t>
  </si>
  <si>
    <t>Time (s)55</t>
  </si>
  <si>
    <t>Διερεύνηση επιπέδων ηχητικής έντασης και συχνοτικού περιεχομένου εμφάνισης ακουστικής δυσφορίας, σε ημικρανικούς ακροατές με υπερευαισθησία ήχου</t>
  </si>
  <si>
    <t>2021-02-22 23:25:26</t>
  </si>
  <si>
    <t>'Εχω διαβάσει το έντυπο πληροφόρησης συμμετεχόντων και θέλω να προχωρήσω στη μελέτη</t>
  </si>
  <si>
    <t>81.32</t>
  </si>
  <si>
    <t xml:space="preserve">'Εχω διαβάσει προσεκτικά και συμφωνώ με όλες τις παραπάνω δηλώσεις </t>
  </si>
  <si>
    <t>18.086</t>
  </si>
  <si>
    <t>11.764</t>
  </si>
  <si>
    <t>Όχι, δεν έχω διαγνωστεί και δεν αντιμετωπίζω απώλεια ακοής.</t>
  </si>
  <si>
    <t>6.323</t>
  </si>
  <si>
    <t>37.333</t>
  </si>
  <si>
    <t>7.291</t>
  </si>
  <si>
    <t>5.794</t>
  </si>
  <si>
    <t>5.616</t>
  </si>
  <si>
    <t xml:space="preserve"> Όχι, δεν έχω διαγνωστεί και δεν αντιμετωπίζω ημικρανίες.</t>
  </si>
  <si>
    <t>6.565</t>
  </si>
  <si>
    <t/>
  </si>
  <si>
    <t>0</t>
  </si>
  <si>
    <t>None</t>
  </si>
  <si>
    <t>B&amp;W P3</t>
  </si>
  <si>
    <t>359.616</t>
  </si>
  <si>
    <t>Επιβεβαιώνω</t>
  </si>
  <si>
    <t>19.151</t>
  </si>
  <si>
    <t>Και από τα δύο ακουστικά</t>
  </si>
  <si>
    <t>61.822</t>
  </si>
  <si>
    <t>69.505</t>
  </si>
  <si>
    <t>0.25</t>
  </si>
  <si>
    <t>90.813</t>
  </si>
  <si>
    <t>0.8</t>
  </si>
  <si>
    <t>68.663</t>
  </si>
  <si>
    <t>19.108</t>
  </si>
  <si>
    <t>0.67</t>
  </si>
  <si>
    <t>17.195</t>
  </si>
  <si>
    <t>0.15</t>
  </si>
  <si>
    <t>11.401</t>
  </si>
  <si>
    <t>0.71</t>
  </si>
  <si>
    <t>31.785</t>
  </si>
  <si>
    <t>0.17</t>
  </si>
  <si>
    <t>15.537</t>
  </si>
  <si>
    <t>24.371</t>
  </si>
  <si>
    <t>0.16</t>
  </si>
  <si>
    <t>13.935</t>
  </si>
  <si>
    <t>0.72</t>
  </si>
  <si>
    <t>14.431</t>
  </si>
  <si>
    <t>16.057</t>
  </si>
  <si>
    <t>0.7</t>
  </si>
  <si>
    <t>34.415</t>
  </si>
  <si>
    <t>16.749</t>
  </si>
  <si>
    <t>0.82</t>
  </si>
  <si>
    <t>35.701</t>
  </si>
  <si>
    <t>0.14</t>
  </si>
  <si>
    <t>18.553</t>
  </si>
  <si>
    <t>14.29</t>
  </si>
  <si>
    <t>0.13</t>
  </si>
  <si>
    <t>16.198</t>
  </si>
  <si>
    <t>0.68</t>
  </si>
  <si>
    <t>20.388</t>
  </si>
  <si>
    <t>0.18</t>
  </si>
  <si>
    <t>14.64</t>
  </si>
  <si>
    <t>0.62</t>
  </si>
  <si>
    <t>27.405</t>
  </si>
  <si>
    <t>0.36</t>
  </si>
  <si>
    <t>43.833</t>
  </si>
  <si>
    <t>0.69</t>
  </si>
  <si>
    <t>14.983</t>
  </si>
  <si>
    <t>0.55</t>
  </si>
  <si>
    <t>35.135</t>
  </si>
  <si>
    <t>0.93</t>
  </si>
  <si>
    <t>26.282</t>
  </si>
  <si>
    <t>1</t>
  </si>
  <si>
    <t>51.511</t>
  </si>
  <si>
    <t>8.557</t>
  </si>
  <si>
    <t>14.196</t>
  </si>
  <si>
    <t>41.295</t>
  </si>
  <si>
    <t>25.444</t>
  </si>
  <si>
    <t>2021-02-16 22:19:19</t>
  </si>
  <si>
    <t>2.423</t>
  </si>
  <si>
    <t>4.077</t>
  </si>
  <si>
    <t>3.258</t>
  </si>
  <si>
    <t>4.113</t>
  </si>
  <si>
    <t>10.564</t>
  </si>
  <si>
    <t>2.614</t>
  </si>
  <si>
    <t>3.278</t>
  </si>
  <si>
    <t>4.031</t>
  </si>
  <si>
    <t>Ναι, έχω διαγνωστεί ή αντιμετωπίζω ημικρανίες.</t>
  </si>
  <si>
    <t>3.822</t>
  </si>
  <si>
    <t>3.78</t>
  </si>
  <si>
    <t>3.642</t>
  </si>
  <si>
    <t>6.815</t>
  </si>
  <si>
    <t>7.915</t>
  </si>
  <si>
    <t>Χρόνια</t>
  </si>
  <si>
    <t>3.703</t>
  </si>
  <si>
    <t>Αριστερό αυτί</t>
  </si>
  <si>
    <t>3.35</t>
  </si>
  <si>
    <t>18.643</t>
  </si>
  <si>
    <t>Πριν από μια ημικρανία</t>
  </si>
  <si>
    <t>4.064</t>
  </si>
  <si>
    <t>Μωρό που κλαίει / παιδιά που φωνάζουν,Πλήθη / μεγάλες συγκεντρώσεις,Σκυλί που γαβγίζει,Φωνές υψηλής συχνότητας / κραυγές,Μουσική,Σφυρίχτρα / κόρνα/ σειρήνα</t>
  </si>
  <si>
    <t>21.747</t>
  </si>
  <si>
    <t>5</t>
  </si>
  <si>
    <t>7.91</t>
  </si>
  <si>
    <t>6.816</t>
  </si>
  <si>
    <t>4.444</t>
  </si>
  <si>
    <t>2.5</t>
  </si>
  <si>
    <t>Μ/Δ</t>
  </si>
  <si>
    <t>38.268</t>
  </si>
  <si>
    <t>12.613</t>
  </si>
  <si>
    <t>30.759</t>
  </si>
  <si>
    <t>33.8</t>
  </si>
  <si>
    <t>0.41</t>
  </si>
  <si>
    <t>46.115</t>
  </si>
  <si>
    <t>0.89</t>
  </si>
  <si>
    <t>27.686</t>
  </si>
  <si>
    <t>0.29</t>
  </si>
  <si>
    <t>15.625</t>
  </si>
  <si>
    <t>20.82</t>
  </si>
  <si>
    <t>0.26</t>
  </si>
  <si>
    <t>22.633</t>
  </si>
  <si>
    <t>0.75</t>
  </si>
  <si>
    <t>10.446</t>
  </si>
  <si>
    <t>14.355</t>
  </si>
  <si>
    <t>16.587</t>
  </si>
  <si>
    <t>0.28</t>
  </si>
  <si>
    <t>12.6</t>
  </si>
  <si>
    <t>9.04</t>
  </si>
  <si>
    <t>0.31</t>
  </si>
  <si>
    <t>9.532</t>
  </si>
  <si>
    <t>8.842</t>
  </si>
  <si>
    <t>10.241</t>
  </si>
  <si>
    <t>8.252</t>
  </si>
  <si>
    <t>0.35</t>
  </si>
  <si>
    <t>6.964</t>
  </si>
  <si>
    <t>0.78</t>
  </si>
  <si>
    <t>6.768</t>
  </si>
  <si>
    <t>0.43</t>
  </si>
  <si>
    <t>6.833</t>
  </si>
  <si>
    <t>6.908</t>
  </si>
  <si>
    <t>5.527</t>
  </si>
  <si>
    <t>6.062</t>
  </si>
  <si>
    <t>0.44</t>
  </si>
  <si>
    <t>10.131</t>
  </si>
  <si>
    <t>0.47</t>
  </si>
  <si>
    <t>6.71</t>
  </si>
  <si>
    <t>0.74</t>
  </si>
  <si>
    <t>8.638</t>
  </si>
  <si>
    <t>0.54</t>
  </si>
  <si>
    <t>7.638</t>
  </si>
  <si>
    <t>7.988</t>
  </si>
  <si>
    <t>3.303</t>
  </si>
  <si>
    <t>6.776</t>
  </si>
  <si>
    <t>2021-02-15 22:39:39</t>
  </si>
  <si>
    <t>3.711</t>
  </si>
  <si>
    <t>4.219</t>
  </si>
  <si>
    <t>2.823</t>
  </si>
  <si>
    <t>2.812</t>
  </si>
  <si>
    <t>9.182</t>
  </si>
  <si>
    <t>6.34</t>
  </si>
  <si>
    <t>6.993</t>
  </si>
  <si>
    <t>3.255</t>
  </si>
  <si>
    <t>2.714</t>
  </si>
  <si>
    <t>Jbl oneplus</t>
  </si>
  <si>
    <t>132.877</t>
  </si>
  <si>
    <t>5.589</t>
  </si>
  <si>
    <t>14.433</t>
  </si>
  <si>
    <t>166.759</t>
  </si>
  <si>
    <t>27.367</t>
  </si>
  <si>
    <t>34.117</t>
  </si>
  <si>
    <t>0.49</t>
  </si>
  <si>
    <t>18.175</t>
  </si>
  <si>
    <t>0.77</t>
  </si>
  <si>
    <t>18.37</t>
  </si>
  <si>
    <t>0.37</t>
  </si>
  <si>
    <t>15.894</t>
  </si>
  <si>
    <t>0.57</t>
  </si>
  <si>
    <t>26.471</t>
  </si>
  <si>
    <t>0.4</t>
  </si>
  <si>
    <t>20.543</t>
  </si>
  <si>
    <t>16.781</t>
  </si>
  <si>
    <t>16.333</t>
  </si>
  <si>
    <t>0.79</t>
  </si>
  <si>
    <t>23.149</t>
  </si>
  <si>
    <t>16.637</t>
  </si>
  <si>
    <t>0.58</t>
  </si>
  <si>
    <t>13.479</t>
  </si>
  <si>
    <t>12.024</t>
  </si>
  <si>
    <t>0.85</t>
  </si>
  <si>
    <t>19.602</t>
  </si>
  <si>
    <t>11.552</t>
  </si>
  <si>
    <t>0.51</t>
  </si>
  <si>
    <t>16.989</t>
  </si>
  <si>
    <t>0.34</t>
  </si>
  <si>
    <t>10.065</t>
  </si>
  <si>
    <t>28.502</t>
  </si>
  <si>
    <t>11.119</t>
  </si>
  <si>
    <t>21.776</t>
  </si>
  <si>
    <t>0.38</t>
  </si>
  <si>
    <t>12.688</t>
  </si>
  <si>
    <t>22.408</t>
  </si>
  <si>
    <t>0.52</t>
  </si>
  <si>
    <t>17.316</t>
  </si>
  <si>
    <t>14.171</t>
  </si>
  <si>
    <t>0.53</t>
  </si>
  <si>
    <t>14.261</t>
  </si>
  <si>
    <t>0.65</t>
  </si>
  <si>
    <t>16.281</t>
  </si>
  <si>
    <t>11.821</t>
  </si>
  <si>
    <t>23.365</t>
  </si>
  <si>
    <t>3.718</t>
  </si>
  <si>
    <t>2021-02-15 19:36:08</t>
  </si>
  <si>
    <t>8.511</t>
  </si>
  <si>
    <t>25.386</t>
  </si>
  <si>
    <t>3.852</t>
  </si>
  <si>
    <t>20.689</t>
  </si>
  <si>
    <t>20.149</t>
  </si>
  <si>
    <t>4.634</t>
  </si>
  <si>
    <t>3.783</t>
  </si>
  <si>
    <t>4.471</t>
  </si>
  <si>
    <t>10.692</t>
  </si>
  <si>
    <t>aiaiai tma-2</t>
  </si>
  <si>
    <t>160.382</t>
  </si>
  <si>
    <t>15.402</t>
  </si>
  <si>
    <t>28.535</t>
  </si>
  <si>
    <t>56.599</t>
  </si>
  <si>
    <t>0.63</t>
  </si>
  <si>
    <t>31.062</t>
  </si>
  <si>
    <t>0.86</t>
  </si>
  <si>
    <t>19.15</t>
  </si>
  <si>
    <t>40.411</t>
  </si>
  <si>
    <t>0.81</t>
  </si>
  <si>
    <t>16.783</t>
  </si>
  <si>
    <t>15.141</t>
  </si>
  <si>
    <t>14.802</t>
  </si>
  <si>
    <t>14.578</t>
  </si>
  <si>
    <t>7.718</t>
  </si>
  <si>
    <t>8.55</t>
  </si>
  <si>
    <t>12.025</t>
  </si>
  <si>
    <t>24.826</t>
  </si>
  <si>
    <t>8.137</t>
  </si>
  <si>
    <t>18.639</t>
  </si>
  <si>
    <t>11.108</t>
  </si>
  <si>
    <t>8.06</t>
  </si>
  <si>
    <t>0.64</t>
  </si>
  <si>
    <t>8.606</t>
  </si>
  <si>
    <t>0.48</t>
  </si>
  <si>
    <t>9.15</t>
  </si>
  <si>
    <t>7.411</t>
  </si>
  <si>
    <t>5.804</t>
  </si>
  <si>
    <t>0.66</t>
  </si>
  <si>
    <t>6.986</t>
  </si>
  <si>
    <t>12.222</t>
  </si>
  <si>
    <t>0.87</t>
  </si>
  <si>
    <t>11.913</t>
  </si>
  <si>
    <t>10.912</t>
  </si>
  <si>
    <t>0.92</t>
  </si>
  <si>
    <t>7.099</t>
  </si>
  <si>
    <t>0.59</t>
  </si>
  <si>
    <t>10.569</t>
  </si>
  <si>
    <t>5.401</t>
  </si>
  <si>
    <t>11.834</t>
  </si>
  <si>
    <t>7.898</t>
  </si>
  <si>
    <t>3.495</t>
  </si>
  <si>
    <t>2021-02-13 13:44:04</t>
  </si>
  <si>
    <t>2.137</t>
  </si>
  <si>
    <t>3.707</t>
  </si>
  <si>
    <t>2.298</t>
  </si>
  <si>
    <t>2.666</t>
  </si>
  <si>
    <t>7.6</t>
  </si>
  <si>
    <t>2.37</t>
  </si>
  <si>
    <t>1.958</t>
  </si>
  <si>
    <t>2.25</t>
  </si>
  <si>
    <t>2.154</t>
  </si>
  <si>
    <t>2.631</t>
  </si>
  <si>
    <t>2.882</t>
  </si>
  <si>
    <t>12.627</t>
  </si>
  <si>
    <t>6.251</t>
  </si>
  <si>
    <t>4.405</t>
  </si>
  <si>
    <t>Και τα δύο αυτιά</t>
  </si>
  <si>
    <t>2.753</t>
  </si>
  <si>
    <t>3.279</t>
  </si>
  <si>
    <t>Κατά τη διάρκεια της ημικρανίας,Πριν από μια ημικρανία</t>
  </si>
  <si>
    <t>6.745</t>
  </si>
  <si>
    <t>Μωρό που κλαίει / παιδιά που φωνάζουν,Πιάτα που στοιβάζονται,Σκυλί που γαβγίζει,Φωνές υψηλής συχνότητας / κραυγές,Μουσική,Ηλεκτρικά εργαλεία,Σφυρίχτρα / κόρνα/ σειρήνα</t>
  </si>
  <si>
    <t>14.448</t>
  </si>
  <si>
    <t>17</t>
  </si>
  <si>
    <t>6.835</t>
  </si>
  <si>
    <t>6</t>
  </si>
  <si>
    <t>4.41</t>
  </si>
  <si>
    <t>1.379</t>
  </si>
  <si>
    <t>Μδ</t>
  </si>
  <si>
    <t>37.588</t>
  </si>
  <si>
    <t>2.751</t>
  </si>
  <si>
    <t>16.61</t>
  </si>
  <si>
    <t>11.128</t>
  </si>
  <si>
    <t>0.5</t>
  </si>
  <si>
    <t>24.268</t>
  </si>
  <si>
    <t>13.024</t>
  </si>
  <si>
    <t>14.613</t>
  </si>
  <si>
    <t>12.411</t>
  </si>
  <si>
    <t>7.881</t>
  </si>
  <si>
    <t>4.878</t>
  </si>
  <si>
    <t>6.848</t>
  </si>
  <si>
    <t>4.975</t>
  </si>
  <si>
    <t>0.3</t>
  </si>
  <si>
    <t>7.736</t>
  </si>
  <si>
    <t>7.354</t>
  </si>
  <si>
    <t>6.508</t>
  </si>
  <si>
    <t>0.61</t>
  </si>
  <si>
    <t>6.892</t>
  </si>
  <si>
    <t>8.312</t>
  </si>
  <si>
    <t>6.14</t>
  </si>
  <si>
    <t>5.606</t>
  </si>
  <si>
    <t>5.882</t>
  </si>
  <si>
    <t>0.45</t>
  </si>
  <si>
    <t>5.477</t>
  </si>
  <si>
    <t>5.887</t>
  </si>
  <si>
    <t>4.979</t>
  </si>
  <si>
    <t>0.56</t>
  </si>
  <si>
    <t>8.579</t>
  </si>
  <si>
    <t>4.697</t>
  </si>
  <si>
    <t>6.442</t>
  </si>
  <si>
    <t>7.873</t>
  </si>
  <si>
    <t>4.401</t>
  </si>
  <si>
    <t>7.644</t>
  </si>
  <si>
    <t>6.407</t>
  </si>
  <si>
    <t>1.847</t>
  </si>
  <si>
    <t>2.612</t>
  </si>
  <si>
    <t>1.107</t>
  </si>
  <si>
    <t>2021-02-13 09:42:14</t>
  </si>
  <si>
    <t>15.847</t>
  </si>
  <si>
    <t>41.778</t>
  </si>
  <si>
    <t>7.109</t>
  </si>
  <si>
    <t>7.696</t>
  </si>
  <si>
    <t>17.312</t>
  </si>
  <si>
    <t>6.327</t>
  </si>
  <si>
    <t>3.868</t>
  </si>
  <si>
    <t>3.436</t>
  </si>
  <si>
    <t>3.992</t>
  </si>
  <si>
    <t>Philips</t>
  </si>
  <si>
    <t>201.113</t>
  </si>
  <si>
    <t>11.497</t>
  </si>
  <si>
    <t>26.218</t>
  </si>
  <si>
    <t>32</t>
  </si>
  <si>
    <t>58.652</t>
  </si>
  <si>
    <t>31.067</t>
  </si>
  <si>
    <t>24.692</t>
  </si>
  <si>
    <t>15.156</t>
  </si>
  <si>
    <t>22.712</t>
  </si>
  <si>
    <t>18.296</t>
  </si>
  <si>
    <t>16.928</t>
  </si>
  <si>
    <t>0.6</t>
  </si>
  <si>
    <t>21.701</t>
  </si>
  <si>
    <t>18.508</t>
  </si>
  <si>
    <t>9.618</t>
  </si>
  <si>
    <t>14.857</t>
  </si>
  <si>
    <t>13.116</t>
  </si>
  <si>
    <t>18.876</t>
  </si>
  <si>
    <t>13.933</t>
  </si>
  <si>
    <t>0.2</t>
  </si>
  <si>
    <t>11.703</t>
  </si>
  <si>
    <t>0.22</t>
  </si>
  <si>
    <t>11.271</t>
  </si>
  <si>
    <t>58.093</t>
  </si>
  <si>
    <t>13.522</t>
  </si>
  <si>
    <t>0.21</t>
  </si>
  <si>
    <t>13.504</t>
  </si>
  <si>
    <t>0.27</t>
  </si>
  <si>
    <t>11.945</t>
  </si>
  <si>
    <t>23.919</t>
  </si>
  <si>
    <t>14.268</t>
  </si>
  <si>
    <t>0.32</t>
  </si>
  <si>
    <t>58.635</t>
  </si>
  <si>
    <t>9.284</t>
  </si>
  <si>
    <t>10.284</t>
  </si>
  <si>
    <t>12.496</t>
  </si>
  <si>
    <t>8.752</t>
  </si>
  <si>
    <t>19.976</t>
  </si>
  <si>
    <t>3.193</t>
  </si>
  <si>
    <t>2021-02-13 04:00:27</t>
  </si>
  <si>
    <t>4.402</t>
  </si>
  <si>
    <t>27.801</t>
  </si>
  <si>
    <t>8.389</t>
  </si>
  <si>
    <t>4.862</t>
  </si>
  <si>
    <t>17.154</t>
  </si>
  <si>
    <t>14.582</t>
  </si>
  <si>
    <t>3.264</t>
  </si>
  <si>
    <t>5.521</t>
  </si>
  <si>
    <t>5.361</t>
  </si>
  <si>
    <t>3.782</t>
  </si>
  <si>
    <t>3.476</t>
  </si>
  <si>
    <t xml:space="preserve">Μ/Δ </t>
  </si>
  <si>
    <t>104.395</t>
  </si>
  <si>
    <t>6.229</t>
  </si>
  <si>
    <t>5.659</t>
  </si>
  <si>
    <t>4.126</t>
  </si>
  <si>
    <t>2.915</t>
  </si>
  <si>
    <t>Κατά τη διάρκεια της ημικρανίας</t>
  </si>
  <si>
    <t>18.191</t>
  </si>
  <si>
    <t>Πιάτα που στοιβάζονται,Φωνές υψηλής συχνότητας / κραυγές,Ηλεκτρικά εργαλεία,Ηλεκτρική σκούπα,Σφυρίχτρα / κόρνα/ σειρήνα,Μωρό που κλαίει / παιδιά που φωνάζουν,Τηλεόραση / ραδιόφωνο</t>
  </si>
  <si>
    <t>35.588</t>
  </si>
  <si>
    <t>3 έως 6</t>
  </si>
  <si>
    <t>10.145</t>
  </si>
  <si>
    <t>7.94</t>
  </si>
  <si>
    <t>15.922</t>
  </si>
  <si>
    <t>3.118</t>
  </si>
  <si>
    <t>Edifier NB2 TWS ANC Bluetooth Handsdree</t>
  </si>
  <si>
    <t>178.597</t>
  </si>
  <si>
    <t>16.878</t>
  </si>
  <si>
    <t>19.788</t>
  </si>
  <si>
    <t>22.193</t>
  </si>
  <si>
    <t>47.485</t>
  </si>
  <si>
    <t>28.333</t>
  </si>
  <si>
    <t>17.979</t>
  </si>
  <si>
    <t>18.148</t>
  </si>
  <si>
    <t>16.695</t>
  </si>
  <si>
    <t>11.368</t>
  </si>
  <si>
    <t>17.688</t>
  </si>
  <si>
    <t>9.207</t>
  </si>
  <si>
    <t>8.138</t>
  </si>
  <si>
    <t>8.413</t>
  </si>
  <si>
    <t>8.141</t>
  </si>
  <si>
    <t>5.95</t>
  </si>
  <si>
    <t>10.453</t>
  </si>
  <si>
    <t>9.53</t>
  </si>
  <si>
    <t>3.968</t>
  </si>
  <si>
    <t>6.197</t>
  </si>
  <si>
    <t>0.05</t>
  </si>
  <si>
    <t>27.13</t>
  </si>
  <si>
    <t>0.1</t>
  </si>
  <si>
    <t>10.269</t>
  </si>
  <si>
    <t>12.36</t>
  </si>
  <si>
    <t>0.12</t>
  </si>
  <si>
    <t>4.286</t>
  </si>
  <si>
    <t>7.246</t>
  </si>
  <si>
    <t>0.06</t>
  </si>
  <si>
    <t>8.946</t>
  </si>
  <si>
    <t>7.233</t>
  </si>
  <si>
    <t>4.523</t>
  </si>
  <si>
    <t>6.339</t>
  </si>
  <si>
    <t>0.23</t>
  </si>
  <si>
    <t>5.956</t>
  </si>
  <si>
    <t>8.188</t>
  </si>
  <si>
    <t>6.29</t>
  </si>
  <si>
    <t>1.996</t>
  </si>
  <si>
    <t>2021-02-12 12:36:48</t>
  </si>
  <si>
    <t>4.754</t>
  </si>
  <si>
    <t>5.936</t>
  </si>
  <si>
    <t>3.05</t>
  </si>
  <si>
    <t>2.654</t>
  </si>
  <si>
    <t>5.18</t>
  </si>
  <si>
    <t>2.709</t>
  </si>
  <si>
    <t>2.353</t>
  </si>
  <si>
    <t>2.788</t>
  </si>
  <si>
    <t>2.878</t>
  </si>
  <si>
    <t>Airpods Pro</t>
  </si>
  <si>
    <t>35.259</t>
  </si>
  <si>
    <t>5.561</t>
  </si>
  <si>
    <t>7.332</t>
  </si>
  <si>
    <t>6.2</t>
  </si>
  <si>
    <t>23.851</t>
  </si>
  <si>
    <t>0.91</t>
  </si>
  <si>
    <t>19.233</t>
  </si>
  <si>
    <t>14.865</t>
  </si>
  <si>
    <t>0.84</t>
  </si>
  <si>
    <t>15.886</t>
  </si>
  <si>
    <t>21.068</t>
  </si>
  <si>
    <t>19.281</t>
  </si>
  <si>
    <t>14.003</t>
  </si>
  <si>
    <t>11.171</t>
  </si>
  <si>
    <t>19.035</t>
  </si>
  <si>
    <t>9.011</t>
  </si>
  <si>
    <t>0.24</t>
  </si>
  <si>
    <t>13.202</t>
  </si>
  <si>
    <t>0.76</t>
  </si>
  <si>
    <t>8.134</t>
  </si>
  <si>
    <t>15.075</t>
  </si>
  <si>
    <t>11.577</t>
  </si>
  <si>
    <t>14.399</t>
  </si>
  <si>
    <t>12.31</t>
  </si>
  <si>
    <t>14.132</t>
  </si>
  <si>
    <t>10.286</t>
  </si>
  <si>
    <t>9.281</t>
  </si>
  <si>
    <t>7.331</t>
  </si>
  <si>
    <t>8.284</t>
  </si>
  <si>
    <t>5.773</t>
  </si>
  <si>
    <t>9.447</t>
  </si>
  <si>
    <t>6.206</t>
  </si>
  <si>
    <t>14.328</t>
  </si>
  <si>
    <t>7.818</t>
  </si>
  <si>
    <t>1.964</t>
  </si>
  <si>
    <t>6.552</t>
  </si>
  <si>
    <t>1.462</t>
  </si>
  <si>
    <t>2021-02-12 07:47:51</t>
  </si>
  <si>
    <t>25.932</t>
  </si>
  <si>
    <t>15.645</t>
  </si>
  <si>
    <t>4.111</t>
  </si>
  <si>
    <t>4.756</t>
  </si>
  <si>
    <t>22.816</t>
  </si>
  <si>
    <t>5.69</t>
  </si>
  <si>
    <t>3.559</t>
  </si>
  <si>
    <t>3.314</t>
  </si>
  <si>
    <t>63.591</t>
  </si>
  <si>
    <t>4.461</t>
  </si>
  <si>
    <t>11.242</t>
  </si>
  <si>
    <t>4.002</t>
  </si>
  <si>
    <t>22.677</t>
  </si>
  <si>
    <t>0.83</t>
  </si>
  <si>
    <t>17.208</t>
  </si>
  <si>
    <t>10.763</t>
  </si>
  <si>
    <t>12.763</t>
  </si>
  <si>
    <t>13.042</t>
  </si>
  <si>
    <t>9.814</t>
  </si>
  <si>
    <t>12.318</t>
  </si>
  <si>
    <t>9.529</t>
  </si>
  <si>
    <t>7.773</t>
  </si>
  <si>
    <t>11.095</t>
  </si>
  <si>
    <t>7.147</t>
  </si>
  <si>
    <t>8.737</t>
  </si>
  <si>
    <t>8.526</t>
  </si>
  <si>
    <t>0.46</t>
  </si>
  <si>
    <t>5.748</t>
  </si>
  <si>
    <t>10.804</t>
  </si>
  <si>
    <t>9.176</t>
  </si>
  <si>
    <t>9.546</t>
  </si>
  <si>
    <t>4.794</t>
  </si>
  <si>
    <t>6.332</t>
  </si>
  <si>
    <t>4.793</t>
  </si>
  <si>
    <t>0.39</t>
  </si>
  <si>
    <t>5.771</t>
  </si>
  <si>
    <t>5.314</t>
  </si>
  <si>
    <t>5.552</t>
  </si>
  <si>
    <t>7.34</t>
  </si>
  <si>
    <t>8.298</t>
  </si>
  <si>
    <t>4.352</t>
  </si>
  <si>
    <t>2.282</t>
  </si>
  <si>
    <t>7.567</t>
  </si>
  <si>
    <t>3.164</t>
  </si>
  <si>
    <t>2021-02-11 17:27:50</t>
  </si>
  <si>
    <t>31.322</t>
  </si>
  <si>
    <t>3.801</t>
  </si>
  <si>
    <t>15.408</t>
  </si>
  <si>
    <t>19.693</t>
  </si>
  <si>
    <t>5.331</t>
  </si>
  <si>
    <t>7.812</t>
  </si>
  <si>
    <t>4.321</t>
  </si>
  <si>
    <t>4.818</t>
  </si>
  <si>
    <t>100.848</t>
  </si>
  <si>
    <t>8.231</t>
  </si>
  <si>
    <t>18.985</t>
  </si>
  <si>
    <t>32.366</t>
  </si>
  <si>
    <t>46.057</t>
  </si>
  <si>
    <t>25.684</t>
  </si>
  <si>
    <t>16.634</t>
  </si>
  <si>
    <t>25.996</t>
  </si>
  <si>
    <t>0.42</t>
  </si>
  <si>
    <t>20.852</t>
  </si>
  <si>
    <t>10.365</t>
  </si>
  <si>
    <t>19.184</t>
  </si>
  <si>
    <t>25.212</t>
  </si>
  <si>
    <t>19.555</t>
  </si>
  <si>
    <t>12.397</t>
  </si>
  <si>
    <t>18.368</t>
  </si>
  <si>
    <t>9.469</t>
  </si>
  <si>
    <t>16.385</t>
  </si>
  <si>
    <t>20.89</t>
  </si>
  <si>
    <t>10.611</t>
  </si>
  <si>
    <t>15.949</t>
  </si>
  <si>
    <t>12.083</t>
  </si>
  <si>
    <t>12.767</t>
  </si>
  <si>
    <t>14.338</t>
  </si>
  <si>
    <t>12.173</t>
  </si>
  <si>
    <t>7.209</t>
  </si>
  <si>
    <t>9.786</t>
  </si>
  <si>
    <t>15.084</t>
  </si>
  <si>
    <t>16.697</t>
  </si>
  <si>
    <t>13.195</t>
  </si>
  <si>
    <t>10.776</t>
  </si>
  <si>
    <t>2.99</t>
  </si>
  <si>
    <t>5.19</t>
  </si>
  <si>
    <t>3.02</t>
  </si>
  <si>
    <t>2021-02-11 14:36:46</t>
  </si>
  <si>
    <t>5.509</t>
  </si>
  <si>
    <t>48.38</t>
  </si>
  <si>
    <t>7.323</t>
  </si>
  <si>
    <t>13.961</t>
  </si>
  <si>
    <t>17.568</t>
  </si>
  <si>
    <t>6.309</t>
  </si>
  <si>
    <t>5.412</t>
  </si>
  <si>
    <t>5.083</t>
  </si>
  <si>
    <t>5.019</t>
  </si>
  <si>
    <t>5.3</t>
  </si>
  <si>
    <t>5.879</t>
  </si>
  <si>
    <t>6.214</t>
  </si>
  <si>
    <t>9.387</t>
  </si>
  <si>
    <t>Πριν από μια ημικρανία,Μετά από ημικρανία</t>
  </si>
  <si>
    <t>17.374</t>
  </si>
  <si>
    <t>Πιάτα που στοιβάζονται,Σκυλί που γαβγίζει,Ηλεκτρικά εργαλεία,Κουδούνισμα τηλεφώνου,Τηλεόραση / ραδιόφωνο,Σφυρίχτρα / κόρνα/ σειρήνα</t>
  </si>
  <si>
    <t>25.462</t>
  </si>
  <si>
    <t>10</t>
  </si>
  <si>
    <t>14.631</t>
  </si>
  <si>
    <t>70</t>
  </si>
  <si>
    <t>17.962</t>
  </si>
  <si>
    <t>11.4</t>
  </si>
  <si>
    <t>6.613</t>
  </si>
  <si>
    <t>ΜΔ</t>
  </si>
  <si>
    <t>22.365</t>
  </si>
  <si>
    <t>23.705</t>
  </si>
  <si>
    <t>47.306</t>
  </si>
  <si>
    <t>21.054</t>
  </si>
  <si>
    <t>49.297</t>
  </si>
  <si>
    <t>34.252</t>
  </si>
  <si>
    <t>21.134</t>
  </si>
  <si>
    <t>18.17</t>
  </si>
  <si>
    <t>20.014</t>
  </si>
  <si>
    <t>22.335</t>
  </si>
  <si>
    <t>23.886</t>
  </si>
  <si>
    <t>4.192</t>
  </si>
  <si>
    <t>18.909</t>
  </si>
  <si>
    <t>16.496</t>
  </si>
  <si>
    <t>9.898</t>
  </si>
  <si>
    <t>18.689</t>
  </si>
  <si>
    <t>20.924</t>
  </si>
  <si>
    <t>15.189</t>
  </si>
  <si>
    <t>22.618</t>
  </si>
  <si>
    <t>17.005</t>
  </si>
  <si>
    <t>13.054</t>
  </si>
  <si>
    <t>19.263</t>
  </si>
  <si>
    <t>15.379</t>
  </si>
  <si>
    <t>19.063</t>
  </si>
  <si>
    <t>15.51</t>
  </si>
  <si>
    <t>15.066</t>
  </si>
  <si>
    <t>11.48</t>
  </si>
  <si>
    <t>21.005</t>
  </si>
  <si>
    <t>0.73</t>
  </si>
  <si>
    <t>11.337</t>
  </si>
  <si>
    <t>15.39</t>
  </si>
  <si>
    <t>3.74</t>
  </si>
  <si>
    <t>10.666</t>
  </si>
  <si>
    <t>6.99</t>
  </si>
  <si>
    <t>2021-02-11 10:43:43</t>
  </si>
  <si>
    <t>9.044</t>
  </si>
  <si>
    <t>15.149</t>
  </si>
  <si>
    <t>3.444</t>
  </si>
  <si>
    <t>5.061</t>
  </si>
  <si>
    <t>45.696</t>
  </si>
  <si>
    <t>4.089</t>
  </si>
  <si>
    <t>2.581</t>
  </si>
  <si>
    <t>4.746</t>
  </si>
  <si>
    <t>4.425</t>
  </si>
  <si>
    <t>4.798</t>
  </si>
  <si>
    <t>18.629</t>
  </si>
  <si>
    <t xml:space="preserve">Maxalt </t>
  </si>
  <si>
    <t>19.866</t>
  </si>
  <si>
    <t>20.673</t>
  </si>
  <si>
    <t>10.212</t>
  </si>
  <si>
    <t>7.665</t>
  </si>
  <si>
    <t>3.497</t>
  </si>
  <si>
    <t>6.512</t>
  </si>
  <si>
    <t>Φωνές υψηλής συχνότητας / κραυγές,Ηλεκτρικά εργαλεία,Κουδούνισμα τηλεφώνου,Ηλεκτρική σκούπα,Σφυρίχτρα / κόρνα/ σειρήνα</t>
  </si>
  <si>
    <t>22.729</t>
  </si>
  <si>
    <t>3-4</t>
  </si>
  <si>
    <t>16.572</t>
  </si>
  <si>
    <t>60-80</t>
  </si>
  <si>
    <t>16.719</t>
  </si>
  <si>
    <t>12.704</t>
  </si>
  <si>
    <t>2.252</t>
  </si>
  <si>
    <t>GENESYS</t>
  </si>
  <si>
    <t>111.33</t>
  </si>
  <si>
    <t>14.755</t>
  </si>
  <si>
    <t>17.15</t>
  </si>
  <si>
    <t>20.532</t>
  </si>
  <si>
    <t>28.883</t>
  </si>
  <si>
    <t>12.878</t>
  </si>
  <si>
    <t>19.56</t>
  </si>
  <si>
    <t>13.411</t>
  </si>
  <si>
    <t>0.33</t>
  </si>
  <si>
    <t>11.111</t>
  </si>
  <si>
    <t>8.129</t>
  </si>
  <si>
    <t>8.833</t>
  </si>
  <si>
    <t>9.528</t>
  </si>
  <si>
    <t>16.765</t>
  </si>
  <si>
    <t>5.665</t>
  </si>
  <si>
    <t>10.881</t>
  </si>
  <si>
    <t>4.772</t>
  </si>
  <si>
    <t>8.332</t>
  </si>
  <si>
    <t>7.986</t>
  </si>
  <si>
    <t>11.853</t>
  </si>
  <si>
    <t>4.438</t>
  </si>
  <si>
    <t>12.628</t>
  </si>
  <si>
    <t>4.952</t>
  </si>
  <si>
    <t>20.465</t>
  </si>
  <si>
    <t>11.496</t>
  </si>
  <si>
    <t>21.897</t>
  </si>
  <si>
    <t>15.185</t>
  </si>
  <si>
    <t>6.398</t>
  </si>
  <si>
    <t>5.448</t>
  </si>
  <si>
    <t>6.139</t>
  </si>
  <si>
    <t>6.961</t>
  </si>
  <si>
    <t>1.704</t>
  </si>
  <si>
    <t>8.637</t>
  </si>
  <si>
    <t>2.031</t>
  </si>
  <si>
    <t>2021-02-11 00:29:55</t>
  </si>
  <si>
    <t>24.324</t>
  </si>
  <si>
    <t>30.298</t>
  </si>
  <si>
    <t>6.292</t>
  </si>
  <si>
    <t>4.09</t>
  </si>
  <si>
    <t>10.113</t>
  </si>
  <si>
    <t>3.787</t>
  </si>
  <si>
    <t>3.029</t>
  </si>
  <si>
    <t>2.549</t>
  </si>
  <si>
    <t>4.016</t>
  </si>
  <si>
    <t>Sennheiser HD 25-C II</t>
  </si>
  <si>
    <t>112.369</t>
  </si>
  <si>
    <t>7.484</t>
  </si>
  <si>
    <t>19.12</t>
  </si>
  <si>
    <t>25.679</t>
  </si>
  <si>
    <t>22.104</t>
  </si>
  <si>
    <t>18.259</t>
  </si>
  <si>
    <t>12.477</t>
  </si>
  <si>
    <t>11.926</t>
  </si>
  <si>
    <t>9.385</t>
  </si>
  <si>
    <t>5.38</t>
  </si>
  <si>
    <t>10.886</t>
  </si>
  <si>
    <t>12.342</t>
  </si>
  <si>
    <t>11.517</t>
  </si>
  <si>
    <t>12.287</t>
  </si>
  <si>
    <t>6.839</t>
  </si>
  <si>
    <t>0.9</t>
  </si>
  <si>
    <t>8.628</t>
  </si>
  <si>
    <t>9.234</t>
  </si>
  <si>
    <t>6.175</t>
  </si>
  <si>
    <t>9.177</t>
  </si>
  <si>
    <t>7.273</t>
  </si>
  <si>
    <t>8.049</t>
  </si>
  <si>
    <t>8.956</t>
  </si>
  <si>
    <t>4.45</t>
  </si>
  <si>
    <t>5.247</t>
  </si>
  <si>
    <t>8.041</t>
  </si>
  <si>
    <t>12.525</t>
  </si>
  <si>
    <t>5.797</t>
  </si>
  <si>
    <t>6.468</t>
  </si>
  <si>
    <t>6.685</t>
  </si>
  <si>
    <t>8.277</t>
  </si>
  <si>
    <t>9.835</t>
  </si>
  <si>
    <t>1.741</t>
  </si>
  <si>
    <t>2021-02-10 23:17:48</t>
  </si>
  <si>
    <t>10.199</t>
  </si>
  <si>
    <t>19.608</t>
  </si>
  <si>
    <t>5.506</t>
  </si>
  <si>
    <t>21.042</t>
  </si>
  <si>
    <t>7.328</t>
  </si>
  <si>
    <t>6.563</t>
  </si>
  <si>
    <t>6.853</t>
  </si>
  <si>
    <t>6.346</t>
  </si>
  <si>
    <t>7.142</t>
  </si>
  <si>
    <t>200.984</t>
  </si>
  <si>
    <t>6.275</t>
  </si>
  <si>
    <t>30.438</t>
  </si>
  <si>
    <t>13.425</t>
  </si>
  <si>
    <t>58.223</t>
  </si>
  <si>
    <t>33.458</t>
  </si>
  <si>
    <t>14.836</t>
  </si>
  <si>
    <t>15.621</t>
  </si>
  <si>
    <t>9.729</t>
  </si>
  <si>
    <t>9.467</t>
  </si>
  <si>
    <t>12.615</t>
  </si>
  <si>
    <t>6.395</t>
  </si>
  <si>
    <t>4.811</t>
  </si>
  <si>
    <t>0.19</t>
  </si>
  <si>
    <t>6.885</t>
  </si>
  <si>
    <t>9.533</t>
  </si>
  <si>
    <t>6.17</t>
  </si>
  <si>
    <t>8.768</t>
  </si>
  <si>
    <t>10.597</t>
  </si>
  <si>
    <t>8.079</t>
  </si>
  <si>
    <t>6.944</t>
  </si>
  <si>
    <t>7.927</t>
  </si>
  <si>
    <t>5.998</t>
  </si>
  <si>
    <t>10.039</t>
  </si>
  <si>
    <t>5.83</t>
  </si>
  <si>
    <t>6.361</t>
  </si>
  <si>
    <t>5.801</t>
  </si>
  <si>
    <t>12.989</t>
  </si>
  <si>
    <t>4.889</t>
  </si>
  <si>
    <t>2021-02-10 19:25:24</t>
  </si>
  <si>
    <t>2.352</t>
  </si>
  <si>
    <t>2.572</t>
  </si>
  <si>
    <t>5.934</t>
  </si>
  <si>
    <t>3.526</t>
  </si>
  <si>
    <t>6.283</t>
  </si>
  <si>
    <t>2.49</t>
  </si>
  <si>
    <t>1.9</t>
  </si>
  <si>
    <t>2.107</t>
  </si>
  <si>
    <t>3.682</t>
  </si>
  <si>
    <t>turtle beach rekon</t>
  </si>
  <si>
    <t>1123.593</t>
  </si>
  <si>
    <t>2.804</t>
  </si>
  <si>
    <t>23.322</t>
  </si>
  <si>
    <t>3.223</t>
  </si>
  <si>
    <t>25.057</t>
  </si>
  <si>
    <t>15.308</t>
  </si>
  <si>
    <t>11.746</t>
  </si>
  <si>
    <t>17.533</t>
  </si>
  <si>
    <t>6.458</t>
  </si>
  <si>
    <t>14.529</t>
  </si>
  <si>
    <t>3.469</t>
  </si>
  <si>
    <t>8.939</t>
  </si>
  <si>
    <t>5.463</t>
  </si>
  <si>
    <t>6.616</t>
  </si>
  <si>
    <t>12.818</t>
  </si>
  <si>
    <t>6.7</t>
  </si>
  <si>
    <t>6.353</t>
  </si>
  <si>
    <t>5.157</t>
  </si>
  <si>
    <t>3.575</t>
  </si>
  <si>
    <t>4.465</t>
  </si>
  <si>
    <t>5.441</t>
  </si>
  <si>
    <t>4.308</t>
  </si>
  <si>
    <t>5.376</t>
  </si>
  <si>
    <t>6.007</t>
  </si>
  <si>
    <t>5.886</t>
  </si>
  <si>
    <t>6.57</t>
  </si>
  <si>
    <t>5.7</t>
  </si>
  <si>
    <t>4.485</t>
  </si>
  <si>
    <t>3.928</t>
  </si>
  <si>
    <t>4.285</t>
  </si>
  <si>
    <t>1.673</t>
  </si>
  <si>
    <t>3.402</t>
  </si>
  <si>
    <t>1.924</t>
  </si>
  <si>
    <t>2021-02-10 17:34:01</t>
  </si>
  <si>
    <t>2.149</t>
  </si>
  <si>
    <t>5.114</t>
  </si>
  <si>
    <t>2.278</t>
  </si>
  <si>
    <t>5.96</t>
  </si>
  <si>
    <t>11.946</t>
  </si>
  <si>
    <t>2.519</t>
  </si>
  <si>
    <t>2.302</t>
  </si>
  <si>
    <t>2.528</t>
  </si>
  <si>
    <t>2.801</t>
  </si>
  <si>
    <t>2.174</t>
  </si>
  <si>
    <t>2.75</t>
  </si>
  <si>
    <t>sibelium</t>
  </si>
  <si>
    <t>11.434</t>
  </si>
  <si>
    <t>12.736</t>
  </si>
  <si>
    <t>5.161</t>
  </si>
  <si>
    <t>9.624</t>
  </si>
  <si>
    <t>2.664</t>
  </si>
  <si>
    <t>4.085</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</si>
  <si>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τηλεφώνου,Τηλεόραση / ραδιόφωνο,Ηλεκτρική σκούπα,Σφυρίχτρα / κόρνα/ σειρήνα</t>
  </si>
  <si>
    <t>16.85</t>
  </si>
  <si>
    <t>15</t>
  </si>
  <si>
    <t>4.325</t>
  </si>
  <si>
    <t>6.921</t>
  </si>
  <si>
    <t>4.915</t>
  </si>
  <si>
    <t>2.925</t>
  </si>
  <si>
    <t>galaxy buds</t>
  </si>
  <si>
    <t>1897.219</t>
  </si>
  <si>
    <t>Αριστερό ακουστικό</t>
  </si>
  <si>
    <t>24.787</t>
  </si>
  <si>
    <t>4.95</t>
  </si>
  <si>
    <t>17.4</t>
  </si>
  <si>
    <t>13.702</t>
  </si>
  <si>
    <t>5.842</t>
  </si>
  <si>
    <t>8.686</t>
  </si>
  <si>
    <t>13.793</t>
  </si>
  <si>
    <t>5.769</t>
  </si>
  <si>
    <t>6.046</t>
  </si>
  <si>
    <t>0.96</t>
  </si>
  <si>
    <t>5.012</t>
  </si>
  <si>
    <t>4.065</t>
  </si>
  <si>
    <t>4.852</t>
  </si>
  <si>
    <t>7.206</t>
  </si>
  <si>
    <t>3.637</t>
  </si>
  <si>
    <t>6.171</t>
  </si>
  <si>
    <t>4.141</t>
  </si>
  <si>
    <t>4.044</t>
  </si>
  <si>
    <t>3.187</t>
  </si>
  <si>
    <t>3.226</t>
  </si>
  <si>
    <t>3.539</t>
  </si>
  <si>
    <t>4.561</t>
  </si>
  <si>
    <t>6.972</t>
  </si>
  <si>
    <t>7.643</t>
  </si>
  <si>
    <t>4.147</t>
  </si>
  <si>
    <t>2.998</t>
  </si>
  <si>
    <t>3.853</t>
  </si>
  <si>
    <t>6.976</t>
  </si>
  <si>
    <t>7.759</t>
  </si>
  <si>
    <t>1.39</t>
  </si>
  <si>
    <t>2021-02-10 15:55:17</t>
  </si>
  <si>
    <t>5.249</t>
  </si>
  <si>
    <t>4.051</t>
  </si>
  <si>
    <t>2.663</t>
  </si>
  <si>
    <t>5.062</t>
  </si>
  <si>
    <t>6.215</t>
  </si>
  <si>
    <t>3.125</t>
  </si>
  <si>
    <t>3.102</t>
  </si>
  <si>
    <t>13.062</t>
  </si>
  <si>
    <t>5.186</t>
  </si>
  <si>
    <t>air pods</t>
  </si>
  <si>
    <t>16.774</t>
  </si>
  <si>
    <t>2.222</t>
  </si>
  <si>
    <t>9.807</t>
  </si>
  <si>
    <t>5.113</t>
  </si>
  <si>
    <t>67.323</t>
  </si>
  <si>
    <t>0.94</t>
  </si>
  <si>
    <t>10.123</t>
  </si>
  <si>
    <t>11.456</t>
  </si>
  <si>
    <t>0.88</t>
  </si>
  <si>
    <t>8.647</t>
  </si>
  <si>
    <t>17.283</t>
  </si>
  <si>
    <t>12.1</t>
  </si>
  <si>
    <t>20.567</t>
  </si>
  <si>
    <t>11.672</t>
  </si>
  <si>
    <t>0.11</t>
  </si>
  <si>
    <t>11.64</t>
  </si>
  <si>
    <t>11.893</t>
  </si>
  <si>
    <t>13.939</t>
  </si>
  <si>
    <t>11.438</t>
  </si>
  <si>
    <t>0.08</t>
  </si>
  <si>
    <t>11.155</t>
  </si>
  <si>
    <t>7.414</t>
  </si>
  <si>
    <t>0.03</t>
  </si>
  <si>
    <t>12.761</t>
  </si>
  <si>
    <t>10.742</t>
  </si>
  <si>
    <t>11.805</t>
  </si>
  <si>
    <t>9.365</t>
  </si>
  <si>
    <t>7.78</t>
  </si>
  <si>
    <t>9.738</t>
  </si>
  <si>
    <t>9.077</t>
  </si>
  <si>
    <t>7.979</t>
  </si>
  <si>
    <t>9.659</t>
  </si>
  <si>
    <t>9.443</t>
  </si>
  <si>
    <t>13.036</t>
  </si>
  <si>
    <t>7.113</t>
  </si>
  <si>
    <t>2.038</t>
  </si>
  <si>
    <t>4.296</t>
  </si>
  <si>
    <t>2.78</t>
  </si>
  <si>
    <t>2021-02-10 15:33:03</t>
  </si>
  <si>
    <t>1.839</t>
  </si>
  <si>
    <t>13.762</t>
  </si>
  <si>
    <t>4.351</t>
  </si>
  <si>
    <t>5.181</t>
  </si>
  <si>
    <t>9.638</t>
  </si>
  <si>
    <t>4.213</t>
  </si>
  <si>
    <t>3.121</t>
  </si>
  <si>
    <t>3.108</t>
  </si>
  <si>
    <t>39.537</t>
  </si>
  <si>
    <t>4.728</t>
  </si>
  <si>
    <t>Δεξί ακουστικό</t>
  </si>
  <si>
    <t>16.51</t>
  </si>
  <si>
    <t>8.401</t>
  </si>
  <si>
    <t>17.417</t>
  </si>
  <si>
    <t>13.331</t>
  </si>
  <si>
    <t>3.23</t>
  </si>
  <si>
    <t>7.311</t>
  </si>
  <si>
    <t>8.386</t>
  </si>
  <si>
    <t>8.954</t>
  </si>
  <si>
    <t>6.101</t>
  </si>
  <si>
    <t>6.845</t>
  </si>
  <si>
    <t>7.651</t>
  </si>
  <si>
    <t>11.894</t>
  </si>
  <si>
    <t>11.425</t>
  </si>
  <si>
    <t>9.429</t>
  </si>
  <si>
    <t>13.292</t>
  </si>
  <si>
    <t>11.875</t>
  </si>
  <si>
    <t>10.888</t>
  </si>
  <si>
    <t>5.697</t>
  </si>
  <si>
    <t>6.141</t>
  </si>
  <si>
    <t>9.726</t>
  </si>
  <si>
    <t>8.19</t>
  </si>
  <si>
    <t>5.824</t>
  </si>
  <si>
    <t>24.486</t>
  </si>
  <si>
    <t>5.201</t>
  </si>
  <si>
    <t>4.922</t>
  </si>
  <si>
    <t>6.358</t>
  </si>
  <si>
    <t>9.376</t>
  </si>
  <si>
    <t>7.349</t>
  </si>
  <si>
    <t>3.099</t>
  </si>
  <si>
    <t>2.479</t>
  </si>
  <si>
    <t>2021-02-10 14:33:55</t>
  </si>
  <si>
    <t>2.684</t>
  </si>
  <si>
    <t>3.623</t>
  </si>
  <si>
    <t>7.329</t>
  </si>
  <si>
    <t>4.604</t>
  </si>
  <si>
    <t>3.545</t>
  </si>
  <si>
    <t>1.993</t>
  </si>
  <si>
    <t>2.041</t>
  </si>
  <si>
    <t>3.147</t>
  </si>
  <si>
    <t>3.489</t>
  </si>
  <si>
    <t>Sony</t>
  </si>
  <si>
    <t>20.828</t>
  </si>
  <si>
    <t>1.99</t>
  </si>
  <si>
    <t>2.543</t>
  </si>
  <si>
    <t>6.706</t>
  </si>
  <si>
    <t>4.967</t>
  </si>
  <si>
    <t>5.54</t>
  </si>
  <si>
    <t>4.054</t>
  </si>
  <si>
    <t>3.519</t>
  </si>
  <si>
    <t>3.454</t>
  </si>
  <si>
    <t>4.695</t>
  </si>
  <si>
    <t>5.212</t>
  </si>
  <si>
    <t>4.804</t>
  </si>
  <si>
    <t>4.631</t>
  </si>
  <si>
    <t>4.76</t>
  </si>
  <si>
    <t>3.098</t>
  </si>
  <si>
    <t>5.005</t>
  </si>
  <si>
    <t>4.333</t>
  </si>
  <si>
    <t>5.61</t>
  </si>
  <si>
    <t>5.413</t>
  </si>
  <si>
    <t>3.527</t>
  </si>
  <si>
    <t>5.999</t>
  </si>
  <si>
    <t>6.166</t>
  </si>
  <si>
    <t>4.174</t>
  </si>
  <si>
    <t>4.026</t>
  </si>
  <si>
    <t>4.65</t>
  </si>
  <si>
    <t>4.533</t>
  </si>
  <si>
    <t>8.679</t>
  </si>
  <si>
    <t>4.637</t>
  </si>
  <si>
    <t>2.484</t>
  </si>
  <si>
    <t>3.049</t>
  </si>
  <si>
    <t>2.249</t>
  </si>
  <si>
    <t>2021-02-10 14:23:21</t>
  </si>
  <si>
    <t>7.492</t>
  </si>
  <si>
    <t>5.218</t>
  </si>
  <si>
    <t>6.328</t>
  </si>
  <si>
    <t>8.18</t>
  </si>
  <si>
    <t>16.995</t>
  </si>
  <si>
    <t>5.633</t>
  </si>
  <si>
    <t>2.693</t>
  </si>
  <si>
    <t>3.704</t>
  </si>
  <si>
    <t>6.066</t>
  </si>
  <si>
    <t>Akechi zeroground</t>
  </si>
  <si>
    <t>152.019</t>
  </si>
  <si>
    <t>12.134</t>
  </si>
  <si>
    <t>25.478</t>
  </si>
  <si>
    <t>16.105</t>
  </si>
  <si>
    <t>35.208</t>
  </si>
  <si>
    <t>19.727</t>
  </si>
  <si>
    <t>19.207</t>
  </si>
  <si>
    <t>15.707</t>
  </si>
  <si>
    <t>15.387</t>
  </si>
  <si>
    <t>11.544</t>
  </si>
  <si>
    <t>10.576</t>
  </si>
  <si>
    <t>11.642</t>
  </si>
  <si>
    <t>8.584</t>
  </si>
  <si>
    <t>7.992</t>
  </si>
  <si>
    <t>9.896</t>
  </si>
  <si>
    <t>8.132</t>
  </si>
  <si>
    <t>11.411</t>
  </si>
  <si>
    <t>9.156</t>
  </si>
  <si>
    <t>11.581</t>
  </si>
  <si>
    <t>10.69</t>
  </si>
  <si>
    <t>10.778</t>
  </si>
  <si>
    <t>6.579</t>
  </si>
  <si>
    <t>4.964</t>
  </si>
  <si>
    <t>10.474</t>
  </si>
  <si>
    <t>8.201</t>
  </si>
  <si>
    <t>9.414</t>
  </si>
  <si>
    <t>11.031</t>
  </si>
  <si>
    <t>7.932</t>
  </si>
  <si>
    <t>10.029</t>
  </si>
  <si>
    <t>10.324</t>
  </si>
  <si>
    <t>4.379</t>
  </si>
  <si>
    <t>2021-02-07 09:29:20</t>
  </si>
  <si>
    <t>35.103</t>
  </si>
  <si>
    <t>72.344</t>
  </si>
  <si>
    <t>24.6</t>
  </si>
  <si>
    <t>11.304</t>
  </si>
  <si>
    <t>29.872</t>
  </si>
  <si>
    <t>9.247</t>
  </si>
  <si>
    <t>9.296</t>
  </si>
  <si>
    <t>15.415</t>
  </si>
  <si>
    <t>9.552</t>
  </si>
  <si>
    <t>easy touch ET-278</t>
  </si>
  <si>
    <t>187.936</t>
  </si>
  <si>
    <t>13.088</t>
  </si>
  <si>
    <t>18.112</t>
  </si>
  <si>
    <t>37.072</t>
  </si>
  <si>
    <t>103.538</t>
  </si>
  <si>
    <t>36.372</t>
  </si>
  <si>
    <t>54.944</t>
  </si>
  <si>
    <t>41.607</t>
  </si>
  <si>
    <t>25.833</t>
  </si>
  <si>
    <t>45.391</t>
  </si>
  <si>
    <t>24.544</t>
  </si>
  <si>
    <t>27.616</t>
  </si>
  <si>
    <t>20.504</t>
  </si>
  <si>
    <t>19.144</t>
  </si>
  <si>
    <t>15.463</t>
  </si>
  <si>
    <t>18.577</t>
  </si>
  <si>
    <t>13.335</t>
  </si>
  <si>
    <t>15.952</t>
  </si>
  <si>
    <t>14.88</t>
  </si>
  <si>
    <t>15.216</t>
  </si>
  <si>
    <t>15.328</t>
  </si>
  <si>
    <t>14.936</t>
  </si>
  <si>
    <t>10.792</t>
  </si>
  <si>
    <t>10.447</t>
  </si>
  <si>
    <t>21.304</t>
  </si>
  <si>
    <t>15.784</t>
  </si>
  <si>
    <t>16.68</t>
  </si>
  <si>
    <t>17.224</t>
  </si>
  <si>
    <t>12.664</t>
  </si>
  <si>
    <t>26.144</t>
  </si>
  <si>
    <t>3.12</t>
  </si>
  <si>
    <t>2021-02-05 19:00:04</t>
  </si>
  <si>
    <t>13.266</t>
  </si>
  <si>
    <t>26100.877</t>
  </si>
  <si>
    <t>21.495</t>
  </si>
  <si>
    <t>15.878</t>
  </si>
  <si>
    <t>7.534</t>
  </si>
  <si>
    <t>5.672</t>
  </si>
  <si>
    <t>4.495</t>
  </si>
  <si>
    <t xml:space="preserve">Οχι </t>
  </si>
  <si>
    <t>10.325</t>
  </si>
  <si>
    <t>8.575</t>
  </si>
  <si>
    <t>3.452</t>
  </si>
  <si>
    <t>ναι</t>
  </si>
  <si>
    <t>41.155</t>
  </si>
  <si>
    <t>8.663</t>
  </si>
  <si>
    <t>8.26</t>
  </si>
  <si>
    <t>13.326</t>
  </si>
  <si>
    <t>8.375</t>
  </si>
  <si>
    <t>11.976</t>
  </si>
  <si>
    <t>Κουδούνισμα τηλεφώνου,Πιάτα που στοιβάζονται,Φωνές υψηλής συχνότητας / κραυγές,Σφυρίχτρα / κόρνα/ σειρήνα</t>
  </si>
  <si>
    <t>45.06</t>
  </si>
  <si>
    <t>2-3</t>
  </si>
  <si>
    <t>16.602</t>
  </si>
  <si>
    <t>16.644</t>
  </si>
  <si>
    <t>10.949</t>
  </si>
  <si>
    <t>306.475</t>
  </si>
  <si>
    <t>Μ</t>
  </si>
  <si>
    <t>58.94</t>
  </si>
  <si>
    <t>12.617</t>
  </si>
  <si>
    <t>23.398</t>
  </si>
  <si>
    <t>10.369</t>
  </si>
  <si>
    <t>0.95</t>
  </si>
  <si>
    <t>31.366</t>
  </si>
  <si>
    <t>21.037</t>
  </si>
  <si>
    <t>12.59</t>
  </si>
  <si>
    <t>18.843</t>
  </si>
  <si>
    <t>11.936</t>
  </si>
  <si>
    <t>7.148</t>
  </si>
  <si>
    <t>7.236</t>
  </si>
  <si>
    <t>5.28</t>
  </si>
  <si>
    <t>5.918</t>
  </si>
  <si>
    <t>5.306</t>
  </si>
  <si>
    <t>6.467</t>
  </si>
  <si>
    <t>4.966</t>
  </si>
  <si>
    <t>5.132</t>
  </si>
  <si>
    <t>6.277</t>
  </si>
  <si>
    <t>4.426</t>
  </si>
  <si>
    <t>4.57</t>
  </si>
  <si>
    <t>4.962</t>
  </si>
  <si>
    <t>5.572</t>
  </si>
  <si>
    <t>4.713</t>
  </si>
  <si>
    <t>0.97</t>
  </si>
  <si>
    <t>7.72</t>
  </si>
  <si>
    <t>7.955</t>
  </si>
  <si>
    <t>6.799</t>
  </si>
  <si>
    <t>14.252</t>
  </si>
  <si>
    <t>7.397</t>
  </si>
  <si>
    <t>2021-02-05 18:45:12</t>
  </si>
  <si>
    <t>7.259</t>
  </si>
  <si>
    <t>65.593</t>
  </si>
  <si>
    <t>13.8</t>
  </si>
  <si>
    <t>6.145</t>
  </si>
  <si>
    <t>25.065</t>
  </si>
  <si>
    <t>7.556</t>
  </si>
  <si>
    <t>3.935</t>
  </si>
  <si>
    <t>4.021</t>
  </si>
  <si>
    <t>5.134</t>
  </si>
  <si>
    <t>samsung τα απλα που ερχεται ενα κινητο.</t>
  </si>
  <si>
    <t>226.977</t>
  </si>
  <si>
    <t>7.914</t>
  </si>
  <si>
    <t>19.22</t>
  </si>
  <si>
    <t>35.033</t>
  </si>
  <si>
    <t>38.724</t>
  </si>
  <si>
    <t>23.088</t>
  </si>
  <si>
    <t>18.588</t>
  </si>
  <si>
    <t>17.344</t>
  </si>
  <si>
    <t>24.18</t>
  </si>
  <si>
    <t>16.944</t>
  </si>
  <si>
    <t>17.835</t>
  </si>
  <si>
    <t>14.507</t>
  </si>
  <si>
    <t>12.037</t>
  </si>
  <si>
    <t>12.036</t>
  </si>
  <si>
    <t>14.296</t>
  </si>
  <si>
    <t>14.783</t>
  </si>
  <si>
    <t>14.329</t>
  </si>
  <si>
    <t>9.998</t>
  </si>
  <si>
    <t>15.487</t>
  </si>
  <si>
    <t>10.357</t>
  </si>
  <si>
    <t>14.325</t>
  </si>
  <si>
    <t>11.986</t>
  </si>
  <si>
    <t>15.832</t>
  </si>
  <si>
    <t>18.022</t>
  </si>
  <si>
    <t>15.939</t>
  </si>
  <si>
    <t>21.684</t>
  </si>
  <si>
    <t>7.766</t>
  </si>
  <si>
    <t>10.17</t>
  </si>
  <si>
    <t>10.974</t>
  </si>
  <si>
    <t>13.17</t>
  </si>
  <si>
    <t>5.363</t>
  </si>
  <si>
    <t>2021-02-05 18:41:58</t>
  </si>
  <si>
    <t>6.655</t>
  </si>
  <si>
    <t>17.456</t>
  </si>
  <si>
    <t>9.683</t>
  </si>
  <si>
    <t>4.816</t>
  </si>
  <si>
    <t>13.493</t>
  </si>
  <si>
    <t>5.967</t>
  </si>
  <si>
    <t>4.047</t>
  </si>
  <si>
    <t>2.765</t>
  </si>
  <si>
    <t>6.762</t>
  </si>
  <si>
    <t>3.877</t>
  </si>
  <si>
    <t>3.054</t>
  </si>
  <si>
    <t>7.358</t>
  </si>
  <si>
    <t>16.961</t>
  </si>
  <si>
    <t>65</t>
  </si>
  <si>
    <t>11.908</t>
  </si>
  <si>
    <t>4.633</t>
  </si>
  <si>
    <t>3.47</t>
  </si>
  <si>
    <t>Blitxwolf</t>
  </si>
  <si>
    <t>105.513</t>
  </si>
  <si>
    <t>7.5</t>
  </si>
  <si>
    <t>23.999</t>
  </si>
  <si>
    <t>30.34</t>
  </si>
  <si>
    <t>63.633</t>
  </si>
  <si>
    <t>23.237</t>
  </si>
  <si>
    <t>18.005</t>
  </si>
  <si>
    <t>18.095</t>
  </si>
  <si>
    <t>9.95</t>
  </si>
  <si>
    <t>17.52</t>
  </si>
  <si>
    <t>8.102</t>
  </si>
  <si>
    <t>11.693</t>
  </si>
  <si>
    <t>7.098</t>
  </si>
  <si>
    <t>9.501</t>
  </si>
  <si>
    <t>12.002</t>
  </si>
  <si>
    <t>13.371</t>
  </si>
  <si>
    <t>7.63</t>
  </si>
  <si>
    <t>6.322</t>
  </si>
  <si>
    <t>15.974</t>
  </si>
  <si>
    <t>13.644</t>
  </si>
  <si>
    <t>12.647</t>
  </si>
  <si>
    <t>9.475</t>
  </si>
  <si>
    <t>9.527</t>
  </si>
  <si>
    <t>12.867</t>
  </si>
  <si>
    <t>9.879</t>
  </si>
  <si>
    <t>8.828</t>
  </si>
  <si>
    <t>10.836</t>
  </si>
  <si>
    <t>8.977</t>
  </si>
  <si>
    <t>9.981</t>
  </si>
  <si>
    <t>10.697</t>
  </si>
  <si>
    <t>8.925</t>
  </si>
  <si>
    <t>10.391</t>
  </si>
  <si>
    <t>2.072</t>
  </si>
  <si>
    <t>2021-02-05 10:14:09</t>
  </si>
  <si>
    <t>3.776</t>
  </si>
  <si>
    <t>15.538</t>
  </si>
  <si>
    <t>5.883</t>
  </si>
  <si>
    <t>7.607</t>
  </si>
  <si>
    <t>12.994</t>
  </si>
  <si>
    <t>3.989</t>
  </si>
  <si>
    <t>4.792</t>
  </si>
  <si>
    <t>5.822</t>
  </si>
  <si>
    <t>8.659</t>
  </si>
  <si>
    <t>6.941</t>
  </si>
  <si>
    <t>6.392</t>
  </si>
  <si>
    <t>6.211</t>
  </si>
  <si>
    <t>17.452</t>
  </si>
  <si>
    <t>Φωνές υψηλής συχνότητας / κραυγές,Ηλεκτρικά εργαλεία</t>
  </si>
  <si>
    <t>57.481</t>
  </si>
  <si>
    <t xml:space="preserve">5,6 φορές το μήνα ίσως και παραπάνω </t>
  </si>
  <si>
    <t>34.602</t>
  </si>
  <si>
    <t>90</t>
  </si>
  <si>
    <t>11.935</t>
  </si>
  <si>
    <t>10.208</t>
  </si>
  <si>
    <t>72.932</t>
  </si>
  <si>
    <t>12.466</t>
  </si>
  <si>
    <t>35.695</t>
  </si>
  <si>
    <t>12.606</t>
  </si>
  <si>
    <t>34.406</t>
  </si>
  <si>
    <t>24.037</t>
  </si>
  <si>
    <t>16.071</t>
  </si>
  <si>
    <t>22.374</t>
  </si>
  <si>
    <t>15.872</t>
  </si>
  <si>
    <t>10.328</t>
  </si>
  <si>
    <t>2.623</t>
  </si>
  <si>
    <t>1.625</t>
  </si>
  <si>
    <t>1.729</t>
  </si>
  <si>
    <t>2.683</t>
  </si>
  <si>
    <t>10.046</t>
  </si>
  <si>
    <t>7.882</t>
  </si>
  <si>
    <t>7.814</t>
  </si>
  <si>
    <t>2.408</t>
  </si>
  <si>
    <t>2.286</t>
  </si>
  <si>
    <t>2.189</t>
  </si>
  <si>
    <t>2.194</t>
  </si>
  <si>
    <t>2.573</t>
  </si>
  <si>
    <t>1.878</t>
  </si>
  <si>
    <t>2.29</t>
  </si>
  <si>
    <t>1.646</t>
  </si>
  <si>
    <t>1.889</t>
  </si>
  <si>
    <t>2.364</t>
  </si>
  <si>
    <t>2.083</t>
  </si>
  <si>
    <t>1.552</t>
  </si>
  <si>
    <t>1.444</t>
  </si>
  <si>
    <t>7.592</t>
  </si>
  <si>
    <t>13.011</t>
  </si>
  <si>
    <t>4.682</t>
  </si>
  <si>
    <t>2021-02-05 10:06:08</t>
  </si>
  <si>
    <t>79.239</t>
  </si>
  <si>
    <t>8.071</t>
  </si>
  <si>
    <t>2.895</t>
  </si>
  <si>
    <t>5.177</t>
  </si>
  <si>
    <t>25.394</t>
  </si>
  <si>
    <t>5.637</t>
  </si>
  <si>
    <t>2.512</t>
  </si>
  <si>
    <t>2.656</t>
  </si>
  <si>
    <t>4.225</t>
  </si>
  <si>
    <t>2.487</t>
  </si>
  <si>
    <t>4.712</t>
  </si>
  <si>
    <t>16.328</t>
  </si>
  <si>
    <t>13.752</t>
  </si>
  <si>
    <t>3.376</t>
  </si>
  <si>
    <t>5.848</t>
  </si>
  <si>
    <t>8.864</t>
  </si>
  <si>
    <t>6.089</t>
  </si>
  <si>
    <t>Πλήθη / μεγάλες συγκεντρώσεις,Μουσική,Εστιατόρια,Τηλεόραση / ραδιόφωνο,Φωνές υψηλής συχνότητας / κραυγές</t>
  </si>
  <si>
    <t>49.784</t>
  </si>
  <si>
    <t>9.392</t>
  </si>
  <si>
    <t>13.521</t>
  </si>
  <si>
    <t>17.247</t>
  </si>
  <si>
    <t>9.952</t>
  </si>
  <si>
    <t>150.625</t>
  </si>
  <si>
    <t>20.239</t>
  </si>
  <si>
    <t>36.224</t>
  </si>
  <si>
    <t>31.184</t>
  </si>
  <si>
    <t>49.891</t>
  </si>
  <si>
    <t>20.989</t>
  </si>
  <si>
    <t>17.464</t>
  </si>
  <si>
    <t>15.497</t>
  </si>
  <si>
    <t>15.64</t>
  </si>
  <si>
    <t>16.632</t>
  </si>
  <si>
    <t>14.168</t>
  </si>
  <si>
    <t>9.608</t>
  </si>
  <si>
    <t>12.264</t>
  </si>
  <si>
    <t>14.449</t>
  </si>
  <si>
    <t>12.76</t>
  </si>
  <si>
    <t>14.08</t>
  </si>
  <si>
    <t>9.398</t>
  </si>
  <si>
    <t>9.962</t>
  </si>
  <si>
    <t>9.422</t>
  </si>
  <si>
    <t>7.384</t>
  </si>
  <si>
    <t>9.208</t>
  </si>
  <si>
    <t>9.816</t>
  </si>
  <si>
    <t>6.737</t>
  </si>
  <si>
    <t>8.367</t>
  </si>
  <si>
    <t>11.632</t>
  </si>
  <si>
    <t>6.984</t>
  </si>
  <si>
    <t>5.944</t>
  </si>
  <si>
    <t>8.736</t>
  </si>
  <si>
    <t>10.144</t>
  </si>
  <si>
    <t>3.025</t>
  </si>
  <si>
    <t>2021-02-05 08:37:47</t>
  </si>
  <si>
    <t>7.004</t>
  </si>
  <si>
    <t>21.679</t>
  </si>
  <si>
    <t>11.579</t>
  </si>
  <si>
    <t>6.33</t>
  </si>
  <si>
    <t>7.588</t>
  </si>
  <si>
    <t>4.451</t>
  </si>
  <si>
    <t>5.115</t>
  </si>
  <si>
    <t>5.251</t>
  </si>
  <si>
    <t>Triptan</t>
  </si>
  <si>
    <t>14.065</t>
  </si>
  <si>
    <t>9.514</t>
  </si>
  <si>
    <t>7.544</t>
  </si>
  <si>
    <t>9.171</t>
  </si>
  <si>
    <t>11.777</t>
  </si>
  <si>
    <t>Φωνές υψηλής συχνότητας / κραυγές,Μουσική,Τηλεόραση / ραδιόφωνο,Σφυρίχτρα / κόρνα/ σειρήνα</t>
  </si>
  <si>
    <t>22.5</t>
  </si>
  <si>
    <t>3</t>
  </si>
  <si>
    <t>9.277</t>
  </si>
  <si>
    <t>8</t>
  </si>
  <si>
    <t>6.857</t>
  </si>
  <si>
    <t>7.792</t>
  </si>
  <si>
    <t>5.586</t>
  </si>
  <si>
    <t>M/Δ</t>
  </si>
  <si>
    <t>174.344</t>
  </si>
  <si>
    <t>11.697</t>
  </si>
  <si>
    <t>87.649</t>
  </si>
  <si>
    <t>81.554</t>
  </si>
  <si>
    <t>31.957</t>
  </si>
  <si>
    <t>36.791</t>
  </si>
  <si>
    <t>40.115</t>
  </si>
  <si>
    <t>31.379</t>
  </si>
  <si>
    <t>23.571</t>
  </si>
  <si>
    <t>18.306</t>
  </si>
  <si>
    <t>18.293</t>
  </si>
  <si>
    <t>16.11</t>
  </si>
  <si>
    <t>10.044</t>
  </si>
  <si>
    <t>3.542</t>
  </si>
  <si>
    <t>20.488</t>
  </si>
  <si>
    <t>30.945</t>
  </si>
  <si>
    <t>10.127</t>
  </si>
  <si>
    <t>20.02</t>
  </si>
  <si>
    <t>21.223</t>
  </si>
  <si>
    <t>20.216</t>
  </si>
  <si>
    <t>7.933</t>
  </si>
  <si>
    <t>17.223</t>
  </si>
  <si>
    <t>7.941</t>
  </si>
  <si>
    <t>10.913</t>
  </si>
  <si>
    <t>17.993</t>
  </si>
  <si>
    <t>19.714</t>
  </si>
  <si>
    <t>8.806</t>
  </si>
  <si>
    <t>12.349</t>
  </si>
  <si>
    <t>6.433</t>
  </si>
  <si>
    <t>10.151</t>
  </si>
  <si>
    <t>6.276</t>
  </si>
  <si>
    <t>5.543</t>
  </si>
  <si>
    <t>2021-02-05 07:49:20</t>
  </si>
  <si>
    <t>2.979</t>
  </si>
  <si>
    <t>22.269</t>
  </si>
  <si>
    <t>13.53</t>
  </si>
  <si>
    <t>16.163</t>
  </si>
  <si>
    <t>27.769</t>
  </si>
  <si>
    <t>6.284</t>
  </si>
  <si>
    <t>7.472</t>
  </si>
  <si>
    <t>4.868</t>
  </si>
  <si>
    <t>10.428</t>
  </si>
  <si>
    <t>8.39</t>
  </si>
  <si>
    <t>11.759</t>
  </si>
  <si>
    <t>10 και πάνω νομιζω</t>
  </si>
  <si>
    <t>14.505</t>
  </si>
  <si>
    <t>10.372</t>
  </si>
  <si>
    <t>16.568</t>
  </si>
  <si>
    <t>198.003</t>
  </si>
  <si>
    <t>16.798</t>
  </si>
  <si>
    <t>38.999</t>
  </si>
  <si>
    <t>38.061</t>
  </si>
  <si>
    <t>79.776</t>
  </si>
  <si>
    <t>59.241</t>
  </si>
  <si>
    <t>36.347</t>
  </si>
  <si>
    <t>37.569</t>
  </si>
  <si>
    <t>11.387</t>
  </si>
  <si>
    <t>28.745</t>
  </si>
  <si>
    <t>13.039</t>
  </si>
  <si>
    <t>21.847</t>
  </si>
  <si>
    <t>15.146</t>
  </si>
  <si>
    <t>18.342</t>
  </si>
  <si>
    <t>8.799</t>
  </si>
  <si>
    <t>14.511</t>
  </si>
  <si>
    <t>8.975</t>
  </si>
  <si>
    <t>18.36</t>
  </si>
  <si>
    <t>9.74</t>
  </si>
  <si>
    <t>13.409</t>
  </si>
  <si>
    <t>10.827</t>
  </si>
  <si>
    <t>8.812</t>
  </si>
  <si>
    <t>11.541</t>
  </si>
  <si>
    <t>12.217</t>
  </si>
  <si>
    <t>6.925</t>
  </si>
  <si>
    <t>11.619</t>
  </si>
  <si>
    <t>12.726</t>
  </si>
  <si>
    <t>14.339</t>
  </si>
  <si>
    <t>10.574</t>
  </si>
  <si>
    <t>9.074</t>
  </si>
  <si>
    <t>9.56</t>
  </si>
  <si>
    <t>2021-02-04 20:06:42</t>
  </si>
  <si>
    <t>4.428</t>
  </si>
  <si>
    <t>42.217</t>
  </si>
  <si>
    <t>19.836</t>
  </si>
  <si>
    <t>13.118</t>
  </si>
  <si>
    <t>4.94</t>
  </si>
  <si>
    <t>2.622</t>
  </si>
  <si>
    <t>4.232</t>
  </si>
  <si>
    <t>6.429</t>
  </si>
  <si>
    <t>4.72</t>
  </si>
  <si>
    <t>4.938</t>
  </si>
  <si>
    <t>2</t>
  </si>
  <si>
    <t>20</t>
  </si>
  <si>
    <t>7.084</t>
  </si>
  <si>
    <t>11.734</t>
  </si>
  <si>
    <t>100.442</t>
  </si>
  <si>
    <t>21.554</t>
  </si>
  <si>
    <t>44.149</t>
  </si>
  <si>
    <t>9.123</t>
  </si>
  <si>
    <t>29.638</t>
  </si>
  <si>
    <t>10.963</t>
  </si>
  <si>
    <t>14.762</t>
  </si>
  <si>
    <t>18.437</t>
  </si>
  <si>
    <t>15.494</t>
  </si>
  <si>
    <t>11.628</t>
  </si>
  <si>
    <t>10.636</t>
  </si>
  <si>
    <t>10.171</t>
  </si>
  <si>
    <t>8.316</t>
  </si>
  <si>
    <t>8.632</t>
  </si>
  <si>
    <t>10.121</t>
  </si>
  <si>
    <t>8.995</t>
  </si>
  <si>
    <t>8.022</t>
  </si>
  <si>
    <t>7.649</t>
  </si>
  <si>
    <t>6.201</t>
  </si>
  <si>
    <t>9.384</t>
  </si>
  <si>
    <t>6.509</t>
  </si>
  <si>
    <t>245.939</t>
  </si>
  <si>
    <t>7.681</t>
  </si>
  <si>
    <t>7.861</t>
  </si>
  <si>
    <t>7.654</t>
  </si>
  <si>
    <t>7.764</t>
  </si>
  <si>
    <t>5.806</t>
  </si>
  <si>
    <t>6.68</t>
  </si>
  <si>
    <t>8.543</t>
  </si>
  <si>
    <t>2.931</t>
  </si>
  <si>
    <t>29.184</t>
  </si>
  <si>
    <t>5.624</t>
  </si>
  <si>
    <t>2021-02-04 14:58:04</t>
  </si>
  <si>
    <t>3.812</t>
  </si>
  <si>
    <t>13.907</t>
  </si>
  <si>
    <t>11.175</t>
  </si>
  <si>
    <t>21.194</t>
  </si>
  <si>
    <t>15.563</t>
  </si>
  <si>
    <t>8.436</t>
  </si>
  <si>
    <t>3.872</t>
  </si>
  <si>
    <t>13.478</t>
  </si>
  <si>
    <t>11.855</t>
  </si>
  <si>
    <t>12.829</t>
  </si>
  <si>
    <t>13.438</t>
  </si>
  <si>
    <t xml:space="preserve">Isoptin 120 </t>
  </si>
  <si>
    <t>20.038</t>
  </si>
  <si>
    <t>23.455</t>
  </si>
  <si>
    <t>7.14</t>
  </si>
  <si>
    <t>14.265</t>
  </si>
  <si>
    <t>9.335</t>
  </si>
  <si>
    <t>11.334</t>
  </si>
  <si>
    <t>Φωνές υψηλής συχνότητας / κραυγές</t>
  </si>
  <si>
    <t>65.639</t>
  </si>
  <si>
    <t>21.267</t>
  </si>
  <si>
    <t>80</t>
  </si>
  <si>
    <t>11.623</t>
  </si>
  <si>
    <t>19.051</t>
  </si>
  <si>
    <t>5.849</t>
  </si>
  <si>
    <t xml:space="preserve">Sony </t>
  </si>
  <si>
    <t>118.74</t>
  </si>
  <si>
    <t>12.151</t>
  </si>
  <si>
    <t>44.005</t>
  </si>
  <si>
    <t>16.346</t>
  </si>
  <si>
    <t>25.014</t>
  </si>
  <si>
    <t>20.192</t>
  </si>
  <si>
    <t>23.335</t>
  </si>
  <si>
    <t>14.897</t>
  </si>
  <si>
    <t>20.015</t>
  </si>
  <si>
    <t>12.176</t>
  </si>
  <si>
    <t>17.184</t>
  </si>
  <si>
    <t>12.164</t>
  </si>
  <si>
    <t>11.854</t>
  </si>
  <si>
    <t>8.166</t>
  </si>
  <si>
    <t>10.972</t>
  </si>
  <si>
    <t>12.643</t>
  </si>
  <si>
    <t>7.73</t>
  </si>
  <si>
    <t>9.912</t>
  </si>
  <si>
    <t>7.96</t>
  </si>
  <si>
    <t>8.724</t>
  </si>
  <si>
    <t>9.741</t>
  </si>
  <si>
    <t>7.188</t>
  </si>
  <si>
    <t>9.238</t>
  </si>
  <si>
    <t>0.09</t>
  </si>
  <si>
    <t>11.288</t>
  </si>
  <si>
    <t>6.378</t>
  </si>
  <si>
    <t>9.292</t>
  </si>
  <si>
    <t>0.07</t>
  </si>
  <si>
    <t>4.278</t>
  </si>
  <si>
    <t>10.789</t>
  </si>
  <si>
    <t>5.467</t>
  </si>
  <si>
    <t>8.403</t>
  </si>
  <si>
    <t>2021-02-04 09:28:26</t>
  </si>
  <si>
    <t>12.975</t>
  </si>
  <si>
    <t>7.985</t>
  </si>
  <si>
    <t>Ναι, έχω διαγνωστεί ή αντιμετωπίζω απώλεια ακοής.</t>
  </si>
  <si>
    <t>19.991</t>
  </si>
  <si>
    <t>2021-02-03 21:48:36</t>
  </si>
  <si>
    <t>296.428</t>
  </si>
  <si>
    <t>64.813</t>
  </si>
  <si>
    <t>14.754</t>
  </si>
  <si>
    <t>19.244</t>
  </si>
  <si>
    <t>22.992</t>
  </si>
  <si>
    <t>7.403</t>
  </si>
  <si>
    <t>9.813</t>
  </si>
  <si>
    <t>452.724</t>
  </si>
  <si>
    <t>32.383</t>
  </si>
  <si>
    <t>48.771</t>
  </si>
  <si>
    <t>71.012</t>
  </si>
  <si>
    <t>158.911</t>
  </si>
  <si>
    <t>0.98</t>
  </si>
  <si>
    <t>49.342</t>
  </si>
  <si>
    <t>36.086</t>
  </si>
  <si>
    <t>30.596</t>
  </si>
  <si>
    <t>33.985</t>
  </si>
  <si>
    <t>24.119</t>
  </si>
  <si>
    <t>27.751</t>
  </si>
  <si>
    <t>21.664</t>
  </si>
  <si>
    <t>25.701</t>
  </si>
  <si>
    <t>23.488</t>
  </si>
  <si>
    <t>29.088</t>
  </si>
  <si>
    <t>23.942</t>
  </si>
  <si>
    <t>22.08</t>
  </si>
  <si>
    <t>15.687</t>
  </si>
  <si>
    <t>20.887</t>
  </si>
  <si>
    <t>17.794</t>
  </si>
  <si>
    <t>15.672</t>
  </si>
  <si>
    <t>19.648</t>
  </si>
  <si>
    <t>20.341</t>
  </si>
  <si>
    <t>17.596</t>
  </si>
  <si>
    <t>20.154</t>
  </si>
  <si>
    <t>15.559</t>
  </si>
  <si>
    <t>16.967</t>
  </si>
  <si>
    <t>45.397</t>
  </si>
  <si>
    <t>18.726</t>
  </si>
  <si>
    <t>17.08</t>
  </si>
  <si>
    <t>194.532</t>
  </si>
  <si>
    <t>2021-02-02 14:35:46</t>
  </si>
  <si>
    <t>4.564</t>
  </si>
  <si>
    <t>8.352</t>
  </si>
  <si>
    <t>5.235</t>
  </si>
  <si>
    <t>5.333</t>
  </si>
  <si>
    <t>4.137</t>
  </si>
  <si>
    <t>3.378</t>
  </si>
  <si>
    <t>3.517</t>
  </si>
  <si>
    <t>4.371</t>
  </si>
  <si>
    <t>plantronics</t>
  </si>
  <si>
    <t>86.321</t>
  </si>
  <si>
    <t>6.701</t>
  </si>
  <si>
    <t>13.996</t>
  </si>
  <si>
    <t>15.406</t>
  </si>
  <si>
    <t>28.371</t>
  </si>
  <si>
    <t>18.995</t>
  </si>
  <si>
    <t>11.55</t>
  </si>
  <si>
    <t>8.495</t>
  </si>
  <si>
    <t>11.192</t>
  </si>
  <si>
    <t>8.662</t>
  </si>
  <si>
    <t>12.983</t>
  </si>
  <si>
    <t>7.829</t>
  </si>
  <si>
    <t>13.581</t>
  </si>
  <si>
    <t>11.573</t>
  </si>
  <si>
    <t>12.128</t>
  </si>
  <si>
    <t>9.873</t>
  </si>
  <si>
    <t>6.636</t>
  </si>
  <si>
    <t>8.668</t>
  </si>
  <si>
    <t>7.999</t>
  </si>
  <si>
    <t>11.41</t>
  </si>
  <si>
    <t>8.38</t>
  </si>
  <si>
    <t>7.394</t>
  </si>
  <si>
    <t>7.321</t>
  </si>
  <si>
    <t>7.187</t>
  </si>
  <si>
    <t>6.131</t>
  </si>
  <si>
    <t>8.424</t>
  </si>
  <si>
    <t>9.579</t>
  </si>
  <si>
    <t>3.359</t>
  </si>
  <si>
    <t>6.735</t>
  </si>
  <si>
    <t>2.852</t>
  </si>
  <si>
    <t>2021-02-01 11:27:59</t>
  </si>
  <si>
    <t>6.342</t>
  </si>
  <si>
    <t>8.475</t>
  </si>
  <si>
    <t>9.164</t>
  </si>
  <si>
    <t>6.514</t>
  </si>
  <si>
    <t>18.047</t>
  </si>
  <si>
    <t>5.272</t>
  </si>
  <si>
    <t>5.473</t>
  </si>
  <si>
    <t>6.02</t>
  </si>
  <si>
    <t>9.252</t>
  </si>
  <si>
    <t>530.43</t>
  </si>
  <si>
    <t>12.974</t>
  </si>
  <si>
    <t>21.181</t>
  </si>
  <si>
    <t>10.047</t>
  </si>
  <si>
    <t>29.19</t>
  </si>
  <si>
    <t>32.921</t>
  </si>
  <si>
    <t>21.598</t>
  </si>
  <si>
    <t>31.847</t>
  </si>
  <si>
    <t>18.592</t>
  </si>
  <si>
    <t>18.367</t>
  </si>
  <si>
    <t>23.423</t>
  </si>
  <si>
    <t>21.962</t>
  </si>
  <si>
    <t>22.351</t>
  </si>
  <si>
    <t>18.795</t>
  </si>
  <si>
    <t>20.838</t>
  </si>
  <si>
    <t>18.597</t>
  </si>
  <si>
    <t>15.065</t>
  </si>
  <si>
    <t>12.622</t>
  </si>
  <si>
    <t>15.831</t>
  </si>
  <si>
    <t>11.361</t>
  </si>
  <si>
    <t>18.735</t>
  </si>
  <si>
    <t>15.097</t>
  </si>
  <si>
    <t>10.65</t>
  </si>
  <si>
    <t>13.293</t>
  </si>
  <si>
    <t>11.556</t>
  </si>
  <si>
    <t>16.659</t>
  </si>
  <si>
    <t>11.145</t>
  </si>
  <si>
    <t>11.905</t>
  </si>
  <si>
    <t>9.853</t>
  </si>
  <si>
    <t>14.079</t>
  </si>
  <si>
    <t>6.875</t>
  </si>
  <si>
    <t>6.459</t>
  </si>
  <si>
    <t>4.549</t>
  </si>
  <si>
    <t>2021-01-29 19:58:55</t>
  </si>
  <si>
    <t>5.08</t>
  </si>
  <si>
    <t>5.242</t>
  </si>
  <si>
    <t>5.369</t>
  </si>
  <si>
    <t>6.241</t>
  </si>
  <si>
    <t>3.494</t>
  </si>
  <si>
    <t>2.58</t>
  </si>
  <si>
    <t>4.136</t>
  </si>
  <si>
    <t>4.648</t>
  </si>
  <si>
    <t>4.261</t>
  </si>
  <si>
    <t>Voltaren</t>
  </si>
  <si>
    <t>9.431</t>
  </si>
  <si>
    <t>8.126</t>
  </si>
  <si>
    <t>3.982</t>
  </si>
  <si>
    <t>3.879</t>
  </si>
  <si>
    <t>3.381</t>
  </si>
  <si>
    <t>Πριν από μια ημικρανία,Κατά τη διάρκεια της ημικρανίας</t>
  </si>
  <si>
    <t>3.967</t>
  </si>
  <si>
    <t>Μωρό που κλαίει / παιδιά που φωνάζουν,Πιάτα που στοιβάζονται,Φωνές υψηλής συχνότητας / κραυγές,Ηλεκτρικά εργαλεία,Αθλητικές εκδηλώσεις,Σφυρίχτρα / κόρνα/ σειρήνα</t>
  </si>
  <si>
    <t>28.99</t>
  </si>
  <si>
    <t>2-5</t>
  </si>
  <si>
    <t>6.381</t>
  </si>
  <si>
    <t>30-100</t>
  </si>
  <si>
    <t>11.689</t>
  </si>
  <si>
    <t>3.897</t>
  </si>
  <si>
    <t>1.514</t>
  </si>
  <si>
    <t>MPOW</t>
  </si>
  <si>
    <t>88.364</t>
  </si>
  <si>
    <t>5.476</t>
  </si>
  <si>
    <t>22.469</t>
  </si>
  <si>
    <t>2.838</t>
  </si>
  <si>
    <t>13.692</t>
  </si>
  <si>
    <t>14.543</t>
  </si>
  <si>
    <t>21.987</t>
  </si>
  <si>
    <t>17.598</t>
  </si>
  <si>
    <t>9.609</t>
  </si>
  <si>
    <t>20.018</t>
  </si>
  <si>
    <t>11.228</t>
  </si>
  <si>
    <t>12.052</t>
  </si>
  <si>
    <t>11.338</t>
  </si>
  <si>
    <t>11.396</t>
  </si>
  <si>
    <t>9.762</t>
  </si>
  <si>
    <t>11.043</t>
  </si>
  <si>
    <t>15.659</t>
  </si>
  <si>
    <t>8.268</t>
  </si>
  <si>
    <t>11.066</t>
  </si>
  <si>
    <t>11.533</t>
  </si>
  <si>
    <t>7.3</t>
  </si>
  <si>
    <t>10.876</t>
  </si>
  <si>
    <t>11.7</t>
  </si>
  <si>
    <t>9.161</t>
  </si>
  <si>
    <t>8.645</t>
  </si>
  <si>
    <t>9.463</t>
  </si>
  <si>
    <t>17.616</t>
  </si>
  <si>
    <t>6.955</t>
  </si>
  <si>
    <t>1.899</t>
  </si>
  <si>
    <t>3.79</t>
  </si>
  <si>
    <t>1.828</t>
  </si>
  <si>
    <t>2021-01-29 15:19:05</t>
  </si>
  <si>
    <t>6.747</t>
  </si>
  <si>
    <t>5.424</t>
  </si>
  <si>
    <t>31.701</t>
  </si>
  <si>
    <t>4.716</t>
  </si>
  <si>
    <t>3.761</t>
  </si>
  <si>
    <t>5.513</t>
  </si>
  <si>
    <t>3.493</t>
  </si>
  <si>
    <t>3.084</t>
  </si>
  <si>
    <t>Τριπτανες</t>
  </si>
  <si>
    <t>18.782</t>
  </si>
  <si>
    <t>8.77</t>
  </si>
  <si>
    <t>13.469</t>
  </si>
  <si>
    <t>Δεξί αυτί</t>
  </si>
  <si>
    <t>6.224</t>
  </si>
  <si>
    <t>7.457</t>
  </si>
  <si>
    <t>6.349</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</si>
  <si>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τηλεφώνου,Σφυρίχτρα / κόρνα/ σειρήνα</t>
  </si>
  <si>
    <t>25.992</t>
  </si>
  <si>
    <t>3 κρίσεις τουλαχιστον</t>
  </si>
  <si>
    <t>19.006</t>
  </si>
  <si>
    <t>7.183</t>
  </si>
  <si>
    <t>8.711</t>
  </si>
  <si>
    <t>5.927</t>
  </si>
  <si>
    <t xml:space="preserve">Ακουστικά του iPhone </t>
  </si>
  <si>
    <t>86.598</t>
  </si>
  <si>
    <t>9.775</t>
  </si>
  <si>
    <t>29.106</t>
  </si>
  <si>
    <t>20.726</t>
  </si>
  <si>
    <t>25.45</t>
  </si>
  <si>
    <t>23.824</t>
  </si>
  <si>
    <t>25.116</t>
  </si>
  <si>
    <t>10.38</t>
  </si>
  <si>
    <t>14.489</t>
  </si>
  <si>
    <t>17.82</t>
  </si>
  <si>
    <t>14.729</t>
  </si>
  <si>
    <t>12.69</t>
  </si>
  <si>
    <t>5.313</t>
  </si>
  <si>
    <t>6.258</t>
  </si>
  <si>
    <t>11.757</t>
  </si>
  <si>
    <t>8.125</t>
  </si>
  <si>
    <t>9.724</t>
  </si>
  <si>
    <t>6.231</t>
  </si>
  <si>
    <t>14.259</t>
  </si>
  <si>
    <t>9.567</t>
  </si>
  <si>
    <t>5.784</t>
  </si>
  <si>
    <t>7.983</t>
  </si>
  <si>
    <t>4.949</t>
  </si>
  <si>
    <t>7.989</t>
  </si>
  <si>
    <t>3.508</t>
  </si>
  <si>
    <t>6.645</t>
  </si>
  <si>
    <t>6.733</t>
  </si>
  <si>
    <t>3.7</t>
  </si>
  <si>
    <t>10.332</t>
  </si>
  <si>
    <t>13.109</t>
  </si>
  <si>
    <t>4.664</t>
  </si>
  <si>
    <t>2021-01-28 22:55:13</t>
  </si>
  <si>
    <t>3.717</t>
  </si>
  <si>
    <t>6.157</t>
  </si>
  <si>
    <t>4.557</t>
  </si>
  <si>
    <t>37.65</t>
  </si>
  <si>
    <t>3.728</t>
  </si>
  <si>
    <t>3.347</t>
  </si>
  <si>
    <t>3.945</t>
  </si>
  <si>
    <t>4.279</t>
  </si>
  <si>
    <t>Dt 770 pro beyerdynamic</t>
  </si>
  <si>
    <t>205.104</t>
  </si>
  <si>
    <t>10.875</t>
  </si>
  <si>
    <t>17.818</t>
  </si>
  <si>
    <t>24.223</t>
  </si>
  <si>
    <t>23.453</t>
  </si>
  <si>
    <t>17.352</t>
  </si>
  <si>
    <t>3.512</t>
  </si>
  <si>
    <t>24.704</t>
  </si>
  <si>
    <t>14.891</t>
  </si>
  <si>
    <t>12.813</t>
  </si>
  <si>
    <t>10.758</t>
  </si>
  <si>
    <t>5.445</t>
  </si>
  <si>
    <t>10.112</t>
  </si>
  <si>
    <t>6.338</t>
  </si>
  <si>
    <t>6.425</t>
  </si>
  <si>
    <t>5.609</t>
  </si>
  <si>
    <t>4.653</t>
  </si>
  <si>
    <t>5.868</t>
  </si>
  <si>
    <t>5.248</t>
  </si>
  <si>
    <t>4.745</t>
  </si>
  <si>
    <t>4.406</t>
  </si>
  <si>
    <t>5.213</t>
  </si>
  <si>
    <t>4.498</t>
  </si>
  <si>
    <t>6.207</t>
  </si>
  <si>
    <t>4.222</t>
  </si>
  <si>
    <t>2.919</t>
  </si>
  <si>
    <t>8.004</t>
  </si>
  <si>
    <t>2.245</t>
  </si>
  <si>
    <t>2021-01-28 21:38:58</t>
  </si>
  <si>
    <t>3.762</t>
  </si>
  <si>
    <t>11.458</t>
  </si>
  <si>
    <t>7.063</t>
  </si>
  <si>
    <t>12.572</t>
  </si>
  <si>
    <t>19.816</t>
  </si>
  <si>
    <t>3.93</t>
  </si>
  <si>
    <t>4.864</t>
  </si>
  <si>
    <t>8.199</t>
  </si>
  <si>
    <t>4.654</t>
  </si>
  <si>
    <t>14.548</t>
  </si>
  <si>
    <t xml:space="preserve">VIVINOR </t>
  </si>
  <si>
    <t>136.522</t>
  </si>
  <si>
    <t>10.605</t>
  </si>
  <si>
    <t>9.515</t>
  </si>
  <si>
    <t>16.498</t>
  </si>
  <si>
    <t>15.082</t>
  </si>
  <si>
    <t>9.752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</si>
  <si>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κραυγές,Μουσική,Εστιατόρια,Αθλητικές εκδηλώσεις,Κουδούνισμα τηλεφώνου,Τηλεόραση / ραδιόφωνο,Σφυρίχτρα / κόρνα/ σειρήνα,Ηλεκτρική σκούπα</t>
  </si>
  <si>
    <t>22.297</t>
  </si>
  <si>
    <t xml:space="preserve">Κάθε εβδομάδα </t>
  </si>
  <si>
    <t>14.597</t>
  </si>
  <si>
    <t>13.566</t>
  </si>
  <si>
    <t>11.891</t>
  </si>
  <si>
    <t>7.173</t>
  </si>
  <si>
    <t>"Μ/Δ</t>
  </si>
  <si>
    <t>60.49</t>
  </si>
  <si>
    <t>11.563</t>
  </si>
  <si>
    <t>9.386</t>
  </si>
  <si>
    <t>18.125</t>
  </si>
  <si>
    <t>10.407</t>
  </si>
  <si>
    <t>16.214</t>
  </si>
  <si>
    <t>17.791</t>
  </si>
  <si>
    <t>16.662</t>
  </si>
  <si>
    <t>15.41</t>
  </si>
  <si>
    <t>18.721</t>
  </si>
  <si>
    <t>15.277</t>
  </si>
  <si>
    <t>2.908</t>
  </si>
  <si>
    <t>1.623</t>
  </si>
  <si>
    <t>2.9</t>
  </si>
  <si>
    <t>1.786</t>
  </si>
  <si>
    <t>2.119</t>
  </si>
  <si>
    <t>5.941</t>
  </si>
  <si>
    <t>3.661</t>
  </si>
  <si>
    <t>3.594</t>
  </si>
  <si>
    <t>13.75</t>
  </si>
  <si>
    <t>4.602</t>
  </si>
  <si>
    <t>3.964</t>
  </si>
  <si>
    <t>34.091</t>
  </si>
  <si>
    <t>11.476</t>
  </si>
  <si>
    <t>5.13</t>
  </si>
  <si>
    <t>2.6</t>
  </si>
  <si>
    <t>25.439</t>
  </si>
  <si>
    <t>4.115</t>
  </si>
  <si>
    <t>2021-01-28 19:12:01</t>
  </si>
  <si>
    <t>3.027</t>
  </si>
  <si>
    <t>24.852</t>
  </si>
  <si>
    <t>4.802</t>
  </si>
  <si>
    <t>4.039</t>
  </si>
  <si>
    <t>2.891</t>
  </si>
  <si>
    <t>2.453</t>
  </si>
  <si>
    <t>3.014</t>
  </si>
  <si>
    <t>2.16</t>
  </si>
  <si>
    <t>Focal clear pro</t>
  </si>
  <si>
    <t>60.799</t>
  </si>
  <si>
    <t>4.383</t>
  </si>
  <si>
    <t>14.356</t>
  </si>
  <si>
    <t>10.642</t>
  </si>
  <si>
    <t>19.117</t>
  </si>
  <si>
    <t>13.712</t>
  </si>
  <si>
    <t>5.726</t>
  </si>
  <si>
    <t>6.152</t>
  </si>
  <si>
    <t>10.904</t>
  </si>
  <si>
    <t>9.559</t>
  </si>
  <si>
    <t>13.872</t>
  </si>
  <si>
    <t>10.462</t>
  </si>
  <si>
    <t>8.091</t>
  </si>
  <si>
    <t>9.831</t>
  </si>
  <si>
    <t>9.125</t>
  </si>
  <si>
    <t>6.58</t>
  </si>
  <si>
    <t>6.516</t>
  </si>
  <si>
    <t>6.355</t>
  </si>
  <si>
    <t>7.121</t>
  </si>
  <si>
    <t>6.12</t>
  </si>
  <si>
    <t>12.499</t>
  </si>
  <si>
    <t>7.054</t>
  </si>
  <si>
    <t>3.904</t>
  </si>
  <si>
    <t>3.197</t>
  </si>
  <si>
    <t>6.648</t>
  </si>
  <si>
    <t>8.088</t>
  </si>
  <si>
    <t>8.392</t>
  </si>
  <si>
    <t>3.308</t>
  </si>
  <si>
    <t>3.937</t>
  </si>
  <si>
    <t>30.195</t>
  </si>
  <si>
    <t>1.261</t>
  </si>
  <si>
    <t>2021-01-28 10:56:03</t>
  </si>
  <si>
    <t>4.31</t>
  </si>
  <si>
    <t>12.96</t>
  </si>
  <si>
    <t>85.108</t>
  </si>
  <si>
    <t>15.039</t>
  </si>
  <si>
    <t>4.252</t>
  </si>
  <si>
    <t>4.421</t>
  </si>
  <si>
    <t>4.566</t>
  </si>
  <si>
    <t>4.556</t>
  </si>
  <si>
    <t>7.2</t>
  </si>
  <si>
    <t>10.491</t>
  </si>
  <si>
    <t>10.779</t>
  </si>
  <si>
    <t>15.732</t>
  </si>
  <si>
    <t>6.049</t>
  </si>
  <si>
    <t>4.867</t>
  </si>
  <si>
    <t>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t>
  </si>
  <si>
    <t>17.609</t>
  </si>
  <si>
    <t>18.224</t>
  </si>
  <si>
    <t>6.608</t>
  </si>
  <si>
    <t>4.349</t>
  </si>
  <si>
    <t>Xiaomi Mi BRE01JY</t>
  </si>
  <si>
    <t>90.372</t>
  </si>
  <si>
    <t>5.057</t>
  </si>
  <si>
    <t>13.475</t>
  </si>
  <si>
    <t>3.206</t>
  </si>
  <si>
    <t>31.464</t>
  </si>
  <si>
    <t>14.219</t>
  </si>
  <si>
    <t>9.976</t>
  </si>
  <si>
    <t>10.799</t>
  </si>
  <si>
    <t>12.504</t>
  </si>
  <si>
    <t>8.026</t>
  </si>
  <si>
    <t>15.62</t>
  </si>
  <si>
    <t>9.147</t>
  </si>
  <si>
    <t>11.294</t>
  </si>
  <si>
    <t>15.934</t>
  </si>
  <si>
    <t>11.904</t>
  </si>
  <si>
    <t>9.614</t>
  </si>
  <si>
    <t>14.551</t>
  </si>
  <si>
    <t>10.907</t>
  </si>
  <si>
    <t>16.793</t>
  </si>
  <si>
    <t>10.503</t>
  </si>
  <si>
    <t>10.957</t>
  </si>
  <si>
    <t>9.563</t>
  </si>
  <si>
    <t>9.015</t>
  </si>
  <si>
    <t>9.631</t>
  </si>
  <si>
    <t>8.045</t>
  </si>
  <si>
    <t>29.052</t>
  </si>
  <si>
    <t>8.878</t>
  </si>
  <si>
    <t>11.727</t>
  </si>
  <si>
    <t>2.655</t>
  </si>
  <si>
    <t>2.254</t>
  </si>
  <si>
    <t>2021-01-28 10:01:00</t>
  </si>
  <si>
    <t>8.897</t>
  </si>
  <si>
    <t>33.766</t>
  </si>
  <si>
    <t>12.221</t>
  </si>
  <si>
    <t>56.811</t>
  </si>
  <si>
    <t>10.593</t>
  </si>
  <si>
    <t>8.251</t>
  </si>
  <si>
    <t>7.388</t>
  </si>
  <si>
    <t>10.526</t>
  </si>
  <si>
    <t>7.602</t>
  </si>
  <si>
    <t>8.602</t>
  </si>
  <si>
    <t>32.24</t>
  </si>
  <si>
    <t>16.189</t>
  </si>
  <si>
    <t>Μήνες</t>
  </si>
  <si>
    <t>13.924</t>
  </si>
  <si>
    <t>10.533</t>
  </si>
  <si>
    <t>8.449</t>
  </si>
  <si>
    <t>9.186</t>
  </si>
  <si>
    <t>Σκυλί που γαβγίζει,Φωνές υψηλής συχνότητας / κραυγές,Μουσική,Ηλεκτρικά εργαλεία,Κουδούνισμα τηλεφώνου,Ηλεκτρική σκούπα</t>
  </si>
  <si>
    <t>49.379</t>
  </si>
  <si>
    <t>1-2 κρισεις   μπορεί να κρατήσει 15 μέρες</t>
  </si>
  <si>
    <t>75.947</t>
  </si>
  <si>
    <t>22.808</t>
  </si>
  <si>
    <t>25.694</t>
  </si>
  <si>
    <t>5.03</t>
  </si>
  <si>
    <t>224.078</t>
  </si>
  <si>
    <t>18.993</t>
  </si>
  <si>
    <t>28.033</t>
  </si>
  <si>
    <t>34.59</t>
  </si>
  <si>
    <t>50.537</t>
  </si>
  <si>
    <t>23.471</t>
  </si>
  <si>
    <t>19.562</t>
  </si>
  <si>
    <t>37.133</t>
  </si>
  <si>
    <t>12.661</t>
  </si>
  <si>
    <t>23.651</t>
  </si>
  <si>
    <t>17.383</t>
  </si>
  <si>
    <t>11.067</t>
  </si>
  <si>
    <t>11.332</t>
  </si>
  <si>
    <t>12.777</t>
  </si>
  <si>
    <t>11.483</t>
  </si>
  <si>
    <t>10.522</t>
  </si>
  <si>
    <t>12.809</t>
  </si>
  <si>
    <t>12.127</t>
  </si>
  <si>
    <t>13.742</t>
  </si>
  <si>
    <t>9.999</t>
  </si>
  <si>
    <t>12.333</t>
  </si>
  <si>
    <t>9.58</t>
  </si>
  <si>
    <t>11.189</t>
  </si>
  <si>
    <t>14.485</t>
  </si>
  <si>
    <t>17.151</t>
  </si>
  <si>
    <t>10.909</t>
  </si>
  <si>
    <t>15.182</t>
  </si>
  <si>
    <t>10.699</t>
  </si>
  <si>
    <t>23.817</t>
  </si>
  <si>
    <t>0.99</t>
  </si>
  <si>
    <t>13.179</t>
  </si>
  <si>
    <t>2.686</t>
  </si>
  <si>
    <t>22.841</t>
  </si>
  <si>
    <t>12.939</t>
  </si>
  <si>
    <t>2021-01-28 08:58:53</t>
  </si>
  <si>
    <t>3.863</t>
  </si>
  <si>
    <t>4.691</t>
  </si>
  <si>
    <t>5.484</t>
  </si>
  <si>
    <t>33.127</t>
  </si>
  <si>
    <t>5.294</t>
  </si>
  <si>
    <t>4.36</t>
  </si>
  <si>
    <t>5.433</t>
  </si>
  <si>
    <t>3.97</t>
  </si>
  <si>
    <t>3.172</t>
  </si>
  <si>
    <t>Stelminal, inderal, topamac, vivinor, petasitis, effexor, lopresor</t>
  </si>
  <si>
    <t>53.221</t>
  </si>
  <si>
    <t>9.051</t>
  </si>
  <si>
    <t>8.381</t>
  </si>
  <si>
    <t>5.199</t>
  </si>
  <si>
    <t>Μωρό που κλαίει / παιδιά που φωνάζουν,Πλήθη / μεγάλες συγκεντρώσεις,Φωνές υψηλής συχνότητας / κραυγές,Αθλητικές εκδηλώσεις,Κουδούνισμα τηλεφώνου,Τηλεόραση / ραδιόφωνο,Μουσική</t>
  </si>
  <si>
    <t>38.156</t>
  </si>
  <si>
    <t>Κάθε μέρα</t>
  </si>
  <si>
    <t>73.498</t>
  </si>
  <si>
    <t>9</t>
  </si>
  <si>
    <t>10.633</t>
  </si>
  <si>
    <t>10.12</t>
  </si>
  <si>
    <t>2.626</t>
  </si>
  <si>
    <t>Jbl</t>
  </si>
  <si>
    <t>168.395</t>
  </si>
  <si>
    <t>4.07</t>
  </si>
  <si>
    <t>48.407</t>
  </si>
  <si>
    <t>9.283</t>
  </si>
  <si>
    <t>27.131</t>
  </si>
  <si>
    <t>27.943</t>
  </si>
  <si>
    <t>20.93</t>
  </si>
  <si>
    <t>18.26</t>
  </si>
  <si>
    <t>18.536</t>
  </si>
  <si>
    <t>11.246</t>
  </si>
  <si>
    <t>8.564</t>
  </si>
  <si>
    <t>12.671</t>
  </si>
  <si>
    <t>11.01</t>
  </si>
  <si>
    <t>9.312</t>
  </si>
  <si>
    <t>9.544</t>
  </si>
  <si>
    <t>15.623</t>
  </si>
  <si>
    <t>7.954</t>
  </si>
  <si>
    <t>5.798</t>
  </si>
  <si>
    <t>9.858</t>
  </si>
  <si>
    <t>9.778</t>
  </si>
  <si>
    <t>7.617</t>
  </si>
  <si>
    <t>10.374</t>
  </si>
  <si>
    <t>6.928</t>
  </si>
  <si>
    <t>6.373</t>
  </si>
  <si>
    <t>6.956</t>
  </si>
  <si>
    <t>8.764</t>
  </si>
  <si>
    <t>7.41</t>
  </si>
  <si>
    <t>9.322</t>
  </si>
  <si>
    <t>1.946</t>
  </si>
  <si>
    <t>6.866</t>
  </si>
  <si>
    <t>4.512</t>
  </si>
  <si>
    <t>2021-01-27 22:55:36</t>
  </si>
  <si>
    <t>6.979</t>
  </si>
  <si>
    <t>4.096</t>
  </si>
  <si>
    <t>7.409</t>
  </si>
  <si>
    <t>3.923</t>
  </si>
  <si>
    <t>3.835</t>
  </si>
  <si>
    <t>5.475</t>
  </si>
  <si>
    <t>154.428</t>
  </si>
  <si>
    <t>19.074</t>
  </si>
  <si>
    <t>13.49</t>
  </si>
  <si>
    <t>28.677</t>
  </si>
  <si>
    <t>13.415</t>
  </si>
  <si>
    <t>6.669</t>
  </si>
  <si>
    <t>6.55</t>
  </si>
  <si>
    <t>8.524</t>
  </si>
  <si>
    <t>5.66</t>
  </si>
  <si>
    <t>5.92</t>
  </si>
  <si>
    <t>3.352</t>
  </si>
  <si>
    <t>6.424</t>
  </si>
  <si>
    <t>5.688</t>
  </si>
  <si>
    <t>5.756</t>
  </si>
  <si>
    <t>4.259</t>
  </si>
  <si>
    <t>4.766</t>
  </si>
  <si>
    <t>3.997</t>
  </si>
  <si>
    <t>3.726</t>
  </si>
  <si>
    <t>3.843</t>
  </si>
  <si>
    <t>3.53</t>
  </si>
  <si>
    <t>4.266</t>
  </si>
  <si>
    <t>5.796</t>
  </si>
  <si>
    <t>6.417</t>
  </si>
  <si>
    <t>6.549</t>
  </si>
  <si>
    <t>4.919</t>
  </si>
  <si>
    <t>4.973</t>
  </si>
  <si>
    <t>10.701</t>
  </si>
  <si>
    <t>7.593</t>
  </si>
  <si>
    <t>1.871</t>
  </si>
  <si>
    <t>2021-01-27 21:43:50</t>
  </si>
  <si>
    <t>5.556</t>
  </si>
  <si>
    <t>17.377</t>
  </si>
  <si>
    <t>4.347</t>
  </si>
  <si>
    <t>4.25</t>
  </si>
  <si>
    <t>8.81</t>
  </si>
  <si>
    <t>4.363</t>
  </si>
  <si>
    <t>2.675</t>
  </si>
  <si>
    <t>4.324</t>
  </si>
  <si>
    <t>4.373</t>
  </si>
  <si>
    <t>4.457</t>
  </si>
  <si>
    <t>30.709</t>
  </si>
  <si>
    <t>8.962</t>
  </si>
  <si>
    <t>4.203</t>
  </si>
  <si>
    <t>6.401</t>
  </si>
  <si>
    <t>Κατά τη διάρκεια της ημικρανίας,Μετά από ημικρανία</t>
  </si>
  <si>
    <t>10.833</t>
  </si>
  <si>
    <t>Μωρό που κλαίει / παιδιά που φωνάζουν,Πλήθη / μεγάλες συγκεντρώσεις,Φωνές υψηλής συχνότητας / κραυγές,Τηλεόραση / ραδιόφωνο</t>
  </si>
  <si>
    <t>24.761</t>
  </si>
  <si>
    <t>9.88</t>
  </si>
  <si>
    <t>13.355</t>
  </si>
  <si>
    <t>7.729</t>
  </si>
  <si>
    <t xml:space="preserve">Samsung </t>
  </si>
  <si>
    <t>73.825</t>
  </si>
  <si>
    <t>12.695</t>
  </si>
  <si>
    <t>30.165</t>
  </si>
  <si>
    <t>24.98</t>
  </si>
  <si>
    <t>15.819</t>
  </si>
  <si>
    <t>16.672</t>
  </si>
  <si>
    <t>16.554</t>
  </si>
  <si>
    <t>8.369</t>
  </si>
  <si>
    <t>9.474</t>
  </si>
  <si>
    <t>10.316</t>
  </si>
  <si>
    <t>6.664</t>
  </si>
  <si>
    <t>7.146</t>
  </si>
  <si>
    <t>9.595</t>
  </si>
  <si>
    <t>9.891</t>
  </si>
  <si>
    <t>7.221</t>
  </si>
  <si>
    <t>9.313</t>
  </si>
  <si>
    <t>7.459</t>
  </si>
  <si>
    <t>6.612</t>
  </si>
  <si>
    <t>9.892</t>
  </si>
  <si>
    <t>6.056</t>
  </si>
  <si>
    <t>5.508</t>
  </si>
  <si>
    <t>4.763</t>
  </si>
  <si>
    <t>5.138</t>
  </si>
  <si>
    <t>5.405</t>
  </si>
  <si>
    <t>9.214</t>
  </si>
  <si>
    <t>9.1</t>
  </si>
  <si>
    <t>11.122</t>
  </si>
  <si>
    <t>9.095</t>
  </si>
  <si>
    <t>4.618</t>
  </si>
  <si>
    <t>2021-01-27 16:58:50</t>
  </si>
  <si>
    <t>4.726</t>
  </si>
  <si>
    <t>20.978</t>
  </si>
  <si>
    <t>9.753</t>
  </si>
  <si>
    <t>7.341</t>
  </si>
  <si>
    <t>7.633</t>
  </si>
  <si>
    <t>4.073</t>
  </si>
  <si>
    <t>4.423</t>
  </si>
  <si>
    <t>6.742</t>
  </si>
  <si>
    <t>157.756</t>
  </si>
  <si>
    <t>14.969</t>
  </si>
  <si>
    <t>22.839</t>
  </si>
  <si>
    <t>23.58</t>
  </si>
  <si>
    <t>49.082</t>
  </si>
  <si>
    <t>21.898</t>
  </si>
  <si>
    <t>13.433</t>
  </si>
  <si>
    <t>12.351</t>
  </si>
  <si>
    <t>10.032</t>
  </si>
  <si>
    <t>11.625</t>
  </si>
  <si>
    <t>7.672</t>
  </si>
  <si>
    <t>7.848</t>
  </si>
  <si>
    <t>6.195</t>
  </si>
  <si>
    <t>8.295</t>
  </si>
  <si>
    <t>7.061</t>
  </si>
  <si>
    <t>8.633</t>
  </si>
  <si>
    <t>8.791</t>
  </si>
  <si>
    <t>10.021</t>
  </si>
  <si>
    <t>19.718</t>
  </si>
  <si>
    <t>6.086</t>
  </si>
  <si>
    <t>7.737</t>
  </si>
  <si>
    <t>6.296</t>
  </si>
  <si>
    <t>8.938</t>
  </si>
  <si>
    <t>7.67</t>
  </si>
  <si>
    <t>6.73</t>
  </si>
  <si>
    <t>2.02</t>
  </si>
  <si>
    <t>18.728</t>
  </si>
  <si>
    <t>14.801</t>
  </si>
  <si>
    <t>10.535</t>
  </si>
  <si>
    <t>6.497</t>
  </si>
  <si>
    <t>4.948</t>
  </si>
  <si>
    <t>2021-01-27 15:05:35</t>
  </si>
  <si>
    <t>127.174</t>
  </si>
  <si>
    <t>11.792</t>
  </si>
  <si>
    <t>11.816</t>
  </si>
  <si>
    <t>5.488</t>
  </si>
  <si>
    <t>22.376</t>
  </si>
  <si>
    <t>6.88</t>
  </si>
  <si>
    <t>4.288</t>
  </si>
  <si>
    <t>4.679</t>
  </si>
  <si>
    <t>7.368</t>
  </si>
  <si>
    <t>9.456</t>
  </si>
  <si>
    <t>9.288</t>
  </si>
  <si>
    <t>8.665</t>
  </si>
  <si>
    <t>10.784</t>
  </si>
  <si>
    <t>Πριν από μια ημικρανία,Κατά τη διάρκεια της ημικρανίας,Μετά από ημικρανία</t>
  </si>
  <si>
    <t>16.168</t>
  </si>
  <si>
    <t>Μωρό που κλαίει / παιδιά που φωνάζουν,Πιάτα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t>
  </si>
  <si>
    <t>31.2</t>
  </si>
  <si>
    <t>2 με 3</t>
  </si>
  <si>
    <t>15.791</t>
  </si>
  <si>
    <t>60 με 90 στο αποκορύφωμα, εννοώντας πως δεν έχω νοσηλευτεί</t>
  </si>
  <si>
    <t>74.695</t>
  </si>
  <si>
    <t>16.113</t>
  </si>
  <si>
    <t>12755.263</t>
  </si>
  <si>
    <t>''Μ/Δ'***</t>
  </si>
  <si>
    <t>140.278</t>
  </si>
  <si>
    <t>16.247</t>
  </si>
  <si>
    <t>33.479</t>
  </si>
  <si>
    <t>47.52</t>
  </si>
  <si>
    <t>45.57</t>
  </si>
  <si>
    <t>27.814</t>
  </si>
  <si>
    <t>18.016</t>
  </si>
  <si>
    <t>17.952</t>
  </si>
  <si>
    <t>21.639</t>
  </si>
  <si>
    <t>14.319</t>
  </si>
  <si>
    <t>16.809</t>
  </si>
  <si>
    <t>16.855</t>
  </si>
  <si>
    <t>10.232</t>
  </si>
  <si>
    <t>16.896</t>
  </si>
  <si>
    <t>16.911</t>
  </si>
  <si>
    <t>14.569</t>
  </si>
  <si>
    <t>19.8</t>
  </si>
  <si>
    <t>14.343</t>
  </si>
  <si>
    <t>20.288</t>
  </si>
  <si>
    <t>15.016</t>
  </si>
  <si>
    <t>14.391</t>
  </si>
  <si>
    <t>11.328</t>
  </si>
  <si>
    <t>13.825</t>
  </si>
  <si>
    <t>12.047</t>
  </si>
  <si>
    <t>12.248</t>
  </si>
  <si>
    <t>17.68</t>
  </si>
  <si>
    <t>10.656</t>
  </si>
  <si>
    <t>16.176</t>
  </si>
  <si>
    <t>14.584</t>
  </si>
  <si>
    <t>60.198</t>
  </si>
  <si>
    <t>2021-01-27 13:56:12</t>
  </si>
  <si>
    <t>13.861</t>
  </si>
  <si>
    <t>26.388</t>
  </si>
  <si>
    <t>8.425</t>
  </si>
  <si>
    <t>4.362</t>
  </si>
  <si>
    <t>30.864</t>
  </si>
  <si>
    <t>5.677</t>
  </si>
  <si>
    <t>4.056</t>
  </si>
  <si>
    <t>3.641</t>
  </si>
  <si>
    <t>6.581</t>
  </si>
  <si>
    <t>4.034</t>
  </si>
  <si>
    <t>5.764</t>
  </si>
  <si>
    <t>RIZATRIPTAN/INDERAL</t>
  </si>
  <si>
    <t>31.094</t>
  </si>
  <si>
    <t>20.882</t>
  </si>
  <si>
    <t>6.902</t>
  </si>
  <si>
    <t>5.332</t>
  </si>
  <si>
    <t>4.838</t>
  </si>
  <si>
    <t>10.835</t>
  </si>
  <si>
    <t>Μουσική,Κουδούνισμα τηλεφώνου,Τηλεόραση / ραδιόφωνο</t>
  </si>
  <si>
    <t>16.607</t>
  </si>
  <si>
    <t>13.063</t>
  </si>
  <si>
    <t>85</t>
  </si>
  <si>
    <t>7.582</t>
  </si>
  <si>
    <t>6.438</t>
  </si>
  <si>
    <t>6.087</t>
  </si>
  <si>
    <t>sony</t>
  </si>
  <si>
    <t>164.809</t>
  </si>
  <si>
    <t>4.193</t>
  </si>
  <si>
    <t>19.267</t>
  </si>
  <si>
    <t>22.606</t>
  </si>
  <si>
    <t>27.557</t>
  </si>
  <si>
    <t>22.257</t>
  </si>
  <si>
    <t>23.512</t>
  </si>
  <si>
    <t>11.537</t>
  </si>
  <si>
    <t>16.558</t>
  </si>
  <si>
    <t>9.875</t>
  </si>
  <si>
    <t>7.945</t>
  </si>
  <si>
    <t>11.683</t>
  </si>
  <si>
    <t>8.646</t>
  </si>
  <si>
    <t>12.57</t>
  </si>
  <si>
    <t>15.835</t>
  </si>
  <si>
    <t>12.114</t>
  </si>
  <si>
    <t>14.213</t>
  </si>
  <si>
    <t>17.593</t>
  </si>
  <si>
    <t>12.788</t>
  </si>
  <si>
    <t>11.092</t>
  </si>
  <si>
    <t>13.162</t>
  </si>
  <si>
    <t>11.741</t>
  </si>
  <si>
    <t>6.734</t>
  </si>
  <si>
    <t>14.342</t>
  </si>
  <si>
    <t>9.988</t>
  </si>
  <si>
    <t>6.929</t>
  </si>
  <si>
    <t>12.407</t>
  </si>
  <si>
    <t>9.867</t>
  </si>
  <si>
    <t>8.552</t>
  </si>
  <si>
    <t>2.994</t>
  </si>
  <si>
    <t>2021-01-27 13:39:06</t>
  </si>
  <si>
    <t>2.201</t>
  </si>
  <si>
    <t>5.286</t>
  </si>
  <si>
    <t>3.204</t>
  </si>
  <si>
    <t>13.73</t>
  </si>
  <si>
    <t>11.143</t>
  </si>
  <si>
    <t>4.138</t>
  </si>
  <si>
    <t>2.69</t>
  </si>
  <si>
    <t>4.12</t>
  </si>
  <si>
    <t>4.883</t>
  </si>
  <si>
    <t>2.922</t>
  </si>
  <si>
    <t>Ομοιοπαθητικα</t>
  </si>
  <si>
    <t>6.682</t>
  </si>
  <si>
    <t>9.46</t>
  </si>
  <si>
    <t>4.869</t>
  </si>
  <si>
    <t>3.765</t>
  </si>
  <si>
    <t>Πλήθη / μεγάλες συγκεντρώσεις,Σκυλί που γαβγίζει,Μουσική,Τηλεόραση / ραδιόφωνο</t>
  </si>
  <si>
    <t>22.876</t>
  </si>
  <si>
    <t>5-10</t>
  </si>
  <si>
    <t>13.158</t>
  </si>
  <si>
    <t>50</t>
  </si>
  <si>
    <t>9.272</t>
  </si>
  <si>
    <t>6.938</t>
  </si>
  <si>
    <t>1.906</t>
  </si>
  <si>
    <t>20.159</t>
  </si>
  <si>
    <t>3.235</t>
  </si>
  <si>
    <t>36.083</t>
  </si>
  <si>
    <t>3.059</t>
  </si>
  <si>
    <t>21.396</t>
  </si>
  <si>
    <t>15.005</t>
  </si>
  <si>
    <t>10.619</t>
  </si>
  <si>
    <t>8.374</t>
  </si>
  <si>
    <t>10.031</t>
  </si>
  <si>
    <t>10.134</t>
  </si>
  <si>
    <t>6.521</t>
  </si>
  <si>
    <t>13.743</t>
  </si>
  <si>
    <t>9.309</t>
  </si>
  <si>
    <t>11.822</t>
  </si>
  <si>
    <t>12.469</t>
  </si>
  <si>
    <t>16.332</t>
  </si>
  <si>
    <t>13.304</t>
  </si>
  <si>
    <t>7.951</t>
  </si>
  <si>
    <t>13.512</t>
  </si>
  <si>
    <t>10.159</t>
  </si>
  <si>
    <t>14.663</t>
  </si>
  <si>
    <t>9.767</t>
  </si>
  <si>
    <t>12.747</t>
  </si>
  <si>
    <t>7.325</t>
  </si>
  <si>
    <t>10.877</t>
  </si>
  <si>
    <t>7.782</t>
  </si>
  <si>
    <t>8.835</t>
  </si>
  <si>
    <t>13.981</t>
  </si>
  <si>
    <t>5.965</t>
  </si>
  <si>
    <t>5.914</t>
  </si>
  <si>
    <t>2.523</t>
  </si>
  <si>
    <t>95.606</t>
  </si>
  <si>
    <t>3.886</t>
  </si>
  <si>
    <t>2021-01-27 11:57:01</t>
  </si>
  <si>
    <t>3.047</t>
  </si>
  <si>
    <t>5.872</t>
  </si>
  <si>
    <t>3.176</t>
  </si>
  <si>
    <t>3.288</t>
  </si>
  <si>
    <t>10.304</t>
  </si>
  <si>
    <t>4.848</t>
  </si>
  <si>
    <t>2.424</t>
  </si>
  <si>
    <t>3.304</t>
  </si>
  <si>
    <t>4.407</t>
  </si>
  <si>
    <t>2.769</t>
  </si>
  <si>
    <t>12.462</t>
  </si>
  <si>
    <t>15.305</t>
  </si>
  <si>
    <t>15-20</t>
  </si>
  <si>
    <t>5.099</t>
  </si>
  <si>
    <t>4.689</t>
  </si>
  <si>
    <t>2.007</t>
  </si>
  <si>
    <t>45.672</t>
  </si>
  <si>
    <t>7.656</t>
  </si>
  <si>
    <t>14.496</t>
  </si>
  <si>
    <t>23.416</t>
  </si>
  <si>
    <t>20.757</t>
  </si>
  <si>
    <t>22.197</t>
  </si>
  <si>
    <t>14.152</t>
  </si>
  <si>
    <t>13.616</t>
  </si>
  <si>
    <t>9.897</t>
  </si>
  <si>
    <t>9.67</t>
  </si>
  <si>
    <t>11.761</t>
  </si>
  <si>
    <t>9.992</t>
  </si>
  <si>
    <t>14.696</t>
  </si>
  <si>
    <t>8.345</t>
  </si>
  <si>
    <t>10.488</t>
  </si>
  <si>
    <t>7.096</t>
  </si>
  <si>
    <t>9.808</t>
  </si>
  <si>
    <t>8.528</t>
  </si>
  <si>
    <t>8.064</t>
  </si>
  <si>
    <t>7.68</t>
  </si>
  <si>
    <t>11.151</t>
  </si>
  <si>
    <t>12.712</t>
  </si>
  <si>
    <t>10.32</t>
  </si>
  <si>
    <t>10.6</t>
  </si>
  <si>
    <t>11.512</t>
  </si>
  <si>
    <t>14.169</t>
  </si>
  <si>
    <t>13.232</t>
  </si>
  <si>
    <t>5.816</t>
  </si>
  <si>
    <t>2.449</t>
  </si>
  <si>
    <t>2021-01-27 06:02:13</t>
  </si>
  <si>
    <t>2.82</t>
  </si>
  <si>
    <t>8.421</t>
  </si>
  <si>
    <t>2.883</t>
  </si>
  <si>
    <t>5.15</t>
  </si>
  <si>
    <t>22.598</t>
  </si>
  <si>
    <t>4.032</t>
  </si>
  <si>
    <t>6.971</t>
  </si>
  <si>
    <t>3.551</t>
  </si>
  <si>
    <t>4.271</t>
  </si>
  <si>
    <t>2.968</t>
  </si>
  <si>
    <t>3.076</t>
  </si>
  <si>
    <t>Interal</t>
  </si>
  <si>
    <t>5.305</t>
  </si>
  <si>
    <t>7.208</t>
  </si>
  <si>
    <t>3.789</t>
  </si>
  <si>
    <t>8.876</t>
  </si>
  <si>
    <t>Πλήθη / μεγάλες συγκεντρώσεις,Σφυρίχτρα / κόρνα/ σειρήνα</t>
  </si>
  <si>
    <t>16.886</t>
  </si>
  <si>
    <t>2-6</t>
  </si>
  <si>
    <t>11.869</t>
  </si>
  <si>
    <t>7.64</t>
  </si>
  <si>
    <t>13.705</t>
  </si>
  <si>
    <t>2.094</t>
  </si>
  <si>
    <t>24.562</t>
  </si>
  <si>
    <t>4.177</t>
  </si>
  <si>
    <t>26.442</t>
  </si>
  <si>
    <t>3.382</t>
  </si>
  <si>
    <t>20.988</t>
  </si>
  <si>
    <t>16.549</t>
  </si>
  <si>
    <t>57.254</t>
  </si>
  <si>
    <t>12.864</t>
  </si>
  <si>
    <t>10.615</t>
  </si>
  <si>
    <t>8.541</t>
  </si>
  <si>
    <t>8.189</t>
  </si>
  <si>
    <t>7.511</t>
  </si>
  <si>
    <t>7.479</t>
  </si>
  <si>
    <t>7.266</t>
  </si>
  <si>
    <t>6.942</t>
  </si>
  <si>
    <t>5.277</t>
  </si>
  <si>
    <t>6.393</t>
  </si>
  <si>
    <t>6.605</t>
  </si>
  <si>
    <t>7.591</t>
  </si>
  <si>
    <t>4.066</t>
  </si>
  <si>
    <t>6.559</t>
  </si>
  <si>
    <t>6.556</t>
  </si>
  <si>
    <t>6.486</t>
  </si>
  <si>
    <t>7.972</t>
  </si>
  <si>
    <t>7.614</t>
  </si>
  <si>
    <t>7.356</t>
  </si>
  <si>
    <t>7.087</t>
  </si>
  <si>
    <t>4.171</t>
  </si>
  <si>
    <t>2.102</t>
  </si>
  <si>
    <t>39.968</t>
  </si>
  <si>
    <t>2.092</t>
  </si>
  <si>
    <t>2021-01-26 21:16:42</t>
  </si>
  <si>
    <t>3.921</t>
  </si>
  <si>
    <t>5.425</t>
  </si>
  <si>
    <t>3.629</t>
  </si>
  <si>
    <t>3.201</t>
  </si>
  <si>
    <t>4.764</t>
  </si>
  <si>
    <t>3.685</t>
  </si>
  <si>
    <t>5.875</t>
  </si>
  <si>
    <t>6.634</t>
  </si>
  <si>
    <t>47.038</t>
  </si>
  <si>
    <t>4.581</t>
  </si>
  <si>
    <t>10.681</t>
  </si>
  <si>
    <t>2.939</t>
  </si>
  <si>
    <t>49.788</t>
  </si>
  <si>
    <t>48.866</t>
  </si>
  <si>
    <t>36.941</t>
  </si>
  <si>
    <t>35.581</t>
  </si>
  <si>
    <t>20.91</t>
  </si>
  <si>
    <t>23.262</t>
  </si>
  <si>
    <t>20.347</t>
  </si>
  <si>
    <t>20.898</t>
  </si>
  <si>
    <t>12.73</t>
  </si>
  <si>
    <t>26.556</t>
  </si>
  <si>
    <t>11.295</t>
  </si>
  <si>
    <t>14.668</t>
  </si>
  <si>
    <t>26.342</t>
  </si>
  <si>
    <t>18.81</t>
  </si>
  <si>
    <t>16.758</t>
  </si>
  <si>
    <t>12.89</t>
  </si>
  <si>
    <t>24.211</t>
  </si>
  <si>
    <t>13.767</t>
  </si>
  <si>
    <t>24.191</t>
  </si>
  <si>
    <t>15.342</t>
  </si>
  <si>
    <t>15.633</t>
  </si>
  <si>
    <t>15.992</t>
  </si>
  <si>
    <t>51.97</t>
  </si>
  <si>
    <t>9.704</t>
  </si>
  <si>
    <t>19.176</t>
  </si>
  <si>
    <t>3.472</t>
  </si>
  <si>
    <t>16.311</t>
  </si>
  <si>
    <t>2.907</t>
  </si>
  <si>
    <t>2021-01-26 21:01:38</t>
  </si>
  <si>
    <t>6.63</t>
  </si>
  <si>
    <t>13.173</t>
  </si>
  <si>
    <t>7.903</t>
  </si>
  <si>
    <t>24.887</t>
  </si>
  <si>
    <t>3.38</t>
  </si>
  <si>
    <t>7.864</t>
  </si>
  <si>
    <t>7.002</t>
  </si>
  <si>
    <t>265.556</t>
  </si>
  <si>
    <t>22.341</t>
  </si>
  <si>
    <t>25.264</t>
  </si>
  <si>
    <t>80.825</t>
  </si>
  <si>
    <t>44.037</t>
  </si>
  <si>
    <t>38.968</t>
  </si>
  <si>
    <t>48.346</t>
  </si>
  <si>
    <t>28.447</t>
  </si>
  <si>
    <t>45.791</t>
  </si>
  <si>
    <t>17.765</t>
  </si>
  <si>
    <t>20.983</t>
  </si>
  <si>
    <t>10.61</t>
  </si>
  <si>
    <t>13.792</t>
  </si>
  <si>
    <t>21.754</t>
  </si>
  <si>
    <t>9.838</t>
  </si>
  <si>
    <t>25.309</t>
  </si>
  <si>
    <t>11.374</t>
  </si>
  <si>
    <t>26.516</t>
  </si>
  <si>
    <t>10.981</t>
  </si>
  <si>
    <t>13.217</t>
  </si>
  <si>
    <t>9.901</t>
  </si>
  <si>
    <t>9.141</t>
  </si>
  <si>
    <t>7.942</t>
  </si>
  <si>
    <t>12.816</t>
  </si>
  <si>
    <t>9.235</t>
  </si>
  <si>
    <t>12.224</t>
  </si>
  <si>
    <t>7.866</t>
  </si>
  <si>
    <t>6.394</t>
  </si>
  <si>
    <t>4.468</t>
  </si>
  <si>
    <t>21.046</t>
  </si>
  <si>
    <t>2021-01-26 20:24:46</t>
  </si>
  <si>
    <t>6.649</t>
  </si>
  <si>
    <t>78.662</t>
  </si>
  <si>
    <t>16.825</t>
  </si>
  <si>
    <t>72.663</t>
  </si>
  <si>
    <t>7.014</t>
  </si>
  <si>
    <t>4.933</t>
  </si>
  <si>
    <t>4.624</t>
  </si>
  <si>
    <t>10.21</t>
  </si>
  <si>
    <t>5.059</t>
  </si>
  <si>
    <t>5.451</t>
  </si>
  <si>
    <t>36.862</t>
  </si>
  <si>
    <t>10.249</t>
  </si>
  <si>
    <t>5.298</t>
  </si>
  <si>
    <t>7.714</t>
  </si>
  <si>
    <t>5.104</t>
  </si>
  <si>
    <t>7.322</t>
  </si>
  <si>
    <t>Μωρό που κλαίει / παιδιά που φωνάζουν,Φωνές υψηλής συχνότητας / κραυγές,Μουσική,Ηλεκτρικά εργαλεία,Κουδούνισμα τηλεφώνου,Τηλεόραση / ραδιόφωνο,Σφυρίχτρα / κόρνα/ σειρήνα</t>
  </si>
  <si>
    <t>23.838</t>
  </si>
  <si>
    <t>9.531</t>
  </si>
  <si>
    <t>7.165</t>
  </si>
  <si>
    <t>7.889</t>
  </si>
  <si>
    <t>128.852</t>
  </si>
  <si>
    <t>15.371</t>
  </si>
  <si>
    <t>34.295</t>
  </si>
  <si>
    <t>37.015</t>
  </si>
  <si>
    <t>29.68</t>
  </si>
  <si>
    <t>21.753</t>
  </si>
  <si>
    <t>17.485</t>
  </si>
  <si>
    <t>21.972</t>
  </si>
  <si>
    <t>16.402</t>
  </si>
  <si>
    <t>18.492</t>
  </si>
  <si>
    <t>12.494</t>
  </si>
  <si>
    <t>14.148</t>
  </si>
  <si>
    <t>12.282</t>
  </si>
  <si>
    <t>11.536</t>
  </si>
  <si>
    <t>10.116</t>
  </si>
  <si>
    <t>8.159</t>
  </si>
  <si>
    <t>10.347</t>
  </si>
  <si>
    <t>6.578</t>
  </si>
  <si>
    <t>8.321</t>
  </si>
  <si>
    <t>8.678</t>
  </si>
  <si>
    <t>9.225</t>
  </si>
  <si>
    <t>8.786</t>
  </si>
  <si>
    <t>13.799</t>
  </si>
  <si>
    <t>10.264</t>
  </si>
  <si>
    <t>14.108</t>
  </si>
  <si>
    <t>9.829</t>
  </si>
  <si>
    <t>13.055</t>
  </si>
  <si>
    <t>79.66</t>
  </si>
  <si>
    <t>4.392</t>
  </si>
  <si>
    <t>2021-01-26 20:10:00</t>
  </si>
  <si>
    <t>2.399</t>
  </si>
  <si>
    <t>3.587</t>
  </si>
  <si>
    <t>3.387</t>
  </si>
  <si>
    <t>8.324</t>
  </si>
  <si>
    <t>4.26</t>
  </si>
  <si>
    <t>2.678</t>
  </si>
  <si>
    <t>3.328</t>
  </si>
  <si>
    <t>2.834</t>
  </si>
  <si>
    <t>3.429</t>
  </si>
  <si>
    <t>2.989</t>
  </si>
  <si>
    <t>13.683</t>
  </si>
  <si>
    <t>9.763</t>
  </si>
  <si>
    <t>5.255</t>
  </si>
  <si>
    <t>5.579</t>
  </si>
  <si>
    <t>3.371</t>
  </si>
  <si>
    <t>4.284</t>
  </si>
  <si>
    <t>Μωρό που κλαίει / παιδιά που φωνάζουν,Πλήθη / μεγάλες συγκεντρώσεις,Πιάτα που στοιβάζονται,Σκυλί που γαβγίζει,Φωνές υψηλής συχνότητας / κραυγές,Ηλεκτρικά εργαλεία,Κουδούνισμα τηλεφώνου,Τηλεόραση / ραδιόφωνο,Ηλεκτρική σκούπα,Σφυρίχτρα / κόρνα/ σειρήνα</t>
  </si>
  <si>
    <t>21.076</t>
  </si>
  <si>
    <t>4</t>
  </si>
  <si>
    <t xml:space="preserve">7 </t>
  </si>
  <si>
    <t>8.932</t>
  </si>
  <si>
    <t>4.698</t>
  </si>
  <si>
    <t>4.968</t>
  </si>
  <si>
    <t>Marshall</t>
  </si>
  <si>
    <t>65.632</t>
  </si>
  <si>
    <t>7.684</t>
  </si>
  <si>
    <t>44.174</t>
  </si>
  <si>
    <t>7.028</t>
  </si>
  <si>
    <t>24.348</t>
  </si>
  <si>
    <t>16.265</t>
  </si>
  <si>
    <t>12.972</t>
  </si>
  <si>
    <t>8.826</t>
  </si>
  <si>
    <t>7.85</t>
  </si>
  <si>
    <t>11.436</t>
  </si>
  <si>
    <t>5.117</t>
  </si>
  <si>
    <t>10.725</t>
  </si>
  <si>
    <t>7.274</t>
  </si>
  <si>
    <t>3.27</t>
  </si>
  <si>
    <t>4.872</t>
  </si>
  <si>
    <t>4.507</t>
  </si>
  <si>
    <t>2.934</t>
  </si>
  <si>
    <t>3.919</t>
  </si>
  <si>
    <t>3.644</t>
  </si>
  <si>
    <t>2.816</t>
  </si>
  <si>
    <t>3.269</t>
  </si>
  <si>
    <t>4.251</t>
  </si>
  <si>
    <t>4.025</t>
  </si>
  <si>
    <t>7.35</t>
  </si>
  <si>
    <t>49.215</t>
  </si>
  <si>
    <t>1.848</t>
  </si>
  <si>
    <t>2021-01-26 19:44:01</t>
  </si>
  <si>
    <t>113.284</t>
  </si>
  <si>
    <t>30.434</t>
  </si>
  <si>
    <t>9.084</t>
  </si>
  <si>
    <t>37.669</t>
  </si>
  <si>
    <t>13.189</t>
  </si>
  <si>
    <t>10.797</t>
  </si>
  <si>
    <t>9.004</t>
  </si>
  <si>
    <t>5.642</t>
  </si>
  <si>
    <t>6.122</t>
  </si>
  <si>
    <t>μ/δ</t>
  </si>
  <si>
    <t>151.249</t>
  </si>
  <si>
    <t>38.13</t>
  </si>
  <si>
    <t>51.168</t>
  </si>
  <si>
    <t>72.919</t>
  </si>
  <si>
    <t>23.017</t>
  </si>
  <si>
    <t>29.133</t>
  </si>
  <si>
    <t>18.814</t>
  </si>
  <si>
    <t>21.953</t>
  </si>
  <si>
    <t>22.61</t>
  </si>
  <si>
    <t>13.901</t>
  </si>
  <si>
    <t>15.145</t>
  </si>
  <si>
    <t>15.618</t>
  </si>
  <si>
    <t>18.58</t>
  </si>
  <si>
    <t>14.506</t>
  </si>
  <si>
    <t>26.365</t>
  </si>
  <si>
    <t>12.905</t>
  </si>
  <si>
    <t>17.263</t>
  </si>
  <si>
    <t>15.911</t>
  </si>
  <si>
    <t>15.628</t>
  </si>
  <si>
    <t>17.055</t>
  </si>
  <si>
    <t>24.034</t>
  </si>
  <si>
    <t>17.22</t>
  </si>
  <si>
    <t>12.732</t>
  </si>
  <si>
    <t>24.935</t>
  </si>
  <si>
    <t>17.948</t>
  </si>
  <si>
    <t>13.555</t>
  </si>
  <si>
    <t>21.835</t>
  </si>
  <si>
    <t>13.964</t>
  </si>
  <si>
    <t>12.289</t>
  </si>
  <si>
    <t>4.14</t>
  </si>
  <si>
    <t>2021-01-26 19:29:14</t>
  </si>
  <si>
    <t>11.858</t>
  </si>
  <si>
    <t>5.58</t>
  </si>
  <si>
    <t>5.131</t>
  </si>
  <si>
    <t>19.764</t>
  </si>
  <si>
    <t>4.298</t>
  </si>
  <si>
    <t>3.569</t>
  </si>
  <si>
    <t>3.838</t>
  </si>
  <si>
    <t>JBL ακουστικά με καλώδιο απ' τα μικρά</t>
  </si>
  <si>
    <t>289.234</t>
  </si>
  <si>
    <t>5.296</t>
  </si>
  <si>
    <t>27.18</t>
  </si>
  <si>
    <t>56.771</t>
  </si>
  <si>
    <t>19.766</t>
  </si>
  <si>
    <t>23.068</t>
  </si>
  <si>
    <t>13.447</t>
  </si>
  <si>
    <t>15.473</t>
  </si>
  <si>
    <t>17.187</t>
  </si>
  <si>
    <t>9.913</t>
  </si>
  <si>
    <t>6.137</t>
  </si>
  <si>
    <t>9.676</t>
  </si>
  <si>
    <t>13.482</t>
  </si>
  <si>
    <t>11.268</t>
  </si>
  <si>
    <t>64.988</t>
  </si>
  <si>
    <t>8.444</t>
  </si>
  <si>
    <t>10.443</t>
  </si>
  <si>
    <t>8.784</t>
  </si>
  <si>
    <t>47.055</t>
  </si>
  <si>
    <t>9.489</t>
  </si>
  <si>
    <t>6.515</t>
  </si>
  <si>
    <t>10.538</t>
  </si>
  <si>
    <t>7.258</t>
  </si>
  <si>
    <t>8.204</t>
  </si>
  <si>
    <t>16.118</t>
  </si>
  <si>
    <t>52.981</t>
  </si>
  <si>
    <t>3.851</t>
  </si>
  <si>
    <t>2021-01-26 18:55:52</t>
  </si>
  <si>
    <t>11.813</t>
  </si>
  <si>
    <t>73.214</t>
  </si>
  <si>
    <t>14.278</t>
  </si>
  <si>
    <t>24.276</t>
  </si>
  <si>
    <t>14.126</t>
  </si>
  <si>
    <t>9.228</t>
  </si>
  <si>
    <t>12.511</t>
  </si>
  <si>
    <t>8.592</t>
  </si>
  <si>
    <t>20.728</t>
  </si>
  <si>
    <t>32.553</t>
  </si>
  <si>
    <t>9.325</t>
  </si>
  <si>
    <t>14.299</t>
  </si>
  <si>
    <t>14.616</t>
  </si>
  <si>
    <t>32.009</t>
  </si>
  <si>
    <t>Τηλεόραση / ραδιόφωνο,Μωρό που κλαίει / παιδιά που φωνάζουν,Φωνές υψηλής συχνότητας / κραυγές,Κουδούνισμα τηλεφώνου</t>
  </si>
  <si>
    <t>68.947</t>
  </si>
  <si>
    <t>16.04</t>
  </si>
  <si>
    <t>20.958</t>
  </si>
  <si>
    <t>7.031</t>
  </si>
  <si>
    <t>390.305</t>
  </si>
  <si>
    <t>34.162</t>
  </si>
  <si>
    <t>62.435</t>
  </si>
  <si>
    <t>122.459</t>
  </si>
  <si>
    <t>32.108</t>
  </si>
  <si>
    <t>35.406</t>
  </si>
  <si>
    <t>32.428</t>
  </si>
  <si>
    <t>65.533</t>
  </si>
  <si>
    <t>47.78</t>
  </si>
  <si>
    <t>31.503</t>
  </si>
  <si>
    <t>30.057</t>
  </si>
  <si>
    <t>26.478</t>
  </si>
  <si>
    <t>25.11</t>
  </si>
  <si>
    <t>21.399</t>
  </si>
  <si>
    <t>27.956</t>
  </si>
  <si>
    <t>29.414</t>
  </si>
  <si>
    <t>28.296</t>
  </si>
  <si>
    <t>40.387</t>
  </si>
  <si>
    <t>32.788</t>
  </si>
  <si>
    <t>26.607</t>
  </si>
  <si>
    <t>39.042</t>
  </si>
  <si>
    <t>25.871</t>
  </si>
  <si>
    <t>15.192</t>
  </si>
  <si>
    <t>20.716</t>
  </si>
  <si>
    <t>11.32</t>
  </si>
  <si>
    <t>37.745</t>
  </si>
  <si>
    <t>26.195</t>
  </si>
  <si>
    <t>45.31</t>
  </si>
  <si>
    <t>15.899</t>
  </si>
  <si>
    <t>17.039</t>
  </si>
  <si>
    <t>400.668</t>
  </si>
  <si>
    <t>2021-01-26 18:28:15</t>
  </si>
  <si>
    <t>19.616</t>
  </si>
  <si>
    <t>8.249</t>
  </si>
  <si>
    <t>7.119</t>
  </si>
  <si>
    <t>29.651</t>
  </si>
  <si>
    <t>8.701</t>
  </si>
  <si>
    <t>7.455</t>
  </si>
  <si>
    <t>13.296</t>
  </si>
  <si>
    <t>6.291</t>
  </si>
  <si>
    <t>5.542</t>
  </si>
  <si>
    <t>stendon 5mg πρωί /10 mg το Βράδυ /Depakin 500mg 1πρωι 1 βράδυ Serequel 50 mg βράδυ /brintellix 10, 5 πρωί</t>
  </si>
  <si>
    <t>240.957</t>
  </si>
  <si>
    <t>55.598</t>
  </si>
  <si>
    <t>8.589</t>
  </si>
  <si>
    <t>22.268</t>
  </si>
  <si>
    <t>Πλήθη / μεγάλες συγκεντρώσεις,Πιάτα που στοιβάζονται,Φωνές υψηλής συχνότητας / κραυγές,Μουσική,Ηλεκτρικά εργαλεία,Κουδούνισμα τηλεφώνου,Ηλεκτρική σκούπα</t>
  </si>
  <si>
    <t>27.064</t>
  </si>
  <si>
    <t xml:space="preserve">10 με 15 </t>
  </si>
  <si>
    <t>22.961</t>
  </si>
  <si>
    <t>40</t>
  </si>
  <si>
    <t>25.254</t>
  </si>
  <si>
    <t>35.16</t>
  </si>
  <si>
    <t>194.024</t>
  </si>
  <si>
    <t>23.065</t>
  </si>
  <si>
    <t>35.991</t>
  </si>
  <si>
    <t>21.353</t>
  </si>
  <si>
    <t>62.038</t>
  </si>
  <si>
    <t>63.838</t>
  </si>
  <si>
    <t>16.488</t>
  </si>
  <si>
    <t>44.267</t>
  </si>
  <si>
    <t>16.938</t>
  </si>
  <si>
    <t>52.159</t>
  </si>
  <si>
    <t>20.47</t>
  </si>
  <si>
    <t>32.776</t>
  </si>
  <si>
    <t>15.668</t>
  </si>
  <si>
    <t>23.98</t>
  </si>
  <si>
    <t>17.65</t>
  </si>
  <si>
    <t>17.506</t>
  </si>
  <si>
    <t>13.715</t>
  </si>
  <si>
    <t>30.958</t>
  </si>
  <si>
    <t>20.072</t>
  </si>
  <si>
    <t>29.381</t>
  </si>
  <si>
    <t>22.607</t>
  </si>
  <si>
    <t>27.988</t>
  </si>
  <si>
    <t>29.401</t>
  </si>
  <si>
    <t>23.61</t>
  </si>
  <si>
    <t>20.518</t>
  </si>
  <si>
    <t>18.361</t>
  </si>
  <si>
    <t>56.243</t>
  </si>
  <si>
    <t>28.73</t>
  </si>
  <si>
    <t>7.522</t>
  </si>
  <si>
    <t>11.059</t>
  </si>
  <si>
    <t>2021-01-26 17:52:24</t>
  </si>
  <si>
    <t>2.303</t>
  </si>
  <si>
    <t>3.537</t>
  </si>
  <si>
    <t>3.795</t>
  </si>
  <si>
    <t>3.584</t>
  </si>
  <si>
    <t>20.03</t>
  </si>
  <si>
    <t>3.194</t>
  </si>
  <si>
    <t>2.798</t>
  </si>
  <si>
    <t>3.105</t>
  </si>
  <si>
    <t>3.468</t>
  </si>
  <si>
    <t>4.529</t>
  </si>
  <si>
    <t>6.058</t>
  </si>
  <si>
    <t xml:space="preserve">Voltaren </t>
  </si>
  <si>
    <t>18.428</t>
  </si>
  <si>
    <t>7.518</t>
  </si>
  <si>
    <t>5.537</t>
  </si>
  <si>
    <t>4.091</t>
  </si>
  <si>
    <t>20.125</t>
  </si>
  <si>
    <t>Μωρό που κλαίει / παιδιά που φωνάζουν,Πλήθη / μεγάλες συγκεντρώσεις,Πιάτα που στοιβάζονται,Ηλεκτρικά εργαλεία,Αθλητικές εκδηλώσεις,Τηλεόραση / ραδιόφωνο,Σφυρίχτρα / κόρνα/ σειρήνα</t>
  </si>
  <si>
    <t>44.039</t>
  </si>
  <si>
    <t>13.518</t>
  </si>
  <si>
    <t>50-90</t>
  </si>
  <si>
    <t>20.873</t>
  </si>
  <si>
    <t>5.64</t>
  </si>
  <si>
    <t>2.175</t>
  </si>
  <si>
    <t>178.744</t>
  </si>
  <si>
    <t>6.475</t>
  </si>
  <si>
    <t>28.471</t>
  </si>
  <si>
    <t>22.53</t>
  </si>
  <si>
    <t>46.522</t>
  </si>
  <si>
    <t>23.596</t>
  </si>
  <si>
    <t>15.802</t>
  </si>
  <si>
    <t>19.649</t>
  </si>
  <si>
    <t>14.415</t>
  </si>
  <si>
    <t>12.426</t>
  </si>
  <si>
    <t>11.014</t>
  </si>
  <si>
    <t>14.826</t>
  </si>
  <si>
    <t>7.505</t>
  </si>
  <si>
    <t>14.386</t>
  </si>
  <si>
    <t>13.659</t>
  </si>
  <si>
    <t>7.257</t>
  </si>
  <si>
    <t>16.88</t>
  </si>
  <si>
    <t>5.943</t>
  </si>
  <si>
    <t>14.102</t>
  </si>
  <si>
    <t>8.712</t>
  </si>
  <si>
    <t>9.353</t>
  </si>
  <si>
    <t>5.185</t>
  </si>
  <si>
    <t>9.222</t>
  </si>
  <si>
    <t>12.418</t>
  </si>
  <si>
    <t>14.702</t>
  </si>
  <si>
    <t>10.002</t>
  </si>
  <si>
    <t>40.567</t>
  </si>
  <si>
    <t>9.064</t>
  </si>
  <si>
    <t>10.508</t>
  </si>
  <si>
    <t>6.658</t>
  </si>
  <si>
    <t>1.685</t>
  </si>
  <si>
    <t>2021-01-26 17:40:18</t>
  </si>
  <si>
    <t>8.119</t>
  </si>
  <si>
    <t>2021-01-26 16:50:49</t>
  </si>
  <si>
    <t>107.265</t>
  </si>
  <si>
    <t>18.598</t>
  </si>
  <si>
    <t>6.462</t>
  </si>
  <si>
    <t>8.299</t>
  </si>
  <si>
    <t>28.669</t>
  </si>
  <si>
    <t>5.504</t>
  </si>
  <si>
    <t>4.129</t>
  </si>
  <si>
    <t>3.715</t>
  </si>
  <si>
    <t>5.154</t>
  </si>
  <si>
    <t>4.928</t>
  </si>
  <si>
    <t>5.244</t>
  </si>
  <si>
    <t>46.172</t>
  </si>
  <si>
    <t>12.739</t>
  </si>
  <si>
    <t>9.859</t>
  </si>
  <si>
    <t>7.658</t>
  </si>
  <si>
    <t>5.715</t>
  </si>
  <si>
    <t>Πιάτα που στοιβάζονται,Μωρό που κλαίει / παιδιά που φωνάζουν,Φωνές υψηλής συχνότητας / κραυγές,Μουσική,Ηλεκτρικά εργαλεία,Τηλεόραση / ραδιόφωνο</t>
  </si>
  <si>
    <t>38.124</t>
  </si>
  <si>
    <t>6 ΚΡΙΣΕΙΣ Μ.Ο. ΑΝΑ ΜΗΝΑ</t>
  </si>
  <si>
    <t>40.058</t>
  </si>
  <si>
    <t>ΕΞΑΡΤΑΤΑΙ ΤΗΝ ΚΡΙΣΗ. ΔΕΝ ΕΙΝΑΙ ΟΛΕΣ ΙΔΙΑΣ ΕΝΤΑΣΗΣ. ΤΟΥΣ ΤΕΛΕΥΤΑΙΟΥΣ ΜΗΝΕΣ ΕΙΝΑΙ ΣΤΟ 60</t>
  </si>
  <si>
    <t>110.619</t>
  </si>
  <si>
    <t>18.807</t>
  </si>
  <si>
    <t>SAMSUNG (ΨΕΙΡΕΣ ΚΙΝΗΤΟΥ ΤΗΛΕΦΩΝΟΥ)</t>
  </si>
  <si>
    <t>193.848</t>
  </si>
  <si>
    <t>27.001</t>
  </si>
  <si>
    <t>43.006</t>
  </si>
  <si>
    <t>48.777</t>
  </si>
  <si>
    <t>72.581</t>
  </si>
  <si>
    <t>38.281</t>
  </si>
  <si>
    <t>27.349</t>
  </si>
  <si>
    <t>21.31</t>
  </si>
  <si>
    <t>19.525</t>
  </si>
  <si>
    <t>18.836</t>
  </si>
  <si>
    <t>13.6</t>
  </si>
  <si>
    <t>14.381</t>
  </si>
  <si>
    <t>15.801</t>
  </si>
  <si>
    <t>11.088</t>
  </si>
  <si>
    <t>13.015</t>
  </si>
  <si>
    <t>12.967</t>
  </si>
  <si>
    <t>12.437</t>
  </si>
  <si>
    <t>21.506</t>
  </si>
  <si>
    <t>10.618</t>
  </si>
  <si>
    <t>18.987</t>
  </si>
  <si>
    <t>8.684</t>
  </si>
  <si>
    <t>16.408</t>
  </si>
  <si>
    <t>13.068</t>
  </si>
  <si>
    <t>8.394</t>
  </si>
  <si>
    <t>10.772</t>
  </si>
  <si>
    <t>11.035</t>
  </si>
  <si>
    <t>12.006</t>
  </si>
  <si>
    <t>8.914</t>
  </si>
  <si>
    <t>28.327</t>
  </si>
  <si>
    <t>2.481</t>
  </si>
  <si>
    <t>2021-01-26 16:07:01</t>
  </si>
  <si>
    <t>20.991</t>
  </si>
  <si>
    <t>6.809</t>
  </si>
  <si>
    <t>6.683</t>
  </si>
  <si>
    <t>11.511</t>
  </si>
  <si>
    <t>5.264</t>
  </si>
  <si>
    <t>10.997</t>
  </si>
  <si>
    <t>14.229</t>
  </si>
  <si>
    <t>17.153</t>
  </si>
  <si>
    <t>29.848</t>
  </si>
  <si>
    <t>54.725</t>
  </si>
  <si>
    <t>22.955</t>
  </si>
  <si>
    <t>28.532</t>
  </si>
  <si>
    <t>55.793</t>
  </si>
  <si>
    <t>13.137</t>
  </si>
  <si>
    <t>Σκυλί που γαβγίζει,Ηλεκτρικά εργαλεία,Εστιατόρια,Φωνές υψηλής συχνότητας / κραυγές</t>
  </si>
  <si>
    <t>41.337</t>
  </si>
  <si>
    <t>18.873</t>
  </si>
  <si>
    <t>75</t>
  </si>
  <si>
    <t>20.281</t>
  </si>
  <si>
    <t>19.729</t>
  </si>
  <si>
    <t>301.942</t>
  </si>
  <si>
    <t>14.914</t>
  </si>
  <si>
    <t>29.887</t>
  </si>
  <si>
    <t>29.603</t>
  </si>
  <si>
    <t>97.729</t>
  </si>
  <si>
    <t>50.222</t>
  </si>
  <si>
    <t>24.977</t>
  </si>
  <si>
    <t>37.764</t>
  </si>
  <si>
    <t>28.509</t>
  </si>
  <si>
    <t>13.272</t>
  </si>
  <si>
    <t>11.09</t>
  </si>
  <si>
    <t>17.399</t>
  </si>
  <si>
    <t>16.213</t>
  </si>
  <si>
    <t>11.225</t>
  </si>
  <si>
    <t>13.561</t>
  </si>
  <si>
    <t>13.794</t>
  </si>
  <si>
    <t>10.311</t>
  </si>
  <si>
    <t>11.426</t>
  </si>
  <si>
    <t>6.95</t>
  </si>
  <si>
    <t>11.984</t>
  </si>
  <si>
    <t>12.971</t>
  </si>
  <si>
    <t>10.164</t>
  </si>
  <si>
    <t>9.645</t>
  </si>
  <si>
    <t>9.526</t>
  </si>
  <si>
    <t>8.228</t>
  </si>
  <si>
    <t>16.217</t>
  </si>
  <si>
    <t>13.234</t>
  </si>
  <si>
    <t>10.363</t>
  </si>
  <si>
    <t>8.742</t>
  </si>
  <si>
    <t>4.9</t>
  </si>
  <si>
    <t>2021-01-26 16:06:12</t>
  </si>
  <si>
    <t>32.848</t>
  </si>
  <si>
    <t>18.171</t>
  </si>
  <si>
    <t>10.951</t>
  </si>
  <si>
    <t>6.023</t>
  </si>
  <si>
    <t>46.721</t>
  </si>
  <si>
    <t>5.541</t>
  </si>
  <si>
    <t>3.592</t>
  </si>
  <si>
    <t>5.159</t>
  </si>
  <si>
    <t>5.471</t>
  </si>
  <si>
    <t>4.841</t>
  </si>
  <si>
    <t xml:space="preserve">landoz minitran </t>
  </si>
  <si>
    <t>36.764</t>
  </si>
  <si>
    <t>17.455</t>
  </si>
  <si>
    <t>8.765</t>
  </si>
  <si>
    <t>6.949</t>
  </si>
  <si>
    <t>12.948</t>
  </si>
  <si>
    <t>Κατά τη διάρκεια της ημικρανίας,Πριν από μια ημικρανία,Μετά από ημικρανία</t>
  </si>
  <si>
    <t>24.347</t>
  </si>
  <si>
    <t>Μουσική,Εστιατόρια,Ηλεκτρικά εργαλεία</t>
  </si>
  <si>
    <t>40.219</t>
  </si>
  <si>
    <t>9.433</t>
  </si>
  <si>
    <t>14.881</t>
  </si>
  <si>
    <t>11.156</t>
  </si>
  <si>
    <t>2.255</t>
  </si>
  <si>
    <t>δεν ειναι διαθεσιμο</t>
  </si>
  <si>
    <t>196.804</t>
  </si>
  <si>
    <t>30.746</t>
  </si>
  <si>
    <t>37.904</t>
  </si>
  <si>
    <t>55.964</t>
  </si>
  <si>
    <t>37.838</t>
  </si>
  <si>
    <t>34.682</t>
  </si>
  <si>
    <t>30.352</t>
  </si>
  <si>
    <t>28.653</t>
  </si>
  <si>
    <t>43.984</t>
  </si>
  <si>
    <t>45.568</t>
  </si>
  <si>
    <t>30.729</t>
  </si>
  <si>
    <t>20.393</t>
  </si>
  <si>
    <t>17.998</t>
  </si>
  <si>
    <t>48.597</t>
  </si>
  <si>
    <t>19.784</t>
  </si>
  <si>
    <t>22.719</t>
  </si>
  <si>
    <t>17.495</t>
  </si>
  <si>
    <t>14.157</t>
  </si>
  <si>
    <t>18.485</t>
  </si>
  <si>
    <t>15.677</t>
  </si>
  <si>
    <t>23.348</t>
  </si>
  <si>
    <t>19.376</t>
  </si>
  <si>
    <t>20.848</t>
  </si>
  <si>
    <t>24.267</t>
  </si>
  <si>
    <t>35.882</t>
  </si>
  <si>
    <t>17.659</t>
  </si>
  <si>
    <t>29.313</t>
  </si>
  <si>
    <t>8.594</t>
  </si>
  <si>
    <t>33.086</t>
  </si>
  <si>
    <t>14.098</t>
  </si>
  <si>
    <t>2.238</t>
  </si>
  <si>
    <t>94.941</t>
  </si>
  <si>
    <t>3.875</t>
  </si>
  <si>
    <t>2021-01-26 15:48:29</t>
  </si>
  <si>
    <t>5.67</t>
  </si>
  <si>
    <t>14.281</t>
  </si>
  <si>
    <t>9.144</t>
  </si>
  <si>
    <t>11.273</t>
  </si>
  <si>
    <t>27.291</t>
  </si>
  <si>
    <t>5.639</t>
  </si>
  <si>
    <t>3.975</t>
  </si>
  <si>
    <t>6.096</t>
  </si>
  <si>
    <t>13.328</t>
  </si>
  <si>
    <t>7.024</t>
  </si>
  <si>
    <t>7.104</t>
  </si>
  <si>
    <t>6.312</t>
  </si>
  <si>
    <t>21.361</t>
  </si>
  <si>
    <t>Σκυλί που γαβγίζει,Φωνές υψηλής συχνότητας / κραυγές,Μουσική,Κουδούνισμα τηλεφώνου,Σφυρίχτρα / κόρνα/ σειρήνα,Μωρό που κλαίει / παιδιά που φωνάζουν</t>
  </si>
  <si>
    <t>25.169</t>
  </si>
  <si>
    <t>1-2</t>
  </si>
  <si>
    <t>20.225</t>
  </si>
  <si>
    <t>60-70</t>
  </si>
  <si>
    <t>9.136</t>
  </si>
  <si>
    <t>8.881</t>
  </si>
  <si>
    <t>5.408</t>
  </si>
  <si>
    <t>ξυσιμο</t>
  </si>
  <si>
    <t>363.823</t>
  </si>
  <si>
    <t>7.925</t>
  </si>
  <si>
    <t>24.473</t>
  </si>
  <si>
    <t>8.472</t>
  </si>
  <si>
    <t>18.284</t>
  </si>
  <si>
    <t>21.896</t>
  </si>
  <si>
    <t>10.655</t>
  </si>
  <si>
    <t>9.958</t>
  </si>
  <si>
    <t>6.739</t>
  </si>
  <si>
    <t>12.656</t>
  </si>
  <si>
    <t>7.04</t>
  </si>
  <si>
    <t>14.371</t>
  </si>
  <si>
    <t>9.736</t>
  </si>
  <si>
    <t>8.246</t>
  </si>
  <si>
    <t>5.165</t>
  </si>
  <si>
    <t>6.76</t>
  </si>
  <si>
    <t>5.32</t>
  </si>
  <si>
    <t>7.624</t>
  </si>
  <si>
    <t>6.6</t>
  </si>
  <si>
    <t>10.392</t>
  </si>
  <si>
    <t>8.313</t>
  </si>
  <si>
    <t>5.808</t>
  </si>
  <si>
    <t>4.888</t>
  </si>
  <si>
    <t>29.569</t>
  </si>
  <si>
    <t>4.805</t>
  </si>
  <si>
    <t>2021-01-26 15:47:25</t>
  </si>
  <si>
    <t>3.199</t>
  </si>
  <si>
    <t>6.447</t>
  </si>
  <si>
    <t>4.445</t>
  </si>
  <si>
    <t>6.051</t>
  </si>
  <si>
    <t>6.561</t>
  </si>
  <si>
    <t>8.382</t>
  </si>
  <si>
    <t>3.033</t>
  </si>
  <si>
    <t>3.825</t>
  </si>
  <si>
    <t>3.602</t>
  </si>
  <si>
    <t>Μέρες</t>
  </si>
  <si>
    <t>5.874</t>
  </si>
  <si>
    <t>3.41</t>
  </si>
  <si>
    <t>Πιάτα που στοιβάζονται,Ηλεκτρικά εργαλεία,Κουδούνισμα τηλεφώνου,Σφυρίχτρα / κόρνα/ σειρήνα</t>
  </si>
  <si>
    <t>12.347</t>
  </si>
  <si>
    <t>7.947</t>
  </si>
  <si>
    <t>10.897</t>
  </si>
  <si>
    <t>5.495</t>
  </si>
  <si>
    <t>2.745</t>
  </si>
  <si>
    <t>67.734</t>
  </si>
  <si>
    <t>3.202</t>
  </si>
  <si>
    <t>17.814</t>
  </si>
  <si>
    <t>7.489</t>
  </si>
  <si>
    <t>17.955</t>
  </si>
  <si>
    <t>10.194</t>
  </si>
  <si>
    <t>15.297</t>
  </si>
  <si>
    <t>16.526</t>
  </si>
  <si>
    <t>12.367</t>
  </si>
  <si>
    <t>12.949</t>
  </si>
  <si>
    <t>11.064</t>
  </si>
  <si>
    <t>11.524</t>
  </si>
  <si>
    <t>8.869</t>
  </si>
  <si>
    <t>8.757</t>
  </si>
  <si>
    <t>7.302</t>
  </si>
  <si>
    <t>6.788</t>
  </si>
  <si>
    <t>7.407</t>
  </si>
  <si>
    <t>6.193</t>
  </si>
  <si>
    <t>7.255</t>
  </si>
  <si>
    <t>5.791</t>
  </si>
  <si>
    <t>6.416</t>
  </si>
  <si>
    <t>6.233</t>
  </si>
  <si>
    <t>7.751</t>
  </si>
  <si>
    <t>6.318</t>
  </si>
  <si>
    <t>9.685</t>
  </si>
  <si>
    <t>2.416</t>
  </si>
  <si>
    <t>3.77</t>
  </si>
  <si>
    <t>2.306</t>
  </si>
  <si>
    <t>2021-01-26 15:22:07</t>
  </si>
  <si>
    <t>10.03</t>
  </si>
  <si>
    <t>64.812</t>
  </si>
  <si>
    <t>14.198</t>
  </si>
  <si>
    <t>5.006</t>
  </si>
  <si>
    <t>9.032</t>
  </si>
  <si>
    <t>3.44</t>
  </si>
  <si>
    <t>6.643</t>
  </si>
  <si>
    <t>5.63</t>
  </si>
  <si>
    <t>Naramig</t>
  </si>
  <si>
    <t>23.736</t>
  </si>
  <si>
    <t>13.822</t>
  </si>
  <si>
    <t>8.09</t>
  </si>
  <si>
    <t>5.741</t>
  </si>
  <si>
    <t>4.86</t>
  </si>
  <si>
    <t>5.755</t>
  </si>
  <si>
    <t>Μωρό που κλαίει / παιδιά που φωνάζουν,Πλήθη / μεγάλες συγκεντρώσεις,Πιάτα που στοιβάζονται</t>
  </si>
  <si>
    <t>20.638</t>
  </si>
  <si>
    <t>11.927</t>
  </si>
  <si>
    <t>12.472</t>
  </si>
  <si>
    <t>4.951</t>
  </si>
  <si>
    <t>I phone</t>
  </si>
  <si>
    <t>117.5</t>
  </si>
  <si>
    <t>13.11</t>
  </si>
  <si>
    <t>33.603</t>
  </si>
  <si>
    <t>33.289</t>
  </si>
  <si>
    <t>53.654</t>
  </si>
  <si>
    <t>23.478</t>
  </si>
  <si>
    <t>16.03</t>
  </si>
  <si>
    <t>23.45</t>
  </si>
  <si>
    <t>18.207</t>
  </si>
  <si>
    <t>24.196</t>
  </si>
  <si>
    <t>15.996</t>
  </si>
  <si>
    <t>12.941</t>
  </si>
  <si>
    <t>11.67</t>
  </si>
  <si>
    <t>9.424</t>
  </si>
  <si>
    <t>8.785</t>
  </si>
  <si>
    <t>13.381</t>
  </si>
  <si>
    <t>9.846</t>
  </si>
  <si>
    <t>8.504</t>
  </si>
  <si>
    <t>19.958</t>
  </si>
  <si>
    <t>6.794</t>
  </si>
  <si>
    <t>12.24</t>
  </si>
  <si>
    <t>11.477</t>
  </si>
  <si>
    <t>6.571</t>
  </si>
  <si>
    <t>5.623</t>
  </si>
  <si>
    <t>10.539</t>
  </si>
  <si>
    <t>13.768</t>
  </si>
  <si>
    <t>10.826</t>
  </si>
  <si>
    <t>8.236</t>
  </si>
  <si>
    <t>5.266</t>
  </si>
  <si>
    <t>2021-01-26 14:58:17</t>
  </si>
  <si>
    <t>5.271</t>
  </si>
  <si>
    <t>70.583</t>
  </si>
  <si>
    <t>13.77</t>
  </si>
  <si>
    <t>15.436</t>
  </si>
  <si>
    <t>89.633</t>
  </si>
  <si>
    <t>8.175</t>
  </si>
  <si>
    <t>13.044</t>
  </si>
  <si>
    <t>17.104</t>
  </si>
  <si>
    <t>19.286</t>
  </si>
  <si>
    <t>8.036</t>
  </si>
  <si>
    <t>Relax and Topamac</t>
  </si>
  <si>
    <t>39.009</t>
  </si>
  <si>
    <t>40.585</t>
  </si>
  <si>
    <t>44.637</t>
  </si>
  <si>
    <t>18.878</t>
  </si>
  <si>
    <t>11.752</t>
  </si>
  <si>
    <t>39.046</t>
  </si>
  <si>
    <t>Ηλεκτρικά εργαλεία,Τηλεόραση / ραδιόφωνο,Ηλεκτρική σκούπα,Σφυρίχτρα / κόρνα/ σειρήνα,Μουσική,Φωνές υψηλής συχνότητας / κραυγές,Πλήθη / μεγάλες συγκεντρώσεις,Μωρό που κλαίει / παιδιά που φωνάζουν,Εστιατόρια,Σκυλί που γαβγίζει</t>
  </si>
  <si>
    <t>101.405</t>
  </si>
  <si>
    <t>6-10</t>
  </si>
  <si>
    <t>41.21</t>
  </si>
  <si>
    <t>30</t>
  </si>
  <si>
    <t>33.895</t>
  </si>
  <si>
    <t>42.418</t>
  </si>
  <si>
    <t>7.906</t>
  </si>
  <si>
    <t>201.716</t>
  </si>
  <si>
    <t>8.906</t>
  </si>
  <si>
    <t>69.692</t>
  </si>
  <si>
    <t>95.617</t>
  </si>
  <si>
    <t>105.482</t>
  </si>
  <si>
    <t>66.103</t>
  </si>
  <si>
    <t>26.683</t>
  </si>
  <si>
    <t>22.169</t>
  </si>
  <si>
    <t>24.019</t>
  </si>
  <si>
    <t>24.257</t>
  </si>
  <si>
    <t>20.033</t>
  </si>
  <si>
    <t>11.326</t>
  </si>
  <si>
    <t>18.521</t>
  </si>
  <si>
    <t>18.072</t>
  </si>
  <si>
    <t>13.025</t>
  </si>
  <si>
    <t>28.277</t>
  </si>
  <si>
    <t>14.678</t>
  </si>
  <si>
    <t>10.079</t>
  </si>
  <si>
    <t>7.626</t>
  </si>
  <si>
    <t>10.071</t>
  </si>
  <si>
    <t>10.568</t>
  </si>
  <si>
    <t>14.618</t>
  </si>
  <si>
    <t>13.005</t>
  </si>
  <si>
    <t>9.66</t>
  </si>
  <si>
    <t>15.96</t>
  </si>
  <si>
    <t>28.979</t>
  </si>
  <si>
    <t>13.212</t>
  </si>
  <si>
    <t>12.569</t>
  </si>
  <si>
    <t>16.295</t>
  </si>
  <si>
    <t>14.835</t>
  </si>
  <si>
    <t>6.48</t>
  </si>
  <si>
    <t>2021-01-26 14:54:02</t>
  </si>
  <si>
    <t>3.259</t>
  </si>
  <si>
    <t>7.153</t>
  </si>
  <si>
    <t>9.099</t>
  </si>
  <si>
    <t>6.164</t>
  </si>
  <si>
    <t>26.492</t>
  </si>
  <si>
    <t>4.58</t>
  </si>
  <si>
    <t>5.133</t>
  </si>
  <si>
    <t>5.353</t>
  </si>
  <si>
    <t>5.222</t>
  </si>
  <si>
    <t>13.693</t>
  </si>
  <si>
    <t>Imigran maxalt</t>
  </si>
  <si>
    <t>224.507</t>
  </si>
  <si>
    <t>13.524</t>
  </si>
  <si>
    <t>5.258</t>
  </si>
  <si>
    <t>16.245</t>
  </si>
  <si>
    <t>Πλήθη / μεγάλες συγκεντρώσεις,Μουσική,Ηλεκτρικά εργαλεία,Τηλεόραση / ραδιόφωνο</t>
  </si>
  <si>
    <t>35.281</t>
  </si>
  <si>
    <t>10.849</t>
  </si>
  <si>
    <t>11.314</t>
  </si>
  <si>
    <t>12.302</t>
  </si>
  <si>
    <t>139.557</t>
  </si>
  <si>
    <t>28.022</t>
  </si>
  <si>
    <t>41.845</t>
  </si>
  <si>
    <t>68.822</t>
  </si>
  <si>
    <t>39.168</t>
  </si>
  <si>
    <t>30.985</t>
  </si>
  <si>
    <t>33.278</t>
  </si>
  <si>
    <t>16.233</t>
  </si>
  <si>
    <t>16.524</t>
  </si>
  <si>
    <t>22.92</t>
  </si>
  <si>
    <t>10.215</t>
  </si>
  <si>
    <t>44.73</t>
  </si>
  <si>
    <t>9.964</t>
  </si>
  <si>
    <t>24.063</t>
  </si>
  <si>
    <t>8.343</t>
  </si>
  <si>
    <t>23.291</t>
  </si>
  <si>
    <t>6.82</t>
  </si>
  <si>
    <t>7.149</t>
  </si>
  <si>
    <t>6.397</t>
  </si>
  <si>
    <t>14.154</t>
  </si>
  <si>
    <t>1.943</t>
  </si>
  <si>
    <t>7.117</t>
  </si>
  <si>
    <t>9.023</t>
  </si>
  <si>
    <t>5.452</t>
  </si>
  <si>
    <t>2.811</t>
  </si>
  <si>
    <t>13.534</t>
  </si>
  <si>
    <t>6.259</t>
  </si>
  <si>
    <t>7.994</t>
  </si>
  <si>
    <t>2.611</t>
  </si>
  <si>
    <t>7.687</t>
  </si>
  <si>
    <t>2.493</t>
  </si>
  <si>
    <t>2021-01-26 14:37:27</t>
  </si>
  <si>
    <t>10.276</t>
  </si>
  <si>
    <t>14.692</t>
  </si>
  <si>
    <t>12.403</t>
  </si>
  <si>
    <t>8.854</t>
  </si>
  <si>
    <t>16.633</t>
  </si>
  <si>
    <t>7.106</t>
  </si>
  <si>
    <t>11.406</t>
  </si>
  <si>
    <t>6.627</t>
  </si>
  <si>
    <t>5.489</t>
  </si>
  <si>
    <t>Sybalta</t>
  </si>
  <si>
    <t>254.459</t>
  </si>
  <si>
    <t>24.01</t>
  </si>
  <si>
    <t>10 εως15</t>
  </si>
  <si>
    <t>8.984</t>
  </si>
  <si>
    <t>17.986</t>
  </si>
  <si>
    <t>6.662</t>
  </si>
  <si>
    <t>39.194</t>
  </si>
  <si>
    <t>11.722</t>
  </si>
  <si>
    <t>27.412</t>
  </si>
  <si>
    <t>9.468</t>
  </si>
  <si>
    <t>26.207</t>
  </si>
  <si>
    <t>12.459</t>
  </si>
  <si>
    <t>8.561</t>
  </si>
  <si>
    <t>7.488</t>
  </si>
  <si>
    <t>8.608</t>
  </si>
  <si>
    <t>10.402</t>
  </si>
  <si>
    <t>8.685</t>
  </si>
  <si>
    <t>5.952</t>
  </si>
  <si>
    <t>5.148</t>
  </si>
  <si>
    <t>10.565</t>
  </si>
  <si>
    <t>7.504</t>
  </si>
  <si>
    <t>6.751</t>
  </si>
  <si>
    <t>4.992</t>
  </si>
  <si>
    <t>9.037</t>
  </si>
  <si>
    <t>7.337</t>
  </si>
  <si>
    <t>5.854</t>
  </si>
  <si>
    <t>9.927</t>
  </si>
  <si>
    <t>7.438</t>
  </si>
  <si>
    <t>2.735</t>
  </si>
  <si>
    <t>4.102</t>
  </si>
  <si>
    <t>2021-01-26 14:35:44</t>
  </si>
  <si>
    <t>7.13</t>
  </si>
  <si>
    <t>55.872</t>
  </si>
  <si>
    <t>9.765</t>
  </si>
  <si>
    <t>20.46</t>
  </si>
  <si>
    <t>20.65</t>
  </si>
  <si>
    <t>9.541</t>
  </si>
  <si>
    <t>4.758</t>
  </si>
  <si>
    <t>5.214</t>
  </si>
  <si>
    <t>8.209</t>
  </si>
  <si>
    <t>5.834</t>
  </si>
  <si>
    <t>7.114</t>
  </si>
  <si>
    <t>19.119</t>
  </si>
  <si>
    <t>34.359</t>
  </si>
  <si>
    <t>17.284</t>
  </si>
  <si>
    <t>21.579</t>
  </si>
  <si>
    <t>25.406</t>
  </si>
  <si>
    <t>19.657</t>
  </si>
  <si>
    <t>Μωρό που κλαίει / παιδιά που φωνάζουν,Πιάτα που στοιβάζονται,Σκυλί που γαβγίζει,Ηλεκτρικά εργαλεία,Τηλεόραση / ραδιόφωνο,Ηλεκτρική σκούπα,Σφυρίχτρα / κόρνα/ σειρήνα</t>
  </si>
  <si>
    <t>56.306</t>
  </si>
  <si>
    <t>30.089</t>
  </si>
  <si>
    <t>40.261</t>
  </si>
  <si>
    <t>20.902</t>
  </si>
  <si>
    <t>7.32</t>
  </si>
  <si>
    <t>198.384</t>
  </si>
  <si>
    <t>22.227</t>
  </si>
  <si>
    <t>36.243</t>
  </si>
  <si>
    <t>52.167</t>
  </si>
  <si>
    <t>45.995</t>
  </si>
  <si>
    <t>22.916</t>
  </si>
  <si>
    <t>17.445</t>
  </si>
  <si>
    <t>19.058</t>
  </si>
  <si>
    <t>12.842</t>
  </si>
  <si>
    <t>20.494</t>
  </si>
  <si>
    <t>10.66</t>
  </si>
  <si>
    <t>10.625</t>
  </si>
  <si>
    <t>8.855</t>
  </si>
  <si>
    <t>15.888</t>
  </si>
  <si>
    <t>10.43</t>
  </si>
  <si>
    <t>9.427</t>
  </si>
  <si>
    <t>17.106</t>
  </si>
  <si>
    <t>16.258</t>
  </si>
  <si>
    <t>11.827</t>
  </si>
  <si>
    <t>13.46</t>
  </si>
  <si>
    <t>13.515</t>
  </si>
  <si>
    <t>13.985</t>
  </si>
  <si>
    <t>8.078</t>
  </si>
  <si>
    <t>8.501</t>
  </si>
  <si>
    <t>6.228</t>
  </si>
  <si>
    <t>14.694</t>
  </si>
  <si>
    <t>9.711</t>
  </si>
  <si>
    <t>8.221</t>
  </si>
  <si>
    <t>19.282</t>
  </si>
  <si>
    <t>12.848</t>
  </si>
  <si>
    <t>6.162</t>
  </si>
  <si>
    <t>2021-01-26 14:32:06</t>
  </si>
  <si>
    <t>4.503</t>
  </si>
  <si>
    <t>17.298</t>
  </si>
  <si>
    <t>3.719</t>
  </si>
  <si>
    <t>4.122</t>
  </si>
  <si>
    <t>19.807</t>
  </si>
  <si>
    <t>3.727</t>
  </si>
  <si>
    <t>7.292</t>
  </si>
  <si>
    <t>5.404</t>
  </si>
  <si>
    <t>3.925</t>
  </si>
  <si>
    <t>8.726</t>
  </si>
  <si>
    <t>4.443</t>
  </si>
  <si>
    <t>16.716</t>
  </si>
  <si>
    <t>8.397</t>
  </si>
  <si>
    <t>5.269</t>
  </si>
  <si>
    <t>5.621</t>
  </si>
  <si>
    <t>4.925</t>
  </si>
  <si>
    <t>Σφυρίχτρα / κόρνα/ σειρήνα,Ηλεκτρική σκούπα,Σκυλί που γαβγίζει,Μωρό που κλαίει / παιδιά που φωνάζουν,Ηλεκτρικά εργαλεία</t>
  </si>
  <si>
    <t>29.159</t>
  </si>
  <si>
    <t>5-6</t>
  </si>
  <si>
    <t>7.595</t>
  </si>
  <si>
    <t>10.422</t>
  </si>
  <si>
    <t>7.072</t>
  </si>
  <si>
    <t>3.134</t>
  </si>
  <si>
    <t>42.755</t>
  </si>
  <si>
    <t>10.245</t>
  </si>
  <si>
    <t>6.412</t>
  </si>
  <si>
    <t>4.99</t>
  </si>
  <si>
    <t>62.205</t>
  </si>
  <si>
    <t>11.791</t>
  </si>
  <si>
    <t>14.125</t>
  </si>
  <si>
    <t>7.712</t>
  </si>
  <si>
    <t>9.983</t>
  </si>
  <si>
    <t>6.722</t>
  </si>
  <si>
    <t>7.309</t>
  </si>
  <si>
    <t>5.698</t>
  </si>
  <si>
    <t>5.53</t>
  </si>
  <si>
    <t>5.091</t>
  </si>
  <si>
    <t>4.911</t>
  </si>
  <si>
    <t>6.714</t>
  </si>
  <si>
    <t>6.356</t>
  </si>
  <si>
    <t>4.578</t>
  </si>
  <si>
    <t>4.996</t>
  </si>
  <si>
    <t>6.465</t>
  </si>
  <si>
    <t>11.596</t>
  </si>
  <si>
    <t>4.069</t>
  </si>
  <si>
    <t>5.866</t>
  </si>
  <si>
    <t>6.204</t>
  </si>
  <si>
    <t>3.253</t>
  </si>
  <si>
    <t>2.568</t>
  </si>
  <si>
    <t>2021-01-26 14:29:09</t>
  </si>
  <si>
    <t>5.518</t>
  </si>
  <si>
    <t>9.789</t>
  </si>
  <si>
    <t>5.803</t>
  </si>
  <si>
    <t>14.1</t>
  </si>
  <si>
    <t>11.203</t>
  </si>
  <si>
    <t>7.16</t>
  </si>
  <si>
    <t>3.55</t>
  </si>
  <si>
    <t>5.259</t>
  </si>
  <si>
    <t>6.854</t>
  </si>
  <si>
    <t>4.736</t>
  </si>
  <si>
    <t>7.103</t>
  </si>
  <si>
    <t>72.578</t>
  </si>
  <si>
    <t>20.089</t>
  </si>
  <si>
    <t>8.432</t>
  </si>
  <si>
    <t>8.038</t>
  </si>
  <si>
    <t>5.423</t>
  </si>
  <si>
    <t>Πιάτα που στοιβάζονται,Πλήθη / μεγάλες συγκεντρώσεις,Τηλεόραση / ραδιόφωνο</t>
  </si>
  <si>
    <t>33.039</t>
  </si>
  <si>
    <t>20.378</t>
  </si>
  <si>
    <t>11.519</t>
  </si>
  <si>
    <t>13.362</t>
  </si>
  <si>
    <t>7.703</t>
  </si>
  <si>
    <t>148.795</t>
  </si>
  <si>
    <t>12.015</t>
  </si>
  <si>
    <t>30.994</t>
  </si>
  <si>
    <t>17.808</t>
  </si>
  <si>
    <t>18.91</t>
  </si>
  <si>
    <t>13.739</t>
  </si>
  <si>
    <t>10.987</t>
  </si>
  <si>
    <t>14.046</t>
  </si>
  <si>
    <t>8.474</t>
  </si>
  <si>
    <t>12.629</t>
  </si>
  <si>
    <t>14.362</t>
  </si>
  <si>
    <t>10.844</t>
  </si>
  <si>
    <t>8.967</t>
  </si>
  <si>
    <t>10.562</t>
  </si>
  <si>
    <t>6.532</t>
  </si>
  <si>
    <t>9.621</t>
  </si>
  <si>
    <t>10.109</t>
  </si>
  <si>
    <t>6.876</t>
  </si>
  <si>
    <t>8.412</t>
  </si>
  <si>
    <t>7.555</t>
  </si>
  <si>
    <t>8.997</t>
  </si>
  <si>
    <t>6.834</t>
  </si>
  <si>
    <t>8.395</t>
  </si>
  <si>
    <t>6.785</t>
  </si>
  <si>
    <t>9.948</t>
  </si>
  <si>
    <t>11.416</t>
  </si>
  <si>
    <t>12.38</t>
  </si>
  <si>
    <t>4.244</t>
  </si>
  <si>
    <t>9.432</t>
  </si>
  <si>
    <t>2021-01-26 14:28:58</t>
  </si>
  <si>
    <t>5.325</t>
  </si>
  <si>
    <t>37.034</t>
  </si>
  <si>
    <t>4.639</t>
  </si>
  <si>
    <t>4.027</t>
  </si>
  <si>
    <t>16.192</t>
  </si>
  <si>
    <t>6.575</t>
  </si>
  <si>
    <t>4.084</t>
  </si>
  <si>
    <t>4.51</t>
  </si>
  <si>
    <t>4.375</t>
  </si>
  <si>
    <t>3.325</t>
  </si>
  <si>
    <t>5.226</t>
  </si>
  <si>
    <t>5.351</t>
  </si>
  <si>
    <t>3.706</t>
  </si>
  <si>
    <t>Φωνές υψηλής συχνότητας / κραυγές,Ηλεκτρικά εργαλεία,Τηλεόραση / ραδιόφωνο</t>
  </si>
  <si>
    <t>12.648</t>
  </si>
  <si>
    <t>1-2 φορες</t>
  </si>
  <si>
    <t>9.286</t>
  </si>
  <si>
    <t>10.15</t>
  </si>
  <si>
    <t>5.388</t>
  </si>
  <si>
    <t>5.125</t>
  </si>
  <si>
    <t>Xiaomi mi</t>
  </si>
  <si>
    <t>60.069</t>
  </si>
  <si>
    <t>7.461</t>
  </si>
  <si>
    <t>21.325</t>
  </si>
  <si>
    <t>8.98</t>
  </si>
  <si>
    <t>22.231</t>
  </si>
  <si>
    <t>20.767</t>
  </si>
  <si>
    <t>6.496</t>
  </si>
  <si>
    <t>9.339</t>
  </si>
  <si>
    <t>7.353</t>
  </si>
  <si>
    <t>11.704</t>
  </si>
  <si>
    <t>8.518</t>
  </si>
  <si>
    <t>8.387</t>
  </si>
  <si>
    <t>7.074</t>
  </si>
  <si>
    <t>10.122</t>
  </si>
  <si>
    <t>6.987</t>
  </si>
  <si>
    <t>8.283</t>
  </si>
  <si>
    <t>6.15</t>
  </si>
  <si>
    <t>5.232</t>
  </si>
  <si>
    <t>4.823</t>
  </si>
  <si>
    <t>5.995</t>
  </si>
  <si>
    <t>8.328</t>
  </si>
  <si>
    <t>6.036</t>
  </si>
  <si>
    <t>5.945</t>
  </si>
  <si>
    <t>7.558</t>
  </si>
  <si>
    <t>2021-01-26 14:26:28</t>
  </si>
  <si>
    <t>2.401</t>
  </si>
  <si>
    <t>8.02</t>
  </si>
  <si>
    <t>8.811</t>
  </si>
  <si>
    <t>3.483</t>
  </si>
  <si>
    <t>12.178</t>
  </si>
  <si>
    <t>3.274</t>
  </si>
  <si>
    <t>2.355</t>
  </si>
  <si>
    <t>3.604</t>
  </si>
  <si>
    <t>2.894</t>
  </si>
  <si>
    <t>2.095</t>
  </si>
  <si>
    <t>8.904</t>
  </si>
  <si>
    <t>7.45</t>
  </si>
  <si>
    <t>2.658</t>
  </si>
  <si>
    <t>2.036</t>
  </si>
  <si>
    <t>Μωρό που κλαίει / παιδιά που φωνάζουν,Πλήθη / μεγάλες συγκεντρώσεις,Πιάτα που στοιβάζονται,Μουσική,Ηλεκτρικά εργαλεία,Τηλεόραση / ραδιόφωνο,Ηλεκτρική σκούπα,Σφυρίχτρα / κόρνα/ σειρήνα</t>
  </si>
  <si>
    <t>13.809</t>
  </si>
  <si>
    <t>7.23</t>
  </si>
  <si>
    <t>9.191</t>
  </si>
  <si>
    <t>4.416</t>
  </si>
  <si>
    <t>1.665</t>
  </si>
  <si>
    <t>45.252</t>
  </si>
  <si>
    <t>4.246</t>
  </si>
  <si>
    <t>18.166</t>
  </si>
  <si>
    <t>74.636</t>
  </si>
  <si>
    <t>33.904</t>
  </si>
  <si>
    <t>38.648</t>
  </si>
  <si>
    <t>22.11</t>
  </si>
  <si>
    <t>10.807</t>
  </si>
  <si>
    <t>26.951</t>
  </si>
  <si>
    <t>45.753</t>
  </si>
  <si>
    <t>32.744</t>
  </si>
  <si>
    <t>9.043</t>
  </si>
  <si>
    <t>11.89</t>
  </si>
  <si>
    <t>13.677</t>
  </si>
  <si>
    <t>20.11</t>
  </si>
  <si>
    <t>19.497</t>
  </si>
  <si>
    <t>8.957</t>
  </si>
  <si>
    <t>13.064</t>
  </si>
  <si>
    <t>9.449</t>
  </si>
  <si>
    <t>9.324</t>
  </si>
  <si>
    <t>7.959</t>
  </si>
  <si>
    <t>12.819</t>
  </si>
  <si>
    <t>10.977</t>
  </si>
  <si>
    <t>7.937</t>
  </si>
  <si>
    <t>12.45</t>
  </si>
  <si>
    <t>21.889</t>
  </si>
  <si>
    <t>20.482</t>
  </si>
  <si>
    <t>9.623</t>
  </si>
  <si>
    <t>2021-01-26 14:11:14</t>
  </si>
  <si>
    <t>3.445</t>
  </si>
  <si>
    <t>4.306</t>
  </si>
  <si>
    <t>26.517</t>
  </si>
  <si>
    <t>29.65</t>
  </si>
  <si>
    <t>7.276</t>
  </si>
  <si>
    <t>5.643</t>
  </si>
  <si>
    <t>5.553</t>
  </si>
  <si>
    <t>10.349</t>
  </si>
  <si>
    <t>9.629</t>
  </si>
  <si>
    <t>Migralin</t>
  </si>
  <si>
    <t>34.753</t>
  </si>
  <si>
    <t>18.312</t>
  </si>
  <si>
    <t>11.538</t>
  </si>
  <si>
    <t>10.848</t>
  </si>
  <si>
    <t>32.281</t>
  </si>
  <si>
    <t>M/Φ</t>
  </si>
  <si>
    <t>195.995</t>
  </si>
  <si>
    <t>23.135</t>
  </si>
  <si>
    <t>38.065</t>
  </si>
  <si>
    <t>82.096</t>
  </si>
  <si>
    <t>36.818</t>
  </si>
  <si>
    <t>18.562</t>
  </si>
  <si>
    <t>47.187</t>
  </si>
  <si>
    <t>25.89</t>
  </si>
  <si>
    <t>37.779</t>
  </si>
  <si>
    <t>16.648</t>
  </si>
  <si>
    <t>15.833</t>
  </si>
  <si>
    <t>15.535</t>
  </si>
  <si>
    <t>9.97</t>
  </si>
  <si>
    <t>19.423</t>
  </si>
  <si>
    <t>8.669</t>
  </si>
  <si>
    <t>24.62</t>
  </si>
  <si>
    <t>7.7</t>
  </si>
  <si>
    <t>20.548</t>
  </si>
  <si>
    <t>9.328</t>
  </si>
  <si>
    <t>15.157</t>
  </si>
  <si>
    <t>17.92</t>
  </si>
  <si>
    <t>14.833</t>
  </si>
  <si>
    <t>8.903</t>
  </si>
  <si>
    <t>17.487</t>
  </si>
  <si>
    <t>15.205</t>
  </si>
  <si>
    <t>20.823</t>
  </si>
  <si>
    <t>8.205</t>
  </si>
  <si>
    <t>12.84</t>
  </si>
  <si>
    <t>4.97</t>
  </si>
  <si>
    <t>2021-01-26 14:01:47</t>
  </si>
  <si>
    <t>7.447</t>
  </si>
  <si>
    <t>29.455</t>
  </si>
  <si>
    <t>4.731</t>
  </si>
  <si>
    <t>4.782</t>
  </si>
  <si>
    <t>12.298</t>
  </si>
  <si>
    <t>7.105</t>
  </si>
  <si>
    <t>3.949</t>
  </si>
  <si>
    <t>4.206</t>
  </si>
  <si>
    <t>9.915</t>
  </si>
  <si>
    <t>5.597</t>
  </si>
  <si>
    <t>4.5</t>
  </si>
  <si>
    <t>16.752</t>
  </si>
  <si>
    <t>14.3</t>
  </si>
  <si>
    <t>6.461</t>
  </si>
  <si>
    <t>6.904</t>
  </si>
  <si>
    <t>7.029</t>
  </si>
  <si>
    <t>13.136</t>
  </si>
  <si>
    <t>Σφυρίχτρα / κόρνα/ σειρήνα,Αθλητικές εκδηλώσεις,Ηλεκτρικά εργαλεία,Μουσική,Φωνές υψηλής συχνότητας / κραυγές,Σκυλί που γαβγίζει,Πιάτα που στοιβάζονται,Πλήθη / μεγάλες συγκεντρώσεις,Μωρό που κλαίει / παιδιά που φωνάζουν</t>
  </si>
  <si>
    <t>40.938</t>
  </si>
  <si>
    <t>10.659</t>
  </si>
  <si>
    <t>14.799</t>
  </si>
  <si>
    <t>15.53</t>
  </si>
  <si>
    <t>2.766</t>
  </si>
  <si>
    <t>M/D</t>
  </si>
  <si>
    <t>142.905</t>
  </si>
  <si>
    <t>12.906</t>
  </si>
  <si>
    <t>23.516</t>
  </si>
  <si>
    <t>25.205</t>
  </si>
  <si>
    <t>36.159</t>
  </si>
  <si>
    <t>25.201</t>
  </si>
  <si>
    <t>12.294</t>
  </si>
  <si>
    <t>23.753</t>
  </si>
  <si>
    <t>22.349</t>
  </si>
  <si>
    <t>9.893</t>
  </si>
  <si>
    <t>12.891</t>
  </si>
  <si>
    <t>11.559</t>
  </si>
  <si>
    <t>14.611</t>
  </si>
  <si>
    <t>9.47</t>
  </si>
  <si>
    <t>17.517</t>
  </si>
  <si>
    <t>6.43</t>
  </si>
  <si>
    <t>6.533</t>
  </si>
  <si>
    <t>17.058</t>
  </si>
  <si>
    <t>8.532</t>
  </si>
  <si>
    <t>11.567</t>
  </si>
  <si>
    <t>13.465</t>
  </si>
  <si>
    <t>13.045</t>
  </si>
  <si>
    <t>11.032</t>
  </si>
  <si>
    <t>6.008</t>
  </si>
  <si>
    <t>7.155</t>
  </si>
  <si>
    <t>10.485</t>
  </si>
  <si>
    <t>21.526</t>
  </si>
  <si>
    <t>4.004</t>
  </si>
  <si>
    <t>2021-01-26 13:55:01</t>
  </si>
  <si>
    <t>18.22</t>
  </si>
  <si>
    <t>87.138</t>
  </si>
  <si>
    <t>14.963</t>
  </si>
  <si>
    <t>6.874</t>
  </si>
  <si>
    <t>67.661</t>
  </si>
  <si>
    <t>8.908</t>
  </si>
  <si>
    <t>10.478</t>
  </si>
  <si>
    <t>7.295</t>
  </si>
  <si>
    <t>9.985</t>
  </si>
  <si>
    <t>7.263</t>
  </si>
  <si>
    <t>15.54</t>
  </si>
  <si>
    <t>19.758</t>
  </si>
  <si>
    <t>16.856</t>
  </si>
  <si>
    <t>7.456</t>
  </si>
  <si>
    <t>Μ/Δ.*</t>
  </si>
  <si>
    <t>177.213</t>
  </si>
  <si>
    <t>19.951</t>
  </si>
  <si>
    <t>27.336</t>
  </si>
  <si>
    <t>60.899</t>
  </si>
  <si>
    <t>114.175</t>
  </si>
  <si>
    <t>45.23</t>
  </si>
  <si>
    <t>86.807</t>
  </si>
  <si>
    <t>23.441</t>
  </si>
  <si>
    <t>29.869</t>
  </si>
  <si>
    <t>27.45</t>
  </si>
  <si>
    <t>9.039</t>
  </si>
  <si>
    <t>17.164</t>
  </si>
  <si>
    <t>11.253</t>
  </si>
  <si>
    <t>23.637</t>
  </si>
  <si>
    <t>11.807</t>
  </si>
  <si>
    <t>14.406</t>
  </si>
  <si>
    <t>15.118</t>
  </si>
  <si>
    <t>11.649</t>
  </si>
  <si>
    <t>10.678</t>
  </si>
  <si>
    <t>12.457</t>
  </si>
  <si>
    <t>10.227</t>
  </si>
  <si>
    <t>12.703</t>
  </si>
  <si>
    <t>14.863</t>
  </si>
  <si>
    <t>17.959</t>
  </si>
  <si>
    <t>8.919</t>
  </si>
  <si>
    <t>23.147</t>
  </si>
  <si>
    <t>12.445</t>
  </si>
  <si>
    <t>16.326</t>
  </si>
  <si>
    <t>8.673</t>
  </si>
  <si>
    <t>3.011</t>
  </si>
  <si>
    <t>8.406</t>
  </si>
  <si>
    <t>4.607</t>
  </si>
  <si>
    <t>2021-01-26 13:53:39</t>
  </si>
  <si>
    <t>4.871</t>
  </si>
  <si>
    <t>12.855</t>
  </si>
  <si>
    <t>3.95</t>
  </si>
  <si>
    <t>7.032</t>
  </si>
  <si>
    <t>14.09</t>
  </si>
  <si>
    <t>6.879</t>
  </si>
  <si>
    <t>9.23</t>
  </si>
  <si>
    <t>9.389</t>
  </si>
  <si>
    <t>Μουσική,Φωνές υψηλής συχνότητας / κραυγές,Τηλεόραση / ραδιόφωνο</t>
  </si>
  <si>
    <t>46.885</t>
  </si>
  <si>
    <t>9.201</t>
  </si>
  <si>
    <t>7.836</t>
  </si>
  <si>
    <t>14.48</t>
  </si>
  <si>
    <t>3.171</t>
  </si>
  <si>
    <t>Samsung</t>
  </si>
  <si>
    <t>31.43</t>
  </si>
  <si>
    <t>26.573</t>
  </si>
  <si>
    <t>28.805</t>
  </si>
  <si>
    <t>38.121</t>
  </si>
  <si>
    <t>22.001</t>
  </si>
  <si>
    <t>24.837</t>
  </si>
  <si>
    <t>24.327</t>
  </si>
  <si>
    <t>19.724</t>
  </si>
  <si>
    <t>14.677</t>
  </si>
  <si>
    <t>21.534</t>
  </si>
  <si>
    <t>16.32</t>
  </si>
  <si>
    <t>21.522</t>
  </si>
  <si>
    <t>13.776</t>
  </si>
  <si>
    <t>18.851</t>
  </si>
  <si>
    <t>17.708</t>
  </si>
  <si>
    <t>14.896</t>
  </si>
  <si>
    <t>17.728</t>
  </si>
  <si>
    <t>27.986</t>
  </si>
  <si>
    <t>10.791</t>
  </si>
  <si>
    <t>14.93</t>
  </si>
  <si>
    <t>14.209</t>
  </si>
  <si>
    <t>15.36</t>
  </si>
  <si>
    <t>11.454</t>
  </si>
  <si>
    <t>7.775</t>
  </si>
  <si>
    <t>9.112</t>
  </si>
  <si>
    <t>29.499</t>
  </si>
  <si>
    <t>98.16</t>
  </si>
  <si>
    <t>12.368</t>
  </si>
  <si>
    <t>2021-01-26 13:34:45</t>
  </si>
  <si>
    <t>5.311</t>
  </si>
  <si>
    <t>36.69</t>
  </si>
  <si>
    <t>10.429</t>
  </si>
  <si>
    <t>33.58</t>
  </si>
  <si>
    <t>8.549</t>
  </si>
  <si>
    <t>4.447</t>
  </si>
  <si>
    <t>5.39</t>
  </si>
  <si>
    <t>9.396</t>
  </si>
  <si>
    <t>10.946</t>
  </si>
  <si>
    <t>6.847</t>
  </si>
  <si>
    <t>5.823</t>
  </si>
  <si>
    <t>15.428</t>
  </si>
  <si>
    <t>8.677</t>
  </si>
  <si>
    <t>8.288</t>
  </si>
  <si>
    <t>Μωρό που κλαίει / παιδιά που φωνάζουν,Πιάτα που στοιβάζονται,Σκυλί που γαβγίζει,Φωνές υψηλής συχνότητας / κραυγές,Μουσική,Ηλεκτρικά εργαλεία,Κουδούνισμα τηλεφώνου,Τηλεόραση / ραδιόφωνο,Σφυρίχτρα / κόρνα/ σειρήνα</t>
  </si>
  <si>
    <t>44.244</t>
  </si>
  <si>
    <t>59.95</t>
  </si>
  <si>
    <t>30.722</t>
  </si>
  <si>
    <t>16.945</t>
  </si>
  <si>
    <t>9.393</t>
  </si>
  <si>
    <t>100.909</t>
  </si>
  <si>
    <t>23.677</t>
  </si>
  <si>
    <t>59.633</t>
  </si>
  <si>
    <t>30.46</t>
  </si>
  <si>
    <t>53.505</t>
  </si>
  <si>
    <t>23.823</t>
  </si>
  <si>
    <t>19.614</t>
  </si>
  <si>
    <t>19.139</t>
  </si>
  <si>
    <t>18.572</t>
  </si>
  <si>
    <t>11.675</t>
  </si>
  <si>
    <t>14.818</t>
  </si>
  <si>
    <t>15.682</t>
  </si>
  <si>
    <t>16.59</t>
  </si>
  <si>
    <t>16.902</t>
  </si>
  <si>
    <t>10.932</t>
  </si>
  <si>
    <t>11.644</t>
  </si>
  <si>
    <t>10.664</t>
  </si>
  <si>
    <t>10.181</t>
  </si>
  <si>
    <t>8.496</t>
  </si>
  <si>
    <t>8.86</t>
  </si>
  <si>
    <t>9.646</t>
  </si>
  <si>
    <t>8.161</t>
  </si>
  <si>
    <t>6.566</t>
  </si>
  <si>
    <t>2.516</t>
  </si>
  <si>
    <t>2.151</t>
  </si>
  <si>
    <t>1.95</t>
  </si>
  <si>
    <t>1.925</t>
  </si>
  <si>
    <t>1.717</t>
  </si>
  <si>
    <t>14.419</t>
  </si>
  <si>
    <t>8.53</t>
  </si>
  <si>
    <t>4.987</t>
  </si>
  <si>
    <t>2021-01-26 13:22:09</t>
  </si>
  <si>
    <t>6.213</t>
  </si>
  <si>
    <t>22.558</t>
  </si>
  <si>
    <t>7.191</t>
  </si>
  <si>
    <t>21.81</t>
  </si>
  <si>
    <t>8.17</t>
  </si>
  <si>
    <t>5.687</t>
  </si>
  <si>
    <t>6.032</t>
  </si>
  <si>
    <t>5.847</t>
  </si>
  <si>
    <t>9.336</t>
  </si>
  <si>
    <t>10.939</t>
  </si>
  <si>
    <t>19.815</t>
  </si>
  <si>
    <t>14.453</t>
  </si>
  <si>
    <t>5.893</t>
  </si>
  <si>
    <t>616.287</t>
  </si>
  <si>
    <t>21.559</t>
  </si>
  <si>
    <t>30.506</t>
  </si>
  <si>
    <t>15.669</t>
  </si>
  <si>
    <t>37.777</t>
  </si>
  <si>
    <t>22.777</t>
  </si>
  <si>
    <t>27.747</t>
  </si>
  <si>
    <t>14.372</t>
  </si>
  <si>
    <t>21.17</t>
  </si>
  <si>
    <t>20.874</t>
  </si>
  <si>
    <t>10.417</t>
  </si>
  <si>
    <t>9.543</t>
  </si>
  <si>
    <t>14.309</t>
  </si>
  <si>
    <t>16.277</t>
  </si>
  <si>
    <t>22.444</t>
  </si>
  <si>
    <t>7.482</t>
  </si>
  <si>
    <t>7.902</t>
  </si>
  <si>
    <t>6.421</t>
  </si>
  <si>
    <t>12.169</t>
  </si>
  <si>
    <t>8.624</t>
  </si>
  <si>
    <t>8.591</t>
  </si>
  <si>
    <t>6.489</t>
  </si>
  <si>
    <t>6.289</t>
  </si>
  <si>
    <t>26.963</t>
  </si>
  <si>
    <t>27.799</t>
  </si>
  <si>
    <t>6.108</t>
  </si>
  <si>
    <t>8.43</t>
  </si>
  <si>
    <t>2021-01-26 12:56:26</t>
  </si>
  <si>
    <t>10.218</t>
  </si>
  <si>
    <t>19.674</t>
  </si>
  <si>
    <t>20.641</t>
  </si>
  <si>
    <t>4.197</t>
  </si>
  <si>
    <t>3.802</t>
  </si>
  <si>
    <t>7.506</t>
  </si>
  <si>
    <t>6.144</t>
  </si>
  <si>
    <t>Topamac</t>
  </si>
  <si>
    <t>15.099</t>
  </si>
  <si>
    <t>10.493</t>
  </si>
  <si>
    <t>5.076</t>
  </si>
  <si>
    <t>16.018</t>
  </si>
  <si>
    <t>Μωρό που κλαίει / παιδιά που φωνάζουν,Πλήθη / μεγάλες συγκεντρώσεις,Πιάτα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σειρήνα,Αθλητικές εκδηλώσεις,Σκυλί που γαβγίζει,Μουσική,Εστιατόρια</t>
  </si>
  <si>
    <t>39.936</t>
  </si>
  <si>
    <t>14.583</t>
  </si>
  <si>
    <t>6.822</t>
  </si>
  <si>
    <t>11.051</t>
  </si>
  <si>
    <t>2.558</t>
  </si>
  <si>
    <t>303.947</t>
  </si>
  <si>
    <t>5.653</t>
  </si>
  <si>
    <t>137.124</t>
  </si>
  <si>
    <t>9.737</t>
  </si>
  <si>
    <t>14.479</t>
  </si>
  <si>
    <t>19.028</t>
  </si>
  <si>
    <t>10.76</t>
  </si>
  <si>
    <t>14.55</t>
  </si>
  <si>
    <t>7.44</t>
  </si>
  <si>
    <t>11.291</t>
  </si>
  <si>
    <t>11.561</t>
  </si>
  <si>
    <t>9.329</t>
  </si>
  <si>
    <t>8.568</t>
  </si>
  <si>
    <t>0.04</t>
  </si>
  <si>
    <t>10.911</t>
  </si>
  <si>
    <t>15.704</t>
  </si>
  <si>
    <t>6.715</t>
  </si>
  <si>
    <t>6.924</t>
  </si>
  <si>
    <t>8.184</t>
  </si>
  <si>
    <t>7.051</t>
  </si>
  <si>
    <t>11.714</t>
  </si>
  <si>
    <t>8.193</t>
  </si>
  <si>
    <t>8.671</t>
  </si>
  <si>
    <t>2.432</t>
  </si>
  <si>
    <t>7.655</t>
  </si>
  <si>
    <t>1.947</t>
  </si>
  <si>
    <t>2021-01-26 12:35:20</t>
  </si>
  <si>
    <t>44.006</t>
  </si>
  <si>
    <t>50.701</t>
  </si>
  <si>
    <t>11.232</t>
  </si>
  <si>
    <t>7.965</t>
  </si>
  <si>
    <t>13.631</t>
  </si>
  <si>
    <t>5.071</t>
  </si>
  <si>
    <t>3.211</t>
  </si>
  <si>
    <t>3.71</t>
  </si>
  <si>
    <t>WorWoder W915</t>
  </si>
  <si>
    <t>150.347</t>
  </si>
  <si>
    <t>9.12</t>
  </si>
  <si>
    <t>22.653</t>
  </si>
  <si>
    <t>36.435</t>
  </si>
  <si>
    <t>46.943</t>
  </si>
  <si>
    <t>23.136</t>
  </si>
  <si>
    <t>14.059</t>
  </si>
  <si>
    <t>17.934</t>
  </si>
  <si>
    <t>12.346</t>
  </si>
  <si>
    <t>9.637</t>
  </si>
  <si>
    <t>11.367</t>
  </si>
  <si>
    <t>6.712</t>
  </si>
  <si>
    <t>13.338</t>
  </si>
  <si>
    <t>10.007</t>
  </si>
  <si>
    <t>11.07</t>
  </si>
  <si>
    <t>13.138</t>
  </si>
  <si>
    <t>8.275</t>
  </si>
  <si>
    <t>7.698</t>
  </si>
  <si>
    <t>9.189</t>
  </si>
  <si>
    <t>6.969</t>
  </si>
  <si>
    <t>9.221</t>
  </si>
  <si>
    <t>6.303</t>
  </si>
  <si>
    <t>9.444</t>
  </si>
  <si>
    <t>6.763</t>
  </si>
  <si>
    <t>8.981</t>
  </si>
  <si>
    <t>9.868</t>
  </si>
  <si>
    <t>6.399</t>
  </si>
  <si>
    <t>7.218</t>
  </si>
  <si>
    <t>7.819</t>
  </si>
  <si>
    <t>1.578</t>
  </si>
  <si>
    <t>8.613</t>
  </si>
  <si>
    <t>1.443</t>
  </si>
  <si>
    <t>2021-01-26 12:14:16</t>
  </si>
  <si>
    <t>4.597</t>
  </si>
  <si>
    <t>9.746</t>
  </si>
  <si>
    <t>10.126</t>
  </si>
  <si>
    <t>32.669</t>
  </si>
  <si>
    <t>3.859</t>
  </si>
  <si>
    <t>3.777</t>
  </si>
  <si>
    <t>15.636</t>
  </si>
  <si>
    <t>7.867</t>
  </si>
  <si>
    <t>5.76</t>
  </si>
  <si>
    <t>4.866</t>
  </si>
  <si>
    <t>3.816</t>
  </si>
  <si>
    <t>13.488</t>
  </si>
  <si>
    <t>Μωρό που κλαίει / παιδιά που φωνάζουν,Πιάτα που στοιβάζονται,Σκυλί που γαβγίζει,Φωνές υψηλής συχνότητας / κραυγές,Ηλεκτρικά εργαλεία,Σφυρίχτρα / κόρνα/ σειρήνα</t>
  </si>
  <si>
    <t>22.646</t>
  </si>
  <si>
    <t>5.881</t>
  </si>
  <si>
    <t>60</t>
  </si>
  <si>
    <t>10.496</t>
  </si>
  <si>
    <t>2.384</t>
  </si>
  <si>
    <t>117.393</t>
  </si>
  <si>
    <t>11.737</t>
  </si>
  <si>
    <t>31.123</t>
  </si>
  <si>
    <t>29.096</t>
  </si>
  <si>
    <t>18.192</t>
  </si>
  <si>
    <t>12.124</t>
  </si>
  <si>
    <t>14.644</t>
  </si>
  <si>
    <t>13.915</t>
  </si>
  <si>
    <t>13.28</t>
  </si>
  <si>
    <t>12.183</t>
  </si>
  <si>
    <t>11.539</t>
  </si>
  <si>
    <t>9.597</t>
  </si>
  <si>
    <t>12.602</t>
  </si>
  <si>
    <t>12.239</t>
  </si>
  <si>
    <t>5.348</t>
  </si>
  <si>
    <t>11.643</t>
  </si>
  <si>
    <t>7.158</t>
  </si>
  <si>
    <t>9.904</t>
  </si>
  <si>
    <t>6.018</t>
  </si>
  <si>
    <t>7.587</t>
  </si>
  <si>
    <t>10.4</t>
  </si>
  <si>
    <t>11.955</t>
  </si>
  <si>
    <t>7.02</t>
  </si>
  <si>
    <t>9.756</t>
  </si>
  <si>
    <t>11.353</t>
  </si>
  <si>
    <t>2.227</t>
  </si>
  <si>
    <t>9.51</t>
  </si>
  <si>
    <t>4.381</t>
  </si>
  <si>
    <t>2021-01-26 12:03:20</t>
  </si>
  <si>
    <t>10.201</t>
  </si>
  <si>
    <t>4.87</t>
  </si>
  <si>
    <t>46.22</t>
  </si>
  <si>
    <t>4.459</t>
  </si>
  <si>
    <t>9.089</t>
  </si>
  <si>
    <t>11.025</t>
  </si>
  <si>
    <t>6.702</t>
  </si>
  <si>
    <t>7.27</t>
  </si>
  <si>
    <t>38.48</t>
  </si>
  <si>
    <t>29.742</t>
  </si>
  <si>
    <t>10.049</t>
  </si>
  <si>
    <t>14.937</t>
  </si>
  <si>
    <t>3.421</t>
  </si>
  <si>
    <t>282.506</t>
  </si>
  <si>
    <t>10.073</t>
  </si>
  <si>
    <t>78.961</t>
  </si>
  <si>
    <t>84.276</t>
  </si>
  <si>
    <t>182.592</t>
  </si>
  <si>
    <t>33.855</t>
  </si>
  <si>
    <t>64.314</t>
  </si>
  <si>
    <t>22.882</t>
  </si>
  <si>
    <t>18.137</t>
  </si>
  <si>
    <t>19.726</t>
  </si>
  <si>
    <t>15.525</t>
  </si>
  <si>
    <t>10.52</t>
  </si>
  <si>
    <t>32.013</t>
  </si>
  <si>
    <t>21.402</t>
  </si>
  <si>
    <t>12.334</t>
  </si>
  <si>
    <t>12.265</t>
  </si>
  <si>
    <t>39.176</t>
  </si>
  <si>
    <t>12.082</t>
  </si>
  <si>
    <t>15.13</t>
  </si>
  <si>
    <t>10.739</t>
  </si>
  <si>
    <t>25.495</t>
  </si>
  <si>
    <t>17.524</t>
  </si>
  <si>
    <t>25.375</t>
  </si>
  <si>
    <t>26.223</t>
  </si>
  <si>
    <t>29.264</t>
  </si>
  <si>
    <t>20.528</t>
  </si>
  <si>
    <t>24.008</t>
  </si>
  <si>
    <t>8.587</t>
  </si>
  <si>
    <t>1213.909</t>
  </si>
  <si>
    <t>5.182</t>
  </si>
  <si>
    <t>2021-01-26 11:58:01</t>
  </si>
  <si>
    <t>3.903</t>
  </si>
  <si>
    <t>20.853</t>
  </si>
  <si>
    <t>4.669</t>
  </si>
  <si>
    <t>5.365</t>
  </si>
  <si>
    <t>18.581</t>
  </si>
  <si>
    <t>4.586</t>
  </si>
  <si>
    <t>3.546</t>
  </si>
  <si>
    <t>3.479</t>
  </si>
  <si>
    <t>5.549</t>
  </si>
  <si>
    <t>5.576</t>
  </si>
  <si>
    <t>4.314</t>
  </si>
  <si>
    <t>14.7</t>
  </si>
  <si>
    <t>8.734</t>
  </si>
  <si>
    <t>6.307</t>
  </si>
  <si>
    <t>7.174</t>
  </si>
  <si>
    <t>Σκυλί που γαβγίζει</t>
  </si>
  <si>
    <t>13.772</t>
  </si>
  <si>
    <t>6.156</t>
  </si>
  <si>
    <t>4.918</t>
  </si>
  <si>
    <t>10.143</t>
  </si>
  <si>
    <t>2.294</t>
  </si>
  <si>
    <t>37.177</t>
  </si>
  <si>
    <t>8.973</t>
  </si>
  <si>
    <t>55.108</t>
  </si>
  <si>
    <t>7.342</t>
  </si>
  <si>
    <t>11.747</t>
  </si>
  <si>
    <t>21.977</t>
  </si>
  <si>
    <t>8.623</t>
  </si>
  <si>
    <t>16.357</t>
  </si>
  <si>
    <t>10.205</t>
  </si>
  <si>
    <t>10.35</t>
  </si>
  <si>
    <t>7.734</t>
  </si>
  <si>
    <t>13.661</t>
  </si>
  <si>
    <t>10.33</t>
  </si>
  <si>
    <t>18.185</t>
  </si>
  <si>
    <t>6.867</t>
  </si>
  <si>
    <t>19.913</t>
  </si>
  <si>
    <t>7.089</t>
  </si>
  <si>
    <t>8.583</t>
  </si>
  <si>
    <t>9.578</t>
  </si>
  <si>
    <t>10.016</t>
  </si>
  <si>
    <t>8.112</t>
  </si>
  <si>
    <t>6.091</t>
  </si>
  <si>
    <t>5.719</t>
  </si>
  <si>
    <t>5.795</t>
  </si>
  <si>
    <t>6.003</t>
  </si>
  <si>
    <t>2.458</t>
  </si>
  <si>
    <t>7.207</t>
  </si>
  <si>
    <t>2.434</t>
  </si>
  <si>
    <t>2021-01-26 11:04:07</t>
  </si>
  <si>
    <t>9.594</t>
  </si>
  <si>
    <t>27.1</t>
  </si>
  <si>
    <t>14.846</t>
  </si>
  <si>
    <t>2021-01-26 10:52:25</t>
  </si>
  <si>
    <t>3.377</t>
  </si>
  <si>
    <t>8.754</t>
  </si>
  <si>
    <t>3.634</t>
  </si>
  <si>
    <t>5.074</t>
  </si>
  <si>
    <t>20.324</t>
  </si>
  <si>
    <t>3.244</t>
  </si>
  <si>
    <t>3.672</t>
  </si>
  <si>
    <t>5.51</t>
  </si>
  <si>
    <t>3.174</t>
  </si>
  <si>
    <t>3.666</t>
  </si>
  <si>
    <t>Ηλεκτρικά εργαλεία,Τηλεόραση / ραδιόφωνο,Ηλεκτρική σκούπα,Σφυρίχτρα / κόρνα/ σειρήνα,Μωρό που κλαίει / παιδιά που φωνάζουν</t>
  </si>
  <si>
    <t>21.354</t>
  </si>
  <si>
    <t>10.107</t>
  </si>
  <si>
    <t>6.667</t>
  </si>
  <si>
    <t>6.526</t>
  </si>
  <si>
    <t>4.534</t>
  </si>
  <si>
    <t>apple airpods</t>
  </si>
  <si>
    <t>51.195</t>
  </si>
  <si>
    <t>14.645</t>
  </si>
  <si>
    <t>11.591</t>
  </si>
  <si>
    <t>16.571</t>
  </si>
  <si>
    <t>18.817</t>
  </si>
  <si>
    <t>14.652</t>
  </si>
  <si>
    <t>8.808</t>
  </si>
  <si>
    <t>7.806</t>
  </si>
  <si>
    <t>6.446</t>
  </si>
  <si>
    <t>9.727</t>
  </si>
  <si>
    <t>7.189</t>
  </si>
  <si>
    <t>5.532</t>
  </si>
  <si>
    <t>6.9</t>
  </si>
  <si>
    <t>5.9</t>
  </si>
  <si>
    <t>6.016</t>
  </si>
  <si>
    <t>8.798</t>
  </si>
  <si>
    <t>6.22</t>
  </si>
  <si>
    <t>5.5</t>
  </si>
  <si>
    <t>7.048</t>
  </si>
  <si>
    <t>5.25</t>
  </si>
  <si>
    <t>4.384</t>
  </si>
  <si>
    <t>5.884</t>
  </si>
  <si>
    <t>5.812</t>
  </si>
  <si>
    <t>8.058</t>
  </si>
  <si>
    <t>3.893</t>
  </si>
  <si>
    <t>1.968</t>
  </si>
  <si>
    <t>2021-01-26 10:43:57</t>
  </si>
  <si>
    <t>3.595</t>
  </si>
  <si>
    <t>38.76</t>
  </si>
  <si>
    <t>5.382</t>
  </si>
  <si>
    <t>7.184</t>
  </si>
  <si>
    <t>12.228</t>
  </si>
  <si>
    <t>8.717</t>
  </si>
  <si>
    <t>3.866</t>
  </si>
  <si>
    <t>7.669</t>
  </si>
  <si>
    <t>7.583</t>
  </si>
  <si>
    <t>5.01</t>
  </si>
  <si>
    <t>8.722</t>
  </si>
  <si>
    <t>5.774</t>
  </si>
  <si>
    <t>9.192</t>
  </si>
  <si>
    <t>4.598</t>
  </si>
  <si>
    <t>10.754</t>
  </si>
  <si>
    <t>Μωρό που κλαίει / παιδιά που φωνάζουν,Πιάτα που στοιβάζονται,Σκυλί που γαβγίζει,Φωνές υψηλής συχνότητας / κραυγές,Ηλεκτρική σκούπα,Σφυρίχτρα / κόρνα/ σειρήνα,Ηλεκτρικά εργαλεία</t>
  </si>
  <si>
    <t>31.894</t>
  </si>
  <si>
    <t>Ολο το μήνα</t>
  </si>
  <si>
    <t>23.231</t>
  </si>
  <si>
    <t>98</t>
  </si>
  <si>
    <t>20.505</t>
  </si>
  <si>
    <t>11.607</t>
  </si>
  <si>
    <t>6.183</t>
  </si>
  <si>
    <t>Xiaomi</t>
  </si>
  <si>
    <t>92.052</t>
  </si>
  <si>
    <t>39.986</t>
  </si>
  <si>
    <t>17.255</t>
  </si>
  <si>
    <t>37.181</t>
  </si>
  <si>
    <t>23.754</t>
  </si>
  <si>
    <t>21.292</t>
  </si>
  <si>
    <t>33.093</t>
  </si>
  <si>
    <t>16.39</t>
  </si>
  <si>
    <t>19.102</t>
  </si>
  <si>
    <t>14.266</t>
  </si>
  <si>
    <t>18.848</t>
  </si>
  <si>
    <t>26.782</t>
  </si>
  <si>
    <t>23.122</t>
  </si>
  <si>
    <t>9.107</t>
  </si>
  <si>
    <t>9.653</t>
  </si>
  <si>
    <t>15.779</t>
  </si>
  <si>
    <t>19.485</t>
  </si>
  <si>
    <t>11.011</t>
  </si>
  <si>
    <t>9.41</t>
  </si>
  <si>
    <t>15.471</t>
  </si>
  <si>
    <t>11.906</t>
  </si>
  <si>
    <t>8.428</t>
  </si>
  <si>
    <t>11.131</t>
  </si>
  <si>
    <t>14.967</t>
  </si>
  <si>
    <t>17.135</t>
  </si>
  <si>
    <t>15.391</t>
  </si>
  <si>
    <t>25.64</t>
  </si>
  <si>
    <t>12.545</t>
  </si>
  <si>
    <t>12.856</t>
  </si>
  <si>
    <t>32.755</t>
  </si>
  <si>
    <t>5.603</t>
  </si>
  <si>
    <t>2021-01-26 10:42:32</t>
  </si>
  <si>
    <t>3.215</t>
  </si>
  <si>
    <t>3.442</t>
  </si>
  <si>
    <t>7.334</t>
  </si>
  <si>
    <t>2.052</t>
  </si>
  <si>
    <t>3.534</t>
  </si>
  <si>
    <t>2.35</t>
  </si>
  <si>
    <t>3.49</t>
  </si>
  <si>
    <t>3.039</t>
  </si>
  <si>
    <t>4.017</t>
  </si>
  <si>
    <t>15.445</t>
  </si>
  <si>
    <t>4.545</t>
  </si>
  <si>
    <t>3.725</t>
  </si>
  <si>
    <t>3.973</t>
  </si>
  <si>
    <t>Φωνές υψηλής συχνότητας / κραυγές,Μουσική,Ηλεκτρικά εργαλεία,Τηλεόραση / ραδιόφωνο</t>
  </si>
  <si>
    <t>16.754</t>
  </si>
  <si>
    <t>5.501</t>
  </si>
  <si>
    <t>4.513</t>
  </si>
  <si>
    <t>22.137</t>
  </si>
  <si>
    <t>1.716</t>
  </si>
  <si>
    <t>49.487</t>
  </si>
  <si>
    <t>17.439</t>
  </si>
  <si>
    <t>10.025</t>
  </si>
  <si>
    <t>26.296</t>
  </si>
  <si>
    <t>12.586</t>
  </si>
  <si>
    <t>9.536</t>
  </si>
  <si>
    <t>4.98</t>
  </si>
  <si>
    <t>9.576</t>
  </si>
  <si>
    <t>4.353</t>
  </si>
  <si>
    <t>5.065</t>
  </si>
  <si>
    <t>2.706</t>
  </si>
  <si>
    <t>3.331</t>
  </si>
  <si>
    <t>2.561</t>
  </si>
  <si>
    <t>3.227</t>
  </si>
  <si>
    <t>4.826</t>
  </si>
  <si>
    <t>2.794</t>
  </si>
  <si>
    <t>2.367</t>
  </si>
  <si>
    <t>3.262</t>
  </si>
  <si>
    <t>2.172</t>
  </si>
  <si>
    <t>2.475</t>
  </si>
  <si>
    <t>5.014</t>
  </si>
  <si>
    <t>1.653</t>
  </si>
  <si>
    <t>2021-01-26 10:21:26</t>
  </si>
  <si>
    <t>139.28</t>
  </si>
  <si>
    <t>21.516</t>
  </si>
  <si>
    <t>24.693</t>
  </si>
  <si>
    <t>4.481</t>
  </si>
  <si>
    <t>4.678</t>
  </si>
  <si>
    <t>4.844</t>
  </si>
  <si>
    <t>4.519</t>
  </si>
  <si>
    <t>96.522</t>
  </si>
  <si>
    <t>13.456</t>
  </si>
  <si>
    <t>12.384</t>
  </si>
  <si>
    <t>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σειρήνα,Πλήθη / μεγάλες συγκεντρώσεις</t>
  </si>
  <si>
    <t>28.904</t>
  </si>
  <si>
    <t>21.33</t>
  </si>
  <si>
    <t>12.2</t>
  </si>
  <si>
    <t>4.344</t>
  </si>
  <si>
    <t>226.29</t>
  </si>
  <si>
    <t>29.985</t>
  </si>
  <si>
    <t>26.814</t>
  </si>
  <si>
    <t>41.066</t>
  </si>
  <si>
    <t>36.757</t>
  </si>
  <si>
    <t>24.398</t>
  </si>
  <si>
    <t>22.339</t>
  </si>
  <si>
    <t>15.31</t>
  </si>
  <si>
    <t>26.464</t>
  </si>
  <si>
    <t>12.918</t>
  </si>
  <si>
    <t>20.003</t>
  </si>
  <si>
    <t>16.639</t>
  </si>
  <si>
    <t>8.936</t>
  </si>
  <si>
    <t>15.417</t>
  </si>
  <si>
    <t>14.454</t>
  </si>
  <si>
    <t>14.992</t>
  </si>
  <si>
    <t>11.222</t>
  </si>
  <si>
    <t>8.173</t>
  </si>
  <si>
    <t>11.073</t>
  </si>
  <si>
    <t>8.008</t>
  </si>
  <si>
    <t>14.071</t>
  </si>
  <si>
    <t>16.05</t>
  </si>
  <si>
    <t>10.124</t>
  </si>
  <si>
    <t>9.591</t>
  </si>
  <si>
    <t>8.408</t>
  </si>
  <si>
    <t>2021-01-26 10:21:19</t>
  </si>
  <si>
    <t>18.43</t>
  </si>
  <si>
    <t>6.125</t>
  </si>
  <si>
    <t>16.056</t>
  </si>
  <si>
    <t>14.728</t>
  </si>
  <si>
    <t>5.858</t>
  </si>
  <si>
    <t>4.218</t>
  </si>
  <si>
    <t>3.917</t>
  </si>
  <si>
    <t>5.811</t>
  </si>
  <si>
    <t>5.239</t>
  </si>
  <si>
    <t>53.232</t>
  </si>
  <si>
    <t>34.825</t>
  </si>
  <si>
    <t>27.77</t>
  </si>
  <si>
    <t>10.482</t>
  </si>
  <si>
    <t>3.649</t>
  </si>
  <si>
    <t>M /Δ</t>
  </si>
  <si>
    <t>147.211</t>
  </si>
  <si>
    <t>18.531</t>
  </si>
  <si>
    <t>26.672</t>
  </si>
  <si>
    <t>29.232</t>
  </si>
  <si>
    <t>39.798</t>
  </si>
  <si>
    <t>34.377</t>
  </si>
  <si>
    <t>18.859</t>
  </si>
  <si>
    <t>24.584</t>
  </si>
  <si>
    <t>13.093</t>
  </si>
  <si>
    <t>16.429</t>
  </si>
  <si>
    <t>15.763</t>
  </si>
  <si>
    <t>13.539</t>
  </si>
  <si>
    <t>12.9</t>
  </si>
  <si>
    <t>16.821</t>
  </si>
  <si>
    <t>9.063</t>
  </si>
  <si>
    <t>10.511</t>
  </si>
  <si>
    <t>7.967</t>
  </si>
  <si>
    <t>16.351</t>
  </si>
  <si>
    <t>8.291</t>
  </si>
  <si>
    <t>10.555</t>
  </si>
  <si>
    <t>8.649</t>
  </si>
  <si>
    <t>9.244</t>
  </si>
  <si>
    <t>9.038</t>
  </si>
  <si>
    <t>8.492</t>
  </si>
  <si>
    <t>8.705</t>
  </si>
  <si>
    <t>5.853</t>
  </si>
  <si>
    <t>9.193</t>
  </si>
  <si>
    <t>9.417</t>
  </si>
  <si>
    <t>2.781</t>
  </si>
  <si>
    <t>2021-01-26 10:20:41</t>
  </si>
  <si>
    <t>14.153</t>
  </si>
  <si>
    <t>6.079</t>
  </si>
  <si>
    <t>5.381</t>
  </si>
  <si>
    <t>20.571</t>
  </si>
  <si>
    <t>5.252</t>
  </si>
  <si>
    <t>3.529</t>
  </si>
  <si>
    <t>4.532</t>
  </si>
  <si>
    <t>ΕΝΕΣΗ AIMOVIG 140mg 1 φορά το μήνα, DEPREVIX 150mg 1 κάθε βράδυ, ABILIFY 10mg 1/2 κάθε βράδυ</t>
  </si>
  <si>
    <t>107.575</t>
  </si>
  <si>
    <t>4.977</t>
  </si>
  <si>
    <t>4.042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</si>
  <si>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σειρήνα,Kανένα από τα παραπάνω</t>
  </si>
  <si>
    <t>7-11</t>
  </si>
  <si>
    <t>9.773</t>
  </si>
  <si>
    <t>6.061</t>
  </si>
  <si>
    <t>7.367</t>
  </si>
  <si>
    <t>2.207</t>
  </si>
  <si>
    <t>EASY TOUCH ET-278</t>
  </si>
  <si>
    <t>152.207</t>
  </si>
  <si>
    <t>12.027</t>
  </si>
  <si>
    <t>4.045</t>
  </si>
  <si>
    <t>21.518</t>
  </si>
  <si>
    <t>15.367</t>
  </si>
  <si>
    <t>12.136</t>
  </si>
  <si>
    <t>9.326</t>
  </si>
  <si>
    <t>11.98</t>
  </si>
  <si>
    <t>7.883</t>
  </si>
  <si>
    <t>7.849</t>
  </si>
  <si>
    <t>9.347</t>
  </si>
  <si>
    <t>15.147</t>
  </si>
  <si>
    <t>13.91</t>
  </si>
  <si>
    <t>7.526</t>
  </si>
  <si>
    <t>7.21</t>
  </si>
  <si>
    <t>7.219</t>
  </si>
  <si>
    <t>14.127</t>
  </si>
  <si>
    <t>16.128</t>
  </si>
  <si>
    <t>10.83</t>
  </si>
  <si>
    <t>10.132</t>
  </si>
  <si>
    <t>7.774</t>
  </si>
  <si>
    <t>15.937</t>
  </si>
  <si>
    <t>31.17</t>
  </si>
  <si>
    <t>19.603</t>
  </si>
  <si>
    <t>9.967</t>
  </si>
  <si>
    <t>10.549</t>
  </si>
  <si>
    <t>7.487</t>
  </si>
  <si>
    <t>6.665</t>
  </si>
  <si>
    <t>9.303</t>
  </si>
  <si>
    <t>2021-01-26 10:14:45</t>
  </si>
  <si>
    <t>2.917</t>
  </si>
  <si>
    <t>7.351</t>
  </si>
  <si>
    <t>8.477</t>
  </si>
  <si>
    <t>4.06</t>
  </si>
  <si>
    <t>18.943</t>
  </si>
  <si>
    <t>4.265</t>
  </si>
  <si>
    <t>7.756</t>
  </si>
  <si>
    <t>4.376</t>
  </si>
  <si>
    <t>6.017</t>
  </si>
  <si>
    <t>4.496</t>
  </si>
  <si>
    <t>5.072</t>
  </si>
  <si>
    <t>21.792</t>
  </si>
  <si>
    <t>9.148</t>
  </si>
  <si>
    <t>7.692</t>
  </si>
  <si>
    <t>9.216</t>
  </si>
  <si>
    <t>7.019</t>
  </si>
  <si>
    <t>Μετά από ημικρανία</t>
  </si>
  <si>
    <t>12.23</t>
  </si>
  <si>
    <t>Φωνές υψηλής συχνότητας / κραυγές,Τηλεόραση / ραδιόφωνο,Μωρό που κλαίει / παιδιά που φωνάζουν</t>
  </si>
  <si>
    <t>42.405</t>
  </si>
  <si>
    <t>9.419</t>
  </si>
  <si>
    <t>9.466</t>
  </si>
  <si>
    <t>2.55</t>
  </si>
  <si>
    <t>3.383</t>
  </si>
  <si>
    <t>20.72</t>
  </si>
  <si>
    <t>4.057</t>
  </si>
  <si>
    <t>15.552</t>
  </si>
  <si>
    <t>23.901</t>
  </si>
  <si>
    <t>17.509</t>
  </si>
  <si>
    <t>13.736</t>
  </si>
  <si>
    <t>16.444</t>
  </si>
  <si>
    <t>10.487</t>
  </si>
  <si>
    <t>8.719</t>
  </si>
  <si>
    <t>6.802</t>
  </si>
  <si>
    <t>8.545</t>
  </si>
  <si>
    <t>5.384</t>
  </si>
  <si>
    <t>7.576</t>
  </si>
  <si>
    <t>6.573</t>
  </si>
  <si>
    <t>5.538</t>
  </si>
  <si>
    <t>7.466</t>
  </si>
  <si>
    <t>7.057</t>
  </si>
  <si>
    <t>7.636</t>
  </si>
  <si>
    <t>5.362</t>
  </si>
  <si>
    <t>7.523</t>
  </si>
  <si>
    <t>7.034</t>
  </si>
  <si>
    <t>2.081</t>
  </si>
  <si>
    <t>27.678</t>
  </si>
  <si>
    <t>1.821</t>
  </si>
  <si>
    <t>2021-01-26 09:55:41</t>
  </si>
  <si>
    <t>4.313</t>
  </si>
  <si>
    <t>6.434</t>
  </si>
  <si>
    <t>5.446</t>
  </si>
  <si>
    <t>2021-01-26 09:52:44</t>
  </si>
  <si>
    <t>4.517</t>
  </si>
  <si>
    <t>6.688</t>
  </si>
  <si>
    <t>11.091</t>
  </si>
  <si>
    <t>29.944</t>
  </si>
  <si>
    <t>5.37</t>
  </si>
  <si>
    <t>4.652</t>
  </si>
  <si>
    <t>5.877</t>
  </si>
  <si>
    <t>7.285</t>
  </si>
  <si>
    <t>6.569</t>
  </si>
  <si>
    <t>11.446</t>
  </si>
  <si>
    <t>5.664</t>
  </si>
  <si>
    <t>11.046</t>
  </si>
  <si>
    <t>6.5</t>
  </si>
  <si>
    <t>9.276</t>
  </si>
  <si>
    <t>Ηλεκτρικά εργαλεία,Σφυρίχτρα / κόρνα/ σειρήνα</t>
  </si>
  <si>
    <t>20.056</t>
  </si>
  <si>
    <t>14.007</t>
  </si>
  <si>
    <t>95</t>
  </si>
  <si>
    <t>12.693</t>
  </si>
  <si>
    <t>13.161</t>
  </si>
  <si>
    <t>2.93</t>
  </si>
  <si>
    <t>57.741</t>
  </si>
  <si>
    <t>7.621</t>
  </si>
  <si>
    <t>18.626</t>
  </si>
  <si>
    <t>5.418</t>
  </si>
  <si>
    <t>20.177</t>
  </si>
  <si>
    <t>11.21</t>
  </si>
  <si>
    <t>9.076</t>
  </si>
  <si>
    <t>10.19</t>
  </si>
  <si>
    <t>12.582</t>
  </si>
  <si>
    <t>11.748</t>
  </si>
  <si>
    <t>6.967</t>
  </si>
  <si>
    <t>4.806</t>
  </si>
  <si>
    <t>11.562</t>
  </si>
  <si>
    <t>7.699</t>
  </si>
  <si>
    <t>5.094</t>
  </si>
  <si>
    <t>7.515</t>
  </si>
  <si>
    <t>5.103</t>
  </si>
  <si>
    <t>7.553</t>
  </si>
  <si>
    <t>7.798</t>
  </si>
  <si>
    <t>7.339</t>
  </si>
  <si>
    <t>2.841</t>
  </si>
  <si>
    <t>3.313</t>
  </si>
  <si>
    <t>3.881</t>
  </si>
  <si>
    <t>5.227</t>
  </si>
  <si>
    <t>7.796</t>
  </si>
  <si>
    <t>3.326</t>
  </si>
  <si>
    <t>10.773</t>
  </si>
  <si>
    <t>4.887</t>
  </si>
  <si>
    <t>2021-01-26 09:46:05</t>
  </si>
  <si>
    <t>5.946</t>
  </si>
  <si>
    <t>9.971</t>
  </si>
  <si>
    <t>18.258</t>
  </si>
  <si>
    <t>2021-01-26 09:44:25</t>
  </si>
  <si>
    <t>5.016</t>
  </si>
  <si>
    <t>11.383</t>
  </si>
  <si>
    <t>11.079</t>
  </si>
  <si>
    <t>2021-01-24 09:49:31</t>
  </si>
  <si>
    <t>5.528</t>
  </si>
  <si>
    <t>7.662</t>
  </si>
  <si>
    <t>4.19</t>
  </si>
  <si>
    <t>3.323</t>
  </si>
  <si>
    <t>4.836</t>
  </si>
  <si>
    <t>4.974</t>
  </si>
  <si>
    <t>3.705</t>
  </si>
  <si>
    <t>11.357</t>
  </si>
  <si>
    <t>5.198</t>
  </si>
  <si>
    <t>5.856</t>
  </si>
  <si>
    <t>4.275</t>
  </si>
  <si>
    <t>5.942</t>
  </si>
  <si>
    <t>Πλήθη / μεγάλες συγκεντρώσεις,Μωρό που κλαίει / παιδιά που φωνάζουν,Φωνές υψηλής συχνότητας / κραυγές,Μουσική,Ηλεκτρικά εργαλεία,Εστιατόρια,Αθλητικές εκδηλώσεις</t>
  </si>
  <si>
    <t>24.04</t>
  </si>
  <si>
    <t>Κάθε 10 ημέρες</t>
  </si>
  <si>
    <t>25.935</t>
  </si>
  <si>
    <t>16.044</t>
  </si>
  <si>
    <t>6.423</t>
  </si>
  <si>
    <t>2.705</t>
  </si>
  <si>
    <t>100.902</t>
  </si>
  <si>
    <t>4.207</t>
  </si>
  <si>
    <t>20.576</t>
  </si>
  <si>
    <t>5.415</t>
  </si>
  <si>
    <t>21.836</t>
  </si>
  <si>
    <t>15.18</t>
  </si>
  <si>
    <t>11.448</t>
  </si>
  <si>
    <t>19.112</t>
  </si>
  <si>
    <t>8.009</t>
  </si>
  <si>
    <t>8.207</t>
  </si>
  <si>
    <t>7.053</t>
  </si>
  <si>
    <t>6.831</t>
  </si>
  <si>
    <t>6.678</t>
  </si>
  <si>
    <t>6.965</t>
  </si>
  <si>
    <t>6.456</t>
  </si>
  <si>
    <t>6.954</t>
  </si>
  <si>
    <t>8.066</t>
  </si>
  <si>
    <t>5.68</t>
  </si>
  <si>
    <t>7.86</t>
  </si>
  <si>
    <t>7.26</t>
  </si>
  <si>
    <t>5.291</t>
  </si>
  <si>
    <t>4.374</t>
  </si>
  <si>
    <t>6.219</t>
  </si>
  <si>
    <t>6.663</t>
  </si>
  <si>
    <t>4.803</t>
  </si>
  <si>
    <t>8.327</t>
  </si>
  <si>
    <t>7.824</t>
  </si>
  <si>
    <t>9.383</t>
  </si>
  <si>
    <t>5.342</t>
  </si>
  <si>
    <t>2.223</t>
  </si>
  <si>
    <t>2021-01-23 08:18:03</t>
  </si>
  <si>
    <t>22.241</t>
  </si>
  <si>
    <t>17.732</t>
  </si>
  <si>
    <t>34.902</t>
  </si>
  <si>
    <t>14.456</t>
  </si>
  <si>
    <t>4.377</t>
  </si>
  <si>
    <t>3.21</t>
  </si>
  <si>
    <t>2.94</t>
  </si>
  <si>
    <t>3.784</t>
  </si>
  <si>
    <t>3.182</t>
  </si>
  <si>
    <t>4.408</t>
  </si>
  <si>
    <t>26.806</t>
  </si>
  <si>
    <t>12.158</t>
  </si>
  <si>
    <t>13.237</t>
  </si>
  <si>
    <t>4.335</t>
  </si>
  <si>
    <t>20.152</t>
  </si>
  <si>
    <t>Μωρό που κλαίει / παιδιά που φωνάζουν,Πλήθη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ραδιόφωνο,Σφυρίχτρα / κόρνα/ σειρήνα,Ηλεκτρική σκούπα</t>
  </si>
  <si>
    <t>29.123</t>
  </si>
  <si>
    <t>12</t>
  </si>
  <si>
    <t>16.714</t>
  </si>
  <si>
    <t>12.098</t>
  </si>
  <si>
    <t>11.231</t>
  </si>
  <si>
    <t>4.71</t>
  </si>
  <si>
    <t>126.145</t>
  </si>
  <si>
    <t>7.984</t>
  </si>
  <si>
    <t>82.79</t>
  </si>
  <si>
    <t>15.364</t>
  </si>
  <si>
    <t>20.597</t>
  </si>
  <si>
    <t>36.296</t>
  </si>
  <si>
    <t>28.666</t>
  </si>
  <si>
    <t>12.559</t>
  </si>
  <si>
    <t>19.161</t>
  </si>
  <si>
    <t>10.074</t>
  </si>
  <si>
    <t>15.793</t>
  </si>
  <si>
    <t>13.321</t>
  </si>
  <si>
    <t>26.818</t>
  </si>
  <si>
    <t>13.948</t>
  </si>
  <si>
    <t>16.517</t>
  </si>
  <si>
    <t>13.33</t>
  </si>
  <si>
    <t>12.714</t>
  </si>
  <si>
    <t>16.092</t>
  </si>
  <si>
    <t>9.448</t>
  </si>
  <si>
    <t>19.353</t>
  </si>
  <si>
    <t>71.563</t>
  </si>
  <si>
    <t>5.724</t>
  </si>
  <si>
    <t>14.815</t>
  </si>
  <si>
    <t>3.732</t>
  </si>
  <si>
    <t>7.324</t>
  </si>
  <si>
    <t>3.807</t>
  </si>
  <si>
    <t>2021-01-22 22:28:50</t>
  </si>
  <si>
    <t>3.329</t>
  </si>
  <si>
    <t>7.042</t>
  </si>
  <si>
    <t>3.455</t>
  </si>
  <si>
    <t>13.796</t>
  </si>
  <si>
    <t>3.951</t>
  </si>
  <si>
    <t>5.121</t>
  </si>
  <si>
    <t>7.749</t>
  </si>
  <si>
    <t>Sibelium</t>
  </si>
  <si>
    <t>21.866</t>
  </si>
  <si>
    <t>9.105</t>
  </si>
  <si>
    <t>7.55</t>
  </si>
  <si>
    <t>5.366</t>
  </si>
  <si>
    <t>7.557</t>
  </si>
  <si>
    <t>Μουσική,Πιάτα που στοιβάζονται,Ηλεκτρικά εργαλεία,Σφυρίχτρα / κόρνα/ σειρήνα</t>
  </si>
  <si>
    <t>29.894</t>
  </si>
  <si>
    <t>8.442</t>
  </si>
  <si>
    <t>10.798</t>
  </si>
  <si>
    <t>3.073</t>
  </si>
  <si>
    <t>Razer</t>
  </si>
  <si>
    <t>47.483</t>
  </si>
  <si>
    <t>3.441</t>
  </si>
  <si>
    <t>21.481</t>
  </si>
  <si>
    <t>22.657</t>
  </si>
  <si>
    <t>22.003</t>
  </si>
  <si>
    <t>76.405</t>
  </si>
  <si>
    <t>12.838</t>
  </si>
  <si>
    <t>16.892</t>
  </si>
  <si>
    <t>10.705</t>
  </si>
  <si>
    <t>21.118</t>
  </si>
  <si>
    <t>19.405</t>
  </si>
  <si>
    <t>7.182</t>
  </si>
  <si>
    <t>13.42</t>
  </si>
  <si>
    <t>13.509</t>
  </si>
  <si>
    <t>29.874</t>
  </si>
  <si>
    <t>10.837</t>
  </si>
  <si>
    <t>6.1</t>
  </si>
  <si>
    <t>80.6</t>
  </si>
  <si>
    <t>15.423</t>
  </si>
  <si>
    <t>14.422</t>
  </si>
  <si>
    <t>35.418</t>
  </si>
  <si>
    <t>9.352</t>
  </si>
  <si>
    <t>8.891</t>
  </si>
  <si>
    <t>10.691</t>
  </si>
  <si>
    <t>11.184</t>
  </si>
  <si>
    <t>13.798</t>
  </si>
  <si>
    <t>20.299</t>
  </si>
  <si>
    <t>4.119</t>
  </si>
  <si>
    <t>2021-01-22 03:15:16</t>
  </si>
  <si>
    <t>10.424</t>
  </si>
  <si>
    <t>5.152</t>
  </si>
  <si>
    <t>5.246</t>
  </si>
  <si>
    <t>6.379</t>
  </si>
  <si>
    <t>4.34</t>
  </si>
  <si>
    <t>4.508</t>
  </si>
  <si>
    <t>10.751</t>
  </si>
  <si>
    <t>6.138</t>
  </si>
  <si>
    <t>Ponstan</t>
  </si>
  <si>
    <t>19.637</t>
  </si>
  <si>
    <t>12.884</t>
  </si>
  <si>
    <t>7.389</t>
  </si>
  <si>
    <t>5.961</t>
  </si>
  <si>
    <t>6.427</t>
  </si>
  <si>
    <t>18.723</t>
  </si>
  <si>
    <t>Μωρό που κλαίει / παιδιά που φωνάζουν,Φωνές υψηλής συχνότητας / κραυγές,Ηλεκτρικά εργαλεία,Σφυρίχτρα / κόρνα/ σειρήνα,Πιάτα που στοιβάζονται,Πλήθη / μεγάλες συγκεντρώσεις</t>
  </si>
  <si>
    <t>34.813</t>
  </si>
  <si>
    <t>12.3</t>
  </si>
  <si>
    <t>15.842</t>
  </si>
  <si>
    <t>MΔ</t>
  </si>
  <si>
    <t>62.347</t>
  </si>
  <si>
    <t>10.322</t>
  </si>
  <si>
    <t>37.538</t>
  </si>
  <si>
    <t>4.853</t>
  </si>
  <si>
    <t>24.173</t>
  </si>
  <si>
    <t>13.703</t>
  </si>
  <si>
    <t>15.353</t>
  </si>
  <si>
    <t>14.932</t>
  </si>
  <si>
    <t>13.012</t>
  </si>
  <si>
    <t>14.426</t>
  </si>
  <si>
    <t>11.147</t>
  </si>
  <si>
    <t>13.574</t>
  </si>
  <si>
    <t>14.662</t>
  </si>
  <si>
    <t>12.698</t>
  </si>
  <si>
    <t>11.366</t>
  </si>
  <si>
    <t>12.092</t>
  </si>
  <si>
    <t>23.711</t>
  </si>
  <si>
    <t>16.882</t>
  </si>
  <si>
    <t>12.135</t>
  </si>
  <si>
    <t>8.675</t>
  </si>
  <si>
    <t>7.454</t>
  </si>
  <si>
    <t>9.041</t>
  </si>
  <si>
    <t>10.556</t>
  </si>
  <si>
    <t>12.794</t>
  </si>
  <si>
    <t>14.305</t>
  </si>
  <si>
    <t>8.384</t>
  </si>
  <si>
    <t>3.267</t>
  </si>
  <si>
    <t>4.107</t>
  </si>
  <si>
    <t>3.25</t>
  </si>
  <si>
    <t>2021-01-21 02:01:18</t>
  </si>
  <si>
    <t>58.403</t>
  </si>
  <si>
    <t>7.288</t>
  </si>
  <si>
    <t>16.48</t>
  </si>
  <si>
    <t>26.966</t>
  </si>
  <si>
    <t>11.503</t>
  </si>
  <si>
    <t>6.387</t>
  </si>
  <si>
    <t>11</t>
  </si>
  <si>
    <t>8.64</t>
  </si>
  <si>
    <t>6.121</t>
  </si>
  <si>
    <t>6.812</t>
  </si>
  <si>
    <t>6.142</t>
  </si>
  <si>
    <t>Μετά από ημικρανία,Κατά τη διάρκεια της ημικρανίας,Πριν από μια ημικρανία</t>
  </si>
  <si>
    <t>16.084</t>
  </si>
  <si>
    <t>Μωρό που κλαίει / παιδιά που φωνάζουν,Πλήθη / μεγάλες συγκεντρώσεις,Πιάτα που στοιβάζονται,Φωνές υψηλής συχνότητας / κραυγές,Ηλεκτρικά εργαλεία,Εστιατόρια,Αθλητικές εκδηλώσεις,Κουδούνισμα τηλεφώνου,Σφυρίχτρα / κόρνα/ σειρήνα</t>
  </si>
  <si>
    <t>23.351</t>
  </si>
  <si>
    <t>9.357</t>
  </si>
  <si>
    <t>8.546</t>
  </si>
  <si>
    <t>7.327</t>
  </si>
  <si>
    <t>119.876</t>
  </si>
  <si>
    <t>14.659</t>
  </si>
  <si>
    <t>32.818</t>
  </si>
  <si>
    <t>25.307</t>
  </si>
  <si>
    <t>35.266</t>
  </si>
  <si>
    <t>22.013</t>
  </si>
  <si>
    <t>14.982</t>
  </si>
  <si>
    <t>15.393</t>
  </si>
  <si>
    <t>12.719</t>
  </si>
  <si>
    <t>18.057</t>
  </si>
  <si>
    <t>11.138</t>
  </si>
  <si>
    <t>13.306</t>
  </si>
  <si>
    <t>12.385</t>
  </si>
  <si>
    <t>6.769</t>
  </si>
  <si>
    <t>13.146</t>
  </si>
  <si>
    <t>9.26</t>
  </si>
  <si>
    <t>11.282</t>
  </si>
  <si>
    <t>7.581</t>
  </si>
  <si>
    <t>12.516</t>
  </si>
  <si>
    <t>10.965</t>
  </si>
  <si>
    <t>13.464</t>
  </si>
  <si>
    <t>9.132</t>
  </si>
  <si>
    <t>5.676</t>
  </si>
  <si>
    <t>5.871</t>
  </si>
  <si>
    <t>10.765</t>
  </si>
  <si>
    <t>10.154</t>
  </si>
  <si>
    <t>10.189</t>
  </si>
  <si>
    <t>8.2</t>
  </si>
  <si>
    <t>71.104</t>
  </si>
  <si>
    <t>5.481</t>
  </si>
  <si>
    <t>2021-01-20 16:49:59</t>
  </si>
  <si>
    <t>6.946</t>
  </si>
  <si>
    <t>58.364</t>
  </si>
  <si>
    <t>11.546</t>
  </si>
  <si>
    <t>13.945</t>
  </si>
  <si>
    <t>14.95</t>
  </si>
  <si>
    <t>6.754</t>
  </si>
  <si>
    <t>8.264</t>
  </si>
  <si>
    <t>6.439</t>
  </si>
  <si>
    <t>24.602</t>
  </si>
  <si>
    <t>27.431</t>
  </si>
  <si>
    <t>20.115</t>
  </si>
  <si>
    <t>13.405</t>
  </si>
  <si>
    <t>46.086</t>
  </si>
  <si>
    <t>Μ/δ</t>
  </si>
  <si>
    <t>131.78</t>
  </si>
  <si>
    <t>34.336</t>
  </si>
  <si>
    <t>33.871</t>
  </si>
  <si>
    <t>41.697</t>
  </si>
  <si>
    <t>25.528</t>
  </si>
  <si>
    <t>33.084</t>
  </si>
  <si>
    <t>33.65</t>
  </si>
  <si>
    <t>25.126</t>
  </si>
  <si>
    <t>19.349</t>
  </si>
  <si>
    <t>18.462</t>
  </si>
  <si>
    <t>26.171</t>
  </si>
  <si>
    <t>16.208</t>
  </si>
  <si>
    <t>15.747</t>
  </si>
  <si>
    <t>16.964</t>
  </si>
  <si>
    <t>14.271</t>
  </si>
  <si>
    <t>7.386</t>
  </si>
  <si>
    <t>16.232</t>
  </si>
  <si>
    <t>15.037</t>
  </si>
  <si>
    <t>13.747</t>
  </si>
  <si>
    <t>13.804</t>
  </si>
  <si>
    <t>15.905</t>
  </si>
  <si>
    <t>9.551</t>
  </si>
  <si>
    <t>18.417</t>
  </si>
  <si>
    <t>9.381</t>
  </si>
  <si>
    <t>18.193</t>
  </si>
  <si>
    <t>15.788</t>
  </si>
  <si>
    <t>2021-01-20 16:45:21</t>
  </si>
  <si>
    <t>3.364</t>
  </si>
  <si>
    <t>80.925</t>
  </si>
  <si>
    <t>19.733</t>
  </si>
  <si>
    <t>3.699</t>
  </si>
  <si>
    <t>4.3</t>
  </si>
  <si>
    <t>9.372</t>
  </si>
  <si>
    <t>6.154</t>
  </si>
  <si>
    <t>20.171</t>
  </si>
  <si>
    <t>12-14</t>
  </si>
  <si>
    <t>10.484</t>
  </si>
  <si>
    <t>14.028</t>
  </si>
  <si>
    <t>2.037</t>
  </si>
  <si>
    <t>jbl 40t</t>
  </si>
  <si>
    <t>127.157</t>
  </si>
  <si>
    <t>21.418</t>
  </si>
  <si>
    <t>44.529</t>
  </si>
  <si>
    <t>35.922</t>
  </si>
  <si>
    <t>62.799</t>
  </si>
  <si>
    <t>36.169</t>
  </si>
  <si>
    <t>35.731</t>
  </si>
  <si>
    <t>18.53</t>
  </si>
  <si>
    <t>22.482</t>
  </si>
  <si>
    <t>19.383</t>
  </si>
  <si>
    <t>17.032</t>
  </si>
  <si>
    <t>16.043</t>
  </si>
  <si>
    <t>22.792</t>
  </si>
  <si>
    <t>8.664</t>
  </si>
  <si>
    <t>9.19</t>
  </si>
  <si>
    <t>11.037</t>
  </si>
  <si>
    <t>13.68</t>
  </si>
  <si>
    <t>11.859</t>
  </si>
  <si>
    <t>11.386</t>
  </si>
  <si>
    <t>6.807</t>
  </si>
  <si>
    <t>3.892</t>
  </si>
  <si>
    <t>5.323</t>
  </si>
  <si>
    <t>7.92</t>
  </si>
  <si>
    <t>6.997</t>
  </si>
  <si>
    <t>5.545</t>
  </si>
  <si>
    <t>1.598</t>
  </si>
  <si>
    <t>23.389</t>
  </si>
  <si>
    <t>1.467</t>
  </si>
  <si>
    <t>2021-01-20 09:57:41</t>
  </si>
  <si>
    <t>8.276</t>
  </si>
  <si>
    <t>5.581</t>
  </si>
  <si>
    <t>10.55</t>
  </si>
  <si>
    <t>8.622</t>
  </si>
  <si>
    <t>19.337</t>
  </si>
  <si>
    <t>3.9</t>
  </si>
  <si>
    <t>3.282</t>
  </si>
  <si>
    <t>7.661</t>
  </si>
  <si>
    <t>3.34</t>
  </si>
  <si>
    <t>1.982</t>
  </si>
  <si>
    <t>Μονοκλωνικά αντισώματα</t>
  </si>
  <si>
    <t>20.169</t>
  </si>
  <si>
    <t>10.236</t>
  </si>
  <si>
    <t>5.763</t>
  </si>
  <si>
    <t>10.058</t>
  </si>
  <si>
    <t>Πλήθη / μεγάλες συγκεντρώσεις,Κουδούνισμα τηλεφώνου,Ηλεκτρική σκούπα,Σφυρίχτρα / κόρνα/ σειρήνα,Φωνές υψηλής συχνότητας / κραυγές,Ηλεκτρικά εργαλεία</t>
  </si>
  <si>
    <t>35</t>
  </si>
  <si>
    <t>10.379</t>
  </si>
  <si>
    <t>4.391</t>
  </si>
  <si>
    <t>2.221</t>
  </si>
  <si>
    <t>123.438</t>
  </si>
  <si>
    <t>10.036</t>
  </si>
  <si>
    <t>24.97</t>
  </si>
  <si>
    <t>17.527</t>
  </si>
  <si>
    <t>28.478</t>
  </si>
  <si>
    <t>14.562</t>
  </si>
  <si>
    <t>25.934</t>
  </si>
  <si>
    <t>11.159</t>
  </si>
  <si>
    <t>15.03</t>
  </si>
  <si>
    <t>12.592</t>
  </si>
  <si>
    <t>13.711</t>
  </si>
  <si>
    <t>13.332</t>
  </si>
  <si>
    <t>10.863</t>
  </si>
  <si>
    <t>10.188</t>
  </si>
  <si>
    <t>7.682</t>
  </si>
  <si>
    <t>9.236</t>
  </si>
  <si>
    <t>17.063</t>
  </si>
  <si>
    <t>5.864</t>
  </si>
  <si>
    <t>12.157</t>
  </si>
  <si>
    <t>8.585</t>
  </si>
  <si>
    <t>8.116</t>
  </si>
  <si>
    <t>6.823</t>
  </si>
  <si>
    <t>5.799</t>
  </si>
  <si>
    <t>8.652</t>
  </si>
  <si>
    <t>15.461</t>
  </si>
  <si>
    <t>10.67</t>
  </si>
  <si>
    <t>9.651</t>
  </si>
  <si>
    <t>11.825</t>
  </si>
  <si>
    <t>127.611</t>
  </si>
  <si>
    <t>2021-01-20 09:57:10</t>
  </si>
  <si>
    <t>2.447</t>
  </si>
  <si>
    <t>7.943</t>
  </si>
  <si>
    <t>3.428</t>
  </si>
  <si>
    <t>15.137</t>
  </si>
  <si>
    <t>2.91</t>
  </si>
  <si>
    <t>4.427</t>
  </si>
  <si>
    <t>3.046</t>
  </si>
  <si>
    <t>6.787</t>
  </si>
  <si>
    <t>5.007</t>
  </si>
  <si>
    <t>5.334</t>
  </si>
  <si>
    <t>4.497</t>
  </si>
  <si>
    <t>3.334</t>
  </si>
  <si>
    <t>Σκυλί που γαβγίζει,Κουδούνισμα τηλεφώνου,Φωνές υψηλής συχνότητας / κραυγές,Τηλεόραση / ραδιόφωνο,Ηλεκτρική σκούπα,Σφυρίχτρα / κόρνα/ σειρήνα,Αθλητικές εκδηλώσεις,Εστιατόρια,Ηλεκτρικά εργαλεία,Μουσική,Πλήθη / μεγάλες συγκεντρώσεις,Πιάτα που στοιβάζονται,Μωρό που κλαίει / παιδιά που φωνάζουν</t>
  </si>
  <si>
    <t>40.643</t>
  </si>
  <si>
    <t>5.439</t>
  </si>
  <si>
    <t>7.686</t>
  </si>
  <si>
    <t>1.796</t>
  </si>
  <si>
    <t>lg</t>
  </si>
  <si>
    <t>77.887</t>
  </si>
  <si>
    <t>6.872</t>
  </si>
  <si>
    <t>22.122</t>
  </si>
  <si>
    <t>7.885</t>
  </si>
  <si>
    <t>15.841</t>
  </si>
  <si>
    <t>10.688</t>
  </si>
  <si>
    <t>9.169</t>
  </si>
  <si>
    <t>9.599</t>
  </si>
  <si>
    <t>8.534</t>
  </si>
  <si>
    <t>11.749</t>
  </si>
  <si>
    <t>6.299</t>
  </si>
  <si>
    <t>14.999</t>
  </si>
  <si>
    <t>7.425</t>
  </si>
  <si>
    <t>5.614</t>
  </si>
  <si>
    <t>5.906</t>
  </si>
  <si>
    <t>5.396</t>
  </si>
  <si>
    <t>10.399</t>
  </si>
  <si>
    <t>5.641</t>
  </si>
  <si>
    <t>4.142</t>
  </si>
  <si>
    <t>5.237</t>
  </si>
  <si>
    <t>7.726</t>
  </si>
  <si>
    <t>5.457</t>
  </si>
  <si>
    <t>4.179</t>
  </si>
  <si>
    <t>4.229</t>
  </si>
  <si>
    <t>1.466</t>
  </si>
  <si>
    <t>3.107</t>
  </si>
  <si>
    <t>1.541</t>
  </si>
  <si>
    <t>2021-01-20 09:32:27</t>
  </si>
  <si>
    <t>10.327</t>
  </si>
  <si>
    <t>3.656</t>
  </si>
  <si>
    <t>11.806</t>
  </si>
  <si>
    <t>5.175</t>
  </si>
  <si>
    <t>2.61</t>
  </si>
  <si>
    <t>3.528</t>
  </si>
  <si>
    <t>3.344</t>
  </si>
  <si>
    <t>2.855</t>
  </si>
  <si>
    <t>ενδοφλεβια παυσιπονα</t>
  </si>
  <si>
    <t>29.119</t>
  </si>
  <si>
    <t>8.136</t>
  </si>
  <si>
    <t>3.655</t>
  </si>
  <si>
    <t>Φωνές υψηλής συχνότητας / κραυγές,Μουσική,Τηλεόραση / ραδιόφωνο,Κουδούνισμα τηλεφώνου</t>
  </si>
  <si>
    <t>27.456</t>
  </si>
  <si>
    <t>7.755</t>
  </si>
  <si>
    <t>1.897</t>
  </si>
  <si>
    <t>68.498</t>
  </si>
  <si>
    <t>5.317</t>
  </si>
  <si>
    <t>9.686</t>
  </si>
  <si>
    <t>27.224</t>
  </si>
  <si>
    <t>15.712</t>
  </si>
  <si>
    <t>14.072</t>
  </si>
  <si>
    <t>11.76</t>
  </si>
  <si>
    <t>11.929</t>
  </si>
  <si>
    <t>6.185</t>
  </si>
  <si>
    <t>5.807</t>
  </si>
  <si>
    <t>8.462</t>
  </si>
  <si>
    <t>8.639</t>
  </si>
  <si>
    <t>6.136</t>
  </si>
  <si>
    <t>6.246</t>
  </si>
  <si>
    <t>5.88</t>
  </si>
  <si>
    <t>4.233</t>
  </si>
  <si>
    <t>6.396</t>
  </si>
  <si>
    <t>6.457</t>
  </si>
  <si>
    <t>6.472</t>
  </si>
  <si>
    <t>13.103</t>
  </si>
  <si>
    <t>3.976</t>
  </si>
  <si>
    <t>4.6</t>
  </si>
  <si>
    <t>2021-01-20 09:29:41</t>
  </si>
  <si>
    <t>11.319</t>
  </si>
  <si>
    <t>2.824</t>
  </si>
  <si>
    <t>26.469</t>
  </si>
  <si>
    <t>3.924</t>
  </si>
  <si>
    <t>3.671</t>
  </si>
  <si>
    <t>4.007</t>
  </si>
  <si>
    <t>3.752</t>
  </si>
  <si>
    <t>3.768</t>
  </si>
  <si>
    <t>3.391</t>
  </si>
  <si>
    <t>14.101</t>
  </si>
  <si>
    <t>6.013</t>
  </si>
  <si>
    <t>6.74</t>
  </si>
  <si>
    <t>4.342</t>
  </si>
  <si>
    <t>8.775</t>
  </si>
  <si>
    <t>Πλήθη / μεγάλες συγκεντρώσεις,Τηλεόραση / ραδιόφωνο,Ηλεκτρική σκούπα,Σφυρίχτρα / κόρνα/ σειρήνα,Ηλεκτρικά εργαλεία,Φωνές υψηλής συχνότητας / κραυγές,Πιάτα που στοιβάζονται,Αθλητικές εκδηλώσεις</t>
  </si>
  <si>
    <t>38.69</t>
  </si>
  <si>
    <t>6.672</t>
  </si>
  <si>
    <t>Jabra modelen010</t>
  </si>
  <si>
    <t>167.664</t>
  </si>
  <si>
    <t>5.444</t>
  </si>
  <si>
    <t>20.012</t>
  </si>
  <si>
    <t>41.073</t>
  </si>
  <si>
    <t>33.446</t>
  </si>
  <si>
    <t>23.142</t>
  </si>
  <si>
    <t>10.054</t>
  </si>
  <si>
    <t>21.978</t>
  </si>
  <si>
    <t>8.443</t>
  </si>
  <si>
    <t>10.408</t>
  </si>
  <si>
    <t>6.564</t>
  </si>
  <si>
    <t>13.795</t>
  </si>
  <si>
    <t>11.455</t>
  </si>
  <si>
    <t>12.295</t>
  </si>
  <si>
    <t>13.912</t>
  </si>
  <si>
    <t>17.165</t>
  </si>
  <si>
    <t>7.8</t>
  </si>
  <si>
    <t>7.779</t>
  </si>
  <si>
    <t>8.943</t>
  </si>
  <si>
    <t>10.922</t>
  </si>
  <si>
    <t>16.138</t>
  </si>
  <si>
    <t>6.821</t>
  </si>
  <si>
    <t>6.677</t>
  </si>
  <si>
    <t>14.721</t>
  </si>
  <si>
    <t>15.973</t>
  </si>
  <si>
    <t>11.318</t>
  </si>
  <si>
    <t>1.951</t>
  </si>
  <si>
    <t>72.952</t>
  </si>
  <si>
    <t>2.526</t>
  </si>
  <si>
    <t>2021-01-19 19:10:21</t>
  </si>
  <si>
    <t>4.409</t>
  </si>
  <si>
    <t>7.474</t>
  </si>
  <si>
    <t>16.181</t>
  </si>
  <si>
    <t>10.381</t>
  </si>
  <si>
    <t>5.964</t>
  </si>
  <si>
    <t>10.086</t>
  </si>
  <si>
    <t>9.694</t>
  </si>
  <si>
    <t>6.24</t>
  </si>
  <si>
    <t>6.764</t>
  </si>
  <si>
    <t>15.694</t>
  </si>
  <si>
    <t>202.039</t>
  </si>
  <si>
    <t>8.441</t>
  </si>
  <si>
    <t>53.772</t>
  </si>
  <si>
    <t>13.437</t>
  </si>
  <si>
    <t>47.797</t>
  </si>
  <si>
    <t>32.112</t>
  </si>
  <si>
    <t>30.033</t>
  </si>
  <si>
    <t>23.528</t>
  </si>
  <si>
    <t>22.095</t>
  </si>
  <si>
    <t>28.077</t>
  </si>
  <si>
    <t>30.734</t>
  </si>
  <si>
    <t>19.935</t>
  </si>
  <si>
    <t>18.564</t>
  </si>
  <si>
    <t>16.279</t>
  </si>
  <si>
    <t>17.953</t>
  </si>
  <si>
    <t>27.586</t>
  </si>
  <si>
    <t>28.825</t>
  </si>
  <si>
    <t>16.091</t>
  </si>
  <si>
    <t>17.653</t>
  </si>
  <si>
    <t>20.581</t>
  </si>
  <si>
    <t>22.17</t>
  </si>
  <si>
    <t>19.871</t>
  </si>
  <si>
    <t>24.188</t>
  </si>
  <si>
    <t>20.502</t>
  </si>
  <si>
    <t>17.145</t>
  </si>
  <si>
    <t>21.094</t>
  </si>
  <si>
    <t>16.156</t>
  </si>
  <si>
    <t>18.255</t>
  </si>
  <si>
    <t>18.975</t>
  </si>
  <si>
    <t>16.395</t>
  </si>
  <si>
    <t>11.823</t>
  </si>
  <si>
    <t>2021-01-19 16:53:46</t>
  </si>
  <si>
    <t>10.923</t>
  </si>
  <si>
    <t>15.211</t>
  </si>
  <si>
    <t>11.248</t>
  </si>
  <si>
    <t>13.613</t>
  </si>
  <si>
    <t>15.834</t>
  </si>
  <si>
    <t>7.171</t>
  </si>
  <si>
    <t>3.915</t>
  </si>
  <si>
    <t>9.315</t>
  </si>
  <si>
    <t>4.839</t>
  </si>
  <si>
    <t>Relpax +Naprocin</t>
  </si>
  <si>
    <t>39.001</t>
  </si>
  <si>
    <t>24.55</t>
  </si>
  <si>
    <t>6.724</t>
  </si>
  <si>
    <t>8.354</t>
  </si>
  <si>
    <t>Τηλεόραση / ραδιόφωνο</t>
  </si>
  <si>
    <t>13.216</t>
  </si>
  <si>
    <t>5.825</t>
  </si>
  <si>
    <t>55</t>
  </si>
  <si>
    <t>8.738</t>
  </si>
  <si>
    <t>6.877</t>
  </si>
  <si>
    <t>7.536</t>
  </si>
  <si>
    <t>Huawei</t>
  </si>
  <si>
    <t>62.642</t>
  </si>
  <si>
    <t>12.238</t>
  </si>
  <si>
    <t>26.912</t>
  </si>
  <si>
    <t>21.449</t>
  </si>
  <si>
    <t>25.114</t>
  </si>
  <si>
    <t>14.541</t>
  </si>
  <si>
    <t>13.745</t>
  </si>
  <si>
    <t>15.421</t>
  </si>
  <si>
    <t>12.336</t>
  </si>
  <si>
    <t>16.068</t>
  </si>
  <si>
    <t>10.298</t>
  </si>
  <si>
    <t>10.326</t>
  </si>
  <si>
    <t>10.671</t>
  </si>
  <si>
    <t>7.794</t>
  </si>
  <si>
    <t>7.717</t>
  </si>
  <si>
    <t>6.675</t>
  </si>
  <si>
    <t>5.814</t>
  </si>
  <si>
    <t>7.151</t>
  </si>
  <si>
    <t>5.646</t>
  </si>
  <si>
    <t>4.956</t>
  </si>
  <si>
    <t>4.661</t>
  </si>
  <si>
    <t>9.554</t>
  </si>
  <si>
    <t>13.313</t>
  </si>
  <si>
    <t>5.039</t>
  </si>
  <si>
    <t>2021-01-19 11:25:14</t>
  </si>
  <si>
    <t>3.554</t>
  </si>
  <si>
    <t>33.167</t>
  </si>
  <si>
    <t>24.736</t>
  </si>
  <si>
    <t>29.573</t>
  </si>
  <si>
    <t>30.541</t>
  </si>
  <si>
    <t>5.938</t>
  </si>
  <si>
    <t>Crustal</t>
  </si>
  <si>
    <t>72.79</t>
  </si>
  <si>
    <t>15.504</t>
  </si>
  <si>
    <t>38.177</t>
  </si>
  <si>
    <t>5.278</t>
  </si>
  <si>
    <t>24.048</t>
  </si>
  <si>
    <t>105.068</t>
  </si>
  <si>
    <t>7.118</t>
  </si>
  <si>
    <t>5.566</t>
  </si>
  <si>
    <t>3.775</t>
  </si>
  <si>
    <t>3.85</t>
  </si>
  <si>
    <t>3.026</t>
  </si>
  <si>
    <t>3.034</t>
  </si>
  <si>
    <t>2.829</t>
  </si>
  <si>
    <t>2.879</t>
  </si>
  <si>
    <t>2.84</t>
  </si>
  <si>
    <t>5.713</t>
  </si>
  <si>
    <t>3.045</t>
  </si>
  <si>
    <t>2.56</t>
  </si>
  <si>
    <t>2.639</t>
  </si>
  <si>
    <t>3.716</t>
  </si>
  <si>
    <t>2.763</t>
  </si>
  <si>
    <t>98.948</t>
  </si>
  <si>
    <t>3.104</t>
  </si>
  <si>
    <t>3.145</t>
  </si>
  <si>
    <t>2.563</t>
  </si>
  <si>
    <t>22.704</t>
  </si>
  <si>
    <t>2021-01-17 18:51:22</t>
  </si>
  <si>
    <t>23.043</t>
  </si>
  <si>
    <t>5.855</t>
  </si>
  <si>
    <t>6.973</t>
  </si>
  <si>
    <t>31.766</t>
  </si>
  <si>
    <t>4.834</t>
  </si>
  <si>
    <t>3.741</t>
  </si>
  <si>
    <t>139.664</t>
  </si>
  <si>
    <t>29.568</t>
  </si>
  <si>
    <t>8.067</t>
  </si>
  <si>
    <t>Μωρό που κλαίει / παιδιά που φωνάζουν,Πλήθη / μεγάλες συγκεντρώσεις,Πιάτα που στοιβάζονται,Φωνές υψηλής συχνότητας / κραυγές,Μουσική,Ηλεκτρικά εργαλεία,Σκυλί που γαβγίζει,Εστιατόρια,Αθλητικές εκδηλώσεις,Κουδούνισμα τηλεφώνου,Τηλεόραση / ραδιόφωνο,Ηλεκτρική σκούπα,Σφυρίχτρα / κόρνα/ σειρήνα</t>
  </si>
  <si>
    <t>33.601</t>
  </si>
  <si>
    <t>7-10</t>
  </si>
  <si>
    <t>10.055</t>
  </si>
  <si>
    <t>9.2</t>
  </si>
  <si>
    <t>4.153</t>
  </si>
  <si>
    <t>209.733</t>
  </si>
  <si>
    <t>11.123</t>
  </si>
  <si>
    <t>25.878</t>
  </si>
  <si>
    <t>28.404</t>
  </si>
  <si>
    <t>31.825</t>
  </si>
  <si>
    <t>13.657</t>
  </si>
  <si>
    <t>15.173</t>
  </si>
  <si>
    <t>12.189</t>
  </si>
  <si>
    <t>8.239</t>
  </si>
  <si>
    <t>10.92</t>
  </si>
  <si>
    <t>10.092</t>
  </si>
  <si>
    <t>16.226</t>
  </si>
  <si>
    <t>9.497</t>
  </si>
  <si>
    <t>8.597</t>
  </si>
  <si>
    <t>9.199</t>
  </si>
  <si>
    <t>11.724</t>
  </si>
  <si>
    <t>9.796</t>
  </si>
  <si>
    <t>8.99</t>
  </si>
  <si>
    <t>7.232</t>
  </si>
  <si>
    <t>8.336</t>
  </si>
  <si>
    <t>7.676</t>
  </si>
  <si>
    <t>6.045</t>
  </si>
  <si>
    <t>11.595</t>
  </si>
  <si>
    <t>11.015</t>
  </si>
  <si>
    <t>8.97</t>
  </si>
  <si>
    <t>88.243</t>
  </si>
  <si>
    <t>3.012</t>
  </si>
  <si>
    <t>2021-01-17 08:54:27</t>
  </si>
  <si>
    <t>6.903</t>
  </si>
  <si>
    <t>6.539</t>
  </si>
  <si>
    <t>4.877</t>
  </si>
  <si>
    <t>18.356</t>
  </si>
  <si>
    <t>3.926</t>
  </si>
  <si>
    <t>4.873</t>
  </si>
  <si>
    <t>4.322</t>
  </si>
  <si>
    <t>forever bhs-100</t>
  </si>
  <si>
    <t>149.056</t>
  </si>
  <si>
    <t>7.287</t>
  </si>
  <si>
    <t>24.195</t>
  </si>
  <si>
    <t>22.554</t>
  </si>
  <si>
    <t>31.816</t>
  </si>
  <si>
    <t>20.628</t>
  </si>
  <si>
    <t>11.127</t>
  </si>
  <si>
    <t>7.612</t>
  </si>
  <si>
    <t>9.151</t>
  </si>
  <si>
    <t>8.12</t>
  </si>
  <si>
    <t>7.835</t>
  </si>
  <si>
    <t>5.691</t>
  </si>
  <si>
    <t>10.582</t>
  </si>
  <si>
    <t>6.092</t>
  </si>
  <si>
    <t>7.424</t>
  </si>
  <si>
    <t>6.266</t>
  </si>
  <si>
    <t>5.535</t>
  </si>
  <si>
    <t>5.657</t>
  </si>
  <si>
    <t>6.824</t>
  </si>
  <si>
    <t>11.971</t>
  </si>
  <si>
    <t>8.953</t>
  </si>
  <si>
    <t>6.814</t>
  </si>
  <si>
    <t>4.453</t>
  </si>
  <si>
    <t>7.442</t>
  </si>
  <si>
    <t>3.697</t>
  </si>
  <si>
    <t>2021-01-17 08:42:58</t>
  </si>
  <si>
    <t>163.343</t>
  </si>
  <si>
    <t>12.576</t>
  </si>
  <si>
    <t>6.79</t>
  </si>
  <si>
    <t>20.568</t>
  </si>
  <si>
    <t>13.755</t>
  </si>
  <si>
    <t>4.114</t>
  </si>
  <si>
    <t>4.525</t>
  </si>
  <si>
    <t>3.701</t>
  </si>
  <si>
    <t xml:space="preserve">stelminal </t>
  </si>
  <si>
    <t>13.82</t>
  </si>
  <si>
    <t>5.082</t>
  </si>
  <si>
    <t>Μωρό που κλαίει / παιδιά που φωνάζουν,Πλήθη / μεγάλες συγκεντρώσεις,Πιάτα που στοιβάζονται,Φωνές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t>
  </si>
  <si>
    <t>22.933</t>
  </si>
  <si>
    <t>29</t>
  </si>
  <si>
    <t>11.797</t>
  </si>
  <si>
    <t>7.346</t>
  </si>
  <si>
    <t>24.695</t>
  </si>
  <si>
    <t>forever BHS-100</t>
  </si>
  <si>
    <t>239.255</t>
  </si>
  <si>
    <t>14.545</t>
  </si>
  <si>
    <t>51.517</t>
  </si>
  <si>
    <t>49.46</t>
  </si>
  <si>
    <t>32.961</t>
  </si>
  <si>
    <t>32.082</t>
  </si>
  <si>
    <t>52.905</t>
  </si>
  <si>
    <t>26.539</t>
  </si>
  <si>
    <t>33.757</t>
  </si>
  <si>
    <t>28.899</t>
  </si>
  <si>
    <t>28.865</t>
  </si>
  <si>
    <t>10.338</t>
  </si>
  <si>
    <t>21.637</t>
  </si>
  <si>
    <t>25.631</t>
  </si>
  <si>
    <t>43.434</t>
  </si>
  <si>
    <t>29.747</t>
  </si>
  <si>
    <t>9.605</t>
  </si>
  <si>
    <t>10.559</t>
  </si>
  <si>
    <t>25.042</t>
  </si>
  <si>
    <t>43.49</t>
  </si>
  <si>
    <t>17.107</t>
  </si>
  <si>
    <t>18.824</t>
  </si>
  <si>
    <t>18.348</t>
  </si>
  <si>
    <t>15.741</t>
  </si>
  <si>
    <t>14.091</t>
  </si>
  <si>
    <t>11.112</t>
  </si>
  <si>
    <t>8.396</t>
  </si>
  <si>
    <t>9.4</t>
  </si>
  <si>
    <t>281.713</t>
  </si>
  <si>
    <t>6.325</t>
  </si>
  <si>
    <t>2021-01-16 00:01:02</t>
  </si>
  <si>
    <t>4.161</t>
  </si>
  <si>
    <t>53.449</t>
  </si>
  <si>
    <t>21.451</t>
  </si>
  <si>
    <t>15.231</t>
  </si>
  <si>
    <t>65.94</t>
  </si>
  <si>
    <t>18.321</t>
  </si>
  <si>
    <t>13.398</t>
  </si>
  <si>
    <t>12.34</t>
  </si>
  <si>
    <t>26.871</t>
  </si>
  <si>
    <t>Συμπτωματικη</t>
  </si>
  <si>
    <t>39.073</t>
  </si>
  <si>
    <t>40.14</t>
  </si>
  <si>
    <t>7</t>
  </si>
  <si>
    <t>46.715</t>
  </si>
  <si>
    <t>20.462</t>
  </si>
  <si>
    <t>7.627</t>
  </si>
  <si>
    <t>237.466</t>
  </si>
  <si>
    <t>15.303</t>
  </si>
  <si>
    <t>118.972</t>
  </si>
  <si>
    <t>42.248</t>
  </si>
  <si>
    <t>77.701</t>
  </si>
  <si>
    <t>92.448</t>
  </si>
  <si>
    <t>57.023</t>
  </si>
  <si>
    <t>60.142</t>
  </si>
  <si>
    <t>59.587</t>
  </si>
  <si>
    <t>21.062</t>
  </si>
  <si>
    <t>30.744</t>
  </si>
  <si>
    <t>16.447</t>
  </si>
  <si>
    <t>52.424</t>
  </si>
  <si>
    <t>9.253</t>
  </si>
  <si>
    <t>3.895</t>
  </si>
  <si>
    <t>27.306</t>
  </si>
  <si>
    <t>15.956</t>
  </si>
  <si>
    <t>18.959</t>
  </si>
  <si>
    <t>6.583</t>
  </si>
  <si>
    <t>3.435</t>
  </si>
  <si>
    <t>2.773</t>
  </si>
  <si>
    <t>27.942</t>
  </si>
  <si>
    <t>13.477</t>
  </si>
  <si>
    <t>41.345</t>
  </si>
  <si>
    <t>23.763</t>
  </si>
  <si>
    <t>17.207</t>
  </si>
  <si>
    <t>14.092</t>
  </si>
  <si>
    <t>12.14</t>
  </si>
  <si>
    <t>5.781</t>
  </si>
  <si>
    <t>2021-01-15 21:56:00</t>
  </si>
  <si>
    <t>1.979</t>
  </si>
  <si>
    <t>4.164</t>
  </si>
  <si>
    <t>4.205</t>
  </si>
  <si>
    <t>4.62</t>
  </si>
  <si>
    <t>23.116</t>
  </si>
  <si>
    <t>4.446</t>
  </si>
  <si>
    <t>3.249</t>
  </si>
  <si>
    <t>3.6</t>
  </si>
  <si>
    <t>4.635</t>
  </si>
  <si>
    <t>4.737</t>
  </si>
  <si>
    <t>Vivinor, 5 htp</t>
  </si>
  <si>
    <t>24.266</t>
  </si>
  <si>
    <t>6.477</t>
  </si>
  <si>
    <t>7.055</t>
  </si>
  <si>
    <t>6.926</t>
  </si>
  <si>
    <t>4.062</t>
  </si>
  <si>
    <t>5.546</t>
  </si>
  <si>
    <t>19.678</t>
  </si>
  <si>
    <t>7.528</t>
  </si>
  <si>
    <t>90/100</t>
  </si>
  <si>
    <t>13.305</t>
  </si>
  <si>
    <t>108.308</t>
  </si>
  <si>
    <t>5.041</t>
  </si>
  <si>
    <t>35.9</t>
  </si>
  <si>
    <t>21.032</t>
  </si>
  <si>
    <t>26.624</t>
  </si>
  <si>
    <t>21.092</t>
  </si>
  <si>
    <t>22.852</t>
  </si>
  <si>
    <t>20.645</t>
  </si>
  <si>
    <t>15.492</t>
  </si>
  <si>
    <t>15.287</t>
  </si>
  <si>
    <t>9.029</t>
  </si>
  <si>
    <t>11.312</t>
  </si>
  <si>
    <t>10.644</t>
  </si>
  <si>
    <t>4.66</t>
  </si>
  <si>
    <t>3.771</t>
  </si>
  <si>
    <t>4.752</t>
  </si>
  <si>
    <t>11.861</t>
  </si>
  <si>
    <t>10.096</t>
  </si>
  <si>
    <t>7.639</t>
  </si>
  <si>
    <t>10.878</t>
  </si>
  <si>
    <t>7.949</t>
  </si>
  <si>
    <t>10.077</t>
  </si>
  <si>
    <t>14.636</t>
  </si>
  <si>
    <t>18.891</t>
  </si>
  <si>
    <t>10.596</t>
  </si>
  <si>
    <t>6.758</t>
  </si>
  <si>
    <t>2.176</t>
  </si>
  <si>
    <t>2021-01-15 21:12:42</t>
  </si>
  <si>
    <t>15.425</t>
  </si>
  <si>
    <t>10.361</t>
  </si>
  <si>
    <t>14.942</t>
  </si>
  <si>
    <t>30.145</t>
  </si>
  <si>
    <t>5.505</t>
  </si>
  <si>
    <t>5.135</t>
  </si>
  <si>
    <t>6.773</t>
  </si>
  <si>
    <t>9.262</t>
  </si>
  <si>
    <t>14.647</t>
  </si>
  <si>
    <t>7.463</t>
  </si>
  <si>
    <t>6.034</t>
  </si>
  <si>
    <t>10.476</t>
  </si>
  <si>
    <t>7.753</t>
  </si>
  <si>
    <t>Μουσική,Τηλεόραση / ραδιόφωνο,Πλήθη / μεγάλες συγκεντρώσεις</t>
  </si>
  <si>
    <t>31.534</t>
  </si>
  <si>
    <t>Ένα 3μερο το μήνα</t>
  </si>
  <si>
    <t>20.965</t>
  </si>
  <si>
    <t>Πλέον λιγότερο από 80</t>
  </si>
  <si>
    <t>19.742</t>
  </si>
  <si>
    <t>6.761</t>
  </si>
  <si>
    <t>7.01</t>
  </si>
  <si>
    <t>153.421</t>
  </si>
  <si>
    <t>12.413</t>
  </si>
  <si>
    <t>26.07</t>
  </si>
  <si>
    <t>31.647</t>
  </si>
  <si>
    <t>35.692</t>
  </si>
  <si>
    <t>24.82</t>
  </si>
  <si>
    <t>18.49</t>
  </si>
  <si>
    <t>14.146</t>
  </si>
  <si>
    <t>25.508</t>
  </si>
  <si>
    <t>10.737</t>
  </si>
  <si>
    <t>13.96</t>
  </si>
  <si>
    <t>12.782</t>
  </si>
  <si>
    <t>9.565</t>
  </si>
  <si>
    <t>13.387</t>
  </si>
  <si>
    <t>7.809</t>
  </si>
  <si>
    <t>7.157</t>
  </si>
  <si>
    <t>11.179</t>
  </si>
  <si>
    <t>8.909</t>
  </si>
  <si>
    <t>5.454</t>
  </si>
  <si>
    <t>10.534</t>
  </si>
  <si>
    <t>10.292</t>
  </si>
  <si>
    <t>9.76</t>
  </si>
  <si>
    <t>5.098</t>
  </si>
  <si>
    <t>7.194</t>
  </si>
  <si>
    <t>12.018</t>
  </si>
  <si>
    <t>41.225</t>
  </si>
  <si>
    <t>1.594</t>
  </si>
  <si>
    <t>2021-01-15 20:32:42</t>
  </si>
  <si>
    <t>3.396</t>
  </si>
  <si>
    <t>5.721</t>
  </si>
  <si>
    <t>16.169</t>
  </si>
  <si>
    <t>4.159</t>
  </si>
  <si>
    <t>4.148</t>
  </si>
  <si>
    <t>3.934</t>
  </si>
  <si>
    <t>4.382</t>
  </si>
  <si>
    <t>10.035</t>
  </si>
  <si>
    <t>9.101</t>
  </si>
  <si>
    <t>7.833</t>
  </si>
  <si>
    <t>Φωνές υψηλής συχνότητας / κραυγές,Μουσική,Ηλεκτρικά εργαλεία,Κουδούνισμα τηλεφώνου,Τηλεόραση / ραδιόφωνο</t>
  </si>
  <si>
    <t>24.214</t>
  </si>
  <si>
    <t>8-10</t>
  </si>
  <si>
    <t>25.816</t>
  </si>
  <si>
    <t>14.16</t>
  </si>
  <si>
    <t>14.705</t>
  </si>
  <si>
    <t>7.629</t>
  </si>
  <si>
    <t>Δεν γνωριζω</t>
  </si>
  <si>
    <t>90.137</t>
  </si>
  <si>
    <t>14.074</t>
  </si>
  <si>
    <t>103.3</t>
  </si>
  <si>
    <t>28.171</t>
  </si>
  <si>
    <t>58.341</t>
  </si>
  <si>
    <t>47.244</t>
  </si>
  <si>
    <t>21.963</t>
  </si>
  <si>
    <t>29.459</t>
  </si>
  <si>
    <t>14.165</t>
  </si>
  <si>
    <t>20.371</t>
  </si>
  <si>
    <t>19.214</t>
  </si>
  <si>
    <t>23.232</t>
  </si>
  <si>
    <t>20.368</t>
  </si>
  <si>
    <t>10.654</t>
  </si>
  <si>
    <t>13.152</t>
  </si>
  <si>
    <t>7.177</t>
  </si>
  <si>
    <t>10.382</t>
  </si>
  <si>
    <t>10.305</t>
  </si>
  <si>
    <t>9.337</t>
  </si>
  <si>
    <t>9.894</t>
  </si>
  <si>
    <t>10.961</t>
  </si>
  <si>
    <t>18.684</t>
  </si>
  <si>
    <t>9.026</t>
  </si>
  <si>
    <t>8.192</t>
  </si>
  <si>
    <t>14.13</t>
  </si>
  <si>
    <t>2021-01-15 20:27:10</t>
  </si>
  <si>
    <t>4.813</t>
  </si>
  <si>
    <t>60.272</t>
  </si>
  <si>
    <t>9.534</t>
  </si>
  <si>
    <t>4.784</t>
  </si>
  <si>
    <t>12.278</t>
  </si>
  <si>
    <t>4.531</t>
  </si>
  <si>
    <t>5.994</t>
  </si>
  <si>
    <t>4.329</t>
  </si>
  <si>
    <t>4.997</t>
  </si>
  <si>
    <t>Sibelium, migralin, algofren</t>
  </si>
  <si>
    <t>110.252</t>
  </si>
  <si>
    <t>9.801</t>
  </si>
  <si>
    <t>6.236</t>
  </si>
  <si>
    <t>24.624</t>
  </si>
  <si>
    <t>14.279</t>
  </si>
  <si>
    <t>Μωρό που κλαίει / παιδιά που φωνάζουν,Ηλεκτρικά εργαλεία,Τηλεόραση / ραδιόφωνο</t>
  </si>
  <si>
    <t>36.66</t>
  </si>
  <si>
    <t>8.457</t>
  </si>
  <si>
    <t>50-80</t>
  </si>
  <si>
    <t>18.143</t>
  </si>
  <si>
    <t>5.337</t>
  </si>
  <si>
    <t>127.536</t>
  </si>
  <si>
    <t>141.528</t>
  </si>
  <si>
    <t>53.83</t>
  </si>
  <si>
    <t>21.115</t>
  </si>
  <si>
    <t>25.54</t>
  </si>
  <si>
    <t>23.551</t>
  </si>
  <si>
    <t>18.158</t>
  </si>
  <si>
    <t>20.404</t>
  </si>
  <si>
    <t>8.958</t>
  </si>
  <si>
    <t>17.802</t>
  </si>
  <si>
    <t>16.315</t>
  </si>
  <si>
    <t>14.899</t>
  </si>
  <si>
    <t>7.453</t>
  </si>
  <si>
    <t>10.267</t>
  </si>
  <si>
    <t>6.676</t>
  </si>
  <si>
    <t>17.946</t>
  </si>
  <si>
    <t>8.348</t>
  </si>
  <si>
    <t>12.118</t>
  </si>
  <si>
    <t>11.096</t>
  </si>
  <si>
    <t>20.147</t>
  </si>
  <si>
    <t>12.824</t>
  </si>
  <si>
    <t>3.086</t>
  </si>
  <si>
    <t>7.924</t>
  </si>
  <si>
    <t>2021-01-15 20:01:52</t>
  </si>
  <si>
    <t>4.028</t>
  </si>
  <si>
    <t>10.984</t>
  </si>
  <si>
    <t>4.095</t>
  </si>
  <si>
    <t>6.507</t>
  </si>
  <si>
    <t>10.85</t>
  </si>
  <si>
    <t>3.481</t>
  </si>
  <si>
    <t>3.002</t>
  </si>
  <si>
    <t>3.298</t>
  </si>
  <si>
    <t>4.555</t>
  </si>
  <si>
    <t>3.146</t>
  </si>
  <si>
    <t>indersl</t>
  </si>
  <si>
    <t>27.733</t>
  </si>
  <si>
    <t>8.011</t>
  </si>
  <si>
    <t>4.441</t>
  </si>
  <si>
    <t>4.337</t>
  </si>
  <si>
    <t>6.437</t>
  </si>
  <si>
    <t>Μωρό που κλαίει / παιδιά που φωνάζουν,Φωνές υψηλής συχνότητας / κραυγές,Μουσική,Ηλεκτρικά εργαλεία,Τηλεόραση / ραδιόφωνο</t>
  </si>
  <si>
    <t>21.523</t>
  </si>
  <si>
    <t>9.088</t>
  </si>
  <si>
    <t>42.857</t>
  </si>
  <si>
    <t>6.704</t>
  </si>
  <si>
    <t>16.955</t>
  </si>
  <si>
    <t>18.017</t>
  </si>
  <si>
    <t>6.511</t>
  </si>
  <si>
    <t>13.51</t>
  </si>
  <si>
    <t>6.681</t>
  </si>
  <si>
    <t>8.763</t>
  </si>
  <si>
    <t>9.374</t>
  </si>
  <si>
    <t>9.426</t>
  </si>
  <si>
    <t>3.11</t>
  </si>
  <si>
    <t>5.723</t>
  </si>
  <si>
    <t>7.613</t>
  </si>
  <si>
    <t>5.968</t>
  </si>
  <si>
    <t>11.857</t>
  </si>
  <si>
    <t>13.688</t>
  </si>
  <si>
    <t>8.047</t>
  </si>
  <si>
    <t>6.992</t>
  </si>
  <si>
    <t>5.021</t>
  </si>
  <si>
    <t>2021-01-15 18:30:37</t>
  </si>
  <si>
    <t>2.885</t>
  </si>
  <si>
    <t>40.724</t>
  </si>
  <si>
    <t>5.274</t>
  </si>
  <si>
    <t>9.274</t>
  </si>
  <si>
    <t>25.139</t>
  </si>
  <si>
    <t>5.468</t>
  </si>
  <si>
    <t>4.568</t>
  </si>
  <si>
    <t>5.17</t>
  </si>
  <si>
    <t>Sibelium και relpax</t>
  </si>
  <si>
    <t>25.289</t>
  </si>
  <si>
    <t>5.139</t>
  </si>
  <si>
    <t>5.593</t>
  </si>
  <si>
    <t>Πιάτα που στοιβάζονται,Σκυλί που γαβγίζει,Κουδούνισμα τηλεφώνου,Ηλεκτρική σκούπα,Φωνές υψηλής συχνότητας / κραυγές</t>
  </si>
  <si>
    <t>23.454</t>
  </si>
  <si>
    <t xml:space="preserve">12 </t>
  </si>
  <si>
    <t>20.878</t>
  </si>
  <si>
    <t>6.913</t>
  </si>
  <si>
    <t>10.855</t>
  </si>
  <si>
    <t>Iluv</t>
  </si>
  <si>
    <t>112.422</t>
  </si>
  <si>
    <t>37.199</t>
  </si>
  <si>
    <t>37.429</t>
  </si>
  <si>
    <t>34.622</t>
  </si>
  <si>
    <t>14.666</t>
  </si>
  <si>
    <t>26.824</t>
  </si>
  <si>
    <t>18.436</t>
  </si>
  <si>
    <t>52.908</t>
  </si>
  <si>
    <t>28.019</t>
  </si>
  <si>
    <t>26.327</t>
  </si>
  <si>
    <t>19.629</t>
  </si>
  <si>
    <t>24.462</t>
  </si>
  <si>
    <t>13.007</t>
  </si>
  <si>
    <t>20.752</t>
  </si>
  <si>
    <t>17.508</t>
  </si>
  <si>
    <t>25.82</t>
  </si>
  <si>
    <t>12.766</t>
  </si>
  <si>
    <t>15.207</t>
  </si>
  <si>
    <t>20.383</t>
  </si>
  <si>
    <t>24.275</t>
  </si>
  <si>
    <t>26.595</t>
  </si>
  <si>
    <t>16.668</t>
  </si>
  <si>
    <t>31.144</t>
  </si>
  <si>
    <t>13.993</t>
  </si>
  <si>
    <t>18.156</t>
  </si>
  <si>
    <t>21.122</t>
  </si>
  <si>
    <t>10.518</t>
  </si>
  <si>
    <t>12.743</t>
  </si>
  <si>
    <t>3.931</t>
  </si>
  <si>
    <t>2021-01-15 17:52:02</t>
  </si>
  <si>
    <t>7.594</t>
  </si>
  <si>
    <t>53.325</t>
  </si>
  <si>
    <t>6.38</t>
  </si>
  <si>
    <t>27.537</t>
  </si>
  <si>
    <t>7.067</t>
  </si>
  <si>
    <t>4.714</t>
  </si>
  <si>
    <t>4.071</t>
  </si>
  <si>
    <t>xeforapid 8mg&amp;relpax</t>
  </si>
  <si>
    <t>89.576</t>
  </si>
  <si>
    <t>11.094</t>
  </si>
  <si>
    <t>16.673</t>
  </si>
  <si>
    <t>10.672</t>
  </si>
  <si>
    <t>Μωρό που κλαίει / παιδιά που φωνάζουν,Πλήθη / μεγάλες συγκεντρώσεις,Φωνές υψηλής συχνότητας / κραυγές,Μουσική,Ηλεκτρικά εργαλεία,Τηλεόραση / ραδιόφωνο,Ηλεκτρική σκούπα,Σφυρίχτρα / κόρνα/ σειρήνα,Αθλητικές εκδηλώσεις</t>
  </si>
  <si>
    <t>51.356</t>
  </si>
  <si>
    <t xml:space="preserve">20 </t>
  </si>
  <si>
    <t>21.264</t>
  </si>
  <si>
    <t>18.534</t>
  </si>
  <si>
    <t>18.636</t>
  </si>
  <si>
    <t>144.979</t>
  </si>
  <si>
    <t>29.643</t>
  </si>
  <si>
    <t>66.829</t>
  </si>
  <si>
    <t>24.212</t>
  </si>
  <si>
    <t>19.783</t>
  </si>
  <si>
    <t>33.054</t>
  </si>
  <si>
    <t>11.618</t>
  </si>
  <si>
    <t>8.824</t>
  </si>
  <si>
    <t>8.099</t>
  </si>
  <si>
    <t>7.793</t>
  </si>
  <si>
    <t>5.839</t>
  </si>
  <si>
    <t>6.084</t>
  </si>
  <si>
    <t>6.852</t>
  </si>
  <si>
    <t>9.39</t>
  </si>
  <si>
    <t>8.319</t>
  </si>
  <si>
    <t>7.011</t>
  </si>
  <si>
    <t>6.27</t>
  </si>
  <si>
    <t>5.192</t>
  </si>
  <si>
    <t>6.042</t>
  </si>
  <si>
    <t>5.655</t>
  </si>
  <si>
    <t>4.7</t>
  </si>
  <si>
    <t>12.004</t>
  </si>
  <si>
    <t>13.026</t>
  </si>
  <si>
    <t>2021-01-15 16:54:47</t>
  </si>
  <si>
    <t>14.568</t>
  </si>
  <si>
    <t>11.85</t>
  </si>
  <si>
    <t>23.452</t>
  </si>
  <si>
    <t>8.807</t>
  </si>
  <si>
    <t>4.464</t>
  </si>
  <si>
    <t>5.262</t>
  </si>
  <si>
    <t>12.433</t>
  </si>
  <si>
    <t>5.94</t>
  </si>
  <si>
    <t>10.648</t>
  </si>
  <si>
    <t>Μωρό που κλαίει / παιδιά που φωνάζουν,Πλήθη / μεγάλες συγκεντρώσεις,Μουσική,Τηλεόραση / ραδιόφωνο</t>
  </si>
  <si>
    <t>26.359</t>
  </si>
  <si>
    <t>7.573</t>
  </si>
  <si>
    <t>8.057</t>
  </si>
  <si>
    <t>10.873</t>
  </si>
  <si>
    <t>8.302</t>
  </si>
  <si>
    <t>samsung</t>
  </si>
  <si>
    <t>182.783</t>
  </si>
  <si>
    <t>15.8</t>
  </si>
  <si>
    <t>31.383</t>
  </si>
  <si>
    <t>32.355</t>
  </si>
  <si>
    <t>41.538</t>
  </si>
  <si>
    <t>28.27</t>
  </si>
  <si>
    <t>19.538</t>
  </si>
  <si>
    <t>13.553</t>
  </si>
  <si>
    <t>26.212</t>
  </si>
  <si>
    <t>17.382</t>
  </si>
  <si>
    <t>19.6</t>
  </si>
  <si>
    <t>14.336</t>
  </si>
  <si>
    <t>17.122</t>
  </si>
  <si>
    <t>15.493</t>
  </si>
  <si>
    <t>18.178</t>
  </si>
  <si>
    <t>10.872</t>
  </si>
  <si>
    <t>28.983</t>
  </si>
  <si>
    <t>13.549</t>
  </si>
  <si>
    <t>14.02</t>
  </si>
  <si>
    <t>13.427</t>
  </si>
  <si>
    <t>8.164</t>
  </si>
  <si>
    <t>10.076</t>
  </si>
  <si>
    <t>14.429</t>
  </si>
  <si>
    <t>9.492</t>
  </si>
  <si>
    <t>16.688</t>
  </si>
  <si>
    <t>41.153</t>
  </si>
  <si>
    <t>4.611</t>
  </si>
  <si>
    <t>2021-01-15 16:54:20</t>
  </si>
  <si>
    <t>19.73</t>
  </si>
  <si>
    <t>7.198</t>
  </si>
  <si>
    <t>8.409</t>
  </si>
  <si>
    <t>18.837</t>
  </si>
  <si>
    <t>13.55</t>
  </si>
  <si>
    <t>5.776</t>
  </si>
  <si>
    <t>9.513</t>
  </si>
  <si>
    <t>8.145</t>
  </si>
  <si>
    <t>12.577</t>
  </si>
  <si>
    <t>Depakin chrono 500mg /brintellix 1,5των 10 mg το πρωί /stendon 5mg το πρωί 10 mg το Βράδυ Serequel 50 mg το Βράδυ/botox ανά τρίμηνο. Επί πόνου Maxalt imigran Naprosyn imigran ενέσιμο /apotel Voltaren ενέσιμη τάση για εμετό primberan.</t>
  </si>
  <si>
    <t>402.107</t>
  </si>
  <si>
    <t>14.832</t>
  </si>
  <si>
    <t>9.547</t>
  </si>
  <si>
    <t>7.689</t>
  </si>
  <si>
    <t>8.153</t>
  </si>
  <si>
    <t>22.48</t>
  </si>
  <si>
    <t>Ηλεκτρικά εργαλεία,Πιάτα που στοιβάζονται,Πλήθη / μεγάλες συγκεντρώσεις,Φωνές υψηλής συχνότητας / κραυγές,Μουσική</t>
  </si>
  <si>
    <t>37.259</t>
  </si>
  <si>
    <t xml:space="preserve">12 με 17 το μήνα.. </t>
  </si>
  <si>
    <t>58.18</t>
  </si>
  <si>
    <t>Με την θεραπεία μου 30 με 40</t>
  </si>
  <si>
    <t>96.855</t>
  </si>
  <si>
    <t>30.511</t>
  </si>
  <si>
    <t>4.505</t>
  </si>
  <si>
    <t>154.202</t>
  </si>
  <si>
    <t>17.643</t>
  </si>
  <si>
    <t>44.594</t>
  </si>
  <si>
    <t>104.648</t>
  </si>
  <si>
    <t>88.328</t>
  </si>
  <si>
    <t>99.304</t>
  </si>
  <si>
    <t>41.745</t>
  </si>
  <si>
    <t>20.156</t>
  </si>
  <si>
    <t>33.772</t>
  </si>
  <si>
    <t>21.146</t>
  </si>
  <si>
    <t>65.155</t>
  </si>
  <si>
    <t>35.49</t>
  </si>
  <si>
    <t>22.312</t>
  </si>
  <si>
    <t>17.694</t>
  </si>
  <si>
    <t>12.72</t>
  </si>
  <si>
    <t>50.42</t>
  </si>
  <si>
    <t>24.314</t>
  </si>
  <si>
    <t>45.759</t>
  </si>
  <si>
    <t>26.793</t>
  </si>
  <si>
    <t>35.875</t>
  </si>
  <si>
    <t>19.691</t>
  </si>
  <si>
    <t>33.874</t>
  </si>
  <si>
    <t>19.601</t>
  </si>
  <si>
    <t>21.895</t>
  </si>
  <si>
    <t>22.741</t>
  </si>
  <si>
    <t>74.325</t>
  </si>
  <si>
    <t>21.261</t>
  </si>
  <si>
    <t>7.529</t>
  </si>
  <si>
    <t>215.35</t>
  </si>
  <si>
    <t>7.385</t>
  </si>
  <si>
    <t>2021-01-15 16:40:48</t>
  </si>
  <si>
    <t>9.395</t>
  </si>
  <si>
    <t>9.836</t>
  </si>
  <si>
    <t>9.798</t>
  </si>
  <si>
    <t>2021-01-15 16:32:14</t>
  </si>
  <si>
    <t>8.512</t>
  </si>
  <si>
    <t>5.068</t>
  </si>
  <si>
    <t>2.843</t>
  </si>
  <si>
    <t>5.417</t>
  </si>
  <si>
    <t>3.018</t>
  </si>
  <si>
    <t>5.916</t>
  </si>
  <si>
    <t>3.621</t>
  </si>
  <si>
    <t>4.462</t>
  </si>
  <si>
    <t xml:space="preserve">Sibelium tooamac stelminal cymbalta entact inderal Botox Effexor </t>
  </si>
  <si>
    <t>76.625</t>
  </si>
  <si>
    <t>4.829</t>
  </si>
  <si>
    <t>3.977</t>
  </si>
  <si>
    <t>7.827</t>
  </si>
  <si>
    <t>Πλήθη / μεγάλες συγκεντρώσεις,Ηλεκτρικά εργαλεία</t>
  </si>
  <si>
    <t>23.532</t>
  </si>
  <si>
    <t>10.279</t>
  </si>
  <si>
    <t>6.002</t>
  </si>
  <si>
    <t>2.429</t>
  </si>
  <si>
    <t>62.902</t>
  </si>
  <si>
    <t>3.803</t>
  </si>
  <si>
    <t>7.15</t>
  </si>
  <si>
    <t>3.922</t>
  </si>
  <si>
    <t>5.82</t>
  </si>
  <si>
    <t>26.962</t>
  </si>
  <si>
    <t>43.364</t>
  </si>
  <si>
    <t>4.16</t>
  </si>
  <si>
    <t>2.853</t>
  </si>
  <si>
    <t>5.35</t>
  </si>
  <si>
    <t>4.075</t>
  </si>
  <si>
    <t>6.021</t>
  </si>
  <si>
    <t>7.064</t>
  </si>
  <si>
    <t>10.444</t>
  </si>
  <si>
    <t>5.857</t>
  </si>
  <si>
    <t>4.247</t>
  </si>
  <si>
    <t>2.341</t>
  </si>
  <si>
    <t>2.192</t>
  </si>
  <si>
    <t>3.756</t>
  </si>
  <si>
    <t>3.751</t>
  </si>
  <si>
    <t>4.69</t>
  </si>
  <si>
    <t>73.833</t>
  </si>
  <si>
    <t>1.753</t>
  </si>
  <si>
    <t>2021-01-15 16:17:07</t>
  </si>
  <si>
    <t>103.746</t>
  </si>
  <si>
    <t>8.853</t>
  </si>
  <si>
    <t>6.804</t>
  </si>
  <si>
    <t>51.827</t>
  </si>
  <si>
    <t>33.081</t>
  </si>
  <si>
    <t>3.448</t>
  </si>
  <si>
    <t>11.784</t>
  </si>
  <si>
    <t>4.03</t>
  </si>
  <si>
    <t>4.671</t>
  </si>
  <si>
    <t>9.049</t>
  </si>
  <si>
    <t>7.631</t>
  </si>
  <si>
    <t>50.699</t>
  </si>
  <si>
    <t>4.087</t>
  </si>
  <si>
    <t>13.191</t>
  </si>
  <si>
    <t>Μωρό που κλαίει / παιδιά που φωνάζουν,Πλήθη / μεγάλες συγκεντρώσεις,Πιάτα που στοιβάζονται,Φωνές υψηλής συχνότητας / κραυγές,Μουσική,Τηλεόραση / ραδιόφωνο,Σφυρίχτρα / κόρνα/ σειρήνα,Ηλεκτρικά εργαλεία</t>
  </si>
  <si>
    <t>26.372</t>
  </si>
  <si>
    <t>14.795</t>
  </si>
  <si>
    <t>10.667</t>
  </si>
  <si>
    <t>Akg</t>
  </si>
  <si>
    <t>69.28</t>
  </si>
  <si>
    <t>8.612</t>
  </si>
  <si>
    <t>31.024</t>
  </si>
  <si>
    <t>12.55</t>
  </si>
  <si>
    <t>21.426</t>
  </si>
  <si>
    <t>14.047</t>
  </si>
  <si>
    <t>11.19</t>
  </si>
  <si>
    <t>11.488</t>
  </si>
  <si>
    <t>10.235</t>
  </si>
  <si>
    <t>11.355</t>
  </si>
  <si>
    <t>9.256</t>
  </si>
  <si>
    <t>8.723</t>
  </si>
  <si>
    <t>7.83</t>
  </si>
  <si>
    <t>10.268</t>
  </si>
  <si>
    <t>7.056</t>
  </si>
  <si>
    <t>7.548</t>
  </si>
  <si>
    <t>7.645</t>
  </si>
  <si>
    <t>5.169</t>
  </si>
  <si>
    <t>7.561</t>
  </si>
  <si>
    <t>6.388</t>
  </si>
  <si>
    <t>4.837</t>
  </si>
  <si>
    <t>5.911</t>
  </si>
  <si>
    <t>4.157</t>
  </si>
  <si>
    <t>5.587</t>
  </si>
  <si>
    <t>5.44</t>
  </si>
  <si>
    <t>1.869</t>
  </si>
  <si>
    <t>2021-01-15 16:05:47</t>
  </si>
  <si>
    <t>8.466</t>
  </si>
  <si>
    <t>44.032</t>
  </si>
  <si>
    <t>5.912</t>
  </si>
  <si>
    <t>23.975</t>
  </si>
  <si>
    <t>7.418</t>
  </si>
  <si>
    <t>2.899</t>
  </si>
  <si>
    <t>9.267</t>
  </si>
  <si>
    <t>4.183</t>
  </si>
  <si>
    <t>24.155</t>
  </si>
  <si>
    <t>6.21</t>
  </si>
  <si>
    <t>3.8</t>
  </si>
  <si>
    <t>10.274</t>
  </si>
  <si>
    <t>Μουσική,Μωρό που κλαίει / παιδιά που φωνάζουν,Πλήθη / μεγάλες συγκεντρώσεις</t>
  </si>
  <si>
    <t>23.356</t>
  </si>
  <si>
    <t>15.194</t>
  </si>
  <si>
    <t>2.435</t>
  </si>
  <si>
    <t>Razer kraken analogue</t>
  </si>
  <si>
    <t>134.226</t>
  </si>
  <si>
    <t>18.866</t>
  </si>
  <si>
    <t>20.952</t>
  </si>
  <si>
    <t>43.962</t>
  </si>
  <si>
    <t>22.33</t>
  </si>
  <si>
    <t>15.719</t>
  </si>
  <si>
    <t>19.038</t>
  </si>
  <si>
    <t>16.79</t>
  </si>
  <si>
    <t>17.491</t>
  </si>
  <si>
    <t>33.232</t>
  </si>
  <si>
    <t>10.333</t>
  </si>
  <si>
    <t>11.191</t>
  </si>
  <si>
    <t>12.062</t>
  </si>
  <si>
    <t>11.071</t>
  </si>
  <si>
    <t>10.693</t>
  </si>
  <si>
    <t>7.596</t>
  </si>
  <si>
    <t>11.407</t>
  </si>
  <si>
    <t>18.454</t>
  </si>
  <si>
    <t>7.76</t>
  </si>
  <si>
    <t>10.299</t>
  </si>
  <si>
    <t>7.846</t>
  </si>
  <si>
    <t>10.811</t>
  </si>
  <si>
    <t>30.477</t>
  </si>
  <si>
    <t>7.577</t>
  </si>
  <si>
    <t>6.952</t>
  </si>
  <si>
    <t>5.359</t>
  </si>
  <si>
    <t>7.99</t>
  </si>
  <si>
    <t>22.42</t>
  </si>
  <si>
    <t>20.283</t>
  </si>
  <si>
    <t>2021-01-15 15:48:49</t>
  </si>
  <si>
    <t>4.006</t>
  </si>
  <si>
    <t>9.764</t>
  </si>
  <si>
    <t>4.903</t>
  </si>
  <si>
    <t>5.728</t>
  </si>
  <si>
    <t>8.672</t>
  </si>
  <si>
    <t>5.954</t>
  </si>
  <si>
    <t>4.84</t>
  </si>
  <si>
    <t>4.894</t>
  </si>
  <si>
    <t xml:space="preserve">Rizatriptan opipramol και μαγνήσιο </t>
  </si>
  <si>
    <t>35.123</t>
  </si>
  <si>
    <t>8.519</t>
  </si>
  <si>
    <t>6.083</t>
  </si>
  <si>
    <t>14.757</t>
  </si>
  <si>
    <t>Πλήθη / μεγάλες συγκεντρώσεις,Πιάτα που στοιβάζονται,Φωνές υψηλής συχνότητας / κραυγές,Μουσική,Ηλεκτρικά εργαλεία,Τηλεόραση / ραδιόφωνο,Ηλεκτρική σκούπα,Σφυρίχτρα / κόρνα/ σειρήνα</t>
  </si>
  <si>
    <t>32.351</t>
  </si>
  <si>
    <t>15.599</t>
  </si>
  <si>
    <t>23.872</t>
  </si>
  <si>
    <t>11.498</t>
  </si>
  <si>
    <t>10.566</t>
  </si>
  <si>
    <t>Huawei p30</t>
  </si>
  <si>
    <t>203.273</t>
  </si>
  <si>
    <t>28.201</t>
  </si>
  <si>
    <t>14.199</t>
  </si>
  <si>
    <t>41.735</t>
  </si>
  <si>
    <t>33.982</t>
  </si>
  <si>
    <t>23.401</t>
  </si>
  <si>
    <t>25.483</t>
  </si>
  <si>
    <t>19.835</t>
  </si>
  <si>
    <t>16.562</t>
  </si>
  <si>
    <t>16.937</t>
  </si>
  <si>
    <t>13.857</t>
  </si>
  <si>
    <t>12.74</t>
  </si>
  <si>
    <t>12.362</t>
  </si>
  <si>
    <t>14.442</t>
  </si>
  <si>
    <t>19.393</t>
  </si>
  <si>
    <t>17.179</t>
  </si>
  <si>
    <t>12.78</t>
  </si>
  <si>
    <t>12.689</t>
  </si>
  <si>
    <t>12.561</t>
  </si>
  <si>
    <t>15.002</t>
  </si>
  <si>
    <t>10.764</t>
  </si>
  <si>
    <t>10.966</t>
  </si>
  <si>
    <t>13.192</t>
  </si>
  <si>
    <t>8.732</t>
  </si>
  <si>
    <t>11.118</t>
  </si>
  <si>
    <t>11.942</t>
  </si>
  <si>
    <t>3.565</t>
  </si>
  <si>
    <t>2021-01-15 15:38:28</t>
  </si>
  <si>
    <t>3.645</t>
  </si>
  <si>
    <t>21.999</t>
  </si>
  <si>
    <t>109.177</t>
  </si>
  <si>
    <t>3.516</t>
  </si>
  <si>
    <t>4.599</t>
  </si>
  <si>
    <t>7.554</t>
  </si>
  <si>
    <t>4.626</t>
  </si>
  <si>
    <t>5.56</t>
  </si>
  <si>
    <t>23.894</t>
  </si>
  <si>
    <t>11.252</t>
  </si>
  <si>
    <t>7.632</t>
  </si>
  <si>
    <t>6.783</t>
  </si>
  <si>
    <t>6.94</t>
  </si>
  <si>
    <t>16.054</t>
  </si>
  <si>
    <t>6.638</t>
  </si>
  <si>
    <t>8.7</t>
  </si>
  <si>
    <t>12.94</t>
  </si>
  <si>
    <t>123.601</t>
  </si>
  <si>
    <t>28.108</t>
  </si>
  <si>
    <t>12.87</t>
  </si>
  <si>
    <t>41.524</t>
  </si>
  <si>
    <t>24.41</t>
  </si>
  <si>
    <t>20.552</t>
  </si>
  <si>
    <t>15.275</t>
  </si>
  <si>
    <t>11.568</t>
  </si>
  <si>
    <t>11.256</t>
  </si>
  <si>
    <t>6.918</t>
  </si>
  <si>
    <t>11.404</t>
  </si>
  <si>
    <t>13.076</t>
  </si>
  <si>
    <t>9.213</t>
  </si>
  <si>
    <t>12.844</t>
  </si>
  <si>
    <t>10.281</t>
  </si>
  <si>
    <t>9.094</t>
  </si>
  <si>
    <t>6.167</t>
  </si>
  <si>
    <t>8.872</t>
  </si>
  <si>
    <t>16.397</t>
  </si>
  <si>
    <t>13.077</t>
  </si>
  <si>
    <t>15.901</t>
  </si>
  <si>
    <t>9.845</t>
  </si>
  <si>
    <t>10.716</t>
  </si>
  <si>
    <t>2.951</t>
  </si>
  <si>
    <t>129.745</t>
  </si>
  <si>
    <t>1.75</t>
  </si>
  <si>
    <t>2021-01-15 15:31:43</t>
  </si>
  <si>
    <t>3.048</t>
  </si>
  <si>
    <t>16.275</t>
  </si>
  <si>
    <t>37.341</t>
  </si>
  <si>
    <t>4.134</t>
  </si>
  <si>
    <t>3.374</t>
  </si>
  <si>
    <t>4.656</t>
  </si>
  <si>
    <t>10.617</t>
  </si>
  <si>
    <t>4.287</t>
  </si>
  <si>
    <t>5.2</t>
  </si>
  <si>
    <t>26.842</t>
  </si>
  <si>
    <t>19.34</t>
  </si>
  <si>
    <t>6.53</t>
  </si>
  <si>
    <t>Πλήθη / μεγάλες συγκεντρώσεις,Σκυλί που γαβγίζει,Μουσική,Κουδούνισμα τηλεφώνου,Τηλεόραση / ραδιόφωνο,Ηλεκτρική σκούπα</t>
  </si>
  <si>
    <t>20.2</t>
  </si>
  <si>
    <t>7.248</t>
  </si>
  <si>
    <t>10.718</t>
  </si>
  <si>
    <t>8.055</t>
  </si>
  <si>
    <t>6.232</t>
  </si>
  <si>
    <t>135.713</t>
  </si>
  <si>
    <t>6.64</t>
  </si>
  <si>
    <t>25.771</t>
  </si>
  <si>
    <t>25.163</t>
  </si>
  <si>
    <t>27.778</t>
  </si>
  <si>
    <t>15.014</t>
  </si>
  <si>
    <t>13.352</t>
  </si>
  <si>
    <t>21.21</t>
  </si>
  <si>
    <t>14.438</t>
  </si>
  <si>
    <t>15.095</t>
  </si>
  <si>
    <t>14.12</t>
  </si>
  <si>
    <t>19.571</t>
  </si>
  <si>
    <t>17.686</t>
  </si>
  <si>
    <t>14.173</t>
  </si>
  <si>
    <t>14.392</t>
  </si>
  <si>
    <t>9.464</t>
  </si>
  <si>
    <t>15.666</t>
  </si>
  <si>
    <t>6.252</t>
  </si>
  <si>
    <t>3.73</t>
  </si>
  <si>
    <t>8.451</t>
  </si>
  <si>
    <t>8.073</t>
  </si>
  <si>
    <t>9.32</t>
  </si>
  <si>
    <t>9.668</t>
  </si>
  <si>
    <t>2021-01-15 15:20:11</t>
  </si>
  <si>
    <t>5.458</t>
  </si>
  <si>
    <t>12.801</t>
  </si>
  <si>
    <t>3.678</t>
  </si>
  <si>
    <t>14.005</t>
  </si>
  <si>
    <t>32.255</t>
  </si>
  <si>
    <t>2.451</t>
  </si>
  <si>
    <t>4.305</t>
  </si>
  <si>
    <t>Imigran  , botox</t>
  </si>
  <si>
    <t>17.157</t>
  </si>
  <si>
    <t>7.091</t>
  </si>
  <si>
    <t>5.207</t>
  </si>
  <si>
    <t>8.944</t>
  </si>
  <si>
    <t>Μωρό που κλαίει / παιδιά που φωνάζουν,Πλήθη / μεγάλες συγκεντρώσεις,Μουσική,Φωνές υψηλής συχνότητας / κραυγές</t>
  </si>
  <si>
    <t>25.904</t>
  </si>
  <si>
    <t>Συνεχεια</t>
  </si>
  <si>
    <t>10.537</t>
  </si>
  <si>
    <t>15.495</t>
  </si>
  <si>
    <t>173.734</t>
  </si>
  <si>
    <t>4.417</t>
  </si>
  <si>
    <t>20.231</t>
  </si>
  <si>
    <t>52.997</t>
  </si>
  <si>
    <t>25.059</t>
  </si>
  <si>
    <t>21.324</t>
  </si>
  <si>
    <t>8.969</t>
  </si>
  <si>
    <t>9.246</t>
  </si>
  <si>
    <t>14.207</t>
  </si>
  <si>
    <t>10.89</t>
  </si>
  <si>
    <t>10.936</t>
  </si>
  <si>
    <t>0.603</t>
  </si>
  <si>
    <t>19.25</t>
  </si>
  <si>
    <t>5.917</t>
  </si>
  <si>
    <t>12.896</t>
  </si>
  <si>
    <t>21.099</t>
  </si>
  <si>
    <t>16.884</t>
  </si>
  <si>
    <t>20.433</t>
  </si>
  <si>
    <t>17.097</t>
  </si>
  <si>
    <t>16.647</t>
  </si>
  <si>
    <t>14.695</t>
  </si>
  <si>
    <t>22.755</t>
  </si>
  <si>
    <t>11.897</t>
  </si>
  <si>
    <t>14.067</t>
  </si>
  <si>
    <t>7.743</t>
  </si>
  <si>
    <t>2.887</t>
  </si>
  <si>
    <t>9.518</t>
  </si>
  <si>
    <t>2.941</t>
  </si>
  <si>
    <t>32.707</t>
  </si>
  <si>
    <t>2.564</t>
  </si>
  <si>
    <t>2021-01-15 15:19:11</t>
  </si>
  <si>
    <t>3.811</t>
  </si>
  <si>
    <t>10.661</t>
  </si>
  <si>
    <t>10.805</t>
  </si>
  <si>
    <t>2021-01-15 15:07:37</t>
  </si>
  <si>
    <t>3.75</t>
  </si>
  <si>
    <t>6.187</t>
  </si>
  <si>
    <t>6.568</t>
  </si>
  <si>
    <t>Before you proceed follow the link below to view and download the participant information sheet. Please take the time to review the information carefully, you may keep a copy of the document for your records. \
Click on the link to read the  document: [Li</t>
  </si>
  <si>
    <t>**Title of Research Study:** Investigation of frequency-specific loudness discomfort levels, in listeners with migraine-related hypersensitivity to sound. 
**Principal Investigator:** Joshua D.Reiss \
**Queen Mary Ethics of Research Committee Ref**: QMER</t>
  </si>
  <si>
    <t>Are you 18 years old or older? (**Notice**: *this study is targeted towards participants over 18, if you are less than 18 years old, thank you for your interest but you are not eligible for this study*)</t>
  </si>
  <si>
    <t xml:space="preserve"> Have you ever been diagnosed with or experience any form of hearing loss? (**Notice**: *This study is targeted towards participants with **no** prior diagnosis or experience of hearing loss, if you are experiencing hearing loss thank you for your interes</t>
  </si>
  <si>
    <t xml:space="preserve">Enter your email in the box below (please make sure you write down the same email both times):  </t>
  </si>
  <si>
    <t>Is this the first time you are completing this study?</t>
  </si>
  <si>
    <t xml:space="preserve">Have you ever been diagnosed with or experience any form of migraine? </t>
  </si>
  <si>
    <t>Please write down the name of the medication you are receiving in the box below. (If not available please write "N/A")</t>
  </si>
  <si>
    <t>How long have you noticed this phenomenon?</t>
  </si>
  <si>
    <t>Which ear(s) seems to be affected by this phenomenon:</t>
  </si>
  <si>
    <t xml:space="preserve">Does this phenomenon appear to coincide with your migraines? </t>
  </si>
  <si>
    <t>When does this phenomenon occur (select all that apply)</t>
  </si>
  <si>
    <t xml:space="preserve"> Which of the following sounds or events are often too loud for you (select all that apply)?</t>
  </si>
  <si>
    <t xml:space="preserve">Thank you for completing the questionnaire. The next section of this study included the listening test. Please have your headphones ready for use. </t>
  </si>
  <si>
    <t xml:space="preserve">Calibration for hardware volume  </t>
  </si>
  <si>
    <t>I confirm that I followed the calibration process as instructed and that the listening levels on my computer are **not** extremely loud or uncomfortable. I confirm that I will **not** perform any further adjustments to the master volume of my computer for</t>
  </si>
  <si>
    <t xml:space="preserve">Stereo Check </t>
  </si>
  <si>
    <t xml:space="preserve">You will shortly be taken to the main test. You will be presented with a series of sliders, each corresponding to a pure tone signal. You will first be asked to adjust the volume of the slider until the tone is barely audible. 
* **Please only adjust the </t>
  </si>
  <si>
    <t>Tone 1 - Just audible rating</t>
  </si>
  <si>
    <t>Tone 1 - Mildly uncomfortable rating</t>
  </si>
  <si>
    <t>Tone 2 - Just audible rating</t>
  </si>
  <si>
    <t>Tone 2 - Mildly uncomfortable rating</t>
  </si>
  <si>
    <t>Tone 3 - Just audible rating</t>
  </si>
  <si>
    <t>Tone 3 - Mildly uncomfortable rating</t>
  </si>
  <si>
    <t>Tone 4 - Just audible rating</t>
  </si>
  <si>
    <t>Tone 4 - Mildly uncomfortable rating</t>
  </si>
  <si>
    <t>Tone 5 - Just audible rating</t>
  </si>
  <si>
    <t>Tone 5 - Mildly uncomfortable rating</t>
  </si>
  <si>
    <t>Tone 6 - Just audible rating</t>
  </si>
  <si>
    <t>Tone 6- Mildly uncomfortable rating</t>
  </si>
  <si>
    <t>Tone 7 - Just audible rating</t>
  </si>
  <si>
    <t>Tone 7- Mildly uncomfortable rating</t>
  </si>
  <si>
    <t>Tone 8 - Just audible rating</t>
  </si>
  <si>
    <t>Tone 8- Mildly uncomfortable rating</t>
  </si>
  <si>
    <t>Tone 9 - Just audible rating</t>
  </si>
  <si>
    <t>Tone 9- Mildly uncomfortable rating</t>
  </si>
  <si>
    <t>Tone 10 - Just audible rating</t>
  </si>
  <si>
    <t>Tone 10- Mildly uncomfortable rating</t>
  </si>
  <si>
    <t>Tone 11 - Just audible rating</t>
  </si>
  <si>
    <t>Tone 11- Mildly uncomfortable rating</t>
  </si>
  <si>
    <t>Tone 12 - Just audible rating</t>
  </si>
  <si>
    <t>Tone 12- Mildly uncomfortable rating</t>
  </si>
  <si>
    <t>Tone 13 - Just audible rating</t>
  </si>
  <si>
    <t>Tone 13- Mildly uncomfortable rating</t>
  </si>
  <si>
    <t xml:space="preserve">Thank you for taking part in our study! If you are a migraine sufferer we would like to invite you to take this survey twice if possible, once during a migraine and once during the migraine free interval. *(This is completely optional and will not affect </t>
  </si>
  <si>
    <t xml:space="preserve"> You can use this box to describe your experience with the study, as well as share any observations or remarks you may have.  You can either use the box provided below, or email a.mourgela@qmul.ac.uk. </t>
  </si>
  <si>
    <t xml:space="preserve">End of study, please click **Submit** and you may close this page. </t>
  </si>
  <si>
    <t>Investigation of frequency-specific loudness discomfort levels, in listeners with migraine-related hypersensitivity to sound</t>
  </si>
  <si>
    <t>2021-03-02 11:44:28</t>
  </si>
  <si>
    <t xml:space="preserve">I have read the participant information sheet and wish to continue </t>
  </si>
  <si>
    <t>1.855</t>
  </si>
  <si>
    <t xml:space="preserve">I have carefully read and agree to all of the above statements </t>
  </si>
  <si>
    <t>8.674</t>
  </si>
  <si>
    <t>2.002</t>
  </si>
  <si>
    <t>Yes, I have been diagnosed with or I am experiencing hearing loss.</t>
  </si>
  <si>
    <t>2.869</t>
  </si>
  <si>
    <t>2021-03-02 11:37:53</t>
  </si>
  <si>
    <t>4.343</t>
  </si>
  <si>
    <t>2.565</t>
  </si>
  <si>
    <t>2021-03-02 11:36:12</t>
  </si>
  <si>
    <t>2.542</t>
  </si>
  <si>
    <t>4.331</t>
  </si>
  <si>
    <t>2021-03-01 14:20:34</t>
  </si>
  <si>
    <t>2.719</t>
  </si>
  <si>
    <t>5.273</t>
  </si>
  <si>
    <t xml:space="preserve">No, I have not been diagnosed with and I am not experiencing hearing loss. </t>
  </si>
  <si>
    <t>4.221</t>
  </si>
  <si>
    <t>13.832</t>
  </si>
  <si>
    <t>4.865</t>
  </si>
  <si>
    <t xml:space="preserve">Yes, I have been diagnosed with or I am experiencing migraines. </t>
  </si>
  <si>
    <t>7.586</t>
  </si>
  <si>
    <t>9.43</t>
  </si>
  <si>
    <t>4.081</t>
  </si>
  <si>
    <t>once per 2 months approximately</t>
  </si>
  <si>
    <t>8.415</t>
  </si>
  <si>
    <t>2.098</t>
  </si>
  <si>
    <t>N/A</t>
  </si>
  <si>
    <t>20.806</t>
  </si>
  <si>
    <t>I confirm</t>
  </si>
  <si>
    <t>Both earphones</t>
  </si>
  <si>
    <t>20.107</t>
  </si>
  <si>
    <t>15.603</t>
  </si>
  <si>
    <t>14.817</t>
  </si>
  <si>
    <t>7.936</t>
  </si>
  <si>
    <t>9.487</t>
  </si>
  <si>
    <t>5.517</t>
  </si>
  <si>
    <t>9.445</t>
  </si>
  <si>
    <t>4.724</t>
  </si>
  <si>
    <t>7.908</t>
  </si>
  <si>
    <t>6.639</t>
  </si>
  <si>
    <t>7.851</t>
  </si>
  <si>
    <t>6.726</t>
  </si>
  <si>
    <t>14.772</t>
  </si>
  <si>
    <t>4.757</t>
  </si>
  <si>
    <t>4.759</t>
  </si>
  <si>
    <t>5.398</t>
  </si>
  <si>
    <t>3.946</t>
  </si>
  <si>
    <t>6.89</t>
  </si>
  <si>
    <t>5.903</t>
  </si>
  <si>
    <t>7.928</t>
  </si>
  <si>
    <t>4.123</t>
  </si>
  <si>
    <t>12.604</t>
  </si>
  <si>
    <t>1.803</t>
  </si>
  <si>
    <t>1.334</t>
  </si>
  <si>
    <t>2021-02-25 23:27:31</t>
  </si>
  <si>
    <t>18.701</t>
  </si>
  <si>
    <t>83.566</t>
  </si>
  <si>
    <t>8.318</t>
  </si>
  <si>
    <t>12.901</t>
  </si>
  <si>
    <t>105.758</t>
  </si>
  <si>
    <t>8.431</t>
  </si>
  <si>
    <t>8.05</t>
  </si>
  <si>
    <t>7.802</t>
  </si>
  <si>
    <t xml:space="preserve">                                               Pregabalin 25 mg</t>
  </si>
  <si>
    <t>208.554</t>
  </si>
  <si>
    <t>27.075</t>
  </si>
  <si>
    <t>Years</t>
  </si>
  <si>
    <t>7.071</t>
  </si>
  <si>
    <t>Both ears</t>
  </si>
  <si>
    <t>8.217</t>
  </si>
  <si>
    <t xml:space="preserve"> Before a migraine,During a migraine,After a migraine</t>
  </si>
  <si>
    <t>20.062</t>
  </si>
  <si>
    <t>Music ,Power tools,High pitch voices/screaming, Baby crying/children squealing,Crowds/large gatherings,Whistle/horn/siren</t>
  </si>
  <si>
    <t>49.188</t>
  </si>
  <si>
    <t xml:space="preserve">Nearly every day </t>
  </si>
  <si>
    <t>32.002</t>
  </si>
  <si>
    <t>31.751</t>
  </si>
  <si>
    <t>20.722</t>
  </si>
  <si>
    <t>11.083</t>
  </si>
  <si>
    <t xml:space="preserve">                                                      iPhone </t>
  </si>
  <si>
    <t>302.806</t>
  </si>
  <si>
    <t>29.183</t>
  </si>
  <si>
    <t>39.083</t>
  </si>
  <si>
    <t>47.909</t>
  </si>
  <si>
    <t>79.76</t>
  </si>
  <si>
    <t>21.549</t>
  </si>
  <si>
    <t>18.994</t>
  </si>
  <si>
    <t>8.559</t>
  </si>
  <si>
    <t>25.696</t>
  </si>
  <si>
    <t>6.455</t>
  </si>
  <si>
    <t>5.694</t>
  </si>
  <si>
    <t>12.206</t>
  </si>
  <si>
    <t>8.87</t>
  </si>
  <si>
    <t>4.958</t>
  </si>
  <si>
    <t>7.823</t>
  </si>
  <si>
    <t>4.609</t>
  </si>
  <si>
    <t>4.215</t>
  </si>
  <si>
    <t>8.898</t>
  </si>
  <si>
    <t>4.168</t>
  </si>
  <si>
    <t>3.702</t>
  </si>
  <si>
    <t>6.687</t>
  </si>
  <si>
    <t>6.478</t>
  </si>
  <si>
    <t>4.214</t>
  </si>
  <si>
    <t>6.336</t>
  </si>
  <si>
    <t>5.049</t>
  </si>
  <si>
    <t>18.102</t>
  </si>
  <si>
    <t>5.196</t>
  </si>
  <si>
    <t>2021-02-25 16:41:50</t>
  </si>
  <si>
    <t>5.302</t>
  </si>
  <si>
    <t>4.294</t>
  </si>
  <si>
    <t>4.293</t>
  </si>
  <si>
    <t>129.496</t>
  </si>
  <si>
    <t>4.449</t>
  </si>
  <si>
    <t>3.261</t>
  </si>
  <si>
    <t>3.437</t>
  </si>
  <si>
    <t>4.22</t>
  </si>
  <si>
    <t>Sumatriptan</t>
  </si>
  <si>
    <t>32.157</t>
  </si>
  <si>
    <t>6.849</t>
  </si>
  <si>
    <t>5.99</t>
  </si>
  <si>
    <t>9.951</t>
  </si>
  <si>
    <t>4.527</t>
  </si>
  <si>
    <t>During a migraine</t>
  </si>
  <si>
    <t>6.082</t>
  </si>
  <si>
    <t>Dishes being stacked, Baby crying/children squealing,Crowds/large gatherings,Dog barking,High pitch voices/screaming,Restaurants,Vacuum cleaner,Whistle/horn/siren,Sporting events,Power tools</t>
  </si>
  <si>
    <t>27.225</t>
  </si>
  <si>
    <t>once every 2-3 days</t>
  </si>
  <si>
    <t>14.25</t>
  </si>
  <si>
    <t>7.464</t>
  </si>
  <si>
    <t>1.651</t>
  </si>
  <si>
    <t>MPOW (sorry cant remember model)</t>
  </si>
  <si>
    <t>96.142</t>
  </si>
  <si>
    <t>3.729</t>
  </si>
  <si>
    <t>12.401</t>
  </si>
  <si>
    <t>3.788</t>
  </si>
  <si>
    <t>16.946</t>
  </si>
  <si>
    <t>15.865</t>
  </si>
  <si>
    <t>12.902</t>
  </si>
  <si>
    <t>10.499</t>
  </si>
  <si>
    <t>11.217</t>
  </si>
  <si>
    <t>8.69</t>
  </si>
  <si>
    <t>10.252</t>
  </si>
  <si>
    <t>8.503</t>
  </si>
  <si>
    <t>11.988</t>
  </si>
  <si>
    <t>7.241</t>
  </si>
  <si>
    <t>8.743</t>
  </si>
  <si>
    <t>8.325</t>
  </si>
  <si>
    <t>8.11</t>
  </si>
  <si>
    <t>8.554</t>
  </si>
  <si>
    <t>7.909</t>
  </si>
  <si>
    <t>5.547</t>
  </si>
  <si>
    <t>5.584</t>
  </si>
  <si>
    <t>14.052</t>
  </si>
  <si>
    <t>7.519</t>
  </si>
  <si>
    <t>3.152</t>
  </si>
  <si>
    <t>1.119</t>
  </si>
  <si>
    <t>2021-02-07 21:56:02</t>
  </si>
  <si>
    <t>12.872</t>
  </si>
  <si>
    <t>3.316</t>
  </si>
  <si>
    <t>3.62</t>
  </si>
  <si>
    <t xml:space="preserve"> No, I have not been diagnosed with and I am not experiencing migraines.</t>
  </si>
  <si>
    <t>Phillips +</t>
  </si>
  <si>
    <t>147.403</t>
  </si>
  <si>
    <t>7.196</t>
  </si>
  <si>
    <t>121.734</t>
  </si>
  <si>
    <t>18.731</t>
  </si>
  <si>
    <t>59.506</t>
  </si>
  <si>
    <t>37.657</t>
  </si>
  <si>
    <t>31.132</t>
  </si>
  <si>
    <t>27.634</t>
  </si>
  <si>
    <t>16.917</t>
  </si>
  <si>
    <t>20.55</t>
  </si>
  <si>
    <t>33.755</t>
  </si>
  <si>
    <t>19.536</t>
  </si>
  <si>
    <t>55.17</t>
  </si>
  <si>
    <t>13.723</t>
  </si>
  <si>
    <t>18.155</t>
  </si>
  <si>
    <t>19.949</t>
  </si>
  <si>
    <t>20.068</t>
  </si>
  <si>
    <t>32.063</t>
  </si>
  <si>
    <t>76.216</t>
  </si>
  <si>
    <t>17.569</t>
  </si>
  <si>
    <t>69.18</t>
  </si>
  <si>
    <t>21.313</t>
  </si>
  <si>
    <t>51.796</t>
  </si>
  <si>
    <t>19.54</t>
  </si>
  <si>
    <t>20.24</t>
  </si>
  <si>
    <t>27.371</t>
  </si>
  <si>
    <t>11.736</t>
  </si>
  <si>
    <t>18.886</t>
  </si>
  <si>
    <t>7.761</t>
  </si>
  <si>
    <t>5.793</t>
  </si>
  <si>
    <t>2021-02-07 20:59:08</t>
  </si>
  <si>
    <t>4.15</t>
  </si>
  <si>
    <t>5.116</t>
  </si>
  <si>
    <t>15.692</t>
  </si>
  <si>
    <t>5.46</t>
  </si>
  <si>
    <t xml:space="preserve">No </t>
  </si>
  <si>
    <t>5.77</t>
  </si>
  <si>
    <t>4.11</t>
  </si>
  <si>
    <t>9.717</t>
  </si>
  <si>
    <t>Pregabalin zomig sertraline cylizine clonazepam lamotrigine ibuprofen</t>
  </si>
  <si>
    <t>79.079</t>
  </si>
  <si>
    <t>9.797</t>
  </si>
  <si>
    <t>4.181</t>
  </si>
  <si>
    <t>9.85</t>
  </si>
  <si>
    <t xml:space="preserve"> Baby crying/children squealing,Crowds/large gatherings,Dishes being stacked,Dog barking,High pitch voices/screaming,Music ,Restaurants,Sporting events,Power tools,Telephone ringing,TV/radio,Vacuum cleaner,Whistle/horn/siren</t>
  </si>
  <si>
    <t>17.626</t>
  </si>
  <si>
    <t xml:space="preserve">Headache everyday with migraine everyday (severity varies). </t>
  </si>
  <si>
    <t>69.675</t>
  </si>
  <si>
    <t>Average 60 to 100</t>
  </si>
  <si>
    <t>29.824</t>
  </si>
  <si>
    <t>11.963</t>
  </si>
  <si>
    <t>5.717</t>
  </si>
  <si>
    <t>132.109</t>
  </si>
  <si>
    <t>5.344</t>
  </si>
  <si>
    <t>Left earphone only</t>
  </si>
  <si>
    <t>24.962</t>
  </si>
  <si>
    <t>19.805</t>
  </si>
  <si>
    <t>12.716</t>
  </si>
  <si>
    <t>20.866</t>
  </si>
  <si>
    <t>16.218</t>
  </si>
  <si>
    <t>17.336</t>
  </si>
  <si>
    <t>13.051</t>
  </si>
  <si>
    <t>9.003</t>
  </si>
  <si>
    <t>15.193</t>
  </si>
  <si>
    <t>7.746</t>
  </si>
  <si>
    <t>12.044</t>
  </si>
  <si>
    <t>12.868</t>
  </si>
  <si>
    <t>12.026</t>
  </si>
  <si>
    <t>16.067</t>
  </si>
  <si>
    <t>14.423</t>
  </si>
  <si>
    <t>23.079</t>
  </si>
  <si>
    <t>24.263</t>
  </si>
  <si>
    <t>17.004</t>
  </si>
  <si>
    <t>16.126</t>
  </si>
  <si>
    <t>16.371</t>
  </si>
  <si>
    <t>29.085</t>
  </si>
  <si>
    <t>11.6</t>
  </si>
  <si>
    <t>3.317</t>
  </si>
  <si>
    <t>212.714</t>
  </si>
  <si>
    <t>2.014</t>
  </si>
  <si>
    <t>2021-02-03 20:58:51</t>
  </si>
  <si>
    <t>44.952</t>
  </si>
  <si>
    <t>17.067</t>
  </si>
  <si>
    <t>3.591</t>
  </si>
  <si>
    <t>18.707</t>
  </si>
  <si>
    <t>2.262</t>
  </si>
  <si>
    <t>4.061</t>
  </si>
  <si>
    <t>3.611</t>
  </si>
  <si>
    <t>4.05</t>
  </si>
  <si>
    <t>3.625</t>
  </si>
  <si>
    <t>2.98</t>
  </si>
  <si>
    <t>During a migraine,After a migraine</t>
  </si>
  <si>
    <t>8.471</t>
  </si>
  <si>
    <t>Crowds/large gatherings,Dishes being stacked,Music ,High pitch voices/screaming,Power tools,Telephone ringing,TV/radio,Whistle/horn/siren</t>
  </si>
  <si>
    <t>21.161</t>
  </si>
  <si>
    <t>approx. 12 times per year</t>
  </si>
  <si>
    <t>25.775</t>
  </si>
  <si>
    <t>7.068</t>
  </si>
  <si>
    <t>9.154</t>
  </si>
  <si>
    <t>86.053</t>
  </si>
  <si>
    <t>8.378</t>
  </si>
  <si>
    <t>18.903</t>
  </si>
  <si>
    <t>17.525</t>
  </si>
  <si>
    <t>12.185</t>
  </si>
  <si>
    <t>9.842</t>
  </si>
  <si>
    <t>15.964</t>
  </si>
  <si>
    <t>8.077</t>
  </si>
  <si>
    <t>12.274</t>
  </si>
  <si>
    <t>10.958</t>
  </si>
  <si>
    <t>9.135</t>
  </si>
  <si>
    <t>6.818</t>
  </si>
  <si>
    <t>12.106</t>
  </si>
  <si>
    <t>5.465</t>
  </si>
  <si>
    <t>10.947</t>
  </si>
  <si>
    <t>10.822</t>
  </si>
  <si>
    <t>4.849</t>
  </si>
  <si>
    <t>9.516</t>
  </si>
  <si>
    <t>6.03</t>
  </si>
  <si>
    <t>6.975</t>
  </si>
  <si>
    <t>2.317</t>
  </si>
  <si>
    <t>1.486</t>
  </si>
  <si>
    <t>2021-02-03 15:16:40</t>
  </si>
  <si>
    <t>10.706</t>
  </si>
  <si>
    <t>3.969</t>
  </si>
  <si>
    <t>6.364</t>
  </si>
  <si>
    <t>4.706</t>
  </si>
  <si>
    <t>3.631</t>
  </si>
  <si>
    <t>atenolol beta blocker</t>
  </si>
  <si>
    <t>63.721</t>
  </si>
  <si>
    <t>3.805</t>
  </si>
  <si>
    <t>3.373</t>
  </si>
  <si>
    <t>3.648</t>
  </si>
  <si>
    <t>5.583</t>
  </si>
  <si>
    <t xml:space="preserve"> Baby crying/children squealing,Dishes being stacked,High pitch voices/screaming,Music ,Power tools,Telephone ringing,TV/radio,Whistle/horn/siren</t>
  </si>
  <si>
    <t>20.165</t>
  </si>
  <si>
    <t>At least once a month</t>
  </si>
  <si>
    <t>6.331</t>
  </si>
  <si>
    <t>Apple Airpods</t>
  </si>
  <si>
    <t>63.943</t>
  </si>
  <si>
    <t>5.722</t>
  </si>
  <si>
    <t>27.951</t>
  </si>
  <si>
    <t>5.787</t>
  </si>
  <si>
    <t>26.584</t>
  </si>
  <si>
    <t>34.054</t>
  </si>
  <si>
    <t>28.764</t>
  </si>
  <si>
    <t>21.666</t>
  </si>
  <si>
    <t>30.061</t>
  </si>
  <si>
    <t>29.942</t>
  </si>
  <si>
    <t>40.272</t>
  </si>
  <si>
    <t>39.727</t>
  </si>
  <si>
    <t>15.897</t>
  </si>
  <si>
    <t>19.568</t>
  </si>
  <si>
    <t>47.635</t>
  </si>
  <si>
    <t>17.606</t>
  </si>
  <si>
    <t>26.115</t>
  </si>
  <si>
    <t>23.182</t>
  </si>
  <si>
    <t>37.55</t>
  </si>
  <si>
    <t>17.413</t>
  </si>
  <si>
    <t>18.991</t>
  </si>
  <si>
    <t>17.115</t>
  </si>
  <si>
    <t>19.848</t>
  </si>
  <si>
    <t>19.471</t>
  </si>
  <si>
    <t>16.993</t>
  </si>
  <si>
    <t>18.757</t>
  </si>
  <si>
    <t>24.434</t>
  </si>
  <si>
    <t>22.732</t>
  </si>
  <si>
    <t>19.745</t>
  </si>
  <si>
    <t>21.687</t>
  </si>
  <si>
    <t>8.046</t>
  </si>
  <si>
    <t>13.664</t>
  </si>
  <si>
    <t>1.845</t>
  </si>
  <si>
    <t>2021-02-02 21:12:09</t>
  </si>
  <si>
    <t>3.322</t>
  </si>
  <si>
    <t>10.147</t>
  </si>
  <si>
    <t>21.592</t>
  </si>
  <si>
    <t>2.875</t>
  </si>
  <si>
    <t>3.681</t>
  </si>
  <si>
    <t>Nortriptyline as preventative and Sumitriptan</t>
  </si>
  <si>
    <t>34.577</t>
  </si>
  <si>
    <t>82.372</t>
  </si>
  <si>
    <t xml:space="preserve">2 -3 times a month </t>
  </si>
  <si>
    <t>9.8</t>
  </si>
  <si>
    <t xml:space="preserve">Samsung ear buds for phone </t>
  </si>
  <si>
    <t>92.18</t>
  </si>
  <si>
    <t>18.794</t>
  </si>
  <si>
    <t>13.503</t>
  </si>
  <si>
    <t>21.84</t>
  </si>
  <si>
    <t>17.758</t>
  </si>
  <si>
    <t>14.257</t>
  </si>
  <si>
    <t>12.634</t>
  </si>
  <si>
    <t>20.512</t>
  </si>
  <si>
    <t>8.698</t>
  </si>
  <si>
    <t>9.855</t>
  </si>
  <si>
    <t>11.655</t>
  </si>
  <si>
    <t>8.844</t>
  </si>
  <si>
    <t>15.128</t>
  </si>
  <si>
    <t>5.57</t>
  </si>
  <si>
    <t>11.269</t>
  </si>
  <si>
    <t>9.016</t>
  </si>
  <si>
    <t>5.49</t>
  </si>
  <si>
    <t>16.095</t>
  </si>
  <si>
    <t>5.188</t>
  </si>
  <si>
    <t>9.3</t>
  </si>
  <si>
    <t>5.988</t>
  </si>
  <si>
    <t>6.41</t>
  </si>
  <si>
    <t>2.211</t>
  </si>
  <si>
    <t>2021-02-02 16:26:06</t>
  </si>
  <si>
    <t>5.137</t>
  </si>
  <si>
    <t>2.949</t>
  </si>
  <si>
    <t>2021-02-02 08:14:26</t>
  </si>
  <si>
    <t>15.551</t>
  </si>
  <si>
    <t>18.145</t>
  </si>
  <si>
    <t>69.087</t>
  </si>
  <si>
    <t>4.614</t>
  </si>
  <si>
    <t>3.632</t>
  </si>
  <si>
    <t>6.382</t>
  </si>
  <si>
    <t>3.581</t>
  </si>
  <si>
    <t>3.731</t>
  </si>
  <si>
    <t>Codeine, Amitriptyline</t>
  </si>
  <si>
    <t>59.611</t>
  </si>
  <si>
    <t>11.415</t>
  </si>
  <si>
    <t>Usually once or twice a week</t>
  </si>
  <si>
    <t>15.304</t>
  </si>
  <si>
    <t>5.155</t>
  </si>
  <si>
    <t>8.416</t>
  </si>
  <si>
    <t>iPhone headphones</t>
  </si>
  <si>
    <t>77.037</t>
  </si>
  <si>
    <t>8.578</t>
  </si>
  <si>
    <t>19.705</t>
  </si>
  <si>
    <t>79.602</t>
  </si>
  <si>
    <t>28.839</t>
  </si>
  <si>
    <t>22.886</t>
  </si>
  <si>
    <t>19.062</t>
  </si>
  <si>
    <t>12.589</t>
  </si>
  <si>
    <t>12.337</t>
  </si>
  <si>
    <t>10.668</t>
  </si>
  <si>
    <t>18.798</t>
  </si>
  <si>
    <t>3.021</t>
  </si>
  <si>
    <t>10.843</t>
  </si>
  <si>
    <t>24.482</t>
  </si>
  <si>
    <t>4.704</t>
  </si>
  <si>
    <t>6.159</t>
  </si>
  <si>
    <t>8.463</t>
  </si>
  <si>
    <t>5.611</t>
  </si>
  <si>
    <t>11.804</t>
  </si>
  <si>
    <t>10.436</t>
  </si>
  <si>
    <t>5.585</t>
  </si>
  <si>
    <t>10.135</t>
  </si>
  <si>
    <t>5.027</t>
  </si>
  <si>
    <t>16.252</t>
  </si>
  <si>
    <t>8.533</t>
  </si>
  <si>
    <t>3.722</t>
  </si>
  <si>
    <t>2021-02-02 01:43:11</t>
  </si>
  <si>
    <t>46.64</t>
  </si>
  <si>
    <t>8.256</t>
  </si>
  <si>
    <t>3.088</t>
  </si>
  <si>
    <t>4.96</t>
  </si>
  <si>
    <t>2.73</t>
  </si>
  <si>
    <t>imigran, ondansetron, panadeine forte</t>
  </si>
  <si>
    <t>56.768</t>
  </si>
  <si>
    <t>11.321</t>
  </si>
  <si>
    <t>2.967</t>
  </si>
  <si>
    <t xml:space="preserve"> Before a migraine</t>
  </si>
  <si>
    <t>6.001</t>
  </si>
  <si>
    <t>Crowds/large gatherings,High pitch voices/screaming,Music ,Restaurants,Sporting events,Telephone ringing,TV/radio,Vacuum cleaner,Whistle/horn/siren</t>
  </si>
  <si>
    <t>41.143</t>
  </si>
  <si>
    <t>One or twice a week</t>
  </si>
  <si>
    <t>17.304</t>
  </si>
  <si>
    <t>10.64</t>
  </si>
  <si>
    <t>9.08</t>
  </si>
  <si>
    <t>3.065</t>
  </si>
  <si>
    <t>AKG</t>
  </si>
  <si>
    <t>79.364</t>
  </si>
  <si>
    <t>6.547</t>
  </si>
  <si>
    <t>21.281</t>
  </si>
  <si>
    <t>14.919</t>
  </si>
  <si>
    <t>20.491</t>
  </si>
  <si>
    <t>11.226</t>
  </si>
  <si>
    <t>14.607</t>
  </si>
  <si>
    <t>11.72</t>
  </si>
  <si>
    <t>12.344</t>
  </si>
  <si>
    <t>9.367</t>
  </si>
  <si>
    <t>12.873</t>
  </si>
  <si>
    <t>4.824</t>
  </si>
  <si>
    <t>10.752</t>
  </si>
  <si>
    <t>8.152</t>
  </si>
  <si>
    <t>5.456</t>
  </si>
  <si>
    <t>17.368</t>
  </si>
  <si>
    <t>6.92</t>
  </si>
  <si>
    <t>11.063</t>
  </si>
  <si>
    <t>8.177</t>
  </si>
  <si>
    <t>9.128</t>
  </si>
  <si>
    <t>10.512</t>
  </si>
  <si>
    <t>9.672</t>
  </si>
  <si>
    <t>13.376</t>
  </si>
  <si>
    <t>11.52</t>
  </si>
  <si>
    <t>6.671</t>
  </si>
  <si>
    <t>11.953</t>
  </si>
  <si>
    <t>140.305</t>
  </si>
  <si>
    <t>1.591</t>
  </si>
  <si>
    <t>2021-02-01 22:11:36</t>
  </si>
  <si>
    <t>3.061</t>
  </si>
  <si>
    <t>4.132</t>
  </si>
  <si>
    <t>8.186</t>
  </si>
  <si>
    <t>2.982</t>
  </si>
  <si>
    <t>3.954</t>
  </si>
  <si>
    <t xml:space="preserve">Pregabalin, Zomig, clonazepam, cylizine, </t>
  </si>
  <si>
    <t>101.541</t>
  </si>
  <si>
    <t>8.758</t>
  </si>
  <si>
    <t>3.246</t>
  </si>
  <si>
    <t>2.881</t>
  </si>
  <si>
    <t>7.1</t>
  </si>
  <si>
    <t xml:space="preserve"> Baby crying/children squealing,Crowds/large gatherings,Dishes being stacked,Dog barking,High pitch voices/screaming,Music ,Power tools,Restaurants,Sporting events,Telephone ringing,TV/radio,Vacuum cleaner,Whistle/horn/siren</t>
  </si>
  <si>
    <t>20.534</t>
  </si>
  <si>
    <t>Headaches and migraine every day varying in severity</t>
  </si>
  <si>
    <t>48.169</t>
  </si>
  <si>
    <t>Average 60 - 100</t>
  </si>
  <si>
    <t>52.965</t>
  </si>
  <si>
    <t>100.388</t>
  </si>
  <si>
    <t>Phillips</t>
  </si>
  <si>
    <t>212.554</t>
  </si>
  <si>
    <t>Righ earphone only</t>
  </si>
  <si>
    <t>20.818</t>
  </si>
  <si>
    <t>23.155</t>
  </si>
  <si>
    <t>41.799</t>
  </si>
  <si>
    <t>41.511</t>
  </si>
  <si>
    <t>25.908</t>
  </si>
  <si>
    <t>29.758</t>
  </si>
  <si>
    <t>17.076</t>
  </si>
  <si>
    <t>16.739</t>
  </si>
  <si>
    <t>28.334</t>
  </si>
  <si>
    <t>22.877</t>
  </si>
  <si>
    <t>12.839</t>
  </si>
  <si>
    <t>16.674</t>
  </si>
  <si>
    <t>16.84</t>
  </si>
  <si>
    <t>27.556</t>
  </si>
  <si>
    <t>25.211</t>
  </si>
  <si>
    <t>11.826</t>
  </si>
  <si>
    <t>19.443</t>
  </si>
  <si>
    <t>17.137</t>
  </si>
  <si>
    <t>14.975</t>
  </si>
  <si>
    <t>11.647</t>
  </si>
  <si>
    <t>28.58</t>
  </si>
  <si>
    <t>18.026</t>
  </si>
  <si>
    <t>13.489</t>
  </si>
  <si>
    <t>22.283</t>
  </si>
  <si>
    <t>14.79</t>
  </si>
  <si>
    <t>8.479</t>
  </si>
  <si>
    <t>103.622</t>
  </si>
  <si>
    <t>3.496</t>
  </si>
  <si>
    <t>2021-02-01 21:04:33</t>
  </si>
  <si>
    <t>9.555</t>
  </si>
  <si>
    <t>29.965</t>
  </si>
  <si>
    <t>4.317</t>
  </si>
  <si>
    <t>4.011</t>
  </si>
  <si>
    <t>92.228</t>
  </si>
  <si>
    <t>3.932</t>
  </si>
  <si>
    <t>3.794</t>
  </si>
  <si>
    <t>4.577</t>
  </si>
  <si>
    <t>8.241</t>
  </si>
  <si>
    <t>4.163</t>
  </si>
  <si>
    <t xml:space="preserve">Sumatriptan </t>
  </si>
  <si>
    <t>6.736</t>
  </si>
  <si>
    <t>40.194</t>
  </si>
  <si>
    <t>3.828</t>
  </si>
  <si>
    <t>After a migraine</t>
  </si>
  <si>
    <t>36.646</t>
  </si>
  <si>
    <t>Crowds/large gatherings,Dishes being stacked,Music ,Power tools,Restaurants,TV/radio,Vacuum cleaner</t>
  </si>
  <si>
    <t>17.924</t>
  </si>
  <si>
    <t xml:space="preserve">Once or twice a month in bursts </t>
  </si>
  <si>
    <t>18.05</t>
  </si>
  <si>
    <t>13.47</t>
  </si>
  <si>
    <t>482.623</t>
  </si>
  <si>
    <t xml:space="preserve">Na </t>
  </si>
  <si>
    <t>97.438</t>
  </si>
  <si>
    <t>16.002</t>
  </si>
  <si>
    <t>23.379</t>
  </si>
  <si>
    <t>20.787</t>
  </si>
  <si>
    <t>122.267</t>
  </si>
  <si>
    <t>48.142</t>
  </si>
  <si>
    <t>26.736</t>
  </si>
  <si>
    <t>18.74</t>
  </si>
  <si>
    <t>12.038</t>
  </si>
  <si>
    <t>18.397</t>
  </si>
  <si>
    <t>12.675</t>
  </si>
  <si>
    <t>28.147</t>
  </si>
  <si>
    <t>8.203</t>
  </si>
  <si>
    <t>11.081</t>
  </si>
  <si>
    <t>13.143</t>
  </si>
  <si>
    <t>33.226</t>
  </si>
  <si>
    <t>7.016</t>
  </si>
  <si>
    <t>28.136</t>
  </si>
  <si>
    <t>22.583</t>
  </si>
  <si>
    <t>8.625</t>
  </si>
  <si>
    <t>14.691</t>
  </si>
  <si>
    <t>16.962</t>
  </si>
  <si>
    <t>12.234</t>
  </si>
  <si>
    <t>10.945</t>
  </si>
  <si>
    <t>8.423</t>
  </si>
  <si>
    <t>4.491</t>
  </si>
  <si>
    <t>3.052</t>
  </si>
  <si>
    <t>2021-02-01 20:19:32</t>
  </si>
  <si>
    <t>2.235</t>
  </si>
  <si>
    <t>2.284</t>
  </si>
  <si>
    <t>2.691</t>
  </si>
  <si>
    <t>2.148</t>
  </si>
  <si>
    <t>3.856</t>
  </si>
  <si>
    <t>I am currently having botox injections every 3 months</t>
  </si>
  <si>
    <t>23.173</t>
  </si>
  <si>
    <t>2.786</t>
  </si>
  <si>
    <t>2.242</t>
  </si>
  <si>
    <t>2.715</t>
  </si>
  <si>
    <t xml:space="preserve"> Baby crying/children squealing,Crowds/large gatherings,Dishes being stacked,High pitch voices/screaming,Music ,Restaurants,Sporting events,Vacuum cleaner,Whistle/horn/siren</t>
  </si>
  <si>
    <t>12.805</t>
  </si>
  <si>
    <t>I have a constant migraine that fluctuates in severity</t>
  </si>
  <si>
    <t>68.491</t>
  </si>
  <si>
    <t>85-90</t>
  </si>
  <si>
    <t>10.423</t>
  </si>
  <si>
    <t>3.1</t>
  </si>
  <si>
    <t>4152.62</t>
  </si>
  <si>
    <t>Original-Snugs_S10_earphone</t>
  </si>
  <si>
    <t>229.115</t>
  </si>
  <si>
    <t>3.404</t>
  </si>
  <si>
    <t>15.278</t>
  </si>
  <si>
    <t>4.216</t>
  </si>
  <si>
    <t>10.47</t>
  </si>
  <si>
    <t>9.86</t>
  </si>
  <si>
    <t>9.758</t>
  </si>
  <si>
    <t>7.569</t>
  </si>
  <si>
    <t>12.051</t>
  </si>
  <si>
    <t>6.071</t>
  </si>
  <si>
    <t>14.58</t>
  </si>
  <si>
    <t>9.982</t>
  </si>
  <si>
    <t>8.804</t>
  </si>
  <si>
    <t>8.972</t>
  </si>
  <si>
    <t>10.918</t>
  </si>
  <si>
    <t>11.024</t>
  </si>
  <si>
    <t>19.633</t>
  </si>
  <si>
    <t>2.226</t>
  </si>
  <si>
    <t>37.282</t>
  </si>
  <si>
    <t>2021-02-01 19:26:56</t>
  </si>
  <si>
    <t>11.487</t>
  </si>
  <si>
    <t>6.037</t>
  </si>
  <si>
    <t>4.748</t>
  </si>
  <si>
    <t>17.174</t>
  </si>
  <si>
    <t>9.984</t>
  </si>
  <si>
    <t>4.63</t>
  </si>
  <si>
    <t>5.656</t>
  </si>
  <si>
    <t>4.795</t>
  </si>
  <si>
    <t>31.965</t>
  </si>
  <si>
    <t>15.116</t>
  </si>
  <si>
    <t>2.061</t>
  </si>
  <si>
    <t>94.111</t>
  </si>
  <si>
    <t>10.934</t>
  </si>
  <si>
    <t>38.463</t>
  </si>
  <si>
    <t>69.868</t>
  </si>
  <si>
    <t>22.386</t>
  </si>
  <si>
    <t>77.768</t>
  </si>
  <si>
    <t>49.218</t>
  </si>
  <si>
    <t>53.911</t>
  </si>
  <si>
    <t>21.775</t>
  </si>
  <si>
    <t>28.766</t>
  </si>
  <si>
    <t>54.6</t>
  </si>
  <si>
    <t>56.934</t>
  </si>
  <si>
    <t>30.874</t>
  </si>
  <si>
    <t>35.737</t>
  </si>
  <si>
    <t>17.658</t>
  </si>
  <si>
    <t>36.555</t>
  </si>
  <si>
    <t>51.904</t>
  </si>
  <si>
    <t>10.669</t>
  </si>
  <si>
    <t>14.714</t>
  </si>
  <si>
    <t>13.101</t>
  </si>
  <si>
    <t>24.1</t>
  </si>
  <si>
    <t>21.652</t>
  </si>
  <si>
    <t>31.844</t>
  </si>
  <si>
    <t>42.069</t>
  </si>
  <si>
    <t>21.26</t>
  </si>
  <si>
    <t>4.734</t>
  </si>
  <si>
    <t>74.367</t>
  </si>
  <si>
    <t>2021-02-01 18:25:59</t>
  </si>
  <si>
    <t>81.13</t>
  </si>
  <si>
    <t>62.771</t>
  </si>
  <si>
    <t>5.862</t>
  </si>
  <si>
    <t>125.492</t>
  </si>
  <si>
    <t>3.979</t>
  </si>
  <si>
    <t>7.429</t>
  </si>
  <si>
    <t>9.705</t>
  </si>
  <si>
    <t>7.635</t>
  </si>
  <si>
    <t>5.668</t>
  </si>
  <si>
    <t>5.042</t>
  </si>
  <si>
    <t>8.883</t>
  </si>
  <si>
    <t>During a migraine, Before a migraine,After a migraine</t>
  </si>
  <si>
    <t>21.065</t>
  </si>
  <si>
    <t xml:space="preserve"> Baby crying/children squealing,Dog barking,High pitch voices/screaming,Music ,Power tools,Telephone ringing,TV/radio,Vacuum cleaner,Whistle/horn/siren,Dishes being stacked</t>
  </si>
  <si>
    <t>51.138</t>
  </si>
  <si>
    <t>Weekly.</t>
  </si>
  <si>
    <t>27.57</t>
  </si>
  <si>
    <t>30.628</t>
  </si>
  <si>
    <t>16.064</t>
  </si>
  <si>
    <t>4.429</t>
  </si>
  <si>
    <t>SOL Republic Special Edition Tracks HD.</t>
  </si>
  <si>
    <t>354.692</t>
  </si>
  <si>
    <t>15.032</t>
  </si>
  <si>
    <t>24.824</t>
  </si>
  <si>
    <t>38.134</t>
  </si>
  <si>
    <t>24.957</t>
  </si>
  <si>
    <t>21.073</t>
  </si>
  <si>
    <t>23.127</t>
  </si>
  <si>
    <t>10.662</t>
  </si>
  <si>
    <t>26.873</t>
  </si>
  <si>
    <t>38.814</t>
  </si>
  <si>
    <t>14.24</t>
  </si>
  <si>
    <t>12.751</t>
  </si>
  <si>
    <t>14.376</t>
  </si>
  <si>
    <t>37.19</t>
  </si>
  <si>
    <t>19.748</t>
  </si>
  <si>
    <t>12.862</t>
  </si>
  <si>
    <t>14.352</t>
  </si>
  <si>
    <t>9.716</t>
  </si>
  <si>
    <t>21.061</t>
  </si>
  <si>
    <t>10.583</t>
  </si>
  <si>
    <t>59.055</t>
  </si>
  <si>
    <t>17.559</t>
  </si>
  <si>
    <t>37.242</t>
  </si>
  <si>
    <t>20.426</t>
  </si>
  <si>
    <t>68.231</t>
  </si>
  <si>
    <t>10.621</t>
  </si>
  <si>
    <t>57.455</t>
  </si>
  <si>
    <t>38.27</t>
  </si>
  <si>
    <t>1.994</t>
  </si>
  <si>
    <t>2021-02-01 17:46:44</t>
  </si>
  <si>
    <t>5.634</t>
  </si>
  <si>
    <t>12.069</t>
  </si>
  <si>
    <t>4.483</t>
  </si>
  <si>
    <t>9.582</t>
  </si>
  <si>
    <t>71.284</t>
  </si>
  <si>
    <t>4.711</t>
  </si>
  <si>
    <t>7.801</t>
  </si>
  <si>
    <t>4.297</t>
  </si>
  <si>
    <t xml:space="preserve">Topiramate and Amitriptyline </t>
  </si>
  <si>
    <t>47.053</t>
  </si>
  <si>
    <t>48.988</t>
  </si>
  <si>
    <t>Days</t>
  </si>
  <si>
    <t>11.609</t>
  </si>
  <si>
    <t>8.708</t>
  </si>
  <si>
    <t>19.552</t>
  </si>
  <si>
    <t xml:space="preserve"> Baby crying/children squealing,Crowds/large gatherings,High pitch voices/screaming,Whistle/horn/siren,Power tools,Sporting events,Vacuum cleaner</t>
  </si>
  <si>
    <t>64.339</t>
  </si>
  <si>
    <t>20+ per month</t>
  </si>
  <si>
    <t>42.415</t>
  </si>
  <si>
    <t>36.037</t>
  </si>
  <si>
    <t>N/a</t>
  </si>
  <si>
    <t>292.081</t>
  </si>
  <si>
    <t>25.961</t>
  </si>
  <si>
    <t>43.135</t>
  </si>
  <si>
    <t>53.599</t>
  </si>
  <si>
    <t>149.085</t>
  </si>
  <si>
    <t>86.531</t>
  </si>
  <si>
    <t>16.026</t>
  </si>
  <si>
    <t>41.908</t>
  </si>
  <si>
    <t>29.691</t>
  </si>
  <si>
    <t>8.634</t>
  </si>
  <si>
    <t>224.061</t>
  </si>
  <si>
    <t>14.444</t>
  </si>
  <si>
    <t>21.038</t>
  </si>
  <si>
    <t>7.744</t>
  </si>
  <si>
    <t>23.906</t>
  </si>
  <si>
    <t>42.388</t>
  </si>
  <si>
    <t>62.439</t>
  </si>
  <si>
    <t>34.571</t>
  </si>
  <si>
    <t>3.966</t>
  </si>
  <si>
    <t>6.916</t>
  </si>
  <si>
    <t>5.032</t>
  </si>
  <si>
    <t>42.309</t>
  </si>
  <si>
    <t>6.482</t>
  </si>
  <si>
    <t>6.466</t>
  </si>
  <si>
    <t>7.975</t>
  </si>
  <si>
    <t>10.475</t>
  </si>
  <si>
    <t>11.576</t>
  </si>
  <si>
    <t>2.716</t>
  </si>
  <si>
    <t>8.851</t>
  </si>
  <si>
    <t>2.023</t>
  </si>
  <si>
    <t>2021-02-01 17:39:53</t>
  </si>
  <si>
    <t>16.597</t>
  </si>
  <si>
    <t>3.99</t>
  </si>
  <si>
    <t>3.08</t>
  </si>
  <si>
    <t>3.589</t>
  </si>
  <si>
    <t>3.743</t>
  </si>
  <si>
    <t>Naproxen</t>
  </si>
  <si>
    <t>8.286</t>
  </si>
  <si>
    <t>4.128</t>
  </si>
  <si>
    <t>2.477</t>
  </si>
  <si>
    <t>4.709</t>
  </si>
  <si>
    <t xml:space="preserve"> Baby crying/children squealing,Crowds/large gatherings,High pitch voices/screaming,Music ,Power tools,Restaurants,Whistle/horn/siren</t>
  </si>
  <si>
    <t>13.269</t>
  </si>
  <si>
    <t>20 days per month</t>
  </si>
  <si>
    <t>7.674</t>
  </si>
  <si>
    <t>3.515</t>
  </si>
  <si>
    <t>4.649</t>
  </si>
  <si>
    <t>2.301</t>
  </si>
  <si>
    <t>21.12</t>
  </si>
  <si>
    <t>3.942</t>
  </si>
  <si>
    <t>11.651</t>
  </si>
  <si>
    <t>8.79</t>
  </si>
  <si>
    <t>11.082</t>
  </si>
  <si>
    <t>13.271</t>
  </si>
  <si>
    <t>10.344</t>
  </si>
  <si>
    <t>17.76</t>
  </si>
  <si>
    <t>9.929</t>
  </si>
  <si>
    <t>13.533</t>
  </si>
  <si>
    <t>10.396</t>
  </si>
  <si>
    <t>12.402</t>
  </si>
  <si>
    <t>9.001</t>
  </si>
  <si>
    <t>11.392</t>
  </si>
  <si>
    <t>9.457</t>
  </si>
  <si>
    <t>25.587</t>
  </si>
  <si>
    <t>12.122</t>
  </si>
  <si>
    <t>15.926</t>
  </si>
  <si>
    <t>12.497</t>
  </si>
  <si>
    <t>10.634</t>
  </si>
  <si>
    <t>9.77</t>
  </si>
  <si>
    <t>8.558</t>
  </si>
  <si>
    <t>10.371</t>
  </si>
  <si>
    <t>10.442</t>
  </si>
  <si>
    <t>14.798</t>
  </si>
  <si>
    <t>12.088</t>
  </si>
  <si>
    <t>32.457</t>
  </si>
  <si>
    <t>2.3</t>
  </si>
  <si>
    <t>2021-02-01 17:31:42</t>
  </si>
  <si>
    <t>3.424</t>
  </si>
  <si>
    <t>8.107</t>
  </si>
  <si>
    <t>2.032</t>
  </si>
  <si>
    <t>15.71</t>
  </si>
  <si>
    <t>3.52</t>
  </si>
  <si>
    <t>1.706</t>
  </si>
  <si>
    <t>2.621</t>
  </si>
  <si>
    <t>3.714</t>
  </si>
  <si>
    <t>Currently, zomig spray and naratriptan</t>
  </si>
  <si>
    <t>110.11</t>
  </si>
  <si>
    <t>23.869</t>
  </si>
  <si>
    <t>3 times a week</t>
  </si>
  <si>
    <t>5.402</t>
  </si>
  <si>
    <t>39.675</t>
  </si>
  <si>
    <t>Google USB Type C Wired Digital Earbud Headset</t>
  </si>
  <si>
    <t>91.158</t>
  </si>
  <si>
    <t>6.384</t>
  </si>
  <si>
    <t>17.909</t>
  </si>
  <si>
    <t>21.273</t>
  </si>
  <si>
    <t>14.081</t>
  </si>
  <si>
    <t>19.008</t>
  </si>
  <si>
    <t>6.723</t>
  </si>
  <si>
    <t>5.491</t>
  </si>
  <si>
    <t>8.867</t>
  </si>
  <si>
    <t>5.515</t>
  </si>
  <si>
    <t>4.558</t>
  </si>
  <si>
    <t>5.168</t>
  </si>
  <si>
    <t>3.948</t>
  </si>
  <si>
    <t>4.121</t>
  </si>
  <si>
    <t>7.552</t>
  </si>
  <si>
    <t>4.926</t>
  </si>
  <si>
    <t>4.843</t>
  </si>
  <si>
    <t>3.857</t>
  </si>
  <si>
    <t>3.654</t>
  </si>
  <si>
    <t>4.074</t>
  </si>
  <si>
    <t>4.184</t>
  </si>
  <si>
    <t>4.596</t>
  </si>
  <si>
    <t>2.464</t>
  </si>
  <si>
    <t>3.582</t>
  </si>
  <si>
    <t>1.262</t>
  </si>
  <si>
    <t>2021-02-01 17:18:03</t>
  </si>
  <si>
    <t>2.106</t>
  </si>
  <si>
    <t>2.637</t>
  </si>
  <si>
    <t>1.743</t>
  </si>
  <si>
    <t>11.297</t>
  </si>
  <si>
    <t>4.801</t>
  </si>
  <si>
    <t>2.72</t>
  </si>
  <si>
    <t>3.888</t>
  </si>
  <si>
    <t>2.729</t>
  </si>
  <si>
    <t>7.205</t>
  </si>
  <si>
    <t>2.993</t>
  </si>
  <si>
    <t>3.518</t>
  </si>
  <si>
    <t>6.731</t>
  </si>
  <si>
    <t xml:space="preserve"> Baby crying/children squealing,Crowds/large gatherings,Dishes being stacked,Dog barking,High pitch voices/screaming,Music ,Telephone ringing,TV/radio,Vacuum cleaner,Sporting events,Whistle/horn/siren</t>
  </si>
  <si>
    <t>23.176</t>
  </si>
  <si>
    <t>every month - up to 7 days in a month</t>
  </si>
  <si>
    <t>40.385</t>
  </si>
  <si>
    <t>19.706</t>
  </si>
  <si>
    <t>10.219</t>
  </si>
  <si>
    <t>33.216</t>
  </si>
  <si>
    <t>3.066</t>
  </si>
  <si>
    <t>9.852</t>
  </si>
  <si>
    <t>12.08</t>
  </si>
  <si>
    <t>16.455</t>
  </si>
  <si>
    <t>19.148</t>
  </si>
  <si>
    <t>13.98</t>
  </si>
  <si>
    <t>6.732</t>
  </si>
  <si>
    <t>11.104</t>
  </si>
  <si>
    <t>5.112</t>
  </si>
  <si>
    <t>9.405</t>
  </si>
  <si>
    <t>12.113</t>
  </si>
  <si>
    <t>19.821</t>
  </si>
  <si>
    <t>6.463</t>
  </si>
  <si>
    <t>5.373</t>
  </si>
  <si>
    <t>7.228</t>
  </si>
  <si>
    <t>10.736</t>
  </si>
  <si>
    <t>6.298</t>
  </si>
  <si>
    <t>10.786</t>
  </si>
  <si>
    <t>12.552</t>
  </si>
  <si>
    <t>7.038</t>
  </si>
  <si>
    <t>7.413</t>
  </si>
  <si>
    <t>9.817</t>
  </si>
  <si>
    <t>14.62</t>
  </si>
  <si>
    <t>2.569</t>
  </si>
  <si>
    <t>2021-02-01 15:28:12</t>
  </si>
  <si>
    <t>4.049</t>
  </si>
  <si>
    <t>6.057</t>
  </si>
  <si>
    <t>3.097</t>
  </si>
  <si>
    <t>3.553</t>
  </si>
  <si>
    <t>2.884</t>
  </si>
  <si>
    <t>Topiramate</t>
  </si>
  <si>
    <t>28.08</t>
  </si>
  <si>
    <t>22.871</t>
  </si>
  <si>
    <t>Months</t>
  </si>
  <si>
    <t>20.35</t>
  </si>
  <si>
    <t>5.096</t>
  </si>
  <si>
    <t>4.738</t>
  </si>
  <si>
    <t>Music ,Crowds/large gatherings,Dishes being stacked,Power tools,Restaurants,Sporting events,Telephone ringing,TV/radio,High pitch voices/screaming, Baby crying/children squealing,Vacuum cleaner</t>
  </si>
  <si>
    <t>27.876</t>
  </si>
  <si>
    <t xml:space="preserve">2-3 times a month with medication </t>
  </si>
  <si>
    <t xml:space="preserve">15 with medication. 70 without </t>
  </si>
  <si>
    <t>42.684</t>
  </si>
  <si>
    <t>2.953</t>
  </si>
  <si>
    <t>64.104</t>
  </si>
  <si>
    <t>4.718</t>
  </si>
  <si>
    <t>9.233</t>
  </si>
  <si>
    <t>27.93</t>
  </si>
  <si>
    <t>16.02</t>
  </si>
  <si>
    <t>13.567</t>
  </si>
  <si>
    <t>10.388</t>
  </si>
  <si>
    <t>7.237</t>
  </si>
  <si>
    <t>7.892</t>
  </si>
  <si>
    <t>11.026</t>
  </si>
  <si>
    <t>5.615</t>
  </si>
  <si>
    <t>6.264</t>
  </si>
  <si>
    <t>4.019</t>
  </si>
  <si>
    <t>6.052</t>
  </si>
  <si>
    <t>20.267</t>
  </si>
  <si>
    <t>8.85</t>
  </si>
  <si>
    <t>6.586</t>
  </si>
  <si>
    <t>6.652</t>
  </si>
  <si>
    <t>2.099</t>
  </si>
  <si>
    <t>2021-02-01 14:50:17</t>
  </si>
  <si>
    <t>3.855</t>
  </si>
  <si>
    <t>4.628</t>
  </si>
  <si>
    <t>11.851</t>
  </si>
  <si>
    <t>4.541</t>
  </si>
  <si>
    <t>5.62</t>
  </si>
  <si>
    <t>4.482</t>
  </si>
  <si>
    <t>6.333</t>
  </si>
  <si>
    <t>5.788</t>
  </si>
  <si>
    <t>Excedrin+over the counter.) And imigraine from my doctor.</t>
  </si>
  <si>
    <t>65.263</t>
  </si>
  <si>
    <t>8.769</t>
  </si>
  <si>
    <t>5.767</t>
  </si>
  <si>
    <t>Left ear</t>
  </si>
  <si>
    <t>4.212</t>
  </si>
  <si>
    <t>Dishes being stacked</t>
  </si>
  <si>
    <t>33.528</t>
  </si>
  <si>
    <t>Approximately 2/3 month</t>
  </si>
  <si>
    <t>28.377</t>
  </si>
  <si>
    <t>12.53</t>
  </si>
  <si>
    <t>10.197</t>
  </si>
  <si>
    <t>4.209</t>
  </si>
  <si>
    <t>In ear wireless</t>
  </si>
  <si>
    <t>49.741</t>
  </si>
  <si>
    <t>7.313</t>
  </si>
  <si>
    <t>21.788</t>
  </si>
  <si>
    <t>39.289</t>
  </si>
  <si>
    <t>17.839</t>
  </si>
  <si>
    <t>9.224</t>
  </si>
  <si>
    <t>18.427</t>
  </si>
  <si>
    <t>12.527</t>
  </si>
  <si>
    <t>12.885</t>
  </si>
  <si>
    <t>10.473</t>
  </si>
  <si>
    <t>16.522</t>
  </si>
  <si>
    <t>9.25</t>
  </si>
  <si>
    <t>17.576</t>
  </si>
  <si>
    <t>11.419</t>
  </si>
  <si>
    <t>7.473</t>
  </si>
  <si>
    <t>16.104</t>
  </si>
  <si>
    <t>19.154</t>
  </si>
  <si>
    <t>16.144</t>
  </si>
  <si>
    <t>11.931</t>
  </si>
  <si>
    <t>8.716</t>
  </si>
  <si>
    <t>13.276</t>
  </si>
  <si>
    <t>25.735</t>
  </si>
  <si>
    <t>23.238</t>
  </si>
  <si>
    <t>3.806</t>
  </si>
  <si>
    <t>9.108</t>
  </si>
  <si>
    <t>2021-02-01 13:21:57</t>
  </si>
  <si>
    <t>15.251</t>
  </si>
  <si>
    <t>13.337</t>
  </si>
  <si>
    <t>15.615</t>
  </si>
  <si>
    <t>4.846</t>
  </si>
  <si>
    <t>3.647</t>
  </si>
  <si>
    <t>15.235</t>
  </si>
  <si>
    <t>11.818</t>
  </si>
  <si>
    <t>22.008</t>
  </si>
  <si>
    <t>10.42</t>
  </si>
  <si>
    <t>13.888</t>
  </si>
  <si>
    <t>TV/radio,High pitch voices/screaming,Telephone ringing</t>
  </si>
  <si>
    <t>38.28</t>
  </si>
  <si>
    <t xml:space="preserve">Approximately 3 per month </t>
  </si>
  <si>
    <t>23.428</t>
  </si>
  <si>
    <t>67</t>
  </si>
  <si>
    <t>8.6</t>
  </si>
  <si>
    <t>3.724</t>
  </si>
  <si>
    <t xml:space="preserve">Bose </t>
  </si>
  <si>
    <t>245.427</t>
  </si>
  <si>
    <t>4.715</t>
  </si>
  <si>
    <t>76.981</t>
  </si>
  <si>
    <t>17.43</t>
  </si>
  <si>
    <t>32.348</t>
  </si>
  <si>
    <t>11.223</t>
  </si>
  <si>
    <t>13.001</t>
  </si>
  <si>
    <t>11.056</t>
  </si>
  <si>
    <t>16.6</t>
  </si>
  <si>
    <t>8.727</t>
  </si>
  <si>
    <t>13.624</t>
  </si>
  <si>
    <t>11.999</t>
  </si>
  <si>
    <t>15.632</t>
  </si>
  <si>
    <t>11.923</t>
  </si>
  <si>
    <t>8.963</t>
  </si>
  <si>
    <t>10.303</t>
  </si>
  <si>
    <t>6.629</t>
  </si>
  <si>
    <t>15.726</t>
  </si>
  <si>
    <t>13.617</t>
  </si>
  <si>
    <t>11.937</t>
  </si>
  <si>
    <t>11.133</t>
  </si>
  <si>
    <t>27.157</t>
  </si>
  <si>
    <t>3.796</t>
  </si>
  <si>
    <t>2.218</t>
  </si>
  <si>
    <t>2021-02-01 11:26:33</t>
  </si>
  <si>
    <t>11.718</t>
  </si>
  <si>
    <t>4.28</t>
  </si>
  <si>
    <t>3.407</t>
  </si>
  <si>
    <t>12.249</t>
  </si>
  <si>
    <t>4.272</t>
  </si>
  <si>
    <t>3.144</t>
  </si>
  <si>
    <t>3.744</t>
  </si>
  <si>
    <t>3.824</t>
  </si>
  <si>
    <t>2.903</t>
  </si>
  <si>
    <t>3.009</t>
  </si>
  <si>
    <t>amitriptylene, candesartan and Imigran</t>
  </si>
  <si>
    <t>15.223</t>
  </si>
  <si>
    <t>6.081</t>
  </si>
  <si>
    <t xml:space="preserve"> Baby crying/children squealing,Crowds/large gatherings,Dishes being stacked,Dog barking,High pitch voices/screaming,Power tools,Telephone ringing,TV/radio,Vacuum cleaner,Whistle/horn/siren,Music ,Restaurants</t>
  </si>
  <si>
    <t>17.44</t>
  </si>
  <si>
    <t>3-4 times per month</t>
  </si>
  <si>
    <t>7.175</t>
  </si>
  <si>
    <t>4.521</t>
  </si>
  <si>
    <t>3.815</t>
  </si>
  <si>
    <t>2.337</t>
  </si>
  <si>
    <t>Panasonic RP-HT225</t>
  </si>
  <si>
    <t>80.449</t>
  </si>
  <si>
    <t>5.087</t>
  </si>
  <si>
    <t>18.552</t>
  </si>
  <si>
    <t>55.303</t>
  </si>
  <si>
    <t>19.115</t>
  </si>
  <si>
    <t>37.894</t>
  </si>
  <si>
    <t>7.785</t>
  </si>
  <si>
    <t>6.503</t>
  </si>
  <si>
    <t>7.722</t>
  </si>
  <si>
    <t>7.079</t>
  </si>
  <si>
    <t>6.505</t>
  </si>
  <si>
    <t>7.415</t>
  </si>
  <si>
    <t>6.321</t>
  </si>
  <si>
    <t>6.256</t>
  </si>
  <si>
    <t>6.826</t>
  </si>
  <si>
    <t>6.729</t>
  </si>
  <si>
    <t>6.543</t>
  </si>
  <si>
    <t>7.664</t>
  </si>
  <si>
    <t>1.923</t>
  </si>
  <si>
    <t>4.101</t>
  </si>
  <si>
    <t>1.322</t>
  </si>
  <si>
    <t>2021-02-01 10:00:47</t>
  </si>
  <si>
    <t>2.937</t>
  </si>
  <si>
    <t>3.618</t>
  </si>
  <si>
    <t>4.359</t>
  </si>
  <si>
    <t>3.668</t>
  </si>
  <si>
    <t>2.313</t>
  </si>
  <si>
    <t>3.142</t>
  </si>
  <si>
    <t>2.532</t>
  </si>
  <si>
    <t>2.721</t>
  </si>
  <si>
    <t>Aimovig, Cerelle, Venlafaxine, Fexofenadine, Nurofen Plus</t>
  </si>
  <si>
    <t>20.031</t>
  </si>
  <si>
    <t>2.741</t>
  </si>
  <si>
    <t>2.64</t>
  </si>
  <si>
    <t xml:space="preserve"> Baby crying/children squealing,Crowds/large gatherings,Dishes being stacked,Dog barking,High pitch voices/screaming,Music ,Power tools,Restaurants,Sporting events,TV/radio,Vacuum cleaner,Whistle/horn/siren</t>
  </si>
  <si>
    <t>13.578</t>
  </si>
  <si>
    <t>Every day</t>
  </si>
  <si>
    <t>6.686</t>
  </si>
  <si>
    <t>10 to 90</t>
  </si>
  <si>
    <t>17.98</t>
  </si>
  <si>
    <t>22.555</t>
  </si>
  <si>
    <t>AGPTEK ear buds</t>
  </si>
  <si>
    <t>81.413</t>
  </si>
  <si>
    <t>6.238</t>
  </si>
  <si>
    <t>8.829</t>
  </si>
  <si>
    <t>8.086</t>
  </si>
  <si>
    <t>10.271</t>
  </si>
  <si>
    <t>9.455</t>
  </si>
  <si>
    <t>5.015</t>
  </si>
  <si>
    <t>4.185</t>
  </si>
  <si>
    <t>6.249</t>
  </si>
  <si>
    <t>4.022</t>
  </si>
  <si>
    <t>5.172</t>
  </si>
  <si>
    <t>6.192</t>
  </si>
  <si>
    <t>3.698</t>
  </si>
  <si>
    <t>3.409</t>
  </si>
  <si>
    <t>6.111</t>
  </si>
  <si>
    <t>9.304</t>
  </si>
  <si>
    <t>5.718</t>
  </si>
  <si>
    <t>6.235</t>
  </si>
  <si>
    <t>1.308</t>
  </si>
  <si>
    <t>2021-01-31 22:29:21</t>
  </si>
  <si>
    <t>1.89</t>
  </si>
  <si>
    <t>3.499</t>
  </si>
  <si>
    <t>2.386</t>
  </si>
  <si>
    <t>2.013</t>
  </si>
  <si>
    <t>2.556</t>
  </si>
  <si>
    <t>2.935</t>
  </si>
  <si>
    <t>Sennheiser mm 30i In-ear phones</t>
  </si>
  <si>
    <t>36.07</t>
  </si>
  <si>
    <t>3.16</t>
  </si>
  <si>
    <t>5.985</t>
  </si>
  <si>
    <t>1.193</t>
  </si>
  <si>
    <t>15.527</t>
  </si>
  <si>
    <t>16.706</t>
  </si>
  <si>
    <t>16.56</t>
  </si>
  <si>
    <t>32.671</t>
  </si>
  <si>
    <t>8.787</t>
  </si>
  <si>
    <t>12.432</t>
  </si>
  <si>
    <t>12.117</t>
  </si>
  <si>
    <t>7.278</t>
  </si>
  <si>
    <t>8.899</t>
  </si>
  <si>
    <t>13.242</t>
  </si>
  <si>
    <t>8.629</t>
  </si>
  <si>
    <t>8.505</t>
  </si>
  <si>
    <t>9.889</t>
  </si>
  <si>
    <t>6.728</t>
  </si>
  <si>
    <t>10.8</t>
  </si>
  <si>
    <t>12.409</t>
  </si>
  <si>
    <t>13.95</t>
  </si>
  <si>
    <t>6.413</t>
  </si>
  <si>
    <t>8.516</t>
  </si>
  <si>
    <t>7.831</t>
  </si>
  <si>
    <t>13.568</t>
  </si>
  <si>
    <t>13.849</t>
  </si>
  <si>
    <t>130.551</t>
  </si>
  <si>
    <t>1.452</t>
  </si>
  <si>
    <t>2021-01-31 12:55:54</t>
  </si>
  <si>
    <t>4.52</t>
  </si>
  <si>
    <t>148.164</t>
  </si>
  <si>
    <t>5.592</t>
  </si>
  <si>
    <t>9.416</t>
  </si>
  <si>
    <t>2.896</t>
  </si>
  <si>
    <t>3.593</t>
  </si>
  <si>
    <t>AUDIO TECHNICA - M20x</t>
  </si>
  <si>
    <t>291.098</t>
  </si>
  <si>
    <t>64.018</t>
  </si>
  <si>
    <t>75.891</t>
  </si>
  <si>
    <t>34.261</t>
  </si>
  <si>
    <t>18.012</t>
  </si>
  <si>
    <t>15.049</t>
  </si>
  <si>
    <t>10.84</t>
  </si>
  <si>
    <t>8.817</t>
  </si>
  <si>
    <t>12.735</t>
  </si>
  <si>
    <t>12.121</t>
  </si>
  <si>
    <t>8.427</t>
  </si>
  <si>
    <t>10.017</t>
  </si>
  <si>
    <t>6.953</t>
  </si>
  <si>
    <t>3.944</t>
  </si>
  <si>
    <t>5.432</t>
  </si>
  <si>
    <t>3.473</t>
  </si>
  <si>
    <t>3.417</t>
  </si>
  <si>
    <t>14.447</t>
  </si>
  <si>
    <t>40.529</t>
  </si>
  <si>
    <t>2021-01-31 12:06:32</t>
  </si>
  <si>
    <t>4.819</t>
  </si>
  <si>
    <t>3.074</t>
  </si>
  <si>
    <t>24.858</t>
  </si>
  <si>
    <t>5.539</t>
  </si>
  <si>
    <t>GOJI Lites GLITOB18 Headphones - Black</t>
  </si>
  <si>
    <t>148.765</t>
  </si>
  <si>
    <t>22.26</t>
  </si>
  <si>
    <t>44.977</t>
  </si>
  <si>
    <t>32.101</t>
  </si>
  <si>
    <t>14.539</t>
  </si>
  <si>
    <t>27.008</t>
  </si>
  <si>
    <t>20.523</t>
  </si>
  <si>
    <t>16.013</t>
  </si>
  <si>
    <t>34.383</t>
  </si>
  <si>
    <t>11.377</t>
  </si>
  <si>
    <t>31.145</t>
  </si>
  <si>
    <t>12.139</t>
  </si>
  <si>
    <t>22.763</t>
  </si>
  <si>
    <t>12.107</t>
  </si>
  <si>
    <t>16.481</t>
  </si>
  <si>
    <t>14.727</t>
  </si>
  <si>
    <t>42.617</t>
  </si>
  <si>
    <t>8.699</t>
  </si>
  <si>
    <t>19.348</t>
  </si>
  <si>
    <t>11.463</t>
  </si>
  <si>
    <t>13.419</t>
  </si>
  <si>
    <t>22.522</t>
  </si>
  <si>
    <t>8.538</t>
  </si>
  <si>
    <t>23.609</t>
  </si>
  <si>
    <t>15.861</t>
  </si>
  <si>
    <t>27.559</t>
  </si>
  <si>
    <t>9.223</t>
  </si>
  <si>
    <t>63.152</t>
  </si>
  <si>
    <t>2021-01-29 16:59:25</t>
  </si>
  <si>
    <t>5.393</t>
  </si>
  <si>
    <t>10.808</t>
  </si>
  <si>
    <t>16.858</t>
  </si>
  <si>
    <t>3.574</t>
  </si>
  <si>
    <t>3.218</t>
  </si>
  <si>
    <t>10.802</t>
  </si>
  <si>
    <t>Razer Kraken</t>
  </si>
  <si>
    <t>273.65</t>
  </si>
  <si>
    <t>8.29</t>
  </si>
  <si>
    <t>25.5</t>
  </si>
  <si>
    <t>26.146</t>
  </si>
  <si>
    <t>16.145</t>
  </si>
  <si>
    <t>10.749</t>
  </si>
  <si>
    <t>13.54</t>
  </si>
  <si>
    <t>12.786</t>
  </si>
  <si>
    <t>17.885</t>
  </si>
  <si>
    <t>7.139</t>
  </si>
  <si>
    <t>14.627</t>
  </si>
  <si>
    <t>13.99</t>
  </si>
  <si>
    <t>5.828</t>
  </si>
  <si>
    <t>8.721</t>
  </si>
  <si>
    <t>14.504</t>
  </si>
  <si>
    <t>10.713</t>
  </si>
  <si>
    <t>17.112</t>
  </si>
  <si>
    <t>6.445</t>
  </si>
  <si>
    <t>6.878</t>
  </si>
  <si>
    <t>3.882</t>
  </si>
  <si>
    <t>5.26</t>
  </si>
  <si>
    <t>5.399</t>
  </si>
  <si>
    <t>4.953</t>
  </si>
  <si>
    <t>7.65</t>
  </si>
  <si>
    <t>2.403</t>
  </si>
  <si>
    <t>2021-01-29 11:10:36</t>
  </si>
  <si>
    <t>1.956</t>
  </si>
  <si>
    <t>2.577</t>
  </si>
  <si>
    <t>1.853</t>
  </si>
  <si>
    <t>1.537</t>
  </si>
  <si>
    <t>3.233</t>
  </si>
  <si>
    <t>2.055</t>
  </si>
  <si>
    <t>2.415</t>
  </si>
  <si>
    <t>2.738</t>
  </si>
  <si>
    <t>2.789</t>
  </si>
  <si>
    <t>4.658</t>
  </si>
  <si>
    <t>3.749</t>
  </si>
  <si>
    <t>3.51</t>
  </si>
  <si>
    <t>3.779</t>
  </si>
  <si>
    <t>7.382</t>
  </si>
  <si>
    <t>Crowds/large gatherings,Music ,High pitch voices/screaming, Baby crying/children squealing,TV/radio,Whistle/horn/siren</t>
  </si>
  <si>
    <t>17.324</t>
  </si>
  <si>
    <t>once in two months</t>
  </si>
  <si>
    <t>8.297</t>
  </si>
  <si>
    <t>3.899</t>
  </si>
  <si>
    <t>4.663</t>
  </si>
  <si>
    <t>1.914</t>
  </si>
  <si>
    <t xml:space="preserve">Sony WH-1000XM4 </t>
  </si>
  <si>
    <t>27.173</t>
  </si>
  <si>
    <t>6.165</t>
  </si>
  <si>
    <t>28.819</t>
  </si>
  <si>
    <t>9.781</t>
  </si>
  <si>
    <t>11.325</t>
  </si>
  <si>
    <t>14.324</t>
  </si>
  <si>
    <t>7.762</t>
  </si>
  <si>
    <t>11.535</t>
  </si>
  <si>
    <t>8.933</t>
  </si>
  <si>
    <t>30.494</t>
  </si>
  <si>
    <t>8.294</t>
  </si>
  <si>
    <t>8.681</t>
  </si>
  <si>
    <t>10.703</t>
  </si>
  <si>
    <t>6.428</t>
  </si>
  <si>
    <t>5.43</t>
  </si>
  <si>
    <t>8.182</t>
  </si>
  <si>
    <t>8.017</t>
  </si>
  <si>
    <t>7.29</t>
  </si>
  <si>
    <t>7.907</t>
  </si>
  <si>
    <t>10.367</t>
  </si>
  <si>
    <t>12.471</t>
  </si>
  <si>
    <t>15.435</t>
  </si>
  <si>
    <t>2.047</t>
  </si>
  <si>
    <t>2021-01-28 22:45:30</t>
  </si>
  <si>
    <t>2.4</t>
  </si>
  <si>
    <t>2.567</t>
  </si>
  <si>
    <t>24.742</t>
  </si>
  <si>
    <t>2.963</t>
  </si>
  <si>
    <t>3.168</t>
  </si>
  <si>
    <t>3.181</t>
  </si>
  <si>
    <t>4.269</t>
  </si>
  <si>
    <t>3.906</t>
  </si>
  <si>
    <t xml:space="preserve">Ramiprol </t>
  </si>
  <si>
    <t>11.158</t>
  </si>
  <si>
    <t>5.295</t>
  </si>
  <si>
    <t>4.785</t>
  </si>
  <si>
    <t>3.289</t>
  </si>
  <si>
    <t xml:space="preserve"> Baby crying/children squealing,Crowds/large gatherings,Dishes being stacked,High pitch voices/screaming,Telephone ringing,Whistle/horn/siren</t>
  </si>
  <si>
    <t>17.883</t>
  </si>
  <si>
    <t>Once a month at the moment but have experienced them weekly</t>
  </si>
  <si>
    <t>17.463</t>
  </si>
  <si>
    <t>3.578</t>
  </si>
  <si>
    <t>3.905</t>
  </si>
  <si>
    <t>2.566</t>
  </si>
  <si>
    <t>14.622</t>
  </si>
  <si>
    <t>16.386</t>
  </si>
  <si>
    <t>15.361</t>
  </si>
  <si>
    <t>10.295</t>
  </si>
  <si>
    <t>4.825</t>
  </si>
  <si>
    <t>6.657</t>
  </si>
  <si>
    <t>4.882</t>
  </si>
  <si>
    <t>4.989</t>
  </si>
  <si>
    <t>4.675</t>
  </si>
  <si>
    <t>1.765</t>
  </si>
  <si>
    <t>1.589</t>
  </si>
  <si>
    <t>2021-01-28 18:22:53</t>
  </si>
  <si>
    <t>2.837</t>
  </si>
  <si>
    <t>3.54</t>
  </si>
  <si>
    <t>10.733</t>
  </si>
  <si>
    <t>5.599</t>
  </si>
  <si>
    <t>3.619</t>
  </si>
  <si>
    <t>2.609</t>
  </si>
  <si>
    <t xml:space="preserve">Propranlol  sertraline and sumatriptan </t>
  </si>
  <si>
    <t>25.887</t>
  </si>
  <si>
    <t>15.355</t>
  </si>
  <si>
    <t>4.732</t>
  </si>
  <si>
    <t xml:space="preserve"> Baby crying/children squealing,Crowds/large gatherings,Dishes being stacked,Dog barking,High pitch voices/screaming,Power tools,Telephone ringing,TV/radio,Vacuum cleaner,Whistle/horn/siren</t>
  </si>
  <si>
    <t>30.181</t>
  </si>
  <si>
    <t>3 days per week</t>
  </si>
  <si>
    <t>14.255</t>
  </si>
  <si>
    <t>7.799</t>
  </si>
  <si>
    <t>Yes, I am experiencing an aura right now</t>
  </si>
  <si>
    <t>10.439</t>
  </si>
  <si>
    <t>3.596</t>
  </si>
  <si>
    <t>31.319</t>
  </si>
  <si>
    <t>38.655</t>
  </si>
  <si>
    <t>31.813</t>
  </si>
  <si>
    <t>20.279</t>
  </si>
  <si>
    <t>21.864</t>
  </si>
  <si>
    <t>8.885</t>
  </si>
  <si>
    <t>6.493</t>
  </si>
  <si>
    <t>9.787</t>
  </si>
  <si>
    <t>11.016</t>
  </si>
  <si>
    <t>6.47</t>
  </si>
  <si>
    <t>5.036</t>
  </si>
  <si>
    <t>8.117</t>
  </si>
  <si>
    <t>11.833</t>
  </si>
  <si>
    <t>0.02</t>
  </si>
  <si>
    <t>4.267</t>
  </si>
  <si>
    <t>11.744</t>
  </si>
  <si>
    <t>6.383</t>
  </si>
  <si>
    <t>5.647</t>
  </si>
  <si>
    <t>3.156</t>
  </si>
  <si>
    <t>2021-01-28 17:04:25</t>
  </si>
  <si>
    <t>16.763</t>
  </si>
  <si>
    <t>2.649</t>
  </si>
  <si>
    <t>3.544</t>
  </si>
  <si>
    <t>5.731</t>
  </si>
  <si>
    <t>2.054</t>
  </si>
  <si>
    <t>1.885</t>
  </si>
  <si>
    <t>Sennheiser HD 598SE</t>
  </si>
  <si>
    <t>109.96</t>
  </si>
  <si>
    <t>13.848</t>
  </si>
  <si>
    <t>16.535</t>
  </si>
  <si>
    <t>11.027</t>
  </si>
  <si>
    <t>10.616</t>
  </si>
  <si>
    <t>12.942</t>
  </si>
  <si>
    <t>8.779</t>
  </si>
  <si>
    <t>7.131</t>
  </si>
  <si>
    <t>13.16</t>
  </si>
  <si>
    <t>6.49</t>
  </si>
  <si>
    <t>5.947</t>
  </si>
  <si>
    <t>6.914</t>
  </si>
  <si>
    <t>10.307</t>
  </si>
  <si>
    <t>10.864</t>
  </si>
  <si>
    <t>7.634</t>
  </si>
  <si>
    <t>5.407</t>
  </si>
  <si>
    <t>9.319</t>
  </si>
  <si>
    <t>7.059</t>
  </si>
  <si>
    <t>6.124</t>
  </si>
  <si>
    <t>6.933</t>
  </si>
  <si>
    <t>2.797</t>
  </si>
  <si>
    <t>1.843</t>
  </si>
  <si>
    <t>0.951</t>
  </si>
  <si>
    <t>2021-01-28 17:04:08</t>
  </si>
  <si>
    <t>22.321</t>
  </si>
  <si>
    <t>11.004</t>
  </si>
  <si>
    <t>19.577</t>
  </si>
  <si>
    <t>3.268</t>
  </si>
  <si>
    <t>2.308</t>
  </si>
  <si>
    <t>2.912</t>
  </si>
  <si>
    <t>2-4x monthly</t>
  </si>
  <si>
    <t>9.538</t>
  </si>
  <si>
    <t>1.678</t>
  </si>
  <si>
    <t>Sephia SP3060 Wired Earphones</t>
  </si>
  <si>
    <t>110.374</t>
  </si>
  <si>
    <t>8.531</t>
  </si>
  <si>
    <t>19.441</t>
  </si>
  <si>
    <t>10.229</t>
  </si>
  <si>
    <t>12.197</t>
  </si>
  <si>
    <t>8.446</t>
  </si>
  <si>
    <t>8.82</t>
  </si>
  <si>
    <t>7.261</t>
  </si>
  <si>
    <t>7.875</t>
  </si>
  <si>
    <t>6.534</t>
  </si>
  <si>
    <t>7.083</t>
  </si>
  <si>
    <t>9.027</t>
  </si>
  <si>
    <t>6.93</t>
  </si>
  <si>
    <t>4.808</t>
  </si>
  <si>
    <t>8.213</t>
  </si>
  <si>
    <t>5.978</t>
  </si>
  <si>
    <t>11.109</t>
  </si>
  <si>
    <t>11.359</t>
  </si>
  <si>
    <t>9.639</t>
  </si>
  <si>
    <t>8.309</t>
  </si>
  <si>
    <t>1.21</t>
  </si>
  <si>
    <t>2021-01-28 17:03:09</t>
  </si>
  <si>
    <t>5.658</t>
  </si>
  <si>
    <t>4.875</t>
  </si>
  <si>
    <t>2.281</t>
  </si>
  <si>
    <t>3.841</t>
  </si>
  <si>
    <t>11.903</t>
  </si>
  <si>
    <t>2.01</t>
  </si>
  <si>
    <t>2.68</t>
  </si>
  <si>
    <t>beyerdynamic dt 770 pro - 250 ohm</t>
  </si>
  <si>
    <t>55.441</t>
  </si>
  <si>
    <t>2.552</t>
  </si>
  <si>
    <t>20.749</t>
  </si>
  <si>
    <t>1.938</t>
  </si>
  <si>
    <t>63.942</t>
  </si>
  <si>
    <t>17.682</t>
  </si>
  <si>
    <t>70.936</t>
  </si>
  <si>
    <t>15.536</t>
  </si>
  <si>
    <t>28.994</t>
  </si>
  <si>
    <t>8.155</t>
  </si>
  <si>
    <t>15.895</t>
  </si>
  <si>
    <t>22.074</t>
  </si>
  <si>
    <t>15.448</t>
  </si>
  <si>
    <t>23.11</t>
  </si>
  <si>
    <t>11.193</t>
  </si>
  <si>
    <t>19.881</t>
  </si>
  <si>
    <t>9.99</t>
  </si>
  <si>
    <t>65.462</t>
  </si>
  <si>
    <t>19.688</t>
  </si>
  <si>
    <t>16.773</t>
  </si>
  <si>
    <t>23.075</t>
  </si>
  <si>
    <t>10.608</t>
  </si>
  <si>
    <t>34.857</t>
  </si>
  <si>
    <t>12.277</t>
  </si>
  <si>
    <t>33.227</t>
  </si>
  <si>
    <t>19.395</t>
  </si>
  <si>
    <t>6.887</t>
  </si>
  <si>
    <t>2021-01-27 10:22:56</t>
  </si>
  <si>
    <t>7.214</t>
  </si>
  <si>
    <t>4.701</t>
  </si>
  <si>
    <t>10.795</t>
  </si>
  <si>
    <t>3.028</t>
  </si>
  <si>
    <t>2.779</t>
  </si>
  <si>
    <t>2.421</t>
  </si>
  <si>
    <t>n/a</t>
  </si>
  <si>
    <t>58.126</t>
  </si>
  <si>
    <t>2.707</t>
  </si>
  <si>
    <t>16.948</t>
  </si>
  <si>
    <t>16.818</t>
  </si>
  <si>
    <t>14.159</t>
  </si>
  <si>
    <t>14.139</t>
  </si>
  <si>
    <t>10.956</t>
  </si>
  <si>
    <t>7.315</t>
  </si>
  <si>
    <t>6.694</t>
  </si>
  <si>
    <t>22.925</t>
  </si>
  <si>
    <t>6.377</t>
  </si>
  <si>
    <t>9.362</t>
  </si>
  <si>
    <t>8.563</t>
  </si>
  <si>
    <t>8.9</t>
  </si>
  <si>
    <t>12.987</t>
  </si>
  <si>
    <t>8.964</t>
  </si>
  <si>
    <t>7.685</t>
  </si>
  <si>
    <t>6.873</t>
  </si>
  <si>
    <t>6.329</t>
  </si>
  <si>
    <t>9.178</t>
  </si>
  <si>
    <t>8.682</t>
  </si>
  <si>
    <t>6.624</t>
  </si>
  <si>
    <t>3.365</t>
  </si>
  <si>
    <t>24.05</t>
  </si>
  <si>
    <t>2021-01-26 20:37:03</t>
  </si>
  <si>
    <t>5.859</t>
  </si>
  <si>
    <t>4.858</t>
  </si>
  <si>
    <t>31.47</t>
  </si>
  <si>
    <t>3.633</t>
  </si>
  <si>
    <t>4.036</t>
  </si>
  <si>
    <t>sumatriptan</t>
  </si>
  <si>
    <t>18.188</t>
  </si>
  <si>
    <t>16.203</t>
  </si>
  <si>
    <t>multiple times per month</t>
  </si>
  <si>
    <t>17.008</t>
  </si>
  <si>
    <t>19.387</t>
  </si>
  <si>
    <t>8.349</t>
  </si>
  <si>
    <t>23.896</t>
  </si>
  <si>
    <t>bose ae2</t>
  </si>
  <si>
    <t>100.118</t>
  </si>
  <si>
    <t>6.912</t>
  </si>
  <si>
    <t>22.464</t>
  </si>
  <si>
    <t>33.117</t>
  </si>
  <si>
    <t>24.256</t>
  </si>
  <si>
    <t>18.212</t>
  </si>
  <si>
    <t>15.357</t>
  </si>
  <si>
    <t>24.906</t>
  </si>
  <si>
    <t>7.768</t>
  </si>
  <si>
    <t>7.355</t>
  </si>
  <si>
    <t>5.736</t>
  </si>
  <si>
    <t>10.883</t>
  </si>
  <si>
    <t>9.338</t>
  </si>
  <si>
    <t>15.554</t>
  </si>
  <si>
    <t>15.586</t>
  </si>
  <si>
    <t>12.424</t>
  </si>
  <si>
    <t>12.881</t>
  </si>
  <si>
    <t>11.836</t>
  </si>
  <si>
    <t>14.641</t>
  </si>
  <si>
    <t>10.456</t>
  </si>
  <si>
    <t>13.612</t>
  </si>
  <si>
    <t>6.832</t>
  </si>
  <si>
    <t>55.002</t>
  </si>
  <si>
    <t>2.315</t>
  </si>
  <si>
    <t>2021-01-26 15:15:18</t>
  </si>
  <si>
    <t>2.18</t>
  </si>
  <si>
    <t>4.368</t>
  </si>
  <si>
    <t>2.668</t>
  </si>
  <si>
    <t>1.762</t>
  </si>
  <si>
    <t>2.65</t>
  </si>
  <si>
    <t>Senn HD600</t>
  </si>
  <si>
    <t>87.005</t>
  </si>
  <si>
    <t>5.89</t>
  </si>
  <si>
    <t>12.533</t>
  </si>
  <si>
    <t>6.053</t>
  </si>
  <si>
    <t>15.688</t>
  </si>
  <si>
    <t>14.67</t>
  </si>
  <si>
    <t>6.864</t>
  </si>
  <si>
    <t>8.987</t>
  </si>
  <si>
    <t>6.178</t>
  </si>
  <si>
    <t>40.929</t>
  </si>
  <si>
    <t>5.21</t>
  </si>
  <si>
    <t>9.504</t>
  </si>
  <si>
    <t>2.928</t>
  </si>
  <si>
    <t>10.175</t>
  </si>
  <si>
    <t>5.22</t>
  </si>
  <si>
    <t>69.156</t>
  </si>
  <si>
    <t>5.897</t>
  </si>
  <si>
    <t>6.031</t>
  </si>
  <si>
    <t>9.217</t>
  </si>
  <si>
    <t>4.603</t>
  </si>
  <si>
    <t>3.938</t>
  </si>
  <si>
    <t>11.173</t>
  </si>
  <si>
    <t>103.971</t>
  </si>
  <si>
    <t>4.076</t>
  </si>
  <si>
    <t>49.118</t>
  </si>
  <si>
    <t>1.734</t>
  </si>
  <si>
    <t>1.016</t>
  </si>
  <si>
    <t>2021-01-26 09:14:36</t>
  </si>
  <si>
    <t>2.538</t>
  </si>
  <si>
    <t>2.599</t>
  </si>
  <si>
    <t>1.948</t>
  </si>
  <si>
    <t>2.299</t>
  </si>
  <si>
    <t xml:space="preserve">Apple AirPods Pro </t>
  </si>
  <si>
    <t>38.776</t>
  </si>
  <si>
    <t>2.955</t>
  </si>
  <si>
    <t>49.313</t>
  </si>
  <si>
    <t>31.03</t>
  </si>
  <si>
    <t>18.027</t>
  </si>
  <si>
    <t>17.628</t>
  </si>
  <si>
    <t>16.617</t>
  </si>
  <si>
    <t>6.784</t>
  </si>
  <si>
    <t>8.537</t>
  </si>
  <si>
    <t>8.002</t>
  </si>
  <si>
    <t>10.358</t>
  </si>
  <si>
    <t>13.122</t>
  </si>
  <si>
    <t>7.073</t>
  </si>
  <si>
    <t>7.854</t>
  </si>
  <si>
    <t>13.302</t>
  </si>
  <si>
    <t>11.69</t>
  </si>
  <si>
    <t>8.303</t>
  </si>
  <si>
    <t>27.08</t>
  </si>
  <si>
    <t>28.66</t>
  </si>
  <si>
    <t>2021-01-24 16:17:41</t>
  </si>
  <si>
    <t>21.305</t>
  </si>
  <si>
    <t>6.744</t>
  </si>
  <si>
    <t>3.664</t>
  </si>
  <si>
    <t>8.115</t>
  </si>
  <si>
    <t>3.804</t>
  </si>
  <si>
    <t>3.491</t>
  </si>
  <si>
    <t>Audio Technica M50</t>
  </si>
  <si>
    <t>80.053</t>
  </si>
  <si>
    <t>14.716</t>
  </si>
  <si>
    <t>6.184</t>
  </si>
  <si>
    <t>81.896</t>
  </si>
  <si>
    <t>10.675</t>
  </si>
  <si>
    <t>40.029</t>
  </si>
  <si>
    <t>12.528</t>
  </si>
  <si>
    <t>10.18</t>
  </si>
  <si>
    <t>10.09</t>
  </si>
  <si>
    <t>6.934</t>
  </si>
  <si>
    <t>14.135</t>
  </si>
  <si>
    <t>10.777</t>
  </si>
  <si>
    <t>5.191</t>
  </si>
  <si>
    <t>6.562</t>
  </si>
  <si>
    <t>9.14</t>
  </si>
  <si>
    <t>15.913</t>
  </si>
  <si>
    <t>9.669</t>
  </si>
  <si>
    <t>9.358</t>
  </si>
  <si>
    <t>6.36</t>
  </si>
  <si>
    <t>6.409</t>
  </si>
  <si>
    <t>1.763</t>
  </si>
  <si>
    <t>2021-01-18 11:34:17</t>
  </si>
  <si>
    <t>7.133</t>
  </si>
  <si>
    <t>68.913</t>
  </si>
  <si>
    <t>11.114</t>
  </si>
  <si>
    <t>28.749</t>
  </si>
  <si>
    <t>7.052</t>
  </si>
  <si>
    <t>3.467</t>
  </si>
  <si>
    <t>5.832</t>
  </si>
  <si>
    <t>5.31</t>
  </si>
  <si>
    <t>Migretil, Diazepam</t>
  </si>
  <si>
    <t>35.032</t>
  </si>
  <si>
    <t>10.919</t>
  </si>
  <si>
    <t>7.574</t>
  </si>
  <si>
    <t xml:space="preserve"> Before a migraine,During a migraine</t>
  </si>
  <si>
    <t>Music ,High pitch voices/screaming</t>
  </si>
  <si>
    <t>23.862</t>
  </si>
  <si>
    <t>once a week at least</t>
  </si>
  <si>
    <t>17.009</t>
  </si>
  <si>
    <t>13.303</t>
  </si>
  <si>
    <t>JBL</t>
  </si>
  <si>
    <t>115.289</t>
  </si>
  <si>
    <t>23.314</t>
  </si>
  <si>
    <t>35.923</t>
  </si>
  <si>
    <t>40.402</t>
  </si>
  <si>
    <t>27.226</t>
  </si>
  <si>
    <t>17.065</t>
  </si>
  <si>
    <t>24.794</t>
  </si>
  <si>
    <t>22.915</t>
  </si>
  <si>
    <t>14.791</t>
  </si>
  <si>
    <t>14.938</t>
  </si>
  <si>
    <t>9.657</t>
  </si>
  <si>
    <t>12.306</t>
  </si>
  <si>
    <t>124.737</t>
  </si>
  <si>
    <t>51.338</t>
  </si>
  <si>
    <t>85.679</t>
  </si>
  <si>
    <t>9.439</t>
  </si>
  <si>
    <t>15.088</t>
  </si>
  <si>
    <t>10.563</t>
  </si>
  <si>
    <t>8.767</t>
  </si>
  <si>
    <t>9.363</t>
  </si>
  <si>
    <t>28.916</t>
  </si>
  <si>
    <t>13.31</t>
  </si>
  <si>
    <t>9.075</t>
  </si>
  <si>
    <t>12.762</t>
  </si>
  <si>
    <t>10.852</t>
  </si>
  <si>
    <t>8.211</t>
  </si>
  <si>
    <t>8.465</t>
  </si>
  <si>
    <t>2.498</t>
  </si>
  <si>
    <t>2021-01-18 09:10:09</t>
  </si>
  <si>
    <t>6.51</t>
  </si>
  <si>
    <t>44.325</t>
  </si>
  <si>
    <t>4.514</t>
  </si>
  <si>
    <t>4.403</t>
  </si>
  <si>
    <t>21.562</t>
  </si>
  <si>
    <t>4.04</t>
  </si>
  <si>
    <t>regularly till around 30. Only one since, but what a one it was!</t>
  </si>
  <si>
    <t>11.753</t>
  </si>
  <si>
    <t>5.692</t>
  </si>
  <si>
    <t>Sennheiser HD598</t>
  </si>
  <si>
    <t>51.505</t>
  </si>
  <si>
    <t>13.448</t>
  </si>
  <si>
    <t>11.02</t>
  </si>
  <si>
    <t>38.127</t>
  </si>
  <si>
    <t>10.584</t>
  </si>
  <si>
    <t>10.012</t>
  </si>
  <si>
    <t>8.003</t>
  </si>
  <si>
    <t>6.555</t>
  </si>
  <si>
    <t>9.03</t>
  </si>
  <si>
    <t>7.417</t>
  </si>
  <si>
    <t>7.193</t>
  </si>
  <si>
    <t>7.215</t>
  </si>
  <si>
    <t>5.955</t>
  </si>
  <si>
    <t>9.721</t>
  </si>
  <si>
    <t>12.593</t>
  </si>
  <si>
    <t>4.725</t>
  </si>
  <si>
    <t>12.997</t>
  </si>
  <si>
    <t>15.742</t>
  </si>
  <si>
    <t>1.792</t>
  </si>
  <si>
    <t>37.56</t>
  </si>
  <si>
    <t>4.358</t>
  </si>
  <si>
    <t>2021-01-14 20:58:30</t>
  </si>
  <si>
    <t>21.041</t>
  </si>
  <si>
    <t>20.271</t>
  </si>
  <si>
    <t>8.574</t>
  </si>
  <si>
    <t>12.104</t>
  </si>
  <si>
    <t>3.878</t>
  </si>
  <si>
    <t>2.932</t>
  </si>
  <si>
    <t>Taotronics Soundliberty 92</t>
  </si>
  <si>
    <t>116.742</t>
  </si>
  <si>
    <t>7.713</t>
  </si>
  <si>
    <t>23.052</t>
  </si>
  <si>
    <t>21.177</t>
  </si>
  <si>
    <t>19.049</t>
  </si>
  <si>
    <t>19.08</t>
  </si>
  <si>
    <t>23.018</t>
  </si>
  <si>
    <t>13.778</t>
  </si>
  <si>
    <t>12.8</t>
  </si>
  <si>
    <t>11.296</t>
  </si>
  <si>
    <t>8.242</t>
  </si>
  <si>
    <t>6.72</t>
  </si>
  <si>
    <t>10.646</t>
  </si>
  <si>
    <t>11.376</t>
  </si>
  <si>
    <t>7.707</t>
  </si>
  <si>
    <t>12.063</t>
  </si>
  <si>
    <t>12.649</t>
  </si>
  <si>
    <t>8.028</t>
  </si>
  <si>
    <t>8.21</t>
  </si>
  <si>
    <t>12.962</t>
  </si>
  <si>
    <t>7.562</t>
  </si>
  <si>
    <t>97.305</t>
  </si>
  <si>
    <t>2021-01-13 11:01:12</t>
  </si>
  <si>
    <t>12.314</t>
  </si>
  <si>
    <t>3.571</t>
  </si>
  <si>
    <t>4.318</t>
  </si>
  <si>
    <t>Once every 6 months</t>
  </si>
  <si>
    <t>11.23</t>
  </si>
  <si>
    <t>5.079</t>
  </si>
  <si>
    <t>Apple AirPods pro</t>
  </si>
  <si>
    <t>98.66</t>
  </si>
  <si>
    <t>17.211</t>
  </si>
  <si>
    <t>32.334</t>
  </si>
  <si>
    <t>49.604</t>
  </si>
  <si>
    <t>25.103</t>
  </si>
  <si>
    <t>5.631</t>
  </si>
  <si>
    <t>9.523</t>
  </si>
  <si>
    <t>10.409</t>
  </si>
  <si>
    <t>5.65</t>
  </si>
  <si>
    <t>21.686</t>
  </si>
  <si>
    <t>10.73</t>
  </si>
  <si>
    <t>7.316</t>
  </si>
  <si>
    <t>9.517</t>
  </si>
  <si>
    <t>4.988</t>
  </si>
  <si>
    <t>5.483</t>
  </si>
  <si>
    <t>8.863</t>
  </si>
  <si>
    <t>11.582</t>
  </si>
  <si>
    <t>5.231</t>
  </si>
  <si>
    <t>11.841</t>
  </si>
  <si>
    <t>6.838</t>
  </si>
  <si>
    <t>2.391</t>
  </si>
  <si>
    <t>4.796</t>
  </si>
  <si>
    <t>2021-01-12 21:50:44</t>
  </si>
  <si>
    <t>8.974</t>
  </si>
  <si>
    <t>4.248</t>
  </si>
  <si>
    <t>4.552</t>
  </si>
  <si>
    <t>2.333</t>
  </si>
  <si>
    <t>3.64</t>
  </si>
  <si>
    <t>3.978</t>
  </si>
  <si>
    <t>4.104</t>
  </si>
  <si>
    <t>sumatriptain</t>
  </si>
  <si>
    <t>9.706</t>
  </si>
  <si>
    <t>13.672</t>
  </si>
  <si>
    <t>Dishes being stacked,High pitch voices/screaming,Power tools,TV/radio,Vacuum cleaner,Whistle/horn/siren</t>
  </si>
  <si>
    <t>32.036</t>
  </si>
  <si>
    <t>every 1 or 2 months</t>
  </si>
  <si>
    <t>5.343</t>
  </si>
  <si>
    <t>1.917</t>
  </si>
  <si>
    <t>29.218</t>
  </si>
  <si>
    <t>7.668</t>
  </si>
  <si>
    <t>17.327</t>
  </si>
  <si>
    <t>21.132</t>
  </si>
  <si>
    <t>21.969</t>
  </si>
  <si>
    <t>13.384</t>
  </si>
  <si>
    <t>11.711</t>
  </si>
  <si>
    <t>12.778</t>
  </si>
  <si>
    <t>9.098</t>
  </si>
  <si>
    <t>13.495</t>
  </si>
  <si>
    <t>11.767</t>
  </si>
  <si>
    <t>8.912</t>
  </si>
  <si>
    <t>15.176</t>
  </si>
  <si>
    <t>11.88</t>
  </si>
  <si>
    <t>8.595</t>
  </si>
  <si>
    <t>6.703</t>
  </si>
  <si>
    <t>2.436</t>
  </si>
  <si>
    <t>2021-01-12 18:12:49</t>
  </si>
  <si>
    <t>6.4</t>
  </si>
  <si>
    <t>36.599</t>
  </si>
  <si>
    <t>6.553</t>
  </si>
  <si>
    <t>10.901</t>
  </si>
  <si>
    <t>4.776</t>
  </si>
  <si>
    <t>5.054</t>
  </si>
  <si>
    <t>5.497</t>
  </si>
  <si>
    <t>75.729</t>
  </si>
  <si>
    <t>5.478</t>
  </si>
  <si>
    <t>22.152</t>
  </si>
  <si>
    <t>12.299</t>
  </si>
  <si>
    <t>16.236</t>
  </si>
  <si>
    <t>23.857</t>
  </si>
  <si>
    <t>19.361</t>
  </si>
  <si>
    <t>12.646</t>
  </si>
  <si>
    <t>14.508</t>
  </si>
  <si>
    <t>11.482</t>
  </si>
  <si>
    <t>9.126</t>
  </si>
  <si>
    <t>10.128</t>
  </si>
  <si>
    <t>6.982</t>
  </si>
  <si>
    <t>8.156</t>
  </si>
  <si>
    <t>7.375</t>
  </si>
  <si>
    <t>6.611</t>
  </si>
  <si>
    <t>796.8</t>
  </si>
  <si>
    <t>19.747</t>
  </si>
  <si>
    <t>8.359</t>
  </si>
  <si>
    <t>2021-01-12 16:06:34</t>
  </si>
  <si>
    <t>16.254</t>
  </si>
  <si>
    <t>13.625</t>
  </si>
  <si>
    <t>5.696</t>
  </si>
  <si>
    <t>23.672</t>
  </si>
  <si>
    <t>2.248</t>
  </si>
  <si>
    <t>3.03</t>
  </si>
  <si>
    <t>2.809</t>
  </si>
  <si>
    <t>DT 770 PRO 80 Ohms, with 88dBA Limiter</t>
  </si>
  <si>
    <t>75.639</t>
  </si>
  <si>
    <t>4.904</t>
  </si>
  <si>
    <t>12.023</t>
  </si>
  <si>
    <t>5.905</t>
  </si>
  <si>
    <t>17.337</t>
  </si>
  <si>
    <t>13.895</t>
  </si>
  <si>
    <t>13.24</t>
  </si>
  <si>
    <t>14.608</t>
  </si>
  <si>
    <t>6.592</t>
  </si>
  <si>
    <t>12.632</t>
  </si>
  <si>
    <t>9.327</t>
  </si>
  <si>
    <t>10.161</t>
  </si>
  <si>
    <t>13.151</t>
  </si>
  <si>
    <t>6.28</t>
  </si>
  <si>
    <t>5.775</t>
  </si>
  <si>
    <t>3.793</t>
  </si>
  <si>
    <t>4.103</t>
  </si>
  <si>
    <t>3.832</t>
  </si>
  <si>
    <t>6.504</t>
  </si>
  <si>
    <t>3.543</t>
  </si>
  <si>
    <t>5.208</t>
  </si>
  <si>
    <t>1.504</t>
  </si>
  <si>
    <t>195.335</t>
  </si>
  <si>
    <t>1.345</t>
  </si>
  <si>
    <t>2021-01-12 14:56:56</t>
  </si>
  <si>
    <t>885.444</t>
  </si>
  <si>
    <t>19.127</t>
  </si>
  <si>
    <t>4.2</t>
  </si>
  <si>
    <t>23.792</t>
  </si>
  <si>
    <t>3.257</t>
  </si>
  <si>
    <t>4.415</t>
  </si>
  <si>
    <t>Kingston Hyper X Cloud II gaming headset</t>
  </si>
  <si>
    <t>129.487</t>
  </si>
  <si>
    <t>5.245</t>
  </si>
  <si>
    <t>27.082</t>
  </si>
  <si>
    <t>26.831</t>
  </si>
  <si>
    <t>18.473</t>
  </si>
  <si>
    <t>29.959</t>
  </si>
  <si>
    <t>12.537</t>
  </si>
  <si>
    <t>12.19</t>
  </si>
  <si>
    <t>5.327</t>
  </si>
  <si>
    <t>7.834</t>
  </si>
  <si>
    <t>11.692</t>
  </si>
  <si>
    <t>9.204</t>
  </si>
  <si>
    <t>18.439</t>
  </si>
  <si>
    <t>12.814</t>
  </si>
  <si>
    <t>13.367</t>
  </si>
  <si>
    <t>18.018</t>
  </si>
  <si>
    <t>10.75</t>
  </si>
  <si>
    <t>14.404</t>
  </si>
  <si>
    <t>8.165</t>
  </si>
  <si>
    <t>13.983</t>
  </si>
  <si>
    <t>12.926</t>
  </si>
  <si>
    <t>17.081</t>
  </si>
  <si>
    <t>8.935</t>
  </si>
  <si>
    <t>1.835</t>
  </si>
  <si>
    <t>2021-01-12 14:40:07</t>
  </si>
  <si>
    <t>175.114</t>
  </si>
  <si>
    <t>3.696</t>
  </si>
  <si>
    <t>42.393</t>
  </si>
  <si>
    <t>5.6</t>
  </si>
  <si>
    <t>2.977</t>
  </si>
  <si>
    <t>454.072</t>
  </si>
  <si>
    <t>12.92</t>
  </si>
  <si>
    <t>25.177</t>
  </si>
  <si>
    <t>29.287</t>
  </si>
  <si>
    <t>27.329</t>
  </si>
  <si>
    <t>18.223</t>
  </si>
  <si>
    <t>16.801</t>
  </si>
  <si>
    <t>13.583</t>
  </si>
  <si>
    <t>9.905</t>
  </si>
  <si>
    <t>12.992</t>
  </si>
  <si>
    <t>13.569</t>
  </si>
  <si>
    <t>13.247</t>
  </si>
  <si>
    <t>12.416</t>
  </si>
  <si>
    <t>14.096</t>
  </si>
  <si>
    <t>16.743</t>
  </si>
  <si>
    <t>11.457</t>
  </si>
  <si>
    <t>11.702</t>
  </si>
  <si>
    <t>9.537</t>
  </si>
  <si>
    <t>8.761</t>
  </si>
  <si>
    <t>7.279</t>
  </si>
  <si>
    <t>19.096</t>
  </si>
  <si>
    <t>7.816</t>
  </si>
  <si>
    <t>297.041</t>
  </si>
  <si>
    <t>2021-01-12 14:28:18</t>
  </si>
  <si>
    <t>15.457</t>
  </si>
  <si>
    <t>2.454</t>
  </si>
  <si>
    <t>2.746</t>
  </si>
  <si>
    <t>11.45</t>
  </si>
  <si>
    <t>3.117</t>
  </si>
  <si>
    <t>1.992</t>
  </si>
  <si>
    <t>5.008</t>
  </si>
  <si>
    <t>Sony WH-1000XM3</t>
  </si>
  <si>
    <t>107.001</t>
  </si>
  <si>
    <t>43.677</t>
  </si>
  <si>
    <t>26.92</t>
  </si>
  <si>
    <t>12.687</t>
  </si>
  <si>
    <t>7.797</t>
  </si>
  <si>
    <t>8.01</t>
  </si>
  <si>
    <t>19.811</t>
  </si>
  <si>
    <t>6.188</t>
  </si>
  <si>
    <t>4.75</t>
  </si>
  <si>
    <t>13.431</t>
  </si>
  <si>
    <t>4.422</t>
  </si>
  <si>
    <t>5.167</t>
  </si>
  <si>
    <t>8.46</t>
  </si>
  <si>
    <t>5.345</t>
  </si>
  <si>
    <t>6.886</t>
  </si>
  <si>
    <t>4.963</t>
  </si>
  <si>
    <t>6.028</t>
  </si>
  <si>
    <t>4.173</t>
  </si>
  <si>
    <t>11.43</t>
  </si>
  <si>
    <t>6.469</t>
  </si>
  <si>
    <t>1.351</t>
  </si>
  <si>
    <t>2021-01-12 12:49:24</t>
  </si>
  <si>
    <t>65.128</t>
  </si>
  <si>
    <t>8.831</t>
  </si>
  <si>
    <t>3.103</t>
  </si>
  <si>
    <t>5.097</t>
  </si>
  <si>
    <t>4.944</t>
  </si>
  <si>
    <t>2.96</t>
  </si>
  <si>
    <t>6.216</t>
  </si>
  <si>
    <t>4.832</t>
  </si>
  <si>
    <t>4.681</t>
  </si>
  <si>
    <t>4.959</t>
  </si>
  <si>
    <t>6.8</t>
  </si>
  <si>
    <t xml:space="preserve"> Baby crying/children squealing,Dog barking,High pitch voices/screaming,Power tools,Telephone ringing,Vacuum cleaner,Whistle/horn/siren</t>
  </si>
  <si>
    <t>23.952</t>
  </si>
  <si>
    <t>once per month</t>
  </si>
  <si>
    <t>18.656</t>
  </si>
  <si>
    <t>23.584</t>
  </si>
  <si>
    <t>2.113</t>
  </si>
  <si>
    <t>98.284</t>
  </si>
  <si>
    <t>3.676</t>
  </si>
  <si>
    <t>40.11</t>
  </si>
  <si>
    <t>24.512</t>
  </si>
  <si>
    <t>17.448</t>
  </si>
  <si>
    <t>16.248</t>
  </si>
  <si>
    <t>11.775</t>
  </si>
  <si>
    <t>12.353</t>
  </si>
  <si>
    <t>8.048</t>
  </si>
  <si>
    <t>10.248</t>
  </si>
  <si>
    <t>8.368</t>
  </si>
  <si>
    <t>7.136</t>
  </si>
  <si>
    <t>8.104</t>
  </si>
  <si>
    <t>6.08</t>
  </si>
  <si>
    <t>5.289</t>
  </si>
  <si>
    <t>5.031</t>
  </si>
  <si>
    <t>5.625</t>
  </si>
  <si>
    <t>65.463</t>
  </si>
  <si>
    <t>4.584</t>
  </si>
  <si>
    <t>4.511</t>
  </si>
  <si>
    <t>5.873</t>
  </si>
  <si>
    <t>5.127</t>
  </si>
  <si>
    <t>4.688</t>
  </si>
  <si>
    <t>1.633</t>
  </si>
  <si>
    <t>2021-01-12 12:36:01</t>
  </si>
  <si>
    <t>11.085</t>
  </si>
  <si>
    <t>5.727</t>
  </si>
  <si>
    <t>3.89</t>
  </si>
  <si>
    <t>14.262</t>
  </si>
  <si>
    <t>3.247</t>
  </si>
  <si>
    <t>2.064</t>
  </si>
  <si>
    <t>3.29</t>
  </si>
  <si>
    <t>3.572</t>
  </si>
  <si>
    <t>5.219</t>
  </si>
  <si>
    <t>4.125</t>
  </si>
  <si>
    <t>3.379</t>
  </si>
  <si>
    <t>Music ,High pitch voices/screaming,Vacuum cleaner,Dishes being stacked</t>
  </si>
  <si>
    <t>16.935</t>
  </si>
  <si>
    <t>A few times a year</t>
  </si>
  <si>
    <t>9.949</t>
  </si>
  <si>
    <t>6.093</t>
  </si>
  <si>
    <t>4.388</t>
  </si>
  <si>
    <t>Bose Quiet Comfort II</t>
  </si>
  <si>
    <t>77.04</t>
  </si>
  <si>
    <t>16.285</t>
  </si>
  <si>
    <t>2.607</t>
  </si>
  <si>
    <t>18.628</t>
  </si>
  <si>
    <t>14.664</t>
  </si>
  <si>
    <t>82.94</t>
  </si>
  <si>
    <t>16.099</t>
  </si>
  <si>
    <t>11.298</t>
  </si>
  <si>
    <t>11.529</t>
  </si>
  <si>
    <t>16.462</t>
  </si>
  <si>
    <t>10.501</t>
  </si>
  <si>
    <t>9.435</t>
  </si>
  <si>
    <t>7.641</t>
  </si>
  <si>
    <t>9.472</t>
  </si>
  <si>
    <t>15.256</t>
  </si>
  <si>
    <t>9.035</t>
  </si>
  <si>
    <t>11.303</t>
  </si>
  <si>
    <t>9.512</t>
  </si>
  <si>
    <t>7.468</t>
  </si>
  <si>
    <t>1.84</t>
  </si>
  <si>
    <t>1.282</t>
  </si>
  <si>
    <t>Focus GR Just Audible Levels</t>
  </si>
  <si>
    <t xml:space="preserve"> Focus UK Just Audible Levels</t>
  </si>
  <si>
    <t xml:space="preserve"> Focus GR Mildly Uncomfortable Levels</t>
  </si>
  <si>
    <t>Focus UK Mildly Uncomfortable Levels</t>
  </si>
  <si>
    <t xml:space="preserve"> Control GR Just Audible Levels</t>
  </si>
  <si>
    <t xml:space="preserve"> Control UK Just Audible Levels</t>
  </si>
  <si>
    <t xml:space="preserve"> Control GR Mildly Uncomfortable Levels</t>
  </si>
  <si>
    <t xml:space="preserve"> Control UK Mildly Uncomfortable Levels</t>
  </si>
  <si>
    <t>control err</t>
  </si>
  <si>
    <t>focus err</t>
  </si>
  <si>
    <t xml:space="preserve">Please enter your Prolific ID in the box below: </t>
  </si>
  <si>
    <t xml:space="preserve">Thank you for taking part in our study! Please copy and paste the code **B7E90FB4** in the Prolific app to receive your payment. Before you leave this page make sure you click **Submit**  for your participation to go through. </t>
  </si>
  <si>
    <t xml:space="preserve">Frequency-specific loudness discomfort levels, in listeners with migraine-related hypersensitivity to sound </t>
  </si>
  <si>
    <t>2021-05-19 15:58:05</t>
  </si>
  <si>
    <t>20.917</t>
  </si>
  <si>
    <t>4.921</t>
  </si>
  <si>
    <t>5.092</t>
  </si>
  <si>
    <t xml:space="preserve">Female </t>
  </si>
  <si>
    <t>4.593</t>
  </si>
  <si>
    <t>3.451</t>
  </si>
  <si>
    <t>airpods</t>
  </si>
  <si>
    <t>2.491</t>
  </si>
  <si>
    <t>9.291</t>
  </si>
  <si>
    <t>1.836</t>
  </si>
  <si>
    <t>34.756</t>
  </si>
  <si>
    <t>24.563</t>
  </si>
  <si>
    <t>14.031</t>
  </si>
  <si>
    <t>6.324</t>
  </si>
  <si>
    <t>15.079</t>
  </si>
  <si>
    <t>22.192</t>
  </si>
  <si>
    <t>11.008</t>
  </si>
  <si>
    <t>7.066</t>
  </si>
  <si>
    <t>7.12</t>
  </si>
  <si>
    <t>13.974</t>
  </si>
  <si>
    <t>6.817</t>
  </si>
  <si>
    <t>10.005</t>
  </si>
  <si>
    <t>4.946</t>
  </si>
  <si>
    <t>5.058</t>
  </si>
  <si>
    <t>8.96</t>
  </si>
  <si>
    <t>5.582</t>
  </si>
  <si>
    <t>1.663</t>
  </si>
  <si>
    <t>2021-05-19 15:08:19</t>
  </si>
  <si>
    <t>3.929</t>
  </si>
  <si>
    <t>5.409</t>
  </si>
  <si>
    <t>4.751</t>
  </si>
  <si>
    <t>90.147</t>
  </si>
  <si>
    <t>17.667</t>
  </si>
  <si>
    <t>32.285</t>
  </si>
  <si>
    <t>73.299</t>
  </si>
  <si>
    <t>84.09</t>
  </si>
  <si>
    <t>27.662</t>
  </si>
  <si>
    <t>26.312</t>
  </si>
  <si>
    <t>32.409</t>
  </si>
  <si>
    <t>27.777</t>
  </si>
  <si>
    <t>8.452</t>
  </si>
  <si>
    <t>5.069</t>
  </si>
  <si>
    <t>4.093</t>
  </si>
  <si>
    <t>4.683</t>
  </si>
  <si>
    <t>4.54</t>
  </si>
  <si>
    <t>8.66</t>
  </si>
  <si>
    <t>7.037</t>
  </si>
  <si>
    <t>7.81</t>
  </si>
  <si>
    <t>7.776</t>
  </si>
  <si>
    <t>7.531</t>
  </si>
  <si>
    <t>16.119</t>
  </si>
  <si>
    <t>11.965</t>
  </si>
  <si>
    <t>10.497</t>
  </si>
  <si>
    <t>9.388</t>
  </si>
  <si>
    <t>2021-05-19 15:07:48</t>
  </si>
  <si>
    <t>12.641</t>
  </si>
  <si>
    <t>7.001</t>
  </si>
  <si>
    <t>6.786</t>
  </si>
  <si>
    <t>5.194</t>
  </si>
  <si>
    <t>6.048</t>
  </si>
  <si>
    <t>6.078</t>
  </si>
  <si>
    <t>5.046</t>
  </si>
  <si>
    <t>8.14</t>
  </si>
  <si>
    <t>Right ear</t>
  </si>
  <si>
    <t>Dishes being stacked,High pitch voices/screaming,TV/radio,Restaurants,Music ,Crowds/large gatherings,Dog barking</t>
  </si>
  <si>
    <t>28.109</t>
  </si>
  <si>
    <t>once a week</t>
  </si>
  <si>
    <t>17.297</t>
  </si>
  <si>
    <t>7.884</t>
  </si>
  <si>
    <t xml:space="preserve">samsung </t>
  </si>
  <si>
    <t>47.633</t>
  </si>
  <si>
    <t>37.649</t>
  </si>
  <si>
    <t>5.931</t>
  </si>
  <si>
    <t>14.063</t>
  </si>
  <si>
    <t>14.212</t>
  </si>
  <si>
    <t>25.821</t>
  </si>
  <si>
    <t>54.963</t>
  </si>
  <si>
    <t>15.533</t>
  </si>
  <si>
    <t>63.771</t>
  </si>
  <si>
    <t>40.513</t>
  </si>
  <si>
    <t>7.894</t>
  </si>
  <si>
    <t>7.03</t>
  </si>
  <si>
    <t>9.731</t>
  </si>
  <si>
    <t>11.163</t>
  </si>
  <si>
    <t>15.475</t>
  </si>
  <si>
    <t>12.636</t>
  </si>
  <si>
    <t>19.466</t>
  </si>
  <si>
    <t>12.074</t>
  </si>
  <si>
    <t>9.071</t>
  </si>
  <si>
    <t>24.581</t>
  </si>
  <si>
    <t>27.911</t>
  </si>
  <si>
    <t>2021-05-19 15:06:46</t>
  </si>
  <si>
    <t>9.409</t>
  </si>
  <si>
    <t>69.448</t>
  </si>
  <si>
    <t>18.294</t>
  </si>
  <si>
    <t>5.759</t>
  </si>
  <si>
    <t>8.143</t>
  </si>
  <si>
    <t>3.369</t>
  </si>
  <si>
    <t>3.848</t>
  </si>
  <si>
    <t>110.959</t>
  </si>
  <si>
    <t>16.681</t>
  </si>
  <si>
    <t>42.144</t>
  </si>
  <si>
    <t>29.989</t>
  </si>
  <si>
    <t>21.23</t>
  </si>
  <si>
    <t>12.156</t>
  </si>
  <si>
    <t>11.102</t>
  </si>
  <si>
    <t>7.022</t>
  </si>
  <si>
    <t>11.402</t>
  </si>
  <si>
    <t>5.829</t>
  </si>
  <si>
    <t>8.383</t>
  </si>
  <si>
    <t>11.227</t>
  </si>
  <si>
    <t>7.163</t>
  </si>
  <si>
    <t>8.966</t>
  </si>
  <si>
    <t>8.202</t>
  </si>
  <si>
    <t>5.821</t>
  </si>
  <si>
    <t>12.293</t>
  </si>
  <si>
    <t>18.064</t>
  </si>
  <si>
    <t>10.26</t>
  </si>
  <si>
    <t>6.19</t>
  </si>
  <si>
    <t>2021-05-19 15:00:18</t>
  </si>
  <si>
    <t>8.521</t>
  </si>
  <si>
    <t>2.143</t>
  </si>
  <si>
    <t>4.154</t>
  </si>
  <si>
    <t>3.861</t>
  </si>
  <si>
    <t>2.687</t>
  </si>
  <si>
    <t>5.217</t>
  </si>
  <si>
    <t>razer kraken</t>
  </si>
  <si>
    <t>95.154</t>
  </si>
  <si>
    <t>20.862</t>
  </si>
  <si>
    <t>10.043</t>
  </si>
  <si>
    <t>7.116</t>
  </si>
  <si>
    <t>5.184</t>
  </si>
  <si>
    <t>4.729</t>
  </si>
  <si>
    <t>4.647</t>
  </si>
  <si>
    <t>4.672</t>
  </si>
  <si>
    <t>5.908</t>
  </si>
  <si>
    <t>4.993</t>
  </si>
  <si>
    <t>4.73</t>
  </si>
  <si>
    <t>4.012</t>
  </si>
  <si>
    <t>3.627</t>
  </si>
  <si>
    <t>12.008</t>
  </si>
  <si>
    <t>4.309</t>
  </si>
  <si>
    <t>3.679</t>
  </si>
  <si>
    <t>7.446</t>
  </si>
  <si>
    <t>3.657</t>
  </si>
  <si>
    <t>4.339</t>
  </si>
  <si>
    <t>2021-05-19 14:43:30</t>
  </si>
  <si>
    <t>10.638</t>
  </si>
  <si>
    <t>5.089</t>
  </si>
  <si>
    <t>28.557</t>
  </si>
  <si>
    <t>12.192</t>
  </si>
  <si>
    <t>22.087</t>
  </si>
  <si>
    <t>5.708</t>
  </si>
  <si>
    <t>5.601</t>
  </si>
  <si>
    <t>Samsung headphones</t>
  </si>
  <si>
    <t>183.39</t>
  </si>
  <si>
    <t>18.274</t>
  </si>
  <si>
    <t>44.563</t>
  </si>
  <si>
    <t>123.506</t>
  </si>
  <si>
    <t>88.936</t>
  </si>
  <si>
    <t>39.322</t>
  </si>
  <si>
    <t>40.58</t>
  </si>
  <si>
    <t>11.795</t>
  </si>
  <si>
    <t>32.545</t>
  </si>
  <si>
    <t>19.415</t>
  </si>
  <si>
    <t>12.281</t>
  </si>
  <si>
    <t>13.48</t>
  </si>
  <si>
    <t>21.735</t>
  </si>
  <si>
    <t>8.07</t>
  </si>
  <si>
    <t>21.79</t>
  </si>
  <si>
    <t>7.879</t>
  </si>
  <si>
    <t>12.272</t>
  </si>
  <si>
    <t>15.744</t>
  </si>
  <si>
    <t>6.637</t>
  </si>
  <si>
    <t>24.478</t>
  </si>
  <si>
    <t>5.002</t>
  </si>
  <si>
    <t>27.23</t>
  </si>
  <si>
    <t>33.422</t>
  </si>
  <si>
    <t>6.828</t>
  </si>
  <si>
    <t>15.015</t>
  </si>
  <si>
    <t>2021-05-19 14:35:24</t>
  </si>
  <si>
    <t>71.819</t>
  </si>
  <si>
    <t>5.153</t>
  </si>
  <si>
    <t>3.016</t>
  </si>
  <si>
    <t>2.911</t>
  </si>
  <si>
    <t>2.986</t>
  </si>
  <si>
    <t>27.859</t>
  </si>
  <si>
    <t>14.215</t>
  </si>
  <si>
    <t>3.425</t>
  </si>
  <si>
    <t>23.447</t>
  </si>
  <si>
    <t>17.28</t>
  </si>
  <si>
    <t>16.537</t>
  </si>
  <si>
    <t>13.697</t>
  </si>
  <si>
    <t>15.038</t>
  </si>
  <si>
    <t>17.655</t>
  </si>
  <si>
    <t>13.919</t>
  </si>
  <si>
    <t>15.489</t>
  </si>
  <si>
    <t>8.959</t>
  </si>
  <si>
    <t>10.362</t>
  </si>
  <si>
    <t>6.936</t>
  </si>
  <si>
    <t>6.719</t>
  </si>
  <si>
    <t>24.432</t>
  </si>
  <si>
    <t>7.271</t>
  </si>
  <si>
    <t>9.839</t>
  </si>
  <si>
    <t>4.486</t>
  </si>
  <si>
    <t>9.36</t>
  </si>
  <si>
    <t>14.612</t>
  </si>
  <si>
    <t>2021-05-19 14:34:42</t>
  </si>
  <si>
    <t>26.408</t>
  </si>
  <si>
    <t>432.54</t>
  </si>
  <si>
    <t>100.367</t>
  </si>
  <si>
    <t>20.542</t>
  </si>
  <si>
    <t>35.556</t>
  </si>
  <si>
    <t>22.251</t>
  </si>
  <si>
    <t>246.128</t>
  </si>
  <si>
    <t>18.07</t>
  </si>
  <si>
    <t>25.632</t>
  </si>
  <si>
    <t>33.308</t>
  </si>
  <si>
    <t>45.118</t>
  </si>
  <si>
    <t>43.343</t>
  </si>
  <si>
    <t>31.436</t>
  </si>
  <si>
    <t>21.097</t>
  </si>
  <si>
    <t>17.239</t>
  </si>
  <si>
    <t>16.775</t>
  </si>
  <si>
    <t>17.321</t>
  </si>
  <si>
    <t>19.182</t>
  </si>
  <si>
    <t>25.023</t>
  </si>
  <si>
    <t>17.591</t>
  </si>
  <si>
    <t>13.635</t>
  </si>
  <si>
    <t>13.947</t>
  </si>
  <si>
    <t>14.884</t>
  </si>
  <si>
    <t>21.469</t>
  </si>
  <si>
    <t>19.327</t>
  </si>
  <si>
    <t>10.885</t>
  </si>
  <si>
    <t>13.455</t>
  </si>
  <si>
    <t>8.187</t>
  </si>
  <si>
    <t>9.995</t>
  </si>
  <si>
    <t>13.57</t>
  </si>
  <si>
    <t>11.284</t>
  </si>
  <si>
    <t>2021-05-19 14:24:32</t>
  </si>
  <si>
    <t>32.511</t>
  </si>
  <si>
    <t>10.393</t>
  </si>
  <si>
    <t>3.61</t>
  </si>
  <si>
    <t>8.618</t>
  </si>
  <si>
    <t>mi true xiaomi headphones</t>
  </si>
  <si>
    <t>172.295</t>
  </si>
  <si>
    <t>10.07</t>
  </si>
  <si>
    <t>102.376</t>
  </si>
  <si>
    <t>46.379</t>
  </si>
  <si>
    <t>8.615</t>
  </si>
  <si>
    <t>36.081</t>
  </si>
  <si>
    <t>15.385</t>
  </si>
  <si>
    <t>16.579</t>
  </si>
  <si>
    <t>11.717</t>
  </si>
  <si>
    <t>51.679</t>
  </si>
  <si>
    <t>6.84</t>
  </si>
  <si>
    <t>8.989</t>
  </si>
  <si>
    <t>159.603</t>
  </si>
  <si>
    <t>99.394</t>
  </si>
  <si>
    <t>73.463</t>
  </si>
  <si>
    <t>14.36</t>
  </si>
  <si>
    <t>12.332</t>
  </si>
  <si>
    <t>8.087</t>
  </si>
  <si>
    <t>2021-05-19 14:21:05</t>
  </si>
  <si>
    <t>42.512</t>
  </si>
  <si>
    <t>36.327</t>
  </si>
  <si>
    <t>9.273</t>
  </si>
  <si>
    <t>2.673</t>
  </si>
  <si>
    <t>218.377</t>
  </si>
  <si>
    <t>40.521</t>
  </si>
  <si>
    <t>188</t>
  </si>
  <si>
    <t>20.624</t>
  </si>
  <si>
    <t>11.472</t>
  </si>
  <si>
    <t>18.785</t>
  </si>
  <si>
    <t>17.175</t>
  </si>
  <si>
    <t>7.535</t>
  </si>
  <si>
    <t>24.8</t>
  </si>
  <si>
    <t>5.279</t>
  </si>
  <si>
    <t>6.991</t>
  </si>
  <si>
    <t>4.616</t>
  </si>
  <si>
    <t>15.384</t>
  </si>
  <si>
    <t>4.576</t>
  </si>
  <si>
    <t>4.585</t>
  </si>
  <si>
    <t>7.169</t>
  </si>
  <si>
    <t>2021-05-19 14:19:47</t>
  </si>
  <si>
    <t>3.57</t>
  </si>
  <si>
    <t>11.47</t>
  </si>
  <si>
    <t>36.826</t>
  </si>
  <si>
    <t>2.492</t>
  </si>
  <si>
    <t>Soundcore Air</t>
  </si>
  <si>
    <t>98.798</t>
  </si>
  <si>
    <t>6.288</t>
  </si>
  <si>
    <t>23.012</t>
  </si>
  <si>
    <t>32.043</t>
  </si>
  <si>
    <t>29.29</t>
  </si>
  <si>
    <t>24.801</t>
  </si>
  <si>
    <t>15.781</t>
  </si>
  <si>
    <t>14.044</t>
  </si>
  <si>
    <t>9.227</t>
  </si>
  <si>
    <t>9.334</t>
  </si>
  <si>
    <t>13.636</t>
  </si>
  <si>
    <t>9.301</t>
  </si>
  <si>
    <t>15.99</t>
  </si>
  <si>
    <t>6.351</t>
  </si>
  <si>
    <t>4.833</t>
  </si>
  <si>
    <t>9.323</t>
  </si>
  <si>
    <t>8.84</t>
  </si>
  <si>
    <t>5.254</t>
  </si>
  <si>
    <t>2021-05-19 14:19:23</t>
  </si>
  <si>
    <t>10.335</t>
  </si>
  <si>
    <t>57.528</t>
  </si>
  <si>
    <t>21.169</t>
  </si>
  <si>
    <t>3.24</t>
  </si>
  <si>
    <t>3.04</t>
  </si>
  <si>
    <t>KROM</t>
  </si>
  <si>
    <t>58.027</t>
  </si>
  <si>
    <t>15.129</t>
  </si>
  <si>
    <t>25.073</t>
  </si>
  <si>
    <t>10.158</t>
  </si>
  <si>
    <t>9.784</t>
  </si>
  <si>
    <t>9.24</t>
  </si>
  <si>
    <t>7.496</t>
  </si>
  <si>
    <t>4.56</t>
  </si>
  <si>
    <t>6.248</t>
  </si>
  <si>
    <t>4.32</t>
  </si>
  <si>
    <t>3.36</t>
  </si>
  <si>
    <t>4.608</t>
  </si>
  <si>
    <t>5.929</t>
  </si>
  <si>
    <t>6.104</t>
  </si>
  <si>
    <t>5.482</t>
  </si>
  <si>
    <t>3.358</t>
  </si>
  <si>
    <t>2.976</t>
  </si>
  <si>
    <t>4.088</t>
  </si>
  <si>
    <t>1.664</t>
  </si>
  <si>
    <t>2021-05-19 14:17:40</t>
  </si>
  <si>
    <t>32.207</t>
  </si>
  <si>
    <t>35.998</t>
  </si>
  <si>
    <t>7.021</t>
  </si>
  <si>
    <t>2.974</t>
  </si>
  <si>
    <t>2.689</t>
  </si>
  <si>
    <t>7.162</t>
  </si>
  <si>
    <t>4.195</t>
  </si>
  <si>
    <t>5.358</t>
  </si>
  <si>
    <t>Frequently</t>
  </si>
  <si>
    <t xml:space="preserve">Apple </t>
  </si>
  <si>
    <t>84.181</t>
  </si>
  <si>
    <t>6.542</t>
  </si>
  <si>
    <t>20.452</t>
  </si>
  <si>
    <t>16.881</t>
  </si>
  <si>
    <t>11.922</t>
  </si>
  <si>
    <t>12.175</t>
  </si>
  <si>
    <t>7.904</t>
  </si>
  <si>
    <t>7.437</t>
  </si>
  <si>
    <t>5.704</t>
  </si>
  <si>
    <t>3.692</t>
  </si>
  <si>
    <t>13.884</t>
  </si>
  <si>
    <t>7.912</t>
  </si>
  <si>
    <t>12.95</t>
  </si>
  <si>
    <t>4.909</t>
  </si>
  <si>
    <t>10.401</t>
  </si>
  <si>
    <t>7.431</t>
  </si>
  <si>
    <t>7.296</t>
  </si>
  <si>
    <t>14.703</t>
  </si>
  <si>
    <t>2021-05-19 14:16:09</t>
  </si>
  <si>
    <t>4.494</t>
  </si>
  <si>
    <t>18.199</t>
  </si>
  <si>
    <t>43.632</t>
  </si>
  <si>
    <t>10.933</t>
  </si>
  <si>
    <t>2.831</t>
  </si>
  <si>
    <t>3.195</t>
  </si>
  <si>
    <t>91.684</t>
  </si>
  <si>
    <t>22.425</t>
  </si>
  <si>
    <t>24.882</t>
  </si>
  <si>
    <t>27.983</t>
  </si>
  <si>
    <t>27.322</t>
  </si>
  <si>
    <t>18.161</t>
  </si>
  <si>
    <t>10.394</t>
  </si>
  <si>
    <t>6.602</t>
  </si>
  <si>
    <t>19.45</t>
  </si>
  <si>
    <t>6.808</t>
  </si>
  <si>
    <t>7.307</t>
  </si>
  <si>
    <t>6.858</t>
  </si>
  <si>
    <t>5.598</t>
  </si>
  <si>
    <t>9.087</t>
  </si>
  <si>
    <t>6.319</t>
  </si>
  <si>
    <t>5.106</t>
  </si>
  <si>
    <t>5.223</t>
  </si>
  <si>
    <t>16.273</t>
  </si>
  <si>
    <t>9.279</t>
  </si>
  <si>
    <t>18.463</t>
  </si>
  <si>
    <t>2021-05-19 14:14:32</t>
  </si>
  <si>
    <t>5.293</t>
  </si>
  <si>
    <t>3.646</t>
  </si>
  <si>
    <t>3.001</t>
  </si>
  <si>
    <t>2.818</t>
  </si>
  <si>
    <t>2.923</t>
  </si>
  <si>
    <t>11.363</t>
  </si>
  <si>
    <t>6.23</t>
  </si>
  <si>
    <t>2.062</t>
  </si>
  <si>
    <t>14.172</t>
  </si>
  <si>
    <t>7.869</t>
  </si>
  <si>
    <t>7.564</t>
  </si>
  <si>
    <t>6.813</t>
  </si>
  <si>
    <t>7.243</t>
  </si>
  <si>
    <t>6.153</t>
  </si>
  <si>
    <t>5.34</t>
  </si>
  <si>
    <t>5.78</t>
  </si>
  <si>
    <t>4.398</t>
  </si>
  <si>
    <t>4.797</t>
  </si>
  <si>
    <t>6.168</t>
  </si>
  <si>
    <t>4.366</t>
  </si>
  <si>
    <t>5.447</t>
  </si>
  <si>
    <t>5.524</t>
  </si>
  <si>
    <t>6.843</t>
  </si>
  <si>
    <t>5.569</t>
  </si>
  <si>
    <t>2021-05-19 14:12:25</t>
  </si>
  <si>
    <t>3.148</t>
  </si>
  <si>
    <t>15.348</t>
  </si>
  <si>
    <t>2.53</t>
  </si>
  <si>
    <t>74.121</t>
  </si>
  <si>
    <t>11.835</t>
  </si>
  <si>
    <t>17.958</t>
  </si>
  <si>
    <t>16.014</t>
  </si>
  <si>
    <t>31.251</t>
  </si>
  <si>
    <t>13.399</t>
  </si>
  <si>
    <t>6.317</t>
  </si>
  <si>
    <t>6.86</t>
  </si>
  <si>
    <t>6.994</t>
  </si>
  <si>
    <t>6.012</t>
  </si>
  <si>
    <t>12.204</t>
  </si>
  <si>
    <t>8.478</t>
  </si>
  <si>
    <t>6.596</t>
  </si>
  <si>
    <t>3.867</t>
  </si>
  <si>
    <t>7.012</t>
  </si>
  <si>
    <t>4.504</t>
  </si>
  <si>
    <t>4.302</t>
  </si>
  <si>
    <t>2021-05-19 14:10:31</t>
  </si>
  <si>
    <t>3.299</t>
  </si>
  <si>
    <t>16.292</t>
  </si>
  <si>
    <t>30.096</t>
  </si>
  <si>
    <t>2.757</t>
  </si>
  <si>
    <t>88.721</t>
  </si>
  <si>
    <t>26.123</t>
  </si>
  <si>
    <t>29.751</t>
  </si>
  <si>
    <t>28.046</t>
  </si>
  <si>
    <t>19.704</t>
  </si>
  <si>
    <t>17.901</t>
  </si>
  <si>
    <t>14.43</t>
  </si>
  <si>
    <t>19.312</t>
  </si>
  <si>
    <t>14.39</t>
  </si>
  <si>
    <t>15.514</t>
  </si>
  <si>
    <t>13.537</t>
  </si>
  <si>
    <t>8.793</t>
  </si>
  <si>
    <t>10.098</t>
  </si>
  <si>
    <t>10.515</t>
  </si>
  <si>
    <t>7.605</t>
  </si>
  <si>
    <t>8.607</t>
  </si>
  <si>
    <t>9.413</t>
  </si>
  <si>
    <t>11.343</t>
  </si>
  <si>
    <t>17.273</t>
  </si>
  <si>
    <t>10.285</t>
  </si>
  <si>
    <t>13.115</t>
  </si>
  <si>
    <t>8.272</t>
  </si>
  <si>
    <t>2021-05-19 14:10:12</t>
  </si>
  <si>
    <t>2.289</t>
  </si>
  <si>
    <t>3.241</t>
  </si>
  <si>
    <t>2.708</t>
  </si>
  <si>
    <t>iphone</t>
  </si>
  <si>
    <t>77.181</t>
  </si>
  <si>
    <t>77.416</t>
  </si>
  <si>
    <t>17.06</t>
  </si>
  <si>
    <t>5.898</t>
  </si>
  <si>
    <t>6.506</t>
  </si>
  <si>
    <t>3.894</t>
  </si>
  <si>
    <t>4.208</t>
  </si>
  <si>
    <t>5.284</t>
  </si>
  <si>
    <t>5.575</t>
  </si>
  <si>
    <t>4.404</t>
  </si>
  <si>
    <t>4.569</t>
  </si>
  <si>
    <t>3.884</t>
  </si>
  <si>
    <t>4.155</t>
  </si>
  <si>
    <t>3.068</t>
  </si>
  <si>
    <t>3.295</t>
  </si>
  <si>
    <t>2.667</t>
  </si>
  <si>
    <t>22.671</t>
  </si>
  <si>
    <t>2021-05-19 14:03:22</t>
  </si>
  <si>
    <t>10.233</t>
  </si>
  <si>
    <t>3.224</t>
  </si>
  <si>
    <t>12.102</t>
  </si>
  <si>
    <t>3.961</t>
  </si>
  <si>
    <t>6.06</t>
  </si>
  <si>
    <t>2.394</t>
  </si>
  <si>
    <t>3.186</t>
  </si>
  <si>
    <t xml:space="preserve"> Baby crying/children squealing,Dishes being stacked,Dog barking,High pitch voices/screaming,Music ,Power tools,TV/radio,Sporting events,Whistle/horn/siren</t>
  </si>
  <si>
    <t>Almost every month</t>
  </si>
  <si>
    <t>15.58</t>
  </si>
  <si>
    <t>7.044</t>
  </si>
  <si>
    <t>8.567</t>
  </si>
  <si>
    <t>39.351</t>
  </si>
  <si>
    <t>48.763</t>
  </si>
  <si>
    <t>26.086</t>
  </si>
  <si>
    <t>15.981</t>
  </si>
  <si>
    <t>13.139</t>
  </si>
  <si>
    <t>11.808</t>
  </si>
  <si>
    <t>8.467</t>
  </si>
  <si>
    <t>10.36</t>
  </si>
  <si>
    <t>3.739</t>
  </si>
  <si>
    <t>5.809</t>
  </si>
  <si>
    <t>4.562</t>
  </si>
  <si>
    <t>5.055</t>
  </si>
  <si>
    <t>3.864</t>
  </si>
  <si>
    <t>4.615</t>
  </si>
  <si>
    <t>7.716</t>
  </si>
  <si>
    <t>3.614</t>
  </si>
  <si>
    <t>6.022</t>
  </si>
  <si>
    <t>5.48</t>
  </si>
  <si>
    <t>3.82</t>
  </si>
  <si>
    <t>2021-05-19 14:00:08</t>
  </si>
  <si>
    <t>15.26</t>
  </si>
  <si>
    <t>9.955</t>
  </si>
  <si>
    <t>8.875</t>
  </si>
  <si>
    <t>4.262</t>
  </si>
  <si>
    <t>169.541</t>
  </si>
  <si>
    <t>14.061</t>
  </si>
  <si>
    <t>35.96</t>
  </si>
  <si>
    <t>17.72</t>
  </si>
  <si>
    <t>50.313</t>
  </si>
  <si>
    <t>26.125</t>
  </si>
  <si>
    <t>9.909</t>
  </si>
  <si>
    <t>6.015</t>
  </si>
  <si>
    <t>10.969</t>
  </si>
  <si>
    <t>7.201</t>
  </si>
  <si>
    <t>12.609</t>
  </si>
  <si>
    <t>5.001</t>
  </si>
  <si>
    <t>4.817</t>
  </si>
  <si>
    <t>10.579</t>
  </si>
  <si>
    <t>5.992</t>
  </si>
  <si>
    <t>8.762</t>
  </si>
  <si>
    <t>27.442</t>
  </si>
  <si>
    <t>Frequency-specific loudness discomfort levels, in listeners with migraine-related hypersensitivity to sound (Prolific Study)</t>
  </si>
  <si>
    <t>2021-06-16 13:05:30</t>
  </si>
  <si>
    <t>5.287</t>
  </si>
  <si>
    <t>28.086</t>
  </si>
  <si>
    <t>6.67</t>
  </si>
  <si>
    <t>2.696</t>
  </si>
  <si>
    <t xml:space="preserve">Male </t>
  </si>
  <si>
    <t>8.42</t>
  </si>
  <si>
    <t>3.343</t>
  </si>
  <si>
    <t>3.738</t>
  </si>
  <si>
    <t>4.522</t>
  </si>
  <si>
    <t>3.84</t>
  </si>
  <si>
    <t>8.151</t>
  </si>
  <si>
    <t xml:space="preserve"> Baby crying/children squealing,Music ,Power tools</t>
  </si>
  <si>
    <t>20.939</t>
  </si>
  <si>
    <t>every other week</t>
  </si>
  <si>
    <t>11.733</t>
  </si>
  <si>
    <t>12.17</t>
  </si>
  <si>
    <t>3.985</t>
  </si>
  <si>
    <t>beats by dre</t>
  </si>
  <si>
    <t>76.494</t>
  </si>
  <si>
    <t>29.432</t>
  </si>
  <si>
    <t>20.563</t>
  </si>
  <si>
    <t>17.241</t>
  </si>
  <si>
    <t>11.105</t>
  </si>
  <si>
    <t>13.307</t>
  </si>
  <si>
    <t>13.864</t>
  </si>
  <si>
    <t>10.567</t>
  </si>
  <si>
    <t>4.411</t>
  </si>
  <si>
    <t>7.289</t>
  </si>
  <si>
    <t>3.826</t>
  </si>
  <si>
    <t>6.609</t>
  </si>
  <si>
    <t>5.107</t>
  </si>
  <si>
    <t>5.017</t>
  </si>
  <si>
    <t>6.341</t>
  </si>
  <si>
    <t>5.689</t>
  </si>
  <si>
    <t>4.506</t>
  </si>
  <si>
    <t>15.274</t>
  </si>
  <si>
    <t>2021-06-15 14:41:21</t>
  </si>
  <si>
    <t>21.049</t>
  </si>
  <si>
    <t>4.702</t>
  </si>
  <si>
    <t>9.812</t>
  </si>
  <si>
    <t>14.523</t>
  </si>
  <si>
    <t>once every two months</t>
  </si>
  <si>
    <t>9.28</t>
  </si>
  <si>
    <t>16.436</t>
  </si>
  <si>
    <t>beyerdynamic dt 990 pro 250 ohm</t>
  </si>
  <si>
    <t>138.804</t>
  </si>
  <si>
    <t>17.268</t>
  </si>
  <si>
    <t>19.339</t>
  </si>
  <si>
    <t>18.518</t>
  </si>
  <si>
    <t>22.096</t>
  </si>
  <si>
    <t>18.831</t>
  </si>
  <si>
    <t>16.797</t>
  </si>
  <si>
    <t>20.451</t>
  </si>
  <si>
    <t>22.659</t>
  </si>
  <si>
    <t>13.341</t>
  </si>
  <si>
    <t>8.146</t>
  </si>
  <si>
    <t>14.436</t>
  </si>
  <si>
    <t>6.759</t>
  </si>
  <si>
    <t>20.681</t>
  </si>
  <si>
    <t>17.674</t>
  </si>
  <si>
    <t>16.347</t>
  </si>
  <si>
    <t>8.92</t>
  </si>
  <si>
    <t>12.251</t>
  </si>
  <si>
    <t>13.004</t>
  </si>
  <si>
    <t>9.821</t>
  </si>
  <si>
    <t>11.395</t>
  </si>
  <si>
    <t>2021-06-14 17:17:39</t>
  </si>
  <si>
    <t>3.913</t>
  </si>
  <si>
    <t>26.226</t>
  </si>
  <si>
    <t>3.079</t>
  </si>
  <si>
    <t>2.892</t>
  </si>
  <si>
    <t>4.703</t>
  </si>
  <si>
    <t>3.42</t>
  </si>
  <si>
    <t>3.183</t>
  </si>
  <si>
    <t>8.847</t>
  </si>
  <si>
    <t>3.686</t>
  </si>
  <si>
    <t xml:space="preserve"> Baby crying/children squealing,High pitch voices/screaming</t>
  </si>
  <si>
    <t>25.822</t>
  </si>
  <si>
    <t>once or twice every 2 weeks</t>
  </si>
  <si>
    <t>19.687</t>
  </si>
  <si>
    <t>7.874</t>
  </si>
  <si>
    <t>4.139</t>
  </si>
  <si>
    <t>2.26</t>
  </si>
  <si>
    <t xml:space="preserve">hyper x </t>
  </si>
  <si>
    <t>32.596</t>
  </si>
  <si>
    <t>13.034</t>
  </si>
  <si>
    <t>10.383</t>
  </si>
  <si>
    <t>9.61</t>
  </si>
  <si>
    <t>12.09</t>
  </si>
  <si>
    <t>1.129</t>
  </si>
  <si>
    <t>5.683</t>
  </si>
  <si>
    <t>3.312</t>
  </si>
  <si>
    <t>4.238</t>
  </si>
  <si>
    <t>3.342</t>
  </si>
  <si>
    <t>2.636</t>
  </si>
  <si>
    <t>2.764</t>
  </si>
  <si>
    <t>3.845</t>
  </si>
  <si>
    <t>2.933</t>
  </si>
  <si>
    <t>2.515</t>
  </si>
  <si>
    <t>2.501</t>
  </si>
  <si>
    <t>2.8</t>
  </si>
  <si>
    <t>2.383</t>
  </si>
  <si>
    <t>3.418</t>
  </si>
  <si>
    <t>2021-06-14 12:22:01</t>
  </si>
  <si>
    <t>1.973</t>
  </si>
  <si>
    <t>2.105</t>
  </si>
  <si>
    <t>1.963</t>
  </si>
  <si>
    <t>1.895</t>
  </si>
  <si>
    <t>3.524</t>
  </si>
  <si>
    <t>2.379</t>
  </si>
  <si>
    <t>2.371</t>
  </si>
  <si>
    <t xml:space="preserve">used to be more regularly, but now more intermittently, triggered by various situations. Mainly occur  when flying </t>
  </si>
  <si>
    <t>3.069</t>
  </si>
  <si>
    <t>4.452</t>
  </si>
  <si>
    <t>1.838</t>
  </si>
  <si>
    <t>jabra</t>
  </si>
  <si>
    <t>42.786</t>
  </si>
  <si>
    <t>15.852</t>
  </si>
  <si>
    <t>13.383</t>
  </si>
  <si>
    <t>11.71</t>
  </si>
  <si>
    <t>6.177</t>
  </si>
  <si>
    <t>4.487</t>
  </si>
  <si>
    <t>4.985</t>
  </si>
  <si>
    <t>6.226</t>
  </si>
  <si>
    <t>3.453</t>
  </si>
  <si>
    <t>6.105</t>
  </si>
  <si>
    <t>5.292</t>
  </si>
  <si>
    <t>3.652</t>
  </si>
  <si>
    <t>3.67</t>
  </si>
  <si>
    <t>5.523</t>
  </si>
  <si>
    <t>3.588</t>
  </si>
  <si>
    <t>4.332</t>
  </si>
  <si>
    <t>2021-06-11 17:09:31</t>
  </si>
  <si>
    <t>3.87</t>
  </si>
  <si>
    <t>10.256</t>
  </si>
  <si>
    <t>5.574</t>
  </si>
  <si>
    <t>15.544</t>
  </si>
  <si>
    <t>paramax</t>
  </si>
  <si>
    <t>32.386</t>
  </si>
  <si>
    <t>11.637</t>
  </si>
  <si>
    <t>once a month most of the time. Sometimes more if I'm tired, dehydrated or the weather changes</t>
  </si>
  <si>
    <t>7.826</t>
  </si>
  <si>
    <t>turtle beach</t>
  </si>
  <si>
    <t>43.139</t>
  </si>
  <si>
    <t>25.186</t>
  </si>
  <si>
    <t>8.692</t>
  </si>
  <si>
    <t>23.306</t>
  </si>
  <si>
    <t>16.005</t>
  </si>
  <si>
    <t>13.369</t>
  </si>
  <si>
    <t>8.329</t>
  </si>
  <si>
    <t>7.976</t>
  </si>
  <si>
    <t>7.357</t>
  </si>
  <si>
    <t>5.395</t>
  </si>
  <si>
    <t>4.591</t>
  </si>
  <si>
    <t>6.391</t>
  </si>
  <si>
    <t>6.861</t>
  </si>
  <si>
    <t>8.569</t>
  </si>
  <si>
    <t>2021-06-10 21:28:22</t>
  </si>
  <si>
    <t>23.35</t>
  </si>
  <si>
    <t>3.927</t>
  </si>
  <si>
    <t>4.419</t>
  </si>
  <si>
    <t>9.68</t>
  </si>
  <si>
    <t>3.665</t>
  </si>
  <si>
    <t>56.911</t>
  </si>
  <si>
    <t>19.107</t>
  </si>
  <si>
    <t>7.217</t>
  </si>
  <si>
    <t>12.338</t>
  </si>
  <si>
    <t>22.275</t>
  </si>
  <si>
    <t>16.932</t>
  </si>
  <si>
    <t>19.78</t>
  </si>
  <si>
    <t>13.219</t>
  </si>
  <si>
    <t>9.078</t>
  </si>
  <si>
    <t>28.42</t>
  </si>
  <si>
    <t>14.301</t>
  </si>
  <si>
    <t>14.008</t>
  </si>
  <si>
    <t>7.421</t>
  </si>
  <si>
    <t>8.237</t>
  </si>
  <si>
    <t>8.04</t>
  </si>
  <si>
    <t>224.141</t>
  </si>
  <si>
    <t>11.932</t>
  </si>
  <si>
    <t>13.517</t>
  </si>
  <si>
    <t>2021-06-10 09:52:11</t>
  </si>
  <si>
    <t>133.014</t>
  </si>
  <si>
    <t>4.299</t>
  </si>
  <si>
    <t>3.336</t>
  </si>
  <si>
    <t>12.488</t>
  </si>
  <si>
    <t xml:space="preserve">Unsure </t>
  </si>
  <si>
    <t>11.341</t>
  </si>
  <si>
    <t>10.632</t>
  </si>
  <si>
    <t>7.566</t>
  </si>
  <si>
    <t xml:space="preserve"> Baby crying/children squealing,Dishes being stacked,High pitch voices/screaming,Dog barking,Power tools,Telephone ringing,TV/radio,Vacuum cleaner,Whistle/horn/siren</t>
  </si>
  <si>
    <t>27.283</t>
  </si>
  <si>
    <t xml:space="preserve">Everything month </t>
  </si>
  <si>
    <t>23.288</t>
  </si>
  <si>
    <t>16.325</t>
  </si>
  <si>
    <t>9.368</t>
  </si>
  <si>
    <t>5.604</t>
  </si>
  <si>
    <t>Apple</t>
  </si>
  <si>
    <t>58.148</t>
  </si>
  <si>
    <t>27.787</t>
  </si>
  <si>
    <t>24.867</t>
  </si>
  <si>
    <t>53.979</t>
  </si>
  <si>
    <t>31.536</t>
  </si>
  <si>
    <t>34.066</t>
  </si>
  <si>
    <t>14.615</t>
  </si>
  <si>
    <t>26.453</t>
  </si>
  <si>
    <t>9.953</t>
  </si>
  <si>
    <t>9.179</t>
  </si>
  <si>
    <t>23.706</t>
  </si>
  <si>
    <t>8.792</t>
  </si>
  <si>
    <t>9.539</t>
  </si>
  <si>
    <t>7.203</t>
  </si>
  <si>
    <t>9.317</t>
  </si>
  <si>
    <t>27.393</t>
  </si>
  <si>
    <t>5.818</t>
  </si>
  <si>
    <t>39.118</t>
  </si>
  <si>
    <t>5.318</t>
  </si>
  <si>
    <t>5.684</t>
  </si>
  <si>
    <t>26.166</t>
  </si>
  <si>
    <t>36.203</t>
  </si>
  <si>
    <t>32.86</t>
  </si>
  <si>
    <t>2021-06-09 17:55:46</t>
  </si>
  <si>
    <t>46.896</t>
  </si>
  <si>
    <t>3.007</t>
  </si>
  <si>
    <t>13.432</t>
  </si>
  <si>
    <t>4.389</t>
  </si>
  <si>
    <t>3.426</t>
  </si>
  <si>
    <t>3.918</t>
  </si>
  <si>
    <t>3.599</t>
  </si>
  <si>
    <t>4.067</t>
  </si>
  <si>
    <t>6.432</t>
  </si>
  <si>
    <t>Sporting events</t>
  </si>
  <si>
    <t>Once a week</t>
  </si>
  <si>
    <t>10.594</t>
  </si>
  <si>
    <t>57</t>
  </si>
  <si>
    <t>4.998</t>
  </si>
  <si>
    <t>4.934</t>
  </si>
  <si>
    <t>19.988</t>
  </si>
  <si>
    <t>48.843</t>
  </si>
  <si>
    <t>19.039</t>
  </si>
  <si>
    <t>10.061</t>
  </si>
  <si>
    <t>13.244</t>
  </si>
  <si>
    <t>7.715</t>
  </si>
  <si>
    <t>7.082</t>
  </si>
  <si>
    <t>5.613</t>
  </si>
  <si>
    <t>4.345</t>
  </si>
  <si>
    <t>3.251</t>
  </si>
  <si>
    <t>4.898</t>
  </si>
  <si>
    <t>2.782</t>
  </si>
  <si>
    <t>3.28</t>
  </si>
  <si>
    <t>4.378</t>
  </si>
  <si>
    <t>9.046</t>
  </si>
  <si>
    <t>4.304</t>
  </si>
  <si>
    <t>7.07</t>
  </si>
  <si>
    <t>3.345</t>
  </si>
  <si>
    <t>4.189</t>
  </si>
  <si>
    <t>p&gt;0.05</t>
  </si>
  <si>
    <t>p&lt;0.05</t>
  </si>
  <si>
    <t>p&lt;0.01</t>
  </si>
  <si>
    <t>p&lt;0.001</t>
  </si>
  <si>
    <t>nul</t>
  </si>
  <si>
    <t>*</t>
  </si>
  <si>
    <t>**</t>
  </si>
  <si>
    <t>***</t>
  </si>
  <si>
    <t>* Table 2 in manuscript</t>
  </si>
  <si>
    <t>female</t>
  </si>
  <si>
    <t>male</t>
  </si>
  <si>
    <t>Frequency</t>
  </si>
  <si>
    <t xml:space="preserve">Migraineur Group-On attack </t>
  </si>
  <si>
    <t>Migraineur Group-Off attack</t>
  </si>
  <si>
    <t>Non-Migraineur Group</t>
  </si>
  <si>
    <t>Migraineur Group</t>
  </si>
  <si>
    <t>GR Non-Migraineur Group</t>
  </si>
  <si>
    <t>GR Migraineur Group</t>
  </si>
  <si>
    <t xml:space="preserve"> M err</t>
  </si>
  <si>
    <t xml:space="preserve"> NM err</t>
  </si>
  <si>
    <t>UK Migraineur Group</t>
  </si>
  <si>
    <t>UK Non- Migraineur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</si>
</sst>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4"/>
      <name val="Calibri"/>
      <family val="2"/>
      <scheme val="minor"/>
    </font>
    <font>
      <sz val="11"/>
      <color rgb="FFC00000"/>
      <name val="Calibri"/>
      <family val="2"/>
      <scheme val="minor"/>
    </font>
    <font>
      <sz val="8"/>
      <name val="Calibri"/>
      <family val="2"/>
      <scheme val="minor"/>
    </font>
    <font>
      <sz val="11"/>
      <name val="Calibri"/>
      <family val="2"/>
      <scheme val="minor"/>
    </font>
    <font>
      <b/>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style="double">
        <color theme="4"/>
      </top>
      <bottom style="thin">
        <color theme="4" tint="0.39997558519241921"/>
      </bottom>
      <diagonal/>
    </border>
    <border>
      <left/>
      <right/>
      <top style="thin">
        <color theme="9" tint="0.39997558519241921"/>
      </top>
      <bottom style="thin">
        <color theme="9" tint="0.39997558519241921"/>
      </bottom>
      <diagonal/>
    </border>
    <border>
      <left/>
      <right style="thin">
        <color theme="4" tint="0.39997558519241921"/>
      </right>
      <top style="double">
        <color theme="4"/>
      </top>
      <bottom style="thin">
        <color theme="4" tint="0.39997558519241921"/>
      </bottom>
      <diagonal/>
    </border>
    <border>
      <left/>
      <right/>
      <top/>
      <bottom style="thin">
        <color theme="9" tint="0.39997558519241921"/>
      </bottom>
      <diagonal/>
    </border>
    <border>
      <left/>
      <right/>
      <top style="thin">
        <color theme="9" tint="0.39997558519241921"/>
      </top>
      <bottom/>
      <diagonal/>
    </border>
    <border>
      <left/>
      <right/>
      <top style="thin">
        <color theme="9" tint="0.39997558519241921"/>
      </top>
      <bottom style="thin">
        <color theme="4" tint="0.39997558519241921"/>
      </bottom>
      <diagonal/>
    </border>
    <border>
      <left/>
      <right style="thin">
        <color theme="4" tint="0.39997558519241921"/>
      </right>
      <top style="thin">
        <color theme="9" tint="0.39997558519241921"/>
      </top>
      <bottom style="thin">
        <color theme="9" tint="0.39997558519241921"/>
      </bottom>
      <diagonal/>
    </border>
    <border>
      <left/>
      <right style="thin">
        <color theme="4" tint="0.39997558519241921"/>
      </right>
      <top style="thin">
        <color theme="9" tint="0.39997558519241921"/>
      </top>
      <bottom style="thin">
        <color theme="4" tint="0.39997558519241921"/>
      </bottom>
      <diagonal/>
    </border>
  </borders>
  <cellStyleXfs count="1">
    <xf numFmtId="0" fontId="0" fillId="0" borderId="0"/>
  </cellStyleXfs>
  <cellXfs count="78">
    <xf numFmtId="0" fontId="0" fillId="0" borderId="0" xfId="0"/>
    <xf numFmtId="0" fontId="0" fillId="3" borderId="2" xfId="0" applyFont="1" applyFill="1" applyBorder="1"/>
    <xf numFmtId="0" fontId="0" fillId="0" borderId="2" xfId="0" applyFont="1" applyBorder="1"/>
    <xf numFmtId="0" fontId="0" fillId="0" borderId="0" xfId="0" applyNumberFormat="1"/>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0" fontId="1" fillId="2" borderId="6" xfId="0" applyFont="1" applyFill="1" applyBorder="1"/>
    <xf numFmtId="0" fontId="2" fillId="0" borderId="0" xfId="0" applyFont="1"/>
    <xf numFmtId="0" fontId="4" fillId="0" borderId="0" xfId="0" applyFont="1"/>
    <xf numFmtId="0" fontId="5" fillId="0" borderId="0" xfId="0" applyFont="1"/>
    <xf numFmtId="0" fontId="0" fillId="3" borderId="2" xfId="0" applyNumberFormat="1" applyFont="1" applyFill="1" applyBorder="1"/>
    <xf numFmtId="0" fontId="0" fillId="3" borderId="7" xfId="0" applyNumberFormat="1" applyFont="1" applyFill="1" applyBorder="1"/>
    <xf numFmtId="0" fontId="2" fillId="3" borderId="2" xfId="0" applyNumberFormat="1" applyFont="1" applyFill="1" applyBorder="1"/>
    <xf numFmtId="0" fontId="2" fillId="3" borderId="3" xfId="0" applyNumberFormat="1" applyFont="1" applyFill="1" applyBorder="1"/>
    <xf numFmtId="0" fontId="0" fillId="3" borderId="7" xfId="0" applyFont="1" applyFill="1" applyBorder="1"/>
    <xf numFmtId="0" fontId="0" fillId="3" borderId="2" xfId="0" applyNumberFormat="1" applyFill="1" applyBorder="1"/>
    <xf numFmtId="0" fontId="0" fillId="0" borderId="2" xfId="0" applyNumberFormat="1" applyBorder="1"/>
    <xf numFmtId="0" fontId="0" fillId="3" borderId="3" xfId="0" applyNumberFormat="1" applyFill="1" applyBorder="1"/>
    <xf numFmtId="0" fontId="0" fillId="0" borderId="3" xfId="0" applyNumberFormat="1" applyBorder="1"/>
    <xf numFmtId="0" fontId="0" fillId="3" borderId="7" xfId="0" applyNumberFormat="1" applyFill="1" applyBorder="1"/>
    <xf numFmtId="0" fontId="0" fillId="3" borderId="8" xfId="0" applyNumberFormat="1" applyFill="1" applyBorder="1"/>
    <xf numFmtId="0" fontId="0" fillId="0" borderId="2" xfId="0" applyNumberFormat="1" applyFont="1" applyBorder="1"/>
    <xf numFmtId="0" fontId="0" fillId="0" borderId="7" xfId="0" applyNumberFormat="1" applyFont="1" applyBorder="1"/>
    <xf numFmtId="0" fontId="2" fillId="3" borderId="1" xfId="0" applyNumberFormat="1" applyFont="1" applyFill="1" applyBorder="1"/>
    <xf numFmtId="0" fontId="0" fillId="3" borderId="2" xfId="0" applyNumberFormat="1" applyFill="1" applyBorder="1" applyAlignment="1">
      <alignment horizontal="left" wrapText="1"/>
    </xf>
    <xf numFmtId="0" fontId="2" fillId="0" borderId="1" xfId="0" applyNumberFormat="1" applyFont="1" applyBorder="1"/>
    <xf numFmtId="0" fontId="2" fillId="0" borderId="2" xfId="0" applyNumberFormat="1" applyFont="1" applyBorder="1"/>
    <xf numFmtId="0" fontId="2" fillId="0" borderId="3" xfId="0" applyNumberFormat="1" applyFont="1" applyBorder="1"/>
    <xf numFmtId="0" fontId="2" fillId="0" borderId="0" xfId="0" applyNumberFormat="1" applyFont="1" applyBorder="1"/>
    <xf numFmtId="0" fontId="1" fillId="2" borderId="9" xfId="0" applyFont="1" applyFill="1" applyBorder="1"/>
    <xf numFmtId="0" fontId="0" fillId="0" borderId="7" xfId="0" applyFont="1" applyBorder="1"/>
    <xf numFmtId="0" fontId="2" fillId="0" borderId="1" xfId="0" applyFont="1" applyBorder="1"/>
    <xf numFmtId="0" fontId="2" fillId="0" borderId="2" xfId="0" applyFont="1" applyBorder="1"/>
    <xf numFmtId="0" fontId="2" fillId="0" borderId="3" xfId="0" applyFont="1" applyBorder="1"/>
    <xf numFmtId="0" fontId="0" fillId="0" borderId="0" xfId="0" applyAlignment="1">
      <alignment wrapText="1"/>
    </xf>
    <xf numFmtId="0" fontId="0" fillId="0" borderId="1" xfId="0"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0" fillId="0" borderId="0" xfId="0" applyNumberFormat="1" applyAlignment="1">
      <alignment wrapText="1"/>
    </xf>
    <xf numFmtId="0" fontId="1" fillId="4" borderId="11" xfId="0" applyNumberFormat="1" applyFont="1" applyFill="1" applyBorder="1"/>
    <xf numFmtId="0" fontId="0" fillId="5" borderId="11" xfId="0" applyNumberFormat="1" applyFont="1" applyFill="1" applyBorder="1"/>
    <xf numFmtId="0" fontId="8" fillId="0" borderId="0" xfId="0" applyNumberFormat="1" applyFont="1" applyFill="1" applyBorder="1"/>
    <xf numFmtId="0" fontId="7" fillId="0" borderId="0" xfId="0" applyFont="1" applyFill="1" applyBorder="1"/>
    <xf numFmtId="0" fontId="7" fillId="0" borderId="0" xfId="0" applyNumberFormat="1" applyFont="1" applyFill="1" applyBorder="1"/>
    <xf numFmtId="0" fontId="0" fillId="0" borderId="11" xfId="0" applyNumberFormat="1" applyFont="1" applyFill="1" applyBorder="1"/>
    <xf numFmtId="0" fontId="1" fillId="4" borderId="13" xfId="0" applyNumberFormat="1" applyFont="1" applyFill="1" applyBorder="1"/>
    <xf numFmtId="0" fontId="0" fillId="0" borderId="14" xfId="0" applyNumberFormat="1" applyFont="1" applyBorder="1"/>
    <xf numFmtId="0" fontId="0" fillId="3" borderId="11" xfId="0" applyNumberFormat="1" applyFont="1" applyFill="1" applyBorder="1"/>
    <xf numFmtId="0" fontId="0" fillId="0" borderId="14" xfId="0" applyNumberFormat="1" applyFont="1" applyFill="1" applyBorder="1"/>
    <xf numFmtId="0" fontId="2" fillId="0" borderId="10" xfId="0" applyNumberFormat="1" applyFont="1" applyBorder="1"/>
    <xf numFmtId="0" fontId="2" fillId="0" borderId="12" xfId="0" applyNumberFormat="1" applyFont="1" applyBorder="1"/>
    <xf numFmtId="0" fontId="0" fillId="6" borderId="0" xfId="0" applyFill="1" applyBorder="1" applyAlignment="1"/>
    <xf numFmtId="164" fontId="0" fillId="6" borderId="0" xfId="0" applyNumberFormat="1" applyFill="1" applyBorder="1" applyAlignment="1"/>
    <xf numFmtId="0" fontId="7"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7" fillId="3" borderId="7" xfId="0" applyNumberFormat="1" applyFont="1" applyFill="1" applyBorder="1"/>
    <xf numFmtId="0" fontId="8" fillId="3" borderId="1" xfId="0" applyNumberFormat="1" applyFont="1" applyFill="1" applyBorder="1"/>
    <xf numFmtId="0" fontId="8" fillId="3" borderId="2" xfId="0" applyNumberFormat="1" applyFont="1" applyFill="1" applyBorder="1"/>
    <xf numFmtId="0" fontId="8" fillId="3" borderId="3" xfId="0" applyNumberFormat="1" applyFont="1" applyFill="1" applyBorder="1"/>
    <xf numFmtId="0" fontId="0" fillId="7" borderId="0" xfId="0" applyFill="1" applyBorder="1" applyAlignment="1"/>
    <xf numFmtId="0" fontId="2" fillId="0" borderId="0" xfId="0" applyNumberFormat="1" applyFont="1" applyFill="1" applyBorder="1"/>
    <xf numFmtId="165" fontId="0" fillId="7" borderId="0" xfId="0" applyNumberFormat="1" applyFill="1" applyBorder="1" applyAlignment="1"/>
    <xf numFmtId="0" fontId="9" fillId="0" borderId="0" xfId="0" applyFont="1"/>
    <xf numFmtId="0" fontId="0" fillId="0" borderId="3" xfId="0" applyFont="1" applyBorder="1"/>
    <xf numFmtId="0" fontId="0" fillId="3" borderId="3" xfId="0" applyFont="1" applyFill="1" applyBorder="1"/>
    <xf numFmtId="0" fontId="1" fillId="2" borderId="2" xfId="0" applyFont="1" applyFill="1" applyBorder="1"/>
    <xf numFmtId="0" fontId="1" fillId="2" borderId="3" xfId="0" applyFont="1" applyFill="1" applyBorder="1"/>
    <xf numFmtId="0" fontId="0" fillId="3" borderId="3" xfId="0" applyNumberFormat="1" applyFont="1" applyFill="1" applyBorder="1"/>
    <xf numFmtId="0" fontId="0" fillId="0" borderId="3" xfId="0" applyNumberFormat="1" applyFont="1" applyBorder="1"/>
    <xf numFmtId="0" fontId="0" fillId="5" borderId="16" xfId="0" applyNumberFormat="1" applyFont="1" applyFill="1" applyBorder="1"/>
    <xf numFmtId="0" fontId="0" fillId="0" borderId="15" xfId="0" applyNumberFormat="1" applyFont="1" applyBorder="1"/>
    <xf numFmtId="0" fontId="0" fillId="0" borderId="17" xfId="0" applyNumberFormat="1" applyFont="1" applyBorder="1"/>
    <xf numFmtId="0" fontId="0" fillId="8" borderId="0" xfId="0" applyFill="1" applyBorder="1" applyAlignment="1"/>
  </cellXfs>
  <cellStyles count="1">
    <cellStyle name="Normal" xfId="0" builtinId="0"/>
  </cellStyles>
  <dxfs count="798">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74B4"/>
      <color rgb="FF39C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42"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latin typeface="Arial" panose="020B0604020202020204" pitchFamily="34" charset="0"/>
                <a:cs typeface="Arial" panose="020B0604020202020204" pitchFamily="34" charset="0"/>
              </a:rPr>
              <a:t>Migraineur / Non</a:t>
            </a:r>
            <a:r>
              <a:rPr lang="en-GB" sz="1200" baseline="0">
                <a:latin typeface="Arial" panose="020B0604020202020204" pitchFamily="34" charset="0"/>
                <a:cs typeface="Arial" panose="020B0604020202020204" pitchFamily="34" charset="0"/>
              </a:rPr>
              <a:t> - Migraineur Range Comparison</a:t>
            </a:r>
            <a:endParaRPr lang="en-GB"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'NM - M Analysis'!$A$3</c:f>
              <c:strCache>
                <c:ptCount val="1"/>
                <c:pt idx="0">
                  <c:v>Non-Migraineur Group</c:v>
                </c:pt>
              </c:strCache>
            </c:strRef>
          </c:tx>
          <c:spPr>
            <a:ln w="28575" cap="rnd">
              <a:solidFill>
                <a:schemeClr val="tx1"/>
              </a:solidFill>
              <a:round/>
            </a:ln>
            <a:effectLst/>
          </c:spPr>
          <c:marker>
            <c:symbol val="none"/>
          </c:marker>
          <c:errBars>
            <c:errDir val="y"/>
            <c:errBarType val="both"/>
            <c:errValType val="cust"/>
            <c:noEndCap val="0"/>
            <c:plus>
              <c:numRef>
                <c:f>'NM - M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plus>
            <c:minus>
              <c:numRef>
                <c:f>'NM - M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minus>
            <c:spPr>
              <a:noFill/>
              <a:ln w="9525" cap="flat" cmpd="sng" algn="ctr">
                <a:solidFill>
                  <a:schemeClr val="tx1">
                    <a:lumMod val="95000"/>
                    <a:lumOff val="5000"/>
                  </a:schemeClr>
                </a:solidFill>
                <a:round/>
              </a:ln>
              <a:effectLst/>
            </c:spPr>
          </c:errBars>
          <c:cat>
            <c:strRef>
              <c:f>'All Migraineur'!$I$1:$U$1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'NM - M Analysis'!$A$4:$A$16</c:f>
              <c:numCache>
                <c:formatCode>General</c:formatCode>
                <c:ptCount val="13"/>
                <c:pt idx="0">
                  <c:v>0.29816326530612242</c:v>
                </c:pt>
                <c:pt idx="1">
                  <c:v>0.35000000000000003</c:v>
                </c:pt>
                <c:pt idx="2">
                  <c:v>0.38142857142857162</c:v>
                </c:pt>
                <c:pt idx="3">
                  <c:v>0.38244897959183671</c:v>
                </c:pt>
                <c:pt idx="4">
                  <c:v>0.37632653061224491</c:v>
                </c:pt>
                <c:pt idx="5">
                  <c:v>0.3638775510204082</c:v>
                </c:pt>
                <c:pt idx="6">
                  <c:v>0.39693877551020401</c:v>
                </c:pt>
                <c:pt idx="7">
                  <c:v>0.37204081632653063</c:v>
                </c:pt>
                <c:pt idx="8">
                  <c:v>0.3732653061224489</c:v>
                </c:pt>
                <c:pt idx="9">
                  <c:v>0.32489795918367353</c:v>
                </c:pt>
                <c:pt idx="10">
                  <c:v>0.31326530612244902</c:v>
                </c:pt>
                <c:pt idx="11">
                  <c:v>0.26061224489795914</c:v>
                </c:pt>
                <c:pt idx="12">
                  <c:v>0.22571428571428565</c:v>
                </c:pt>
              </c:numCache>
            </c:numRef>
          </c:val>
          <c:smooth val="0"/>
          <c:extLst>
            <c:ext xmlns:c16="http://schemas.microsoft.com/office/drawing/2014/chart" uri="{C3380CC4-5D6E-409C-BE32-E72D297353CC}">
              <c16:uniqueId val="{00000000-137D-42D4-974B-30FDE1983297}"/>
            </c:ext>
          </c:extLst>
        </c:ser>
        <c:ser>
          <c:idx val="1"/>
          <c:order val="1"/>
          <c:tx>
            <c:strRef>
              <c:f>'NM - M Analysis'!$B$3</c:f>
              <c:strCache>
                <c:ptCount val="1"/>
                <c:pt idx="0">
                  <c:v>Migraineur Group</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'NM - M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plus>
            <c:minus>
              <c:numRef>
                <c:f>'NM - M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minus>
            <c:spPr>
              <a:noFill/>
              <a:ln w="9525" cap="flat" cmpd="sng" algn="ctr">
                <a:solidFill>
                  <a:schemeClr val="bg2">
                    <a:lumMod val="75000"/>
                  </a:schemeClr>
                </a:solidFill>
                <a:round/>
              </a:ln>
              <a:effectLst/>
            </c:spPr>
          </c:errBars>
          <c:cat>
            <c:strRef>
              <c:f>'All Migraineur'!$I$1:$U$1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'NM - M Analysis'!$B$4:$B$16</c:f>
              <c:numCache>
                <c:formatCode>General</c:formatCode>
                <c:ptCount val="13"/>
                <c:pt idx="0">
                  <c:v>0.29545454545454541</c:v>
                </c:pt>
                <c:pt idx="1">
                  <c:v>0.28745454545454552</c:v>
                </c:pt>
                <c:pt idx="2">
                  <c:v>0.27999999999999997</c:v>
                </c:pt>
                <c:pt idx="3">
                  <c:v>0.27109090909090905</c:v>
                </c:pt>
                <c:pt idx="4">
                  <c:v>0.2714545454545455</c:v>
                </c:pt>
                <c:pt idx="5">
                  <c:v>0.28509090909090912</c:v>
                </c:pt>
                <c:pt idx="6">
                  <c:v>0.28181818181818175</c:v>
                </c:pt>
                <c:pt idx="7">
                  <c:v>0.24745454545454545</c:v>
                </c:pt>
                <c:pt idx="8">
                  <c:v>0.26763636363636367</c:v>
                </c:pt>
                <c:pt idx="9">
                  <c:v>0.22690909090909081</c:v>
                </c:pt>
                <c:pt idx="10">
                  <c:v>0.21145454545454542</c:v>
                </c:pt>
                <c:pt idx="11">
                  <c:v>0.16709090909090912</c:v>
                </c:pt>
                <c:pt idx="12">
                  <c:v>0.15527272727272731</c:v>
                </c:pt>
              </c:numCache>
            </c:numRef>
          </c:val>
          <c:smooth val="0"/>
          <c:extLst>
            <c:ext xmlns:c16="http://schemas.microsoft.com/office/drawing/2014/chart" uri="{C3380CC4-5D6E-409C-BE32-E72D297353CC}">
              <c16:uniqueId val="{00000001-137D-42D4-974B-30FDE1983297}"/>
            </c:ext>
          </c:extLst>
        </c:ser>
        <c:dLbls>
          <c:showLegendKey val="0"/>
          <c:showVal val="0"/>
          <c:showCatName val="0"/>
          <c:showSerName val="0"/>
          <c:showPercent val="0"/>
          <c:showBubbleSize val="0"/>
        </c:dLbls>
        <c:smooth val="0"/>
        <c:axId val="423381631"/>
        <c:axId val="423379551"/>
      </c:lineChart>
      <c:catAx>
        <c:axId val="42338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Frequency</a:t>
                </a:r>
              </a:p>
            </c:rich>
          </c:tx>
          <c:layout>
            <c:manualLayout>
              <c:xMode val="edge"/>
              <c:yMode val="edge"/>
              <c:x val="0.47840857392825897"/>
              <c:y val="0.846811539387270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lumMod val="75000"/>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79551"/>
        <c:crosses val="autoZero"/>
        <c:auto val="0"/>
        <c:lblAlgn val="ctr"/>
        <c:lblOffset val="100"/>
        <c:noMultiLvlLbl val="0"/>
      </c:catAx>
      <c:valAx>
        <c:axId val="42337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1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Female</a:t>
            </a:r>
            <a:r>
              <a:rPr lang="en-GB" baseline="0"/>
              <a:t> - Male Range Comparison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'Female-Male Migraineur Analysis'!$A$1</c:f>
              <c:strCache>
                <c:ptCount val="1"/>
                <c:pt idx="0">
                  <c:v>Female</c:v>
                </c:pt>
              </c:strCache>
            </c:strRef>
          </c:tx>
          <c:spPr>
            <a:ln w="28575" cap="rnd">
              <a:solidFill>
                <a:schemeClr val="tx1">
                  <a:lumMod val="95000"/>
                  <a:lumOff val="5000"/>
                </a:schemeClr>
              </a:solidFill>
              <a:round/>
            </a:ln>
            <a:effectLst/>
          </c:spPr>
          <c:marker>
            <c:symbol val="none"/>
          </c:marker>
          <c:val>
            <c:numRef>
              <c:f>'Female-Male Migraineur Analysis'!$A$2:$A$14</c:f>
              <c:numCache>
                <c:formatCode>General</c:formatCode>
                <c:ptCount val="13"/>
                <c:pt idx="0">
                  <c:v>0.30043478260869561</c:v>
                </c:pt>
                <c:pt idx="1">
                  <c:v>0.28913043478260875</c:v>
                </c:pt>
                <c:pt idx="2">
                  <c:v>0.28326086956521745</c:v>
                </c:pt>
                <c:pt idx="3">
                  <c:v>0.26760869565217382</c:v>
                </c:pt>
                <c:pt idx="4">
                  <c:v>0.25434782608695655</c:v>
                </c:pt>
                <c:pt idx="5">
                  <c:v>0.27695652173913043</c:v>
                </c:pt>
                <c:pt idx="6">
                  <c:v>0.26499999999999996</c:v>
                </c:pt>
                <c:pt idx="7">
                  <c:v>0.23108695652173913</c:v>
                </c:pt>
                <c:pt idx="8">
                  <c:v>0.26326086956521744</c:v>
                </c:pt>
                <c:pt idx="9">
                  <c:v>0.22565217391304337</c:v>
                </c:pt>
                <c:pt idx="10">
                  <c:v>0.20065217391304349</c:v>
                </c:pt>
                <c:pt idx="11">
                  <c:v>0.17673913043478262</c:v>
                </c:pt>
                <c:pt idx="12">
                  <c:v>0.15500000000000003</c:v>
                </c:pt>
              </c:numCache>
            </c:numRef>
          </c:val>
          <c:smooth val="0"/>
          <c:extLst>
            <c:ext xmlns:c16="http://schemas.microsoft.com/office/drawing/2014/chart" uri="{C3380CC4-5D6E-409C-BE32-E72D297353CC}">
              <c16:uniqueId val="{00000000-5D8B-4FC3-B4C1-8BB5BE0F92FA}"/>
            </c:ext>
          </c:extLst>
        </c:ser>
        <c:ser>
          <c:idx val="1"/>
          <c:order val="1"/>
          <c:tx>
            <c:strRef>
              <c:f>'Female-Male Migraineur Analysis'!$B$1</c:f>
              <c:strCache>
                <c:ptCount val="1"/>
                <c:pt idx="0">
                  <c:v>Male</c:v>
                </c:pt>
              </c:strCache>
            </c:strRef>
          </c:tx>
          <c:spPr>
            <a:ln w="28575" cap="rnd">
              <a:solidFill>
                <a:schemeClr val="bg2">
                  <a:lumMod val="75000"/>
                </a:schemeClr>
              </a:solidFill>
              <a:prstDash val="dash"/>
              <a:round/>
            </a:ln>
            <a:effectLst/>
          </c:spPr>
          <c:marker>
            <c:symbol val="none"/>
          </c:marker>
          <c:val>
            <c:numRef>
              <c:f>'Female-Male Migraineur Analysis'!$B$2:$B$14</c:f>
              <c:numCache>
                <c:formatCode>General</c:formatCode>
                <c:ptCount val="13"/>
                <c:pt idx="0">
                  <c:v>0.29749999999999999</c:v>
                </c:pt>
                <c:pt idx="1">
                  <c:v>0.30249999999999999</c:v>
                </c:pt>
                <c:pt idx="2">
                  <c:v>0.28375000000000006</c:v>
                </c:pt>
                <c:pt idx="3">
                  <c:v>0.32250000000000001</c:v>
                </c:pt>
                <c:pt idx="4">
                  <c:v>0.39874999999999999</c:v>
                </c:pt>
                <c:pt idx="5">
                  <c:v>0.35499999999999998</c:v>
                </c:pt>
                <c:pt idx="6">
                  <c:v>0.39875000000000005</c:v>
                </c:pt>
                <c:pt idx="7">
                  <c:v>0.37124999999999997</c:v>
                </c:pt>
                <c:pt idx="8">
                  <c:v>0.32250000000000001</c:v>
                </c:pt>
                <c:pt idx="9">
                  <c:v>0.26250000000000007</c:v>
                </c:pt>
                <c:pt idx="10">
                  <c:v>0.29499999999999998</c:v>
                </c:pt>
                <c:pt idx="11">
                  <c:v>0.13125000000000001</c:v>
                </c:pt>
                <c:pt idx="12">
                  <c:v>0.16749999999999998</c:v>
                </c:pt>
              </c:numCache>
            </c:numRef>
          </c:val>
          <c:smooth val="0"/>
          <c:extLst>
            <c:ext xmlns:c16="http://schemas.microsoft.com/office/drawing/2014/chart" uri="{C3380CC4-5D6E-409C-BE32-E72D297353CC}">
              <c16:uniqueId val="{00000001-5D8B-4FC3-B4C1-8BB5BE0F92FA}"/>
            </c:ext>
          </c:extLst>
        </c:ser>
        <c:dLbls>
          <c:showLegendKey val="0"/>
          <c:showVal val="0"/>
          <c:showCatName val="0"/>
          <c:showSerName val="0"/>
          <c:showPercent val="0"/>
          <c:showBubbleSize val="0"/>
        </c:dLbls>
        <c:smooth val="0"/>
        <c:axId val="1312450960"/>
        <c:axId val="1312480912"/>
      </c:lineChart>
      <c:catAx>
        <c:axId val="13124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80912"/>
        <c:crosses val="autoZero"/>
        <c:auto val="1"/>
        <c:lblAlgn val="ctr"/>
        <c:lblOffset val="100"/>
        <c:noMultiLvlLbl val="0"/>
      </c:catAx>
      <c:valAx>
        <c:axId val="131248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45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 only M-NM analysis'!$A$4</c:f>
              <c:strCache>
                <c:ptCount val="1"/>
                <c:pt idx="0">
                  <c:v>GR Non-Migraineur Group</c:v>
                </c:pt>
              </c:strCache>
            </c:strRef>
          </c:tx>
          <c:spPr>
            <a:ln w="28575" cap="rnd">
              <a:solidFill>
                <a:schemeClr val="accent1"/>
              </a:solidFill>
              <a:round/>
            </a:ln>
            <a:effectLst/>
          </c:spPr>
          <c:marker>
            <c:symbol val="none"/>
          </c:marker>
          <c:errBars>
            <c:errDir val="y"/>
            <c:errBarType val="both"/>
            <c:errValType val="cust"/>
            <c:noEndCap val="0"/>
            <c:plus>
              <c:numRef>
                <c:f>'GR only M-NM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plus>
            <c:minus>
              <c:numRef>
                <c:f>'GR only M-NM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minus>
            <c:spPr>
              <a:noFill/>
              <a:ln w="9525" cap="flat" cmpd="sng" algn="ctr">
                <a:solidFill>
                  <a:schemeClr val="tx1">
                    <a:lumMod val="65000"/>
                    <a:lumOff val="35000"/>
                  </a:schemeClr>
                </a:solidFill>
                <a:round/>
              </a:ln>
              <a:effectLst/>
            </c:spPr>
          </c:errBars>
          <c:cat>
            <c:strRef>
              <c:f>'GR only - Migraineur'!$A$1:$M$1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M-NM analysis'!$A$5:$A$17</c:f>
              <c:numCache>
                <c:formatCode>General</c:formatCode>
                <c:ptCount val="13"/>
                <c:pt idx="0">
                  <c:v>0.31136363636363634</c:v>
                </c:pt>
                <c:pt idx="1">
                  <c:v>0.35272727272727272</c:v>
                </c:pt>
                <c:pt idx="2">
                  <c:v>0.37090909090909085</c:v>
                </c:pt>
                <c:pt idx="3">
                  <c:v>0.36272727272727273</c:v>
                </c:pt>
                <c:pt idx="4">
                  <c:v>0.36409090909090902</c:v>
                </c:pt>
                <c:pt idx="5">
                  <c:v>0.3431818181818182</c:v>
                </c:pt>
                <c:pt idx="6">
                  <c:v>0.39090909090909087</c:v>
                </c:pt>
                <c:pt idx="7">
                  <c:v>0.33454545454545453</c:v>
                </c:pt>
                <c:pt idx="8">
                  <c:v>0.34272727272727271</c:v>
                </c:pt>
                <c:pt idx="9">
                  <c:v>0.28727272727272724</c:v>
                </c:pt>
                <c:pt idx="10">
                  <c:v>0.28136363636363632</c:v>
                </c:pt>
                <c:pt idx="11">
                  <c:v>0.23772727272727276</c:v>
                </c:pt>
                <c:pt idx="12">
                  <c:v>0.18681818181818183</c:v>
                </c:pt>
              </c:numCache>
            </c:numRef>
          </c:val>
          <c:smooth val="0"/>
          <c:extLst>
            <c:ext xmlns:c16="http://schemas.microsoft.com/office/drawing/2014/chart" uri="{C3380CC4-5D6E-409C-BE32-E72D297353CC}">
              <c16:uniqueId val="{00000000-7CFF-4D9C-8FE9-EF0DBBCF9AC3}"/>
            </c:ext>
          </c:extLst>
        </c:ser>
        <c:ser>
          <c:idx val="1"/>
          <c:order val="1"/>
          <c:tx>
            <c:strRef>
              <c:f>'GR only M-NM analysis'!$B$4</c:f>
              <c:strCache>
                <c:ptCount val="1"/>
                <c:pt idx="0">
                  <c:v>GR Migraineur Group</c:v>
                </c:pt>
              </c:strCache>
            </c:strRef>
          </c:tx>
          <c:spPr>
            <a:ln w="28575" cap="rnd">
              <a:solidFill>
                <a:schemeClr val="accent2"/>
              </a:solidFill>
              <a:round/>
            </a:ln>
            <a:effectLst/>
          </c:spPr>
          <c:marker>
            <c:symbol val="none"/>
          </c:marker>
          <c:errBars>
            <c:errDir val="y"/>
            <c:errBarType val="both"/>
            <c:errValType val="cust"/>
            <c:noEndCap val="0"/>
            <c:plus>
              <c:numRef>
                <c:f>'GR only M-NM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plus>
            <c:minus>
              <c:numRef>
                <c:f>'GR only M-NM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minus>
            <c:spPr>
              <a:noFill/>
              <a:ln w="9525" cap="flat" cmpd="sng" algn="ctr">
                <a:solidFill>
                  <a:schemeClr val="tx1">
                    <a:lumMod val="65000"/>
                    <a:lumOff val="35000"/>
                  </a:schemeClr>
                </a:solidFill>
                <a:round/>
              </a:ln>
              <a:effectLst/>
            </c:spPr>
          </c:errBars>
          <c:cat>
            <c:strRef>
              <c:f>'GR only - Migraineur'!$A$1:$M$1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M-NM analysis'!$B$5:$B$17</c:f>
              <c:numCache>
                <c:formatCode>General</c:formatCode>
                <c:ptCount val="13"/>
                <c:pt idx="0">
                  <c:v>0.27121212121212124</c:v>
                </c:pt>
                <c:pt idx="1">
                  <c:v>0.26151515151515148</c:v>
                </c:pt>
                <c:pt idx="2">
                  <c:v>0.23545454545454542</c:v>
                </c:pt>
                <c:pt idx="3">
                  <c:v>0.23939393939393946</c:v>
                </c:pt>
                <c:pt idx="4">
                  <c:v>0.22757575757575757</c:v>
                </c:pt>
                <c:pt idx="5">
                  <c:v>0.24181818181818179</c:v>
                </c:pt>
                <c:pt idx="6">
                  <c:v>0.22181818181818178</c:v>
                </c:pt>
                <c:pt idx="7">
                  <c:v>0.21484848484848479</c:v>
                </c:pt>
                <c:pt idx="8">
                  <c:v>0.21848484848484845</c:v>
                </c:pt>
                <c:pt idx="9">
                  <c:v>0.19121212121212122</c:v>
                </c:pt>
                <c:pt idx="10">
                  <c:v>0.20454545454545459</c:v>
                </c:pt>
                <c:pt idx="11">
                  <c:v>0.16727272727272727</c:v>
                </c:pt>
                <c:pt idx="12">
                  <c:v>0.14757575757575758</c:v>
                </c:pt>
              </c:numCache>
            </c:numRef>
          </c:val>
          <c:smooth val="0"/>
          <c:extLst>
            <c:ext xmlns:c16="http://schemas.microsoft.com/office/drawing/2014/chart" uri="{C3380CC4-5D6E-409C-BE32-E72D297353CC}">
              <c16:uniqueId val="{00000001-7CFF-4D9C-8FE9-EF0DBBCF9AC3}"/>
            </c:ext>
          </c:extLst>
        </c:ser>
        <c:dLbls>
          <c:showLegendKey val="0"/>
          <c:showVal val="0"/>
          <c:showCatName val="0"/>
          <c:showSerName val="0"/>
          <c:showPercent val="0"/>
          <c:showBubbleSize val="0"/>
        </c:dLbls>
        <c:smooth val="0"/>
        <c:axId val="289421328"/>
        <c:axId val="289427152"/>
      </c:lineChart>
      <c:catAx>
        <c:axId val="2894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7152"/>
        <c:crosses val="autoZero"/>
        <c:auto val="1"/>
        <c:lblAlgn val="ctr"/>
        <c:lblOffset val="100"/>
        <c:noMultiLvlLbl val="0"/>
      </c:catAx>
      <c:valAx>
        <c:axId val="28942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a:t>
                </a:r>
                <a:r>
                  <a:rPr lang="en-GB" baseline="0"/>
                  <a:t> Position</a:t>
                </a: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'UK +Prolific NM-M analysis'!$A$2</c:f>
              <c:strCache>
                <c:ptCount val="1"/>
                <c:pt idx="0">
                  <c:v>UK Non- Migraineur Group</c:v>
                </c:pt>
              </c:strCache>
            </c:strRef>
          </c:tx>
          <c:spPr>
            <a:ln w="28575" cap="rnd">
              <a:solidFill>
                <a:schemeClr val="accent1"/>
              </a:solidFill>
              <a:round/>
            </a:ln>
            <a:effectLst/>
          </c:spPr>
          <c:marker>
            <c:symbol val="none"/>
          </c:marker>
          <c:errBars>
            <c:errDir val="y"/>
            <c:errBarType val="both"/>
            <c:errValType val="cust"/>
            <c:noEndCap val="0"/>
            <c:plus>
              <c:numRef>
                <c:f>'UK +Prolific NM-M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plus>
            <c:minus>
              <c:numRef>
                <c:f>'UK +Prolific NM-M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minus>
            <c:spPr>
              <a:noFill/>
              <a:ln w="9525" cap="flat" cmpd="sng" algn="ctr">
                <a:solidFill>
                  <a:schemeClr val="tx1">
                    <a:lumMod val="65000"/>
                    <a:lumOff val="35000"/>
                  </a:schemeClr>
                </a:solidFill>
                <a:round/>
              </a:ln>
              <a:effectLst/>
            </c:spPr>
          </c:errBars>
          <c:cat>
            <c:strRef>
              <c:f>'UK + Prolific - Migraineur'!$A$1:$M$1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NM-M analysis'!$A$3:$A$15</c:f>
              <c:numCache>
                <c:formatCode>General</c:formatCode>
                <c:ptCount val="13"/>
                <c:pt idx="0">
                  <c:v>0.28740740740740744</c:v>
                </c:pt>
                <c:pt idx="1">
                  <c:v>0.34777777777777774</c:v>
                </c:pt>
                <c:pt idx="2">
                  <c:v>0.3899999999999999</c:v>
                </c:pt>
                <c:pt idx="3">
                  <c:v>0.39851851851851855</c:v>
                </c:pt>
                <c:pt idx="4">
                  <c:v>0.38629629629629636</c:v>
                </c:pt>
                <c:pt idx="5">
                  <c:v>0.38074074074074071</c:v>
                </c:pt>
                <c:pt idx="6">
                  <c:v>0.40185185185185202</c:v>
                </c:pt>
                <c:pt idx="7">
                  <c:v>0.40259259259259256</c:v>
                </c:pt>
                <c:pt idx="8">
                  <c:v>0.39814814814814808</c:v>
                </c:pt>
                <c:pt idx="9">
                  <c:v>0.35555555555555568</c:v>
                </c:pt>
                <c:pt idx="10">
                  <c:v>0.33925925925925926</c:v>
                </c:pt>
                <c:pt idx="11">
                  <c:v>0.27925925925925926</c:v>
                </c:pt>
                <c:pt idx="12">
                  <c:v>0.25740740740740742</c:v>
                </c:pt>
              </c:numCache>
            </c:numRef>
          </c:val>
          <c:smooth val="0"/>
          <c:extLst>
            <c:ext xmlns:c16="http://schemas.microsoft.com/office/drawing/2014/chart" uri="{C3380CC4-5D6E-409C-BE32-E72D297353CC}">
              <c16:uniqueId val="{00000000-10A1-4F74-BD42-996624C408C6}"/>
            </c:ext>
          </c:extLst>
        </c:ser>
        <c:ser>
          <c:idx val="1"/>
          <c:order val="1"/>
          <c:tx>
            <c:strRef>
              <c:f>'UK +Prolific NM-M analysis'!$B$2</c:f>
              <c:strCache>
                <c:ptCount val="1"/>
                <c:pt idx="0">
                  <c:v>UK Migraineur Group</c:v>
                </c:pt>
              </c:strCache>
            </c:strRef>
          </c:tx>
          <c:spPr>
            <a:ln w="28575" cap="rnd">
              <a:solidFill>
                <a:schemeClr val="accent2"/>
              </a:solidFill>
              <a:round/>
            </a:ln>
            <a:effectLst/>
          </c:spPr>
          <c:marker>
            <c:symbol val="none"/>
          </c:marker>
          <c:errBars>
            <c:errDir val="y"/>
            <c:errBarType val="both"/>
            <c:errValType val="cust"/>
            <c:noEndCap val="0"/>
            <c:plus>
              <c:numRef>
                <c:f>'UK +Prolific NM-M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plus>
            <c:minus>
              <c:numRef>
                <c:f>'UK +Prolific NM-M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minus>
            <c:spPr>
              <a:noFill/>
              <a:ln w="9525" cap="flat" cmpd="sng" algn="ctr">
                <a:solidFill>
                  <a:schemeClr val="tx1">
                    <a:lumMod val="65000"/>
                    <a:lumOff val="35000"/>
                  </a:schemeClr>
                </a:solidFill>
                <a:round/>
              </a:ln>
              <a:effectLst/>
            </c:spPr>
          </c:errBars>
          <c:cat>
            <c:strRef>
              <c:f>'UK + Prolific - Migraineur'!$A$1:$M$1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NM-M analysis'!$B$3:$B$15</c:f>
              <c:numCache>
                <c:formatCode>General</c:formatCode>
                <c:ptCount val="13"/>
                <c:pt idx="0">
                  <c:v>0.33000000000000007</c:v>
                </c:pt>
                <c:pt idx="1">
                  <c:v>0.32428571428571429</c:v>
                </c:pt>
                <c:pt idx="2">
                  <c:v>0.34714285714285714</c:v>
                </c:pt>
                <c:pt idx="3">
                  <c:v>0.31809523809523804</c:v>
                </c:pt>
                <c:pt idx="4">
                  <c:v>0.33904761904761904</c:v>
                </c:pt>
                <c:pt idx="5">
                  <c:v>0.35190476190476189</c:v>
                </c:pt>
                <c:pt idx="6">
                  <c:v>0.37952380952380949</c:v>
                </c:pt>
                <c:pt idx="7">
                  <c:v>0.3000000000000001</c:v>
                </c:pt>
                <c:pt idx="8">
                  <c:v>0.3409523809523809</c:v>
                </c:pt>
                <c:pt idx="9">
                  <c:v>0.28095238095238084</c:v>
                </c:pt>
                <c:pt idx="10">
                  <c:v>0.22380952380952376</c:v>
                </c:pt>
                <c:pt idx="11">
                  <c:v>0.16523809523809527</c:v>
                </c:pt>
                <c:pt idx="12">
                  <c:v>0.16428571428571428</c:v>
                </c:pt>
              </c:numCache>
            </c:numRef>
          </c:val>
          <c:smooth val="0"/>
          <c:extLst>
            <c:ext xmlns:c16="http://schemas.microsoft.com/office/drawing/2014/chart" uri="{C3380CC4-5D6E-409C-BE32-E72D297353CC}">
              <c16:uniqueId val="{00000001-10A1-4F74-BD42-996624C408C6}"/>
            </c:ext>
          </c:extLst>
        </c:ser>
        <c:dLbls>
          <c:showLegendKey val="0"/>
          <c:showVal val="0"/>
          <c:showCatName val="0"/>
          <c:showSerName val="0"/>
          <c:showPercent val="0"/>
          <c:showBubbleSize val="0"/>
        </c:dLbls>
        <c:smooth val="0"/>
        <c:axId val="575620080"/>
        <c:axId val="575617168"/>
      </c:lineChart>
      <c:catAx>
        <c:axId val="5756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7168"/>
        <c:crosses val="autoZero"/>
        <c:auto val="1"/>
        <c:lblAlgn val="ctr"/>
        <c:lblOffset val="100"/>
        <c:noMultiLvlLbl val="0"/>
      </c:catAx>
      <c:valAx>
        <c:axId val="57561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On attack/</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Off attack Range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 Attack Off Attack Analysis'!$A$2</c:f>
              <c:strCache>
                <c:ptCount val="1"/>
                <c:pt idx="0">
                  <c:v>Migraineur Group-On attack </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plus>
            <c:min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minus>
            <c:spPr>
              <a:noFill/>
              <a:ln w="9525" cap="flat" cmpd="sng" algn="ctr">
                <a:solidFill>
                  <a:schemeClr val="bg2">
                    <a:lumMod val="75000"/>
                  </a:schemeClr>
                </a:solidFill>
                <a:round/>
              </a:ln>
              <a:effectLst/>
            </c:spPr>
          </c:errBars>
          <c:cat>
            <c:strRef>
              <c:f>'All Migraineur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Analysis'!$A$3:$A$15</c:f>
              <c:numCache>
                <c:formatCode>General</c:formatCode>
                <c:ptCount val="13"/>
                <c:pt idx="0">
                  <c:v>0.24363636363636365</c:v>
                </c:pt>
                <c:pt idx="1">
                  <c:v>0.25272727272727269</c:v>
                </c:pt>
                <c:pt idx="2">
                  <c:v>0.24545454545454548</c:v>
                </c:pt>
                <c:pt idx="3">
                  <c:v>0.21454545454545454</c:v>
                </c:pt>
                <c:pt idx="4">
                  <c:v>0.23363636363636367</c:v>
                </c:pt>
                <c:pt idx="5">
                  <c:v>0.22545454545454546</c:v>
                </c:pt>
                <c:pt idx="6">
                  <c:v>0.24818181818181823</c:v>
                </c:pt>
                <c:pt idx="7">
                  <c:v>0.22545454545454549</c:v>
                </c:pt>
                <c:pt idx="8">
                  <c:v>0.2009090909090909</c:v>
                </c:pt>
                <c:pt idx="9">
                  <c:v>0.15090909090909091</c:v>
                </c:pt>
                <c:pt idx="10">
                  <c:v>0.17727272727272728</c:v>
                </c:pt>
                <c:pt idx="11">
                  <c:v>0.13363636363636366</c:v>
                </c:pt>
                <c:pt idx="12">
                  <c:v>0.15727272727272726</c:v>
                </c:pt>
              </c:numCache>
            </c:numRef>
          </c:val>
          <c:smooth val="0"/>
          <c:extLst>
            <c:ext xmlns:c16="http://schemas.microsoft.com/office/drawing/2014/chart" uri="{C3380CC4-5D6E-409C-BE32-E72D297353CC}">
              <c16:uniqueId val="{00000000-6DFA-41F2-AE96-E8AED83893B0}"/>
            </c:ext>
          </c:extLst>
        </c:ser>
        <c:ser>
          <c:idx val="1"/>
          <c:order val="1"/>
          <c:tx>
            <c:strRef>
              <c:f>'On Attack Off Attack Analysis'!$B$2</c:f>
              <c:strCache>
                <c:ptCount val="1"/>
                <c:pt idx="0">
                  <c:v>Migraineur Group-Off attack</c:v>
                </c:pt>
              </c:strCache>
            </c:strRef>
          </c:tx>
          <c:spPr>
            <a:ln w="28575" cap="rnd">
              <a:solidFill>
                <a:schemeClr val="bg2">
                  <a:lumMod val="10000"/>
                </a:schemeClr>
              </a:solidFill>
              <a:round/>
            </a:ln>
            <a:effectLst/>
          </c:spPr>
          <c:marker>
            <c:symbol val="none"/>
          </c:marker>
          <c:errBars>
            <c:errDir val="y"/>
            <c:errBarType val="both"/>
            <c:errValType val="cust"/>
            <c:noEndCap val="0"/>
            <c:pl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plus>
            <c:min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minus>
            <c:spPr>
              <a:noFill/>
              <a:ln w="9525" cap="flat" cmpd="sng" algn="ctr">
                <a:solidFill>
                  <a:schemeClr val="tx1">
                    <a:lumMod val="65000"/>
                    <a:lumOff val="35000"/>
                  </a:schemeClr>
                </a:solidFill>
                <a:round/>
              </a:ln>
              <a:effectLst/>
            </c:spPr>
          </c:errBars>
          <c:cat>
            <c:strRef>
              <c:f>'All Migraineur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Analysis'!$B$3:$B$15</c:f>
              <c:numCache>
                <c:formatCode>General</c:formatCode>
                <c:ptCount val="13"/>
                <c:pt idx="0">
                  <c:v>0.30840909090909097</c:v>
                </c:pt>
                <c:pt idx="1">
                  <c:v>0.29613636363636375</c:v>
                </c:pt>
                <c:pt idx="2">
                  <c:v>0.28863636363636369</c:v>
                </c:pt>
                <c:pt idx="3">
                  <c:v>0.28522727272727266</c:v>
                </c:pt>
                <c:pt idx="4">
                  <c:v>0.28090909090909094</c:v>
                </c:pt>
                <c:pt idx="5">
                  <c:v>0.3</c:v>
                </c:pt>
                <c:pt idx="6">
                  <c:v>0.29022727272727267</c:v>
                </c:pt>
                <c:pt idx="7">
                  <c:v>0.25295454545454543</c:v>
                </c:pt>
                <c:pt idx="8">
                  <c:v>0.2843181818181818</c:v>
                </c:pt>
                <c:pt idx="9">
                  <c:v>0.2459090909090908</c:v>
                </c:pt>
                <c:pt idx="10">
                  <c:v>0.22</c:v>
                </c:pt>
                <c:pt idx="11">
                  <c:v>0.17545454545454547</c:v>
                </c:pt>
                <c:pt idx="12">
                  <c:v>0.15477272727272728</c:v>
                </c:pt>
              </c:numCache>
            </c:numRef>
          </c:val>
          <c:smooth val="0"/>
          <c:extLst>
            <c:ext xmlns:c16="http://schemas.microsoft.com/office/drawing/2014/chart" uri="{C3380CC4-5D6E-409C-BE32-E72D297353CC}">
              <c16:uniqueId val="{00000001-6DFA-41F2-AE96-E8AED83893B0}"/>
            </c:ext>
          </c:extLst>
        </c:ser>
        <c:dLbls>
          <c:showLegendKey val="0"/>
          <c:showVal val="0"/>
          <c:showCatName val="0"/>
          <c:showSerName val="0"/>
          <c:showPercent val="0"/>
          <c:showBubbleSize val="0"/>
        </c:dLbls>
        <c:smooth val="0"/>
        <c:axId val="289431312"/>
        <c:axId val="289441712"/>
      </c:lineChart>
      <c:catAx>
        <c:axId val="2894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1712"/>
        <c:crosses val="autoZero"/>
        <c:auto val="1"/>
        <c:lblAlgn val="ctr"/>
        <c:lblOffset val="100"/>
        <c:noMultiLvlLbl val="0"/>
      </c:catAx>
      <c:valAx>
        <c:axId val="2894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Average</a:t>
                </a:r>
                <a:r>
                  <a:rPr lang="en-GB" baseline="0">
                    <a:latin typeface="Arial" panose="020B0604020202020204" pitchFamily="34" charset="0"/>
                    <a:cs typeface="Arial" panose="020B0604020202020204" pitchFamily="34" charset="0"/>
                  </a:rPr>
                  <a:t> Ranges (Slider Position)</a:t>
                </a:r>
                <a:endParaRPr lang="en-GB">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94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High/Low</a:t>
            </a:r>
            <a:r>
              <a:rPr lang="en-GB" baseline="0">
                <a:latin typeface="Arial" panose="020B0604020202020204" pitchFamily="34" charset="0"/>
                <a:cs typeface="Arial" panose="020B0604020202020204" pitchFamily="34" charset="0"/>
              </a:rPr>
              <a:t> Severity Range Comparison</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Migraineur Hi-Lo S Analysis'!$B$2</c:f>
              <c:strCache>
                <c:ptCount val="1"/>
                <c:pt idx="0">
                  <c:v>Severity of 70 or above</c:v>
                </c:pt>
              </c:strCache>
            </c:strRef>
          </c:tx>
          <c:spPr>
            <a:ln w="28575" cap="rnd">
              <a:solidFill>
                <a:schemeClr val="tx1">
                  <a:lumMod val="95000"/>
                  <a:lumOff val="5000"/>
                </a:schemeClr>
              </a:solidFill>
              <a:round/>
            </a:ln>
            <a:effectLst/>
          </c:spPr>
          <c:marker>
            <c:symbol val="none"/>
          </c:marker>
          <c:errBars>
            <c:errDir val="y"/>
            <c:errBarType val="both"/>
            <c:errValType val="cust"/>
            <c:noEndCap val="0"/>
            <c:plus>
              <c:numRef>
                <c:f>'All Migraineur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plus>
            <c:minus>
              <c:numRef>
                <c:f>'All Migraineur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minus>
            <c:spPr>
              <a:noFill/>
              <a:ln w="9525" cap="flat" cmpd="sng" algn="ctr">
                <a:solidFill>
                  <a:schemeClr val="tx1"/>
                </a:solidFill>
                <a:round/>
              </a:ln>
              <a:effectLst/>
            </c:spPr>
          </c:errBars>
          <c:cat>
            <c:strRef>
              <c:f>'All Migraineur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Migraineur Hi-Lo S Analysis'!$B$3:$B$15</c:f>
              <c:numCache>
                <c:formatCode>General</c:formatCode>
                <c:ptCount val="13"/>
                <c:pt idx="0">
                  <c:v>0.28269230769230769</c:v>
                </c:pt>
                <c:pt idx="1">
                  <c:v>0.32730769230769236</c:v>
                </c:pt>
                <c:pt idx="2">
                  <c:v>0.36538461538461536</c:v>
                </c:pt>
                <c:pt idx="3">
                  <c:v>0.31653846153846155</c:v>
                </c:pt>
                <c:pt idx="4">
                  <c:v>0.3438461538461538</c:v>
                </c:pt>
                <c:pt idx="5">
                  <c:v>0.31538461538461537</c:v>
                </c:pt>
                <c:pt idx="6">
                  <c:v>0.33538461538461534</c:v>
                </c:pt>
                <c:pt idx="7">
                  <c:v>0.2942307692307693</c:v>
                </c:pt>
                <c:pt idx="8">
                  <c:v>0.29846153846153844</c:v>
                </c:pt>
                <c:pt idx="9">
                  <c:v>0.26076923076923075</c:v>
                </c:pt>
                <c:pt idx="10">
                  <c:v>0.24807692307692308</c:v>
                </c:pt>
                <c:pt idx="11">
                  <c:v>0.20461538461538467</c:v>
                </c:pt>
                <c:pt idx="12">
                  <c:v>0.22000000000000006</c:v>
                </c:pt>
              </c:numCache>
            </c:numRef>
          </c:val>
          <c:smooth val="0"/>
          <c:extLst>
            <c:ext xmlns:c16="http://schemas.microsoft.com/office/drawing/2014/chart" uri="{C3380CC4-5D6E-409C-BE32-E72D297353CC}">
              <c16:uniqueId val="{00000000-0B4B-46BF-85EA-DB64A538CA8D}"/>
            </c:ext>
          </c:extLst>
        </c:ser>
        <c:ser>
          <c:idx val="1"/>
          <c:order val="1"/>
          <c:tx>
            <c:strRef>
              <c:f>'All Migraineur Hi-Lo S Analysis'!$A$2</c:f>
              <c:strCache>
                <c:ptCount val="1"/>
                <c:pt idx="0">
                  <c:v>Severity of 30 or below</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Migraineur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plus>
            <c:minus>
              <c:numRef>
                <c:f>'All Migraineur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minus>
            <c:spPr>
              <a:noFill/>
              <a:ln w="9525" cap="flat" cmpd="sng" algn="ctr">
                <a:solidFill>
                  <a:schemeClr val="bg2">
                    <a:lumMod val="75000"/>
                  </a:schemeClr>
                </a:solidFill>
                <a:round/>
              </a:ln>
              <a:effectLst/>
            </c:spPr>
          </c:errBars>
          <c:cat>
            <c:strRef>
              <c:f>'All Migraineur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Migraineur Hi-Lo S Analysis'!$A$3:$A$15</c:f>
              <c:numCache>
                <c:formatCode>General</c:formatCode>
                <c:ptCount val="13"/>
                <c:pt idx="0">
                  <c:v>0.26100000000000001</c:v>
                </c:pt>
                <c:pt idx="1">
                  <c:v>0.26800000000000002</c:v>
                </c:pt>
                <c:pt idx="2">
                  <c:v>0.21099999999999999</c:v>
                </c:pt>
                <c:pt idx="3">
                  <c:v>0.22900000000000001</c:v>
                </c:pt>
                <c:pt idx="4">
                  <c:v>0.21600000000000003</c:v>
                </c:pt>
                <c:pt idx="5">
                  <c:v>0.21700000000000003</c:v>
                </c:pt>
                <c:pt idx="6">
                  <c:v>0.16500000000000001</c:v>
                </c:pt>
                <c:pt idx="7">
                  <c:v>0.158</c:v>
                </c:pt>
                <c:pt idx="8">
                  <c:v>0.18699999999999997</c:v>
                </c:pt>
                <c:pt idx="9">
                  <c:v>0.13</c:v>
                </c:pt>
                <c:pt idx="10">
                  <c:v>0.159</c:v>
                </c:pt>
                <c:pt idx="11">
                  <c:v>0.11600000000000002</c:v>
                </c:pt>
                <c:pt idx="12">
                  <c:v>5.9999999999999977E-2</c:v>
                </c:pt>
              </c:numCache>
            </c:numRef>
          </c:val>
          <c:smooth val="0"/>
          <c:extLst>
            <c:ext xmlns:c16="http://schemas.microsoft.com/office/drawing/2014/chart" uri="{C3380CC4-5D6E-409C-BE32-E72D297353CC}">
              <c16:uniqueId val="{00000001-0B4B-46BF-85EA-DB64A538CA8D}"/>
            </c:ext>
          </c:extLst>
        </c:ser>
        <c:dLbls>
          <c:showLegendKey val="0"/>
          <c:showVal val="0"/>
          <c:showCatName val="0"/>
          <c:showSerName val="0"/>
          <c:showPercent val="0"/>
          <c:showBubbleSize val="0"/>
        </c:dLbls>
        <c:smooth val="0"/>
        <c:axId val="2112931935"/>
        <c:axId val="2112923615"/>
      </c:lineChart>
      <c:catAx>
        <c:axId val="211293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Frequency</a:t>
                </a:r>
                <a:r>
                  <a:rPr lang="en-GB" baseline="0">
                    <a:latin typeface="Arial" panose="020B0604020202020204" pitchFamily="34" charset="0"/>
                    <a:cs typeface="Arial" panose="020B0604020202020204" pitchFamily="34" charset="0"/>
                  </a:rPr>
                  <a:t> (Hz)</a:t>
                </a:r>
                <a:endParaRPr lang="en-GB">
                  <a:latin typeface="Arial" panose="020B0604020202020204" pitchFamily="34" charset="0"/>
                  <a:cs typeface="Arial" panose="020B0604020202020204" pitchFamily="34" charset="0"/>
                </a:endParaRPr>
              </a:p>
            </c:rich>
          </c:tx>
          <c:layout>
            <c:manualLayout>
              <c:xMode val="edge"/>
              <c:yMode val="edge"/>
              <c:x val="0.46382524059492564"/>
              <c:y val="0.82611645344765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23615"/>
        <c:crosses val="autoZero"/>
        <c:auto val="1"/>
        <c:lblAlgn val="ctr"/>
        <c:lblOffset val="100"/>
        <c:noMultiLvlLbl val="0"/>
      </c:catAx>
      <c:valAx>
        <c:axId val="21129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Arial" panose="020B0604020202020204" pitchFamily="34" charset="0"/>
                <a:cs typeface="Arial" panose="020B0604020202020204" pitchFamily="34" charset="0"/>
              </a:rPr>
              <a:t>Episodic/Chronic</a:t>
            </a:r>
            <a:r>
              <a:rPr lang="en-GB" baseline="0">
                <a:latin typeface="Arial" panose="020B0604020202020204" pitchFamily="34" charset="0"/>
                <a:cs typeface="Arial" panose="020B0604020202020204" pitchFamily="34" charset="0"/>
              </a:rPr>
              <a:t> Range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Migraineur C-E Analysis'!$A$1</c:f>
              <c:strCache>
                <c:ptCount val="1"/>
                <c:pt idx="0">
                  <c:v>Chronic</c:v>
                </c:pt>
              </c:strCache>
            </c:strRef>
          </c:tx>
          <c:spPr>
            <a:ln w="28575" cap="rnd">
              <a:solidFill>
                <a:schemeClr val="tx1"/>
              </a:solidFill>
              <a:round/>
            </a:ln>
            <a:effectLst/>
          </c:spPr>
          <c:marker>
            <c:symbol val="none"/>
          </c:marker>
          <c:errBars>
            <c:errDir val="y"/>
            <c:errBarType val="both"/>
            <c:errValType val="cust"/>
            <c:noEndCap val="0"/>
            <c:plus>
              <c:numRef>
                <c:f>'All Migraineur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plus>
            <c:minus>
              <c:numRef>
                <c:f>'All Migraineur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minus>
            <c:spPr>
              <a:noFill/>
              <a:ln w="9525" cap="flat" cmpd="sng" algn="ctr">
                <a:solidFill>
                  <a:schemeClr val="tx1"/>
                </a:solidFill>
                <a:round/>
              </a:ln>
              <a:effectLst/>
            </c:spPr>
          </c:errBars>
          <c:cat>
            <c:strRef>
              <c:f>'All Migraineur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Migraineur C-E Analysis'!$A$2:$A$14</c:f>
              <c:numCache>
                <c:formatCode>General</c:formatCode>
                <c:ptCount val="13"/>
                <c:pt idx="0">
                  <c:v>0.33666666666666667</c:v>
                </c:pt>
                <c:pt idx="1">
                  <c:v>0.32444444444444442</c:v>
                </c:pt>
                <c:pt idx="2">
                  <c:v>0.31222222222222218</c:v>
                </c:pt>
                <c:pt idx="3">
                  <c:v>0.22888888888888884</c:v>
                </c:pt>
                <c:pt idx="4">
                  <c:v>0.21111111111111114</c:v>
                </c:pt>
                <c:pt idx="5">
                  <c:v>0.2533333333333333</c:v>
                </c:pt>
                <c:pt idx="6">
                  <c:v>0.26333333333333331</c:v>
                </c:pt>
                <c:pt idx="7">
                  <c:v>0.24555555555555555</c:v>
                </c:pt>
                <c:pt idx="8">
                  <c:v>0.24777777777777776</c:v>
                </c:pt>
                <c:pt idx="9">
                  <c:v>0.23555555555555557</c:v>
                </c:pt>
                <c:pt idx="10">
                  <c:v>0.19222222222222227</c:v>
                </c:pt>
                <c:pt idx="11">
                  <c:v>0.21555555555555558</c:v>
                </c:pt>
                <c:pt idx="12">
                  <c:v>0.24111111111111111</c:v>
                </c:pt>
              </c:numCache>
            </c:numRef>
          </c:val>
          <c:smooth val="0"/>
          <c:extLst>
            <c:ext xmlns:c16="http://schemas.microsoft.com/office/drawing/2014/chart" uri="{C3380CC4-5D6E-409C-BE32-E72D297353CC}">
              <c16:uniqueId val="{00000000-FB30-4016-808A-4EC3A80AF549}"/>
            </c:ext>
          </c:extLst>
        </c:ser>
        <c:ser>
          <c:idx val="1"/>
          <c:order val="1"/>
          <c:tx>
            <c:strRef>
              <c:f>'All Migraineur C-E Analysis'!$B$1</c:f>
              <c:strCache>
                <c:ptCount val="1"/>
                <c:pt idx="0">
                  <c:v>Episodic</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Migraineur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plus>
            <c:minus>
              <c:numRef>
                <c:f>'All Migraineur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minus>
            <c:spPr>
              <a:noFill/>
              <a:ln w="9525" cap="flat" cmpd="sng" algn="ctr">
                <a:solidFill>
                  <a:schemeClr val="bg2">
                    <a:lumMod val="75000"/>
                  </a:schemeClr>
                </a:solidFill>
                <a:round/>
              </a:ln>
              <a:effectLst/>
            </c:spPr>
          </c:errBars>
          <c:cat>
            <c:strRef>
              <c:f>'All Migraineur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Migraineur C-E Analysis'!$B$2:$B$14</c:f>
              <c:numCache>
                <c:formatCode>General</c:formatCode>
                <c:ptCount val="13"/>
                <c:pt idx="0">
                  <c:v>0.29318181818181821</c:v>
                </c:pt>
                <c:pt idx="1">
                  <c:v>0.27477272727272734</c:v>
                </c:pt>
                <c:pt idx="2">
                  <c:v>0.26727272727272722</c:v>
                </c:pt>
                <c:pt idx="3">
                  <c:v>0.27340909090909088</c:v>
                </c:pt>
                <c:pt idx="4">
                  <c:v>0.28113636363636374</c:v>
                </c:pt>
                <c:pt idx="5">
                  <c:v>0.29045454545454547</c:v>
                </c:pt>
                <c:pt idx="6">
                  <c:v>0.28704545454545449</c:v>
                </c:pt>
                <c:pt idx="7">
                  <c:v>0.25068181818181812</c:v>
                </c:pt>
                <c:pt idx="8">
                  <c:v>0.27386363636363636</c:v>
                </c:pt>
                <c:pt idx="9">
                  <c:v>0.22795454545454541</c:v>
                </c:pt>
                <c:pt idx="10">
                  <c:v>0.2170454545454546</c:v>
                </c:pt>
                <c:pt idx="11">
                  <c:v>0.1581818181818182</c:v>
                </c:pt>
                <c:pt idx="12">
                  <c:v>0.13681818181818184</c:v>
                </c:pt>
              </c:numCache>
            </c:numRef>
          </c:val>
          <c:smooth val="0"/>
          <c:extLst>
            <c:ext xmlns:c16="http://schemas.microsoft.com/office/drawing/2014/chart" uri="{C3380CC4-5D6E-409C-BE32-E72D297353CC}">
              <c16:uniqueId val="{00000001-FB30-4016-808A-4EC3A80AF549}"/>
            </c:ext>
          </c:extLst>
        </c:ser>
        <c:dLbls>
          <c:showLegendKey val="0"/>
          <c:showVal val="0"/>
          <c:showCatName val="0"/>
          <c:showSerName val="0"/>
          <c:showPercent val="0"/>
          <c:showBubbleSize val="0"/>
        </c:dLbls>
        <c:smooth val="0"/>
        <c:axId val="575636720"/>
        <c:axId val="575618832"/>
      </c:lineChart>
      <c:catAx>
        <c:axId val="575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Frequency</a:t>
                </a:r>
                <a:r>
                  <a:rPr lang="en-GB" baseline="0">
                    <a:latin typeface="Arial" panose="020B0604020202020204" pitchFamily="34" charset="0"/>
                    <a:cs typeface="Arial" panose="020B0604020202020204" pitchFamily="34" charset="0"/>
                  </a:rPr>
                  <a:t> (Hz)</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8832"/>
        <c:crosses val="autoZero"/>
        <c:auto val="1"/>
        <c:lblAlgn val="ctr"/>
        <c:lblOffset val="100"/>
        <c:noMultiLvlLbl val="0"/>
      </c:catAx>
      <c:valAx>
        <c:axId val="575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Average Ranges </a:t>
                </a:r>
              </a:p>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latin typeface="Arial" panose="020B0604020202020204" pitchFamily="34" charset="0"/>
                <a:cs typeface="Arial" panose="020B0604020202020204" pitchFamily="34" charset="0"/>
              </a:rPr>
              <a:t>Medication/No Medication Range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Migrain Med-No Med Analysis'!$A$2</c:f>
              <c:strCache>
                <c:ptCount val="1"/>
                <c:pt idx="0">
                  <c:v>Medication</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Migrain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plus>
            <c:minus>
              <c:numRef>
                <c:f>'All Migrain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minus>
            <c:spPr>
              <a:noFill/>
              <a:ln w="9525" cap="flat" cmpd="sng" algn="ctr">
                <a:solidFill>
                  <a:schemeClr val="bg2">
                    <a:lumMod val="75000"/>
                  </a:schemeClr>
                </a:solidFill>
                <a:round/>
              </a:ln>
              <a:effectLst/>
            </c:spPr>
          </c:errBars>
          <c:cat>
            <c:strRef>
              <c:f>'All Migraineur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 Med-No Med Analysis'!$A$3:$A$15</c:f>
              <c:numCache>
                <c:formatCode>General</c:formatCode>
                <c:ptCount val="13"/>
                <c:pt idx="0">
                  <c:v>0.31615384615384617</c:v>
                </c:pt>
                <c:pt idx="1">
                  <c:v>0.28717948717948727</c:v>
                </c:pt>
                <c:pt idx="2">
                  <c:v>0.27589743589743587</c:v>
                </c:pt>
                <c:pt idx="3">
                  <c:v>0.25948717948717953</c:v>
                </c:pt>
                <c:pt idx="4">
                  <c:v>0.25230769230769223</c:v>
                </c:pt>
                <c:pt idx="5">
                  <c:v>0.28384615384615386</c:v>
                </c:pt>
                <c:pt idx="6">
                  <c:v>0.27641025641025635</c:v>
                </c:pt>
                <c:pt idx="7">
                  <c:v>0.23769230769230773</c:v>
                </c:pt>
                <c:pt idx="8">
                  <c:v>0.26846153846153836</c:v>
                </c:pt>
                <c:pt idx="9">
                  <c:v>0.22974358974358977</c:v>
                </c:pt>
                <c:pt idx="10">
                  <c:v>0.21435897435897436</c:v>
                </c:pt>
                <c:pt idx="11">
                  <c:v>0.17051282051282055</c:v>
                </c:pt>
                <c:pt idx="12">
                  <c:v>0.16179487179487181</c:v>
                </c:pt>
              </c:numCache>
            </c:numRef>
          </c:val>
          <c:smooth val="0"/>
          <c:extLst>
            <c:ext xmlns:c16="http://schemas.microsoft.com/office/drawing/2014/chart" uri="{C3380CC4-5D6E-409C-BE32-E72D297353CC}">
              <c16:uniqueId val="{00000000-C060-4F09-8B11-EB1080B3A913}"/>
            </c:ext>
          </c:extLst>
        </c:ser>
        <c:ser>
          <c:idx val="1"/>
          <c:order val="1"/>
          <c:tx>
            <c:strRef>
              <c:f>'All Migrain Med-No Med Analysis'!$B$2</c:f>
              <c:strCache>
                <c:ptCount val="1"/>
                <c:pt idx="0">
                  <c:v>No Medication </c:v>
                </c:pt>
              </c:strCache>
            </c:strRef>
          </c:tx>
          <c:spPr>
            <a:ln w="28575" cap="rnd">
              <a:solidFill>
                <a:schemeClr val="tx1"/>
              </a:solidFill>
              <a:round/>
            </a:ln>
            <a:effectLst/>
          </c:spPr>
          <c:marker>
            <c:symbol val="none"/>
          </c:marker>
          <c:errBars>
            <c:errDir val="y"/>
            <c:errBarType val="both"/>
            <c:errValType val="cust"/>
            <c:noEndCap val="0"/>
            <c:plus>
              <c:numRef>
                <c:f>'All Migrain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plus>
            <c:minus>
              <c:numRef>
                <c:f>'All Migrain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minus>
            <c:spPr>
              <a:noFill/>
              <a:ln w="9525" cap="flat" cmpd="sng" algn="ctr">
                <a:solidFill>
                  <a:schemeClr val="tx1"/>
                </a:solidFill>
                <a:round/>
              </a:ln>
              <a:effectLst/>
            </c:spPr>
          </c:errBars>
          <c:cat>
            <c:strRef>
              <c:f>'All Migraineur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Migrain Med-No Med Analysis'!$B$3:$B$15</c:f>
              <c:numCache>
                <c:formatCode>General</c:formatCode>
                <c:ptCount val="13"/>
                <c:pt idx="0">
                  <c:v>0.245</c:v>
                </c:pt>
                <c:pt idx="1">
                  <c:v>0.28812500000000002</c:v>
                </c:pt>
                <c:pt idx="2">
                  <c:v>0.29000000000000004</c:v>
                </c:pt>
                <c:pt idx="3">
                  <c:v>0.29937500000000006</c:v>
                </c:pt>
                <c:pt idx="4">
                  <c:v>0.31812499999999999</c:v>
                </c:pt>
                <c:pt idx="5">
                  <c:v>0.28812499999999996</c:v>
                </c:pt>
                <c:pt idx="6">
                  <c:v>0.29499999999999998</c:v>
                </c:pt>
                <c:pt idx="7">
                  <c:v>0.27124999999999999</c:v>
                </c:pt>
                <c:pt idx="8">
                  <c:v>0.26562500000000006</c:v>
                </c:pt>
                <c:pt idx="9">
                  <c:v>0.22000000000000003</c:v>
                </c:pt>
                <c:pt idx="10">
                  <c:v>0.20437499999999997</c:v>
                </c:pt>
                <c:pt idx="11">
                  <c:v>0.15875000000000003</c:v>
                </c:pt>
                <c:pt idx="12">
                  <c:v>0.13937500000000003</c:v>
                </c:pt>
              </c:numCache>
            </c:numRef>
          </c:val>
          <c:smooth val="0"/>
          <c:extLst>
            <c:ext xmlns:c16="http://schemas.microsoft.com/office/drawing/2014/chart" uri="{C3380CC4-5D6E-409C-BE32-E72D297353CC}">
              <c16:uniqueId val="{00000001-C060-4F09-8B11-EB1080B3A913}"/>
            </c:ext>
          </c:extLst>
        </c:ser>
        <c:dLbls>
          <c:showLegendKey val="0"/>
          <c:showVal val="0"/>
          <c:showCatName val="0"/>
          <c:showSerName val="0"/>
          <c:showPercent val="0"/>
          <c:showBubbleSize val="0"/>
        </c:dLbls>
        <c:smooth val="0"/>
        <c:axId val="575630480"/>
        <c:axId val="575630896"/>
      </c:lineChart>
      <c:catAx>
        <c:axId val="5756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896"/>
        <c:crosses val="autoZero"/>
        <c:auto val="1"/>
        <c:lblAlgn val="ctr"/>
        <c:lblOffset val="100"/>
        <c:noMultiLvlLbl val="0"/>
      </c:catAx>
      <c:valAx>
        <c:axId val="5756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Average Ranges( Slider Position)</a:t>
                </a:r>
              </a:p>
            </c:rich>
          </c:tx>
          <c:layout>
            <c:manualLayout>
              <c:xMode val="edge"/>
              <c:yMode val="edge"/>
              <c:x val="2.2222222222222223E-2"/>
              <c:y val="0.114239574219889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data id="7">
      <cx:numDim type="val">
        <cx:f>_xlchart.v1.7</cx:f>
      </cx:numDim>
    </cx:data>
  </cx:chartData>
  <cx:chart>
    <cx:title pos="t" align="ctr" overlay="0">
      <cx:tx>
        <cx:txData>
          <cx:v>Average MUL and JAL responses from both groups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Average MUL and JAL responses from both groups</a:t>
          </a:r>
        </a:p>
      </cx:txPr>
    </cx:title>
    <cx:plotArea>
      <cx:plotAreaRegion>
        <cx:series layoutId="boxWhisker" uniqueId="{00000000-D977-474A-92A5-5A879DFC7D30}">
          <cx:tx>
            <cx:txData>
              <cx:f/>
              <cx:v>Focus GR Just Audible</cx:v>
            </cx:txData>
          </cx:tx>
          <cx:spPr>
            <a:pattFill prst="wdUpDiag">
              <a:fgClr>
                <a:schemeClr val="bg2">
                  <a:lumMod val="50000"/>
                </a:schemeClr>
              </a:fgClr>
              <a:bgClr>
                <a:schemeClr val="bg1"/>
              </a:bgClr>
            </a:pattFill>
            <a:ln>
              <a:solidFill>
                <a:schemeClr val="tx1"/>
              </a:solidFill>
            </a:ln>
          </cx:spPr>
          <cx:dataId val="0"/>
          <cx:layoutPr>
            <cx:visibility nonoutliers="0"/>
            <cx:statistics quartileMethod="exclusive"/>
          </cx:layoutPr>
        </cx:series>
        <cx:series layoutId="boxWhisker" uniqueId="{00000001-D977-474A-92A5-5A879DFC7D30}">
          <cx:tx>
            <cx:txData>
              <cx:f/>
              <cx:v>Focus UK Just Audible</cx:v>
            </cx:txData>
          </cx:tx>
          <cx:spPr>
            <a:pattFill prst="wdUpDiag">
              <a:fgClr>
                <a:schemeClr val="bg2">
                  <a:lumMod val="50000"/>
                </a:schemeClr>
              </a:fgClr>
              <a:bgClr>
                <a:schemeClr val="bg1"/>
              </a:bgClr>
            </a:pattFill>
            <a:ln>
              <a:solidFill>
                <a:schemeClr val="tx1"/>
              </a:solidFill>
            </a:ln>
          </cx:spPr>
          <cx:dataId val="1"/>
          <cx:layoutPr>
            <cx:visibility nonoutliers="0"/>
            <cx:statistics quartileMethod="exclusive"/>
          </cx:layoutPr>
        </cx:series>
        <cx:series layoutId="boxWhisker" uniqueId="{00000002-D977-474A-92A5-5A879DFC7D30}">
          <cx:tx>
            <cx:txData>
              <cx:f/>
              <cx:v>Focus GR Mildly Uncomfortable</cx:v>
            </cx:txData>
          </cx:tx>
          <cx:spPr>
            <a:solidFill>
              <a:schemeClr val="bg2">
                <a:lumMod val="50000"/>
              </a:schemeClr>
            </a:solidFill>
            <a:ln>
              <a:solidFill>
                <a:schemeClr val="tx1"/>
              </a:solidFill>
            </a:ln>
          </cx:spPr>
          <cx:dataId val="2"/>
          <cx:layoutPr>
            <cx:visibility meanMarker="1" nonoutliers="0" outliers="1"/>
            <cx:statistics quartileMethod="exclusive"/>
          </cx:layoutPr>
        </cx:series>
        <cx:series layoutId="boxWhisker" uniqueId="{00000003-D977-474A-92A5-5A879DFC7D30}">
          <cx:tx>
            <cx:txData>
              <cx:f/>
              <cx:v>Focus UK Mildly Uncomfortable</cx:v>
            </cx:txData>
          </cx:tx>
          <cx:spPr>
            <a:solidFill>
              <a:schemeClr val="bg2">
                <a:lumMod val="50000"/>
              </a:schemeClr>
            </a:solidFill>
            <a:ln>
              <a:solidFill>
                <a:schemeClr val="tx1"/>
              </a:solidFill>
            </a:ln>
          </cx:spPr>
          <cx:dataId val="3"/>
          <cx:layoutPr>
            <cx:visibility nonoutliers="0"/>
            <cx:statistics quartileMethod="exclusive"/>
          </cx:layoutPr>
        </cx:series>
        <cx:series layoutId="boxWhisker" uniqueId="{00000004-D977-474A-92A5-5A879DFC7D30}">
          <cx:tx>
            <cx:txData>
              <cx:f/>
              <cx:v>Control GR Just Audible</cx:v>
            </cx:txData>
          </cx:tx>
          <cx:spPr>
            <a:pattFill prst="wdUpDiag">
              <a:fgClr>
                <a:schemeClr val="bg2">
                  <a:lumMod val="50000"/>
                </a:schemeClr>
              </a:fgClr>
              <a:bgClr>
                <a:schemeClr val="bg1"/>
              </a:bgClr>
            </a:pattFill>
            <a:ln>
              <a:solidFill>
                <a:schemeClr val="tx1"/>
              </a:solidFill>
            </a:ln>
          </cx:spPr>
          <cx:dataId val="4"/>
          <cx:layoutPr>
            <cx:visibility nonoutliers="0"/>
            <cx:statistics quartileMethod="exclusive"/>
          </cx:layoutPr>
        </cx:series>
        <cx:series layoutId="boxWhisker" uniqueId="{00000005-D977-474A-92A5-5A879DFC7D30}">
          <cx:tx>
            <cx:txData>
              <cx:f/>
              <cx:v>Control UK Just Audible</cx:v>
            </cx:txData>
          </cx:tx>
          <cx:spPr>
            <a:pattFill prst="wdUpDiag">
              <a:fgClr>
                <a:schemeClr val="bg2">
                  <a:lumMod val="50000"/>
                </a:schemeClr>
              </a:fgClr>
              <a:bgClr>
                <a:schemeClr val="bg1"/>
              </a:bgClr>
            </a:pattFill>
            <a:ln>
              <a:solidFill>
                <a:schemeClr val="tx1"/>
              </a:solidFill>
            </a:ln>
          </cx:spPr>
          <cx:dataId val="5"/>
          <cx:layoutPr>
            <cx:visibility nonoutliers="0"/>
            <cx:statistics quartileMethod="exclusive"/>
          </cx:layoutPr>
        </cx:series>
        <cx:series layoutId="boxWhisker" uniqueId="{00000006-D977-474A-92A5-5A879DFC7D30}">
          <cx:tx>
            <cx:txData>
              <cx:f/>
              <cx:v>Control GR Mildly Uncomfortable</cx:v>
            </cx:txData>
          </cx:tx>
          <cx:spPr>
            <a:solidFill>
              <a:schemeClr val="bg2">
                <a:lumMod val="50000"/>
              </a:schemeClr>
            </a:solidFill>
            <a:ln>
              <a:solidFill>
                <a:schemeClr val="tx1"/>
              </a:solidFill>
            </a:ln>
          </cx:spPr>
          <cx:dataId val="6"/>
          <cx:layoutPr>
            <cx:visibility nonoutliers="0"/>
            <cx:statistics quartileMethod="exclusive"/>
          </cx:layoutPr>
        </cx:series>
        <cx:series layoutId="boxWhisker" uniqueId="{00000007-D977-474A-92A5-5A879DFC7D30}">
          <cx:tx>
            <cx:txData>
              <cx:f/>
              <cx:v>Control UK Mildly Uncomfortable</cx:v>
            </cx:txData>
          </cx:tx>
          <cx:spPr>
            <a:solidFill>
              <a:schemeClr val="bg2">
                <a:lumMod val="50000"/>
              </a:schemeClr>
            </a:solidFill>
            <a:ln>
              <a:solidFill>
                <a:schemeClr val="tx1"/>
              </a:solidFill>
            </a:ln>
          </cx:spPr>
          <cx:dataId val="7"/>
          <cx:layoutPr>
            <cx:visibility nonoutliers="0"/>
            <cx:statistics quartileMethod="exclusive"/>
          </cx:layoutPr>
        </cx:series>
      </cx:plotAreaRegion>
      <cx:axis id="0" hidden="1">
        <cx:catScaling gapWidth="0.100000001"/>
        <cx:tickLabels/>
      </cx:axis>
      <cx:axis id="1">
        <cx:valScaling/>
        <cx:title>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Slider</a:t>
                </a:r>
                <a:r>
                  <a:rPr lang="en-US" sz="12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Calibri" panose="020F0502020204030204"/>
                  </a:rPr>
                  <a:t>Positions</a:t>
                </a:r>
                <a:endParaRPr lang="en-US" sz="12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158750</xdr:colOff>
      <xdr:row>2</xdr:row>
      <xdr:rowOff>136072</xdr:rowOff>
    </xdr:from>
    <xdr:to>
      <xdr:col>19</xdr:col>
      <xdr:colOff>520700</xdr:colOff>
      <xdr:row>23</xdr:row>
      <xdr:rowOff>31751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D96796-3580-4F0D-ADCC-01069A3F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19150" y="504372"/>
              <a:ext cx="5848350" cy="376282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xdr:row>
      <xdr:rowOff>1</xdr:rowOff>
    </xdr:from>
    <xdr:to>
      <xdr:col>12</xdr:col>
      <xdr:colOff>241300</xdr:colOff>
      <xdr:row>6</xdr:row>
      <xdr:rowOff>30283</xdr:rowOff>
    </xdr:to>
    <xdr:sp macro="" textlink="">
      <xdr:nvSpPr>
        <xdr:cNvPr id="12" name="Rectangle 11">
          <a:extLst>
            <a:ext uri="{FF2B5EF4-FFF2-40B4-BE49-F238E27FC236}">
              <a16:creationId xmlns:a16="http://schemas.microsoft.com/office/drawing/2014/main" id="{FAAC1CAC-93F2-4844-9A3A-42D499C242D5}"/>
            </a:ext>
          </a:extLst>
        </xdr:cNvPr>
        <xdr:cNvSpPr/>
      </xdr:nvSpPr>
      <xdr:spPr>
        <a:xfrm>
          <a:off x="14579600" y="920751"/>
          <a:ext cx="241300" cy="214432"/>
        </a:xfrm>
        <a:prstGeom prst="rect">
          <a:avLst/>
        </a:prstGeom>
        <a:pattFill prst="wdUpDiag">
          <a:fgClr>
            <a:schemeClr val="tx1">
              <a:lumMod val="50000"/>
              <a:lumOff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190500</xdr:colOff>
      <xdr:row>6</xdr:row>
      <xdr:rowOff>76200</xdr:rowOff>
    </xdr:from>
    <xdr:ext cx="184731" cy="241457"/>
    <xdr:sp macro="" textlink="">
      <xdr:nvSpPr>
        <xdr:cNvPr id="14" name="TextBox 13">
          <a:extLst>
            <a:ext uri="{FF2B5EF4-FFF2-40B4-BE49-F238E27FC236}">
              <a16:creationId xmlns:a16="http://schemas.microsoft.com/office/drawing/2014/main" id="{7B6840AC-847E-4D0A-8742-0B617ACC972F}"/>
            </a:ext>
          </a:extLst>
        </xdr:cNvPr>
        <xdr:cNvSpPr txBox="1"/>
      </xdr:nvSpPr>
      <xdr:spPr>
        <a:xfrm>
          <a:off x="14770100" y="1181100"/>
          <a:ext cx="184731" cy="24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12</xdr:col>
      <xdr:colOff>298450</xdr:colOff>
      <xdr:row>5</xdr:row>
      <xdr:rowOff>1</xdr:rowOff>
    </xdr:from>
    <xdr:to>
      <xdr:col>14</xdr:col>
      <xdr:colOff>412750</xdr:colOff>
      <xdr:row>6</xdr:row>
      <xdr:rowOff>30283</xdr:rowOff>
    </xdr:to>
    <xdr:sp macro="" textlink="">
      <xdr:nvSpPr>
        <xdr:cNvPr id="15" name="TextBox 14">
          <a:extLst>
            <a:ext uri="{FF2B5EF4-FFF2-40B4-BE49-F238E27FC236}">
              <a16:creationId xmlns:a16="http://schemas.microsoft.com/office/drawing/2014/main" id="{7BEFE1CD-D771-411E-8539-0367FC835EED}"/>
            </a:ext>
          </a:extLst>
        </xdr:cNvPr>
        <xdr:cNvSpPr txBox="1"/>
      </xdr:nvSpPr>
      <xdr:spPr>
        <a:xfrm>
          <a:off x="14878050" y="920751"/>
          <a:ext cx="1333500" cy="21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Just</a:t>
          </a:r>
          <a:r>
            <a:rPr lang="en-GB" sz="1100" baseline="0"/>
            <a:t> Audible Level</a:t>
          </a:r>
          <a:endParaRPr lang="en-GB" sz="1100"/>
        </a:p>
      </xdr:txBody>
    </xdr:sp>
    <xdr:clientData/>
  </xdr:twoCellAnchor>
  <xdr:twoCellAnchor>
    <xdr:from>
      <xdr:col>16</xdr:col>
      <xdr:colOff>63500</xdr:colOff>
      <xdr:row>5</xdr:row>
      <xdr:rowOff>0</xdr:rowOff>
    </xdr:from>
    <xdr:to>
      <xdr:col>19</xdr:col>
      <xdr:colOff>133350</xdr:colOff>
      <xdr:row>6</xdr:row>
      <xdr:rowOff>41873</xdr:rowOff>
    </xdr:to>
    <xdr:sp macro="" textlink="">
      <xdr:nvSpPr>
        <xdr:cNvPr id="16" name="TextBox 15">
          <a:extLst>
            <a:ext uri="{FF2B5EF4-FFF2-40B4-BE49-F238E27FC236}">
              <a16:creationId xmlns:a16="http://schemas.microsoft.com/office/drawing/2014/main" id="{FB0C157C-60BA-47F5-9132-F33A859E4782}"/>
            </a:ext>
          </a:extLst>
        </xdr:cNvPr>
        <xdr:cNvSpPr txBox="1"/>
      </xdr:nvSpPr>
      <xdr:spPr>
        <a:xfrm>
          <a:off x="17081500" y="920750"/>
          <a:ext cx="1898650" cy="22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Mildly </a:t>
          </a:r>
          <a:r>
            <a:rPr lang="en-GB" sz="1100" baseline="0"/>
            <a:t> Uncomfortable Level</a:t>
          </a:r>
          <a:endParaRPr lang="en-GB" sz="1100"/>
        </a:p>
      </xdr:txBody>
    </xdr:sp>
    <xdr:clientData/>
  </xdr:twoCellAnchor>
  <xdr:twoCellAnchor>
    <xdr:from>
      <xdr:col>15</xdr:col>
      <xdr:colOff>368300</xdr:colOff>
      <xdr:row>5</xdr:row>
      <xdr:rowOff>1</xdr:rowOff>
    </xdr:from>
    <xdr:to>
      <xdr:col>16</xdr:col>
      <xdr:colOff>0</xdr:colOff>
      <xdr:row>6</xdr:row>
      <xdr:rowOff>30283</xdr:rowOff>
    </xdr:to>
    <xdr:sp macro="" textlink="">
      <xdr:nvSpPr>
        <xdr:cNvPr id="18" name="Rectangle 17">
          <a:extLst>
            <a:ext uri="{FF2B5EF4-FFF2-40B4-BE49-F238E27FC236}">
              <a16:creationId xmlns:a16="http://schemas.microsoft.com/office/drawing/2014/main" id="{15ED4D7C-2948-4E68-B623-272214A73018}"/>
            </a:ext>
          </a:extLst>
        </xdr:cNvPr>
        <xdr:cNvSpPr/>
      </xdr:nvSpPr>
      <xdr:spPr>
        <a:xfrm>
          <a:off x="16776700" y="920751"/>
          <a:ext cx="241300" cy="214432"/>
        </a:xfrm>
        <a:prstGeom prst="rect">
          <a:avLst/>
        </a:prstGeom>
        <a:solidFill>
          <a:schemeClr val="bg2">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361951</xdr:colOff>
      <xdr:row>15</xdr:row>
      <xdr:rowOff>158749</xdr:rowOff>
    </xdr:from>
    <xdr:to>
      <xdr:col>12</xdr:col>
      <xdr:colOff>209553</xdr:colOff>
      <xdr:row>22</xdr:row>
      <xdr:rowOff>44449</xdr:rowOff>
    </xdr:to>
    <xdr:sp macro="" textlink="">
      <xdr:nvSpPr>
        <xdr:cNvPr id="19" name="TextBox 18">
          <a:extLst>
            <a:ext uri="{FF2B5EF4-FFF2-40B4-BE49-F238E27FC236}">
              <a16:creationId xmlns:a16="http://schemas.microsoft.com/office/drawing/2014/main" id="{B0B86E96-298F-4520-BDF3-B8255CCF1DF6}"/>
            </a:ext>
          </a:extLst>
        </xdr:cNvPr>
        <xdr:cNvSpPr txBox="1"/>
      </xdr:nvSpPr>
      <xdr:spPr>
        <a:xfrm rot="16200000">
          <a:off x="13973177" y="32797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12</xdr:col>
      <xdr:colOff>393700</xdr:colOff>
      <xdr:row>18</xdr:row>
      <xdr:rowOff>107950</xdr:rowOff>
    </xdr:from>
    <xdr:to>
      <xdr:col>13</xdr:col>
      <xdr:colOff>241302</xdr:colOff>
      <xdr:row>22</xdr:row>
      <xdr:rowOff>146050</xdr:rowOff>
    </xdr:to>
    <xdr:sp macro="" textlink="">
      <xdr:nvSpPr>
        <xdr:cNvPr id="27" name="TextBox 26">
          <a:extLst>
            <a:ext uri="{FF2B5EF4-FFF2-40B4-BE49-F238E27FC236}">
              <a16:creationId xmlns:a16="http://schemas.microsoft.com/office/drawing/2014/main" id="{6241C29D-BE5F-4949-A6D0-C967D16C10F3}"/>
            </a:ext>
          </a:extLst>
        </xdr:cNvPr>
        <xdr:cNvSpPr txBox="1"/>
      </xdr:nvSpPr>
      <xdr:spPr>
        <a:xfrm rot="16200000">
          <a:off x="14814551" y="35813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13</xdr:col>
      <xdr:colOff>410029</xdr:colOff>
      <xdr:row>12</xdr:row>
      <xdr:rowOff>51707</xdr:rowOff>
    </xdr:from>
    <xdr:to>
      <xdr:col>14</xdr:col>
      <xdr:colOff>257631</xdr:colOff>
      <xdr:row>18</xdr:row>
      <xdr:rowOff>118836</xdr:rowOff>
    </xdr:to>
    <xdr:sp macro="" textlink="">
      <xdr:nvSpPr>
        <xdr:cNvPr id="28" name="TextBox 27">
          <a:extLst>
            <a:ext uri="{FF2B5EF4-FFF2-40B4-BE49-F238E27FC236}">
              <a16:creationId xmlns:a16="http://schemas.microsoft.com/office/drawing/2014/main" id="{2A3A6580-54DB-4D78-8727-E4AD293DFC39}"/>
            </a:ext>
          </a:extLst>
        </xdr:cNvPr>
        <xdr:cNvSpPr txBox="1"/>
      </xdr:nvSpPr>
      <xdr:spPr>
        <a:xfrm rot="16200000">
          <a:off x="15279462" y="2576738"/>
          <a:ext cx="1155700" cy="459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14</xdr:col>
      <xdr:colOff>355600</xdr:colOff>
      <xdr:row>16</xdr:row>
      <xdr:rowOff>0</xdr:rowOff>
    </xdr:from>
    <xdr:to>
      <xdr:col>15</xdr:col>
      <xdr:colOff>203202</xdr:colOff>
      <xdr:row>20</xdr:row>
      <xdr:rowOff>38100</xdr:rowOff>
    </xdr:to>
    <xdr:sp macro="" textlink="">
      <xdr:nvSpPr>
        <xdr:cNvPr id="29" name="TextBox 28">
          <a:extLst>
            <a:ext uri="{FF2B5EF4-FFF2-40B4-BE49-F238E27FC236}">
              <a16:creationId xmlns:a16="http://schemas.microsoft.com/office/drawing/2014/main" id="{7F2D68E4-39EB-4A8F-87A4-E801CEDC60D7}"/>
            </a:ext>
          </a:extLst>
        </xdr:cNvPr>
        <xdr:cNvSpPr txBox="1"/>
      </xdr:nvSpPr>
      <xdr:spPr>
        <a:xfrm rot="16200000">
          <a:off x="15995651" y="31051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15</xdr:col>
      <xdr:colOff>323851</xdr:colOff>
      <xdr:row>15</xdr:row>
      <xdr:rowOff>143781</xdr:rowOff>
    </xdr:from>
    <xdr:to>
      <xdr:col>16</xdr:col>
      <xdr:colOff>171453</xdr:colOff>
      <xdr:row>22</xdr:row>
      <xdr:rowOff>32203</xdr:rowOff>
    </xdr:to>
    <xdr:sp macro="" textlink="">
      <xdr:nvSpPr>
        <xdr:cNvPr id="30" name="TextBox 29">
          <a:extLst>
            <a:ext uri="{FF2B5EF4-FFF2-40B4-BE49-F238E27FC236}">
              <a16:creationId xmlns:a16="http://schemas.microsoft.com/office/drawing/2014/main" id="{A9C6AB32-4986-484B-83C3-7E84BFCBDAE7}"/>
            </a:ext>
          </a:extLst>
        </xdr:cNvPr>
        <xdr:cNvSpPr txBox="1"/>
      </xdr:nvSpPr>
      <xdr:spPr>
        <a:xfrm rot="16200000">
          <a:off x="16416566" y="3214459"/>
          <a:ext cx="1158422" cy="459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17</xdr:col>
      <xdr:colOff>298451</xdr:colOff>
      <xdr:row>12</xdr:row>
      <xdr:rowOff>50799</xdr:rowOff>
    </xdr:from>
    <xdr:to>
      <xdr:col>18</xdr:col>
      <xdr:colOff>146053</xdr:colOff>
      <xdr:row>18</xdr:row>
      <xdr:rowOff>120649</xdr:rowOff>
    </xdr:to>
    <xdr:sp macro="" textlink="">
      <xdr:nvSpPr>
        <xdr:cNvPr id="31" name="TextBox 30">
          <a:extLst>
            <a:ext uri="{FF2B5EF4-FFF2-40B4-BE49-F238E27FC236}">
              <a16:creationId xmlns:a16="http://schemas.microsoft.com/office/drawing/2014/main" id="{940790C8-635F-4BF6-9193-8282F14D6F6C}"/>
            </a:ext>
          </a:extLst>
        </xdr:cNvPr>
        <xdr:cNvSpPr txBox="1"/>
      </xdr:nvSpPr>
      <xdr:spPr>
        <a:xfrm rot="16200000">
          <a:off x="17567277" y="26193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16</xdr:col>
      <xdr:colOff>336550</xdr:colOff>
      <xdr:row>18</xdr:row>
      <xdr:rowOff>88900</xdr:rowOff>
    </xdr:from>
    <xdr:to>
      <xdr:col>17</xdr:col>
      <xdr:colOff>184152</xdr:colOff>
      <xdr:row>22</xdr:row>
      <xdr:rowOff>127000</xdr:rowOff>
    </xdr:to>
    <xdr:sp macro="" textlink="">
      <xdr:nvSpPr>
        <xdr:cNvPr id="32" name="TextBox 31">
          <a:extLst>
            <a:ext uri="{FF2B5EF4-FFF2-40B4-BE49-F238E27FC236}">
              <a16:creationId xmlns:a16="http://schemas.microsoft.com/office/drawing/2014/main" id="{DDAD70F5-03C5-472A-8A02-ED796386F5ED}"/>
            </a:ext>
          </a:extLst>
        </xdr:cNvPr>
        <xdr:cNvSpPr txBox="1"/>
      </xdr:nvSpPr>
      <xdr:spPr>
        <a:xfrm rot="16200000">
          <a:off x="17195801" y="35623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xdr:from>
      <xdr:col>18</xdr:col>
      <xdr:colOff>273050</xdr:colOff>
      <xdr:row>14</xdr:row>
      <xdr:rowOff>31750</xdr:rowOff>
    </xdr:from>
    <xdr:to>
      <xdr:col>19</xdr:col>
      <xdr:colOff>120652</xdr:colOff>
      <xdr:row>18</xdr:row>
      <xdr:rowOff>69850</xdr:rowOff>
    </xdr:to>
    <xdr:sp macro="" textlink="">
      <xdr:nvSpPr>
        <xdr:cNvPr id="33" name="TextBox 32">
          <a:extLst>
            <a:ext uri="{FF2B5EF4-FFF2-40B4-BE49-F238E27FC236}">
              <a16:creationId xmlns:a16="http://schemas.microsoft.com/office/drawing/2014/main" id="{4186C189-C409-4AFE-BCA7-E3EEAFC70D38}"/>
            </a:ext>
          </a:extLst>
        </xdr:cNvPr>
        <xdr:cNvSpPr txBox="1"/>
      </xdr:nvSpPr>
      <xdr:spPr>
        <a:xfrm rot="16200000">
          <a:off x="18351501" y="27685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962025</xdr:colOff>
      <xdr:row>1</xdr:row>
      <xdr:rowOff>47625</xdr:rowOff>
    </xdr:from>
    <xdr:to>
      <xdr:col>10</xdr:col>
      <xdr:colOff>288925</xdr:colOff>
      <xdr:row>16</xdr:row>
      <xdr:rowOff>28575</xdr:rowOff>
    </xdr:to>
    <xdr:graphicFrame macro="">
      <xdr:nvGraphicFramePr>
        <xdr:cNvPr id="3" name="Chart 2">
          <a:extLst>
            <a:ext uri="{FF2B5EF4-FFF2-40B4-BE49-F238E27FC236}">
              <a16:creationId xmlns:a16="http://schemas.microsoft.com/office/drawing/2014/main" id="{2E6FD5C3-DE51-4BD2-B367-11F3BE9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79375</xdr:colOff>
      <xdr:row>1</xdr:row>
      <xdr:rowOff>22225</xdr:rowOff>
    </xdr:from>
    <xdr:to>
      <xdr:col>17</xdr:col>
      <xdr:colOff>384175</xdr:colOff>
      <xdr:row>15</xdr:row>
      <xdr:rowOff>193675</xdr:rowOff>
    </xdr:to>
    <xdr:graphicFrame macro="">
      <xdr:nvGraphicFramePr>
        <xdr:cNvPr id="3" name="Chart 2">
          <a:extLst>
            <a:ext uri="{FF2B5EF4-FFF2-40B4-BE49-F238E27FC236}">
              <a16:creationId xmlns:a16="http://schemas.microsoft.com/office/drawing/2014/main" id="{BA9AE7F7-DC59-41A7-BAB7-4370C42BD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400050</xdr:colOff>
      <xdr:row>11</xdr:row>
      <xdr:rowOff>82550</xdr:rowOff>
    </xdr:from>
    <xdr:ext cx="3683000" cy="264560"/>
    <xdr:sp macro="" textlink="">
      <xdr:nvSpPr>
        <xdr:cNvPr id="2" name="TextBox 1">
          <a:extLst>
            <a:ext uri="{FF2B5EF4-FFF2-40B4-BE49-F238E27FC236}">
              <a16:creationId xmlns:a16="http://schemas.microsoft.com/office/drawing/2014/main" id="{10D7639D-BF86-47D0-9934-E86B839B0D75}"/>
            </a:ext>
          </a:extLst>
        </xdr:cNvPr>
        <xdr:cNvSpPr txBox="1"/>
      </xdr:nvSpPr>
      <xdr:spPr>
        <a:xfrm>
          <a:off x="9759950" y="2216150"/>
          <a:ext cx="368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       *      *        *       *       *      *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0.10486</cdr:x>
      <cdr:y>0.68559</cdr:y>
    </cdr:from>
    <cdr:to>
      <cdr:x>0.95903</cdr:x>
      <cdr:y>1</cdr:y>
    </cdr:to>
    <cdr:sp macro="" textlink="">
      <cdr:nvSpPr>
        <cdr:cNvPr id="2" name="TextBox 1">
          <a:extLst xmlns:a="http://schemas.openxmlformats.org/drawingml/2006/main">
            <a:ext uri="{FF2B5EF4-FFF2-40B4-BE49-F238E27FC236}">
              <a16:creationId xmlns:a16="http://schemas.microsoft.com/office/drawing/2014/main" id="{70DA9D69-122B-4F3E-BBD9-B914AC35C414}"/>
            </a:ext>
          </a:extLst>
        </cdr:cNvPr>
        <cdr:cNvSpPr txBox="1"/>
      </cdr:nvSpPr>
      <cdr:spPr>
        <a:xfrm xmlns:a="http://schemas.openxmlformats.org/drawingml/2006/main">
          <a:off x="479425" y="1993900"/>
          <a:ext cx="39052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0.05069</cdr:x>
      <cdr:y>0.66812</cdr:y>
    </cdr:from>
    <cdr:to>
      <cdr:x>0.90486</cdr:x>
      <cdr:y>0.76965</cdr:y>
    </cdr:to>
    <cdr:sp macro="" textlink="">
      <cdr:nvSpPr>
        <cdr:cNvPr id="3" name="TextBox 2">
          <a:extLst xmlns:a="http://schemas.openxmlformats.org/drawingml/2006/main">
            <a:ext uri="{FF2B5EF4-FFF2-40B4-BE49-F238E27FC236}">
              <a16:creationId xmlns:a16="http://schemas.microsoft.com/office/drawing/2014/main" id="{A96EA832-789C-40E5-9AA0-3F195E74BFF8}"/>
            </a:ext>
          </a:extLst>
        </cdr:cNvPr>
        <cdr:cNvSpPr txBox="1"/>
      </cdr:nvSpPr>
      <cdr:spPr>
        <a:xfrm xmlns:a="http://schemas.openxmlformats.org/drawingml/2006/main">
          <a:off x="231755" y="1943093"/>
          <a:ext cx="3905265" cy="2952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473075</xdr:colOff>
      <xdr:row>3</xdr:row>
      <xdr:rowOff>6350</xdr:rowOff>
    </xdr:from>
    <xdr:to>
      <xdr:col>16</xdr:col>
      <xdr:colOff>168275</xdr:colOff>
      <xdr:row>17</xdr:row>
      <xdr:rowOff>165100</xdr:rowOff>
    </xdr:to>
    <xdr:graphicFrame macro="">
      <xdr:nvGraphicFramePr>
        <xdr:cNvPr id="2" name="Chart 1">
          <a:extLst>
            <a:ext uri="{FF2B5EF4-FFF2-40B4-BE49-F238E27FC236}">
              <a16:creationId xmlns:a16="http://schemas.microsoft.com/office/drawing/2014/main" id="{C54BB78B-8841-F638-83F8-605DCA592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568325</xdr:colOff>
      <xdr:row>4</xdr:row>
      <xdr:rowOff>168275</xdr:rowOff>
    </xdr:from>
    <xdr:to>
      <xdr:col>14</xdr:col>
      <xdr:colOff>263525</xdr:colOff>
      <xdr:row>19</xdr:row>
      <xdr:rowOff>142875</xdr:rowOff>
    </xdr:to>
    <xdr:graphicFrame macro="">
      <xdr:nvGraphicFramePr>
        <xdr:cNvPr id="3" name="Chart 2">
          <a:extLst>
            <a:ext uri="{FF2B5EF4-FFF2-40B4-BE49-F238E27FC236}">
              <a16:creationId xmlns:a16="http://schemas.microsoft.com/office/drawing/2014/main" id="{38E25DBD-844A-4F61-9C54-18D9568F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600075</xdr:colOff>
      <xdr:row>3</xdr:row>
      <xdr:rowOff>136525</xdr:rowOff>
    </xdr:from>
    <xdr:to>
      <xdr:col>15</xdr:col>
      <xdr:colOff>295275</xdr:colOff>
      <xdr:row>18</xdr:row>
      <xdr:rowOff>117475</xdr:rowOff>
    </xdr:to>
    <xdr:graphicFrame macro="">
      <xdr:nvGraphicFramePr>
        <xdr:cNvPr id="2" name="Chart 1">
          <a:extLst>
            <a:ext uri="{FF2B5EF4-FFF2-40B4-BE49-F238E27FC236}">
              <a16:creationId xmlns:a16="http://schemas.microsoft.com/office/drawing/2014/main" id="{070C9A96-FE73-4B87-BE3E-C0A530F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454025</xdr:colOff>
      <xdr:row>2</xdr:row>
      <xdr:rowOff>142875</xdr:rowOff>
    </xdr:from>
    <xdr:to>
      <xdr:col>15</xdr:col>
      <xdr:colOff>149225</xdr:colOff>
      <xdr:row>17</xdr:row>
      <xdr:rowOff>117475</xdr:rowOff>
    </xdr:to>
    <xdr:graphicFrame macro="">
      <xdr:nvGraphicFramePr>
        <xdr:cNvPr id="3" name="Chart 2">
          <a:extLst>
            <a:ext uri="{FF2B5EF4-FFF2-40B4-BE49-F238E27FC236}">
              <a16:creationId xmlns:a16="http://schemas.microsoft.com/office/drawing/2014/main" id="{B4AA192D-6CD8-4AA2-9108-23D4B1DA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466725</xdr:colOff>
      <xdr:row>2</xdr:row>
      <xdr:rowOff>60325</xdr:rowOff>
    </xdr:from>
    <xdr:to>
      <xdr:col>11</xdr:col>
      <xdr:colOff>542925</xdr:colOff>
      <xdr:row>18</xdr:row>
      <xdr:rowOff>41275</xdr:rowOff>
    </xdr:to>
    <xdr:graphicFrame macro="">
      <xdr:nvGraphicFramePr>
        <xdr:cNvPr id="2" name="Chart 1">
          <a:extLst>
            <a:ext uri="{FF2B5EF4-FFF2-40B4-BE49-F238E27FC236}">
              <a16:creationId xmlns:a16="http://schemas.microsoft.com/office/drawing/2014/main" id="{88DA9042-5CA5-4DF1-A67B-8A6BC4A6F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273050</xdr:colOff>
      <xdr:row>13</xdr:row>
      <xdr:rowOff>82550</xdr:rowOff>
    </xdr:from>
    <xdr:ext cx="3790950" cy="264560"/>
    <xdr:sp macro="" textlink="">
      <xdr:nvSpPr>
        <xdr:cNvPr id="3" name="TextBox 2">
          <a:extLst>
            <a:ext uri="{FF2B5EF4-FFF2-40B4-BE49-F238E27FC236}">
              <a16:creationId xmlns:a16="http://schemas.microsoft.com/office/drawing/2014/main" id="{9FA82C48-2DC8-4718-BA02-31566DD3FDC8}"/>
            </a:ext>
          </a:extLst>
        </xdr:cNvPr>
        <xdr:cNvSpPr txBox="1"/>
      </xdr:nvSpPr>
      <xdr:spPr>
        <a:xfrm>
          <a:off x="4337050" y="24765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a:t>
          </a:r>
          <a:r>
            <a:rPr lang="en-GB" sz="1100" baseline="0"/>
            <a:t> </a:t>
          </a:r>
          <a:r>
            <a:rPr lang="en-GB" sz="1100"/>
            <a:t>*       *                *       *                * </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6</xdr:col>
      <xdr:colOff>552450</xdr:colOff>
      <xdr:row>2</xdr:row>
      <xdr:rowOff>142875</xdr:rowOff>
    </xdr:from>
    <xdr:to>
      <xdr:col>14</xdr:col>
      <xdr:colOff>292100</xdr:colOff>
      <xdr:row>19</xdr:row>
      <xdr:rowOff>139700</xdr:rowOff>
    </xdr:to>
    <xdr:graphicFrame macro="">
      <xdr:nvGraphicFramePr>
        <xdr:cNvPr id="2" name="Chart 1">
          <a:extLst>
            <a:ext uri="{FF2B5EF4-FFF2-40B4-BE49-F238E27FC236}">
              <a16:creationId xmlns:a16="http://schemas.microsoft.com/office/drawing/2014/main" id="{6130BF54-6DDB-462D-8AE1-B2F6A027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F8F9CF-B420-4E0B-AF14-57CA945D0E55}"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59E36A2-B56B-40B5-B960-4C7C36F57519}"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1205D3B-5EC2-4C4E-850F-7A163E3D5E2C}" autoFormatId="16" applyNumberFormats="0" applyBorderFormats="0" applyFontFormats="0" applyPatternFormats="0" applyAlignmentFormats="0" applyWidthHeightFormats="0">
  <queryTableRefresh nextId="107">
    <queryTableFields count="10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D50CB8-649B-4A24-93B3-10A3DF42879D}" name="hearingSurveys_20210309160307_UK_final" displayName="hearingSurveys_20210309160307_UK_final" ref="A1:DH56" tableType="queryTable" totalsRowShown="0" headerRowDxfId="797">
  <autoFilter ref="A1:DH56" xr:uid="{EDEB4B2E-2150-475B-AAF3-9A760AF9D4DF}"/>
  <tableColumns count="112">
    <tableColumn id="1" xr3:uid="{69014D1A-CC81-4865-82F0-EFDE10BEF1C3}" uniqueName="1" name="Name" queryTableFieldId="1" dataDxfId="796"/>
    <tableColumn id="2" xr3:uid="{0F9E2DD1-A09E-46B7-BD77-EC2617BB0D29}" uniqueName="2" name="Date" queryTableFieldId="2" dataDxfId="795"/>
    <tableColumn id="3" xr3:uid="{835543C6-7C13-4BC1-AD09-47DE9068DA54}" uniqueName="3" name="Before you proceed follow the link below to view and download the participant information sheet. Please take the time to review the information carefully, you may keep a copy of the document for your records. \_x000a_Click on the link to read the  document: [Li" queryTableFieldId="3" dataDxfId="794"/>
    <tableColumn id="4" xr3:uid="{9F85238C-0208-4E2B-9E00-C1F1925E8546}" uniqueName="4" name="Time (s)" queryTableFieldId="4" dataDxfId="793"/>
    <tableColumn id="5" xr3:uid="{434D7413-9EBC-4D28-B028-5F1E5E7D10EB}" uniqueName="5" name="**Title of Research Study:** Investigation of frequency-specific loudness discomfort levels, in listeners with migraine-related hypersensitivity to sound. _x000a__x000a_**Principal Investigator:** Joshua D.Reiss \_x000a_**Queen Mary Ethics of Research Committee Ref**: QMER" queryTableFieldId="5" dataDxfId="792"/>
    <tableColumn id="6" xr3:uid="{881134C5-4576-4AEA-9FE2-DE363AEE1F1B}" uniqueName="6" name="Time (s)2" queryTableFieldId="6" dataDxfId="791"/>
    <tableColumn id="7" xr3:uid="{B360A3C2-5D8B-4702-8220-B57909D1A8BB}" uniqueName="7" name="Are you 18 years old or older? (**Notice**: *this study is targeted towards participants over 18, if you are less than 18 years old, thank you for your interest but you are not eligible for this study*)" queryTableFieldId="7" dataDxfId="790"/>
    <tableColumn id="8" xr3:uid="{415878A6-80A5-4DFF-8814-681BC5CB87B3}" uniqueName="8" name="Time (s)3" queryTableFieldId="8" dataDxfId="789"/>
    <tableColumn id="9" xr3:uid="{B1018CEA-8E4C-4096-A00E-0352A0180CFE}" uniqueName="9" name=" Have you ever been diagnosed with or experience any form of hearing loss? (**Notice**: *This study is targeted towards participants with **no** prior diagnosis or experience of hearing loss, if you are experiencing hearing loss thank you for your interes" queryTableFieldId="9" dataDxfId="788"/>
    <tableColumn id="10" xr3:uid="{EF795B49-AA9E-465D-A9EF-91EE0BEFE967}" uniqueName="10" name="Time (s)4" queryTableFieldId="10" dataDxfId="787"/>
    <tableColumn id="11" xr3:uid="{A1FAFC2C-054E-4952-99A2-4F59F0EF3627}" uniqueName="11" name="Enter your email in the box below (please make sure you write down the same email both times):  " queryTableFieldId="11" dataDxfId="786"/>
    <tableColumn id="12" xr3:uid="{072098D5-8B8F-4BAE-B6A6-CB042E00F786}" uniqueName="12" name="Time (s)5" queryTableFieldId="12" dataDxfId="785"/>
    <tableColumn id="13" xr3:uid="{2B52F3B7-3319-404C-B2DA-FE2FA27B9CDE}" uniqueName="13" name="Please select your age group:" queryTableFieldId="13" dataDxfId="784"/>
    <tableColumn id="14" xr3:uid="{5D5E4B0E-BE6D-4684-B6DB-1B827D52DF90}" uniqueName="14" name="Time (s)6" queryTableFieldId="14" dataDxfId="783"/>
    <tableColumn id="15" xr3:uid="{B12465E3-F90A-4894-BE33-9E3DBC139409}" uniqueName="15" name="Please select your sex:" queryTableFieldId="15" dataDxfId="782"/>
    <tableColumn id="16" xr3:uid="{31997004-7AC8-448E-ABD6-E942597CD858}" uniqueName="16" name="Time (s)7" queryTableFieldId="16" dataDxfId="781"/>
    <tableColumn id="17" xr3:uid="{687C7F64-6513-48F6-B4FB-A74E477D8559}" uniqueName="17" name="Is this the first time you are completing this study?" queryTableFieldId="17" dataDxfId="780"/>
    <tableColumn id="18" xr3:uid="{292FCE86-9354-497B-AA5C-9C6456011AA2}" uniqueName="18" name="Time (s)8" queryTableFieldId="18" dataDxfId="779"/>
    <tableColumn id="19" xr3:uid="{F9FC4995-5DC4-490F-900D-D18655022DAF}" uniqueName="19" name="Have you ever been diagnosed with or experience any form of migraine? " queryTableFieldId="19" dataDxfId="778"/>
    <tableColumn id="20" xr3:uid="{EE423484-3606-4355-AC9B-684C6DA9E199}" uniqueName="20" name="Time (s)9" queryTableFieldId="20" dataDxfId="777"/>
    <tableColumn id="21" xr3:uid="{FA37E795-9C3A-421D-9B5C-60DFE58D312A}" uniqueName="21" name="Have you ever received a medical diagnosis for your migraines? " queryTableFieldId="21" dataDxfId="776"/>
    <tableColumn id="22" xr3:uid="{B444955B-C1C7-45CB-8074-5D9033CB379A}" uniqueName="22" name="Time (s)10" queryTableFieldId="22" dataDxfId="775"/>
    <tableColumn id="23" xr3:uid="{E249822F-527F-402B-A4BB-A1429E86CA64}" uniqueName="23" name="Do you receive any medication for your migraine (prophylactic or on symptomatic)? " queryTableFieldId="23" dataDxfId="774"/>
    <tableColumn id="24" xr3:uid="{86CFE912-D797-429C-BD60-DA7F1DCA082F}" uniqueName="24" name="Time (s)11" queryTableFieldId="24" dataDxfId="773"/>
    <tableColumn id="25" xr3:uid="{059A2051-77EC-4858-BB42-A16B06605AD7}" uniqueName="25" name="Please write down the name of the medication you are receiving in the box below. (If not available please write &quot;N/A&quot;)" queryTableFieldId="25" dataDxfId="772"/>
    <tableColumn id="26" xr3:uid="{6CA13AE0-8C60-4A5A-B75E-79BE8F9BC806}" uniqueName="26" name="Time (s)12" queryTableFieldId="26" dataDxfId="771"/>
    <tableColumn id="27" xr3:uid="{E7BDBFC3-37DA-4701-8724-DC1E4A32E490}" uniqueName="27" name="You have reported experiencing and/or being diagnosed with migraines. Does the following statement apply to you? Sounds that others believe are moderately loud are too loud to me. " queryTableFieldId="27" dataDxfId="770"/>
    <tableColumn id="28" xr3:uid="{BE9C6F42-275C-4A9E-BB95-3DA9E62AA63C}" uniqueName="28" name="Time (s)13" queryTableFieldId="28" dataDxfId="769"/>
    <tableColumn id="29" xr3:uid="{358CFC68-2E11-4124-8157-FC3CB5F95AD9}" uniqueName="29" name="How long have you noticed this phenomenon?" queryTableFieldId="29" dataDxfId="768"/>
    <tableColumn id="30" xr3:uid="{65F1489A-A4E8-494D-8FBC-7EAAD410BB08}" uniqueName="30" name="Time (s)14" queryTableFieldId="30" dataDxfId="767"/>
    <tableColumn id="31" xr3:uid="{BCB32AF7-5BCF-49E2-A7BE-BACABF266E0A}" uniqueName="31" name="Which ear(s) seems to be affected by this phenomenon:" queryTableFieldId="31" dataDxfId="766"/>
    <tableColumn id="32" xr3:uid="{4865FCD3-139E-4667-BC1B-5BB7A6F39DD3}" uniqueName="32" name="Time (s)15" queryTableFieldId="32" dataDxfId="765"/>
    <tableColumn id="33" xr3:uid="{A14E4151-0ED8-49F7-BF82-ABE9FDF0457D}" uniqueName="33" name="Does this phenomenon appear to coincide with your migraines? " queryTableFieldId="33" dataDxfId="764"/>
    <tableColumn id="34" xr3:uid="{E4B8AAC1-B4B6-45A0-A8AB-E43CE254E464}" uniqueName="34" name="Time (s)16" queryTableFieldId="34" dataDxfId="763"/>
    <tableColumn id="35" xr3:uid="{106B1274-EA28-48CD-BD9A-B4BD85F8CE59}" uniqueName="35" name="When does this phenomenon occur (select all that apply)" queryTableFieldId="35" dataDxfId="762"/>
    <tableColumn id="36" xr3:uid="{506A4A2C-42CA-4B83-9D77-3A143E7C9276}" uniqueName="36" name="Time (s)17" queryTableFieldId="36" dataDxfId="761"/>
    <tableColumn id="37" xr3:uid="{54AA08ED-98A4-4B93-BA15-7831475BC659}" uniqueName="37" name=" Which of the following sounds or events are often too loud for you (select all that apply)?" queryTableFieldId="37" dataDxfId="760"/>
    <tableColumn id="38" xr3:uid="{C7BDBF5F-3974-4608-94B9-201CC15C8CD5}" uniqueName="38" name="Time (s)18" queryTableFieldId="38" dataDxfId="759"/>
    <tableColumn id="39" xr3:uid="{8668A33E-1B2D-4DA6-AA2D-941E283445A0}" uniqueName="39" name="How often do you experience migraines?" queryTableFieldId="39" dataDxfId="758"/>
    <tableColumn id="40" xr3:uid="{6A25DE19-583E-4BD2-8DB2-34FE82EA8A19}" uniqueName="40" name="Time (s)19" queryTableFieldId="40" dataDxfId="757"/>
    <tableColumn id="41" xr3:uid="{CD70F505-1DF8-457B-97E8-78FB2B09E5E0}" uniqueName="41" name="Rate the severity of your migraines on a scale of 0 to 100." queryTableFieldId="41" dataDxfId="756"/>
    <tableColumn id="42" xr3:uid="{4E852003-42C2-42AF-AE2E-BCC8C026724E}" uniqueName="42" name="Time (s)20" queryTableFieldId="42" dataDxfId="755"/>
    <tableColumn id="43" xr3:uid="{B7D7B6B1-3E23-4D05-93BB-86175FDC4179}" uniqueName="43" name="Are you experiencing a migraine or an aura (*sensory disturbances that happen shortly before a migraine*) right now?" queryTableFieldId="43" dataDxfId="754"/>
    <tableColumn id="44" xr3:uid="{1D5396F1-15F6-41B9-971E-62B903975DFF}" uniqueName="44" name="Time (s)21" queryTableFieldId="44" dataDxfId="753"/>
    <tableColumn id="45" xr3:uid="{BCD571E9-A4CE-4F6C-9C57-2309F8ABDE85}" uniqueName="45" name="Thank you for completing the questionnaire. The next section of this study included the listening test. Please have your headphones ready for use. " queryTableFieldId="45" dataDxfId="752"/>
    <tableColumn id="46" xr3:uid="{950F5661-59C2-46B5-B1D2-13A915F1F491}" uniqueName="46" name="Time (s)22" queryTableFieldId="46" dataDxfId="751"/>
    <tableColumn id="47" xr3:uid="{1E25BBFE-9541-41C2-AE15-B85454F8E642}" uniqueName="47" name="Calibration for hardware volume  " queryTableFieldId="47" dataDxfId="750"/>
    <tableColumn id="48" xr3:uid="{D1E34C86-B624-451A-99EF-7EDEC020572B}" uniqueName="48" name="Time (s)23" queryTableFieldId="48" dataDxfId="749"/>
    <tableColumn id="49" xr3:uid="{326DE30F-E3B3-4D27-B7A5-EF770CAA82FF}" uniqueName="49" name="I confirm that I followed the calibration process as instructed and that the listening levels on my computer are **not** extremely loud or uncomfortable. I confirm that I will **not** perform any further adjustments to the master volume of my computer for" queryTableFieldId="49" dataDxfId="748"/>
    <tableColumn id="50" xr3:uid="{8850E306-7DAE-41D2-8623-50E53787445E}" uniqueName="50" name="Time (s)24" queryTableFieldId="50" dataDxfId="747"/>
    <tableColumn id="51" xr3:uid="{ECE80FDD-6C6B-40CF-B2E5-2959F4740D44}" uniqueName="51" name="Stereo Check " queryTableFieldId="51" dataDxfId="746"/>
    <tableColumn id="52" xr3:uid="{5D14CED8-6820-4FF7-AC37-AFBADB059AF7}" uniqueName="52" name="Time (s)25" queryTableFieldId="52" dataDxfId="745"/>
    <tableColumn id="53" xr3:uid="{0037AC57-CCC0-4E5A-8535-EAD82587FD28}" uniqueName="53" name="You will shortly be taken to the main test. You will be presented with a series of sliders, each corresponding to a pure tone signal. You will first be asked to adjust the volume of the slider until the tone is barely audible. _x000a_* **Please only adjust the " queryTableFieldId="53" dataDxfId="744"/>
    <tableColumn id="54" xr3:uid="{60126E74-0306-4158-AD32-3272845E8B0D}" uniqueName="54" name="Time (s)26" queryTableFieldId="54" dataDxfId="743"/>
    <tableColumn id="55" xr3:uid="{DBCC8B62-86B3-48BF-B2A5-CD2A3CFFF16E}" uniqueName="55" name="Tone 1 - Just audible rating" queryTableFieldId="55" dataDxfId="742"/>
    <tableColumn id="56" xr3:uid="{41133E4C-2349-46E8-B0A3-E484299EA6A9}" uniqueName="56" name="Time (s)27" queryTableFieldId="56" dataDxfId="741"/>
    <tableColumn id="57" xr3:uid="{CD717063-76AB-467B-92F8-A6E9509E589F}" uniqueName="57" name="Tone 1 - Mildly uncomfortable rating" queryTableFieldId="57" dataDxfId="740"/>
    <tableColumn id="58" xr3:uid="{79E31978-3665-4314-99E2-BA984B62C69C}" uniqueName="58" name="Time (s)28" queryTableFieldId="58" dataDxfId="739"/>
    <tableColumn id="59" xr3:uid="{7CDD8D9B-047D-48A4-BE95-4299D9F7D74E}" uniqueName="59" name="Tone 2 - Just audible rating" queryTableFieldId="59" dataDxfId="738"/>
    <tableColumn id="60" xr3:uid="{E1EBFC07-4F53-41E1-A23F-5142E24311BE}" uniqueName="60" name="Time (s)29" queryTableFieldId="60" dataDxfId="737"/>
    <tableColumn id="61" xr3:uid="{E40C8B73-2D12-4480-829E-3AEA6CCEB163}" uniqueName="61" name="Tone 2 - Mildly uncomfortable rating" queryTableFieldId="61" dataDxfId="736"/>
    <tableColumn id="62" xr3:uid="{E58E342C-2BEA-457C-A6F0-1E9882F08A0F}" uniqueName="62" name="Time (s)30" queryTableFieldId="62" dataDxfId="735"/>
    <tableColumn id="63" xr3:uid="{6D110BA3-3D54-4B54-AEF1-55A3792C9554}" uniqueName="63" name="Tone 3 - Just audible rating" queryTableFieldId="63" dataDxfId="734"/>
    <tableColumn id="64" xr3:uid="{57E3F3EB-A712-454B-9D5E-DC81C680CFDB}" uniqueName="64" name="Time (s)31" queryTableFieldId="64" dataDxfId="733"/>
    <tableColumn id="65" xr3:uid="{394DC212-4C91-4893-8948-337697F0C0F6}" uniqueName="65" name="Tone 3 - Mildly uncomfortable rating" queryTableFieldId="65" dataDxfId="732"/>
    <tableColumn id="66" xr3:uid="{D8357A45-03CF-43E6-98D0-C3B3DED21A55}" uniqueName="66" name="Time (s)32" queryTableFieldId="66" dataDxfId="731"/>
    <tableColumn id="67" xr3:uid="{1593F541-E59D-4DDD-A891-417552792F3E}" uniqueName="67" name="Tone 4 - Just audible rating" queryTableFieldId="67" dataDxfId="730"/>
    <tableColumn id="68" xr3:uid="{9F1AE593-A300-4994-AC10-736A42C68E14}" uniqueName="68" name="Time (s)33" queryTableFieldId="68" dataDxfId="729"/>
    <tableColumn id="69" xr3:uid="{2F00A8B6-E8B4-4690-8629-6218A88F6701}" uniqueName="69" name="Tone 4 - Mildly uncomfortable rating" queryTableFieldId="69" dataDxfId="728"/>
    <tableColumn id="70" xr3:uid="{8F69FAB2-D59B-4955-8B1F-B6EC910C1843}" uniqueName="70" name="Time (s)34" queryTableFieldId="70" dataDxfId="727"/>
    <tableColumn id="71" xr3:uid="{F5379E36-243D-4586-8137-AB3125DCD280}" uniqueName="71" name="Tone 5 - Just audible rating" queryTableFieldId="71" dataDxfId="726"/>
    <tableColumn id="72" xr3:uid="{027874A2-2D2F-4E28-BF1D-559B27DC2DE0}" uniqueName="72" name="Time (s)35" queryTableFieldId="72" dataDxfId="725"/>
    <tableColumn id="73" xr3:uid="{50C669B1-8613-4186-A270-88C33526EFC2}" uniqueName="73" name="Tone 5 - Mildly uncomfortable rating" queryTableFieldId="73" dataDxfId="724"/>
    <tableColumn id="74" xr3:uid="{5BC92965-D9EA-4096-9A40-715996C4250D}" uniqueName="74" name="Time (s)36" queryTableFieldId="74" dataDxfId="723"/>
    <tableColumn id="75" xr3:uid="{4DAF02EA-73C4-4F37-89EF-931C3FEDB638}" uniqueName="75" name="Tone 6 - Just audible rating" queryTableFieldId="75" dataDxfId="722"/>
    <tableColumn id="76" xr3:uid="{41BDD406-34EE-408D-8343-1EB4CD5775B7}" uniqueName="76" name="Time (s)37" queryTableFieldId="76" dataDxfId="721"/>
    <tableColumn id="77" xr3:uid="{8DD4FA5F-5436-478E-8FB8-1710E968E746}" uniqueName="77" name="Tone 6- Mildly uncomfortable rating" queryTableFieldId="77" dataDxfId="720"/>
    <tableColumn id="78" xr3:uid="{1C4C62BB-AB47-426A-9BEB-CBA2A97E5280}" uniqueName="78" name="Time (s)38" queryTableFieldId="78" dataDxfId="719"/>
    <tableColumn id="79" xr3:uid="{C76DEE46-7721-46EF-B7EA-2CBBA1884152}" uniqueName="79" name="Tone 7 - Just audible rating" queryTableFieldId="79" dataDxfId="718"/>
    <tableColumn id="80" xr3:uid="{1C47E694-0450-470A-BEB7-291AEB9DCCA6}" uniqueName="80" name="Time (s)39" queryTableFieldId="80" dataDxfId="717"/>
    <tableColumn id="81" xr3:uid="{73866F5B-42C6-4CDD-9E63-E28AADD8B6D0}" uniqueName="81" name="Tone 7- Mildly uncomfortable rating" queryTableFieldId="81" dataDxfId="716"/>
    <tableColumn id="82" xr3:uid="{08D3622C-6690-479F-A205-2941470CF08D}" uniqueName="82" name="Time (s)40" queryTableFieldId="82" dataDxfId="715"/>
    <tableColumn id="83" xr3:uid="{17EF9BC8-714C-4633-AF82-C7309F8A4748}" uniqueName="83" name="Tone 8 - Just audible rating" queryTableFieldId="83" dataDxfId="714"/>
    <tableColumn id="84" xr3:uid="{BD90DDEB-F5E7-41A2-9B37-DABDECF14EE5}" uniqueName="84" name="Time (s)41" queryTableFieldId="84" dataDxfId="713"/>
    <tableColumn id="85" xr3:uid="{58EBA17E-D69E-483E-B516-0A590AEADB3D}" uniqueName="85" name="Tone 8- Mildly uncomfortable rating" queryTableFieldId="85" dataDxfId="712"/>
    <tableColumn id="86" xr3:uid="{6A274BD0-A963-4065-8758-E7FD831114F8}" uniqueName="86" name="Time (s)42" queryTableFieldId="86" dataDxfId="711"/>
    <tableColumn id="87" xr3:uid="{284BECE3-E7F4-4051-AFDD-D29ECDB71D2C}" uniqueName="87" name="Tone 9 - Just audible rating" queryTableFieldId="87" dataDxfId="710"/>
    <tableColumn id="88" xr3:uid="{F526FD2A-2A9E-4A0B-A62D-1C840310BA4A}" uniqueName="88" name="Time (s)43" queryTableFieldId="88" dataDxfId="709"/>
    <tableColumn id="89" xr3:uid="{A5549E18-1077-4483-B42A-F01A54994D7B}" uniqueName="89" name="Tone 9- Mildly uncomfortable rating" queryTableFieldId="89" dataDxfId="708"/>
    <tableColumn id="90" xr3:uid="{3227BE93-6F4B-4E50-B6EC-9475D82393BA}" uniqueName="90" name="Time (s)44" queryTableFieldId="90" dataDxfId="707"/>
    <tableColumn id="91" xr3:uid="{042D3D72-4E55-4F78-965D-CD851C5D178C}" uniqueName="91" name="Tone 10 - Just audible rating" queryTableFieldId="91" dataDxfId="706"/>
    <tableColumn id="92" xr3:uid="{2B155E48-9440-4885-8702-798B068B23A4}" uniqueName="92" name="Time (s)45" queryTableFieldId="92" dataDxfId="705"/>
    <tableColumn id="93" xr3:uid="{F028BD88-A05D-41BE-934C-AB9B1745314E}" uniqueName="93" name="Tone 10- Mildly uncomfortable rating" queryTableFieldId="93" dataDxfId="704"/>
    <tableColumn id="94" xr3:uid="{95B8DFA3-C3ED-4983-8943-B882949AB11C}" uniqueName="94" name="Time (s)46" queryTableFieldId="94" dataDxfId="703"/>
    <tableColumn id="95" xr3:uid="{7BED3286-3A0B-4399-A38E-37CAE8B70E67}" uniqueName="95" name="Tone 11 - Just audible rating" queryTableFieldId="95" dataDxfId="702"/>
    <tableColumn id="96" xr3:uid="{B5DF6228-1866-44CD-B759-39F3038AB3EB}" uniqueName="96" name="Time (s)47" queryTableFieldId="96" dataDxfId="701"/>
    <tableColumn id="97" xr3:uid="{3EE7B325-94F1-4DB9-A349-94B150428C03}" uniqueName="97" name="Tone 11- Mildly uncomfortable rating" queryTableFieldId="97" dataDxfId="700"/>
    <tableColumn id="98" xr3:uid="{C483648C-6DDA-4C31-8425-171BE1A4E652}" uniqueName="98" name="Time (s)48" queryTableFieldId="98" dataDxfId="699"/>
    <tableColumn id="99" xr3:uid="{9F1F5A86-0DAB-40B8-AD5A-7283592BA1BD}" uniqueName="99" name="Tone 12 - Just audible rating" queryTableFieldId="99" dataDxfId="698"/>
    <tableColumn id="100" xr3:uid="{32DE6CD7-1F5A-41EF-952B-E0D579D2AD1C}" uniqueName="100" name="Time (s)49" queryTableFieldId="100" dataDxfId="697"/>
    <tableColumn id="101" xr3:uid="{9BF4550E-55C4-4970-ACEB-8396B5BF58AB}" uniqueName="101" name="Tone 12- Mildly uncomfortable rating" queryTableFieldId="101" dataDxfId="696"/>
    <tableColumn id="102" xr3:uid="{5C08C21C-3204-497E-8AD0-A3754F030045}" uniqueName="102" name="Time (s)50" queryTableFieldId="102" dataDxfId="695"/>
    <tableColumn id="103" xr3:uid="{31AFBFC7-18B0-48C0-B458-5875742721A1}" uniqueName="103" name="Tone 13 - Just audible rating" queryTableFieldId="103" dataDxfId="694"/>
    <tableColumn id="104" xr3:uid="{93D33346-C470-4157-B2B9-10FD4071FD11}" uniqueName="104" name="Time (s)51" queryTableFieldId="104" dataDxfId="693"/>
    <tableColumn id="105" xr3:uid="{3B03BC5D-8412-4C3F-B3FA-14289E1488DE}" uniqueName="105" name="Tone 13- Mildly uncomfortable rating" queryTableFieldId="105" dataDxfId="692"/>
    <tableColumn id="106" xr3:uid="{FA27AD74-E90C-4122-AAE0-1EDC1D446917}" uniqueName="106" name="Time (s)52" queryTableFieldId="106" dataDxfId="691"/>
    <tableColumn id="107" xr3:uid="{4847CDCE-38BD-4EC2-A0C3-A70345567232}" uniqueName="107" name="Thank you for taking part in our study! If you are a migraine sufferer we would like to invite you to take this survey twice if possible, once during a migraine and once during the migraine free interval. *(This is completely optional and will not affect " queryTableFieldId="107" dataDxfId="690"/>
    <tableColumn id="108" xr3:uid="{CB4B20CB-E2D2-4274-A300-F6D99D0AA732}" uniqueName="108" name="Time (s)53" queryTableFieldId="108" dataDxfId="689"/>
    <tableColumn id="109" xr3:uid="{8F6EA833-D2D4-4A41-A49C-2B88248F4F17}" uniqueName="109" name=" You can use this box to describe your experience with the study, as well as share any observations or remarks you may have.  You can either use the box provided below, or email a.mourgela@qmul.ac.uk. " queryTableFieldId="109" dataDxfId="688"/>
    <tableColumn id="110" xr3:uid="{83B88EAE-5099-46D2-BFD8-CB87F6BA9AD9}" uniqueName="110" name="Time (s)54" queryTableFieldId="110" dataDxfId="687"/>
    <tableColumn id="111" xr3:uid="{C9CC47EE-70F4-4F74-B6EF-55DDD62ADE6F}" uniqueName="111" name="End of study, please click **Submit** and you may close this page. " queryTableFieldId="111" dataDxfId="686"/>
    <tableColumn id="112" xr3:uid="{04B9DEA5-AEF7-44C1-A905-F80529BAF504}" uniqueName="112" name="Time (s)55" queryTableFieldId="112" dataDxfId="68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A5D92F-6E44-4201-848E-55FA5C910C43}" name="Table25" displayName="Table25" ref="A1:M29" totalsRowCount="1" headerRowDxfId="311" dataDxfId="309" headerRowBorderDxfId="310" tableBorderDxfId="308" totalsRowBorderDxfId="307">
  <autoFilter ref="A1:M28" xr:uid="{0E200A2D-8DE5-4DE7-9627-710AE72EFDBA}"/>
  <tableColumns count="13">
    <tableColumn id="1" xr3:uid="{A934D164-11E9-4477-BEB7-C63A264A6266}" name="100" totalsRowFunction="custom" dataDxfId="306" totalsRowDxfId="305">
      <totalsRowFormula>AVERAGE(Table25[100])</totalsRowFormula>
    </tableColumn>
    <tableColumn id="2" xr3:uid="{BAA06604-245B-4683-86A9-FEE3BD729D20}" name="200" totalsRowFunction="average" dataDxfId="304" totalsRowDxfId="303"/>
    <tableColumn id="3" xr3:uid="{41432782-4EA9-4A5A-B753-898241A152CD}" name="400" totalsRowFunction="average" dataDxfId="302" totalsRowDxfId="301"/>
    <tableColumn id="4" xr3:uid="{202F6114-9FEE-4A01-BC1C-0EB126496EF9}" name="500" totalsRowFunction="average" dataDxfId="300" totalsRowDxfId="299"/>
    <tableColumn id="5" xr3:uid="{B01FEAC5-8238-4C9D-867D-DBADB4B0B856}" name="800" totalsRowFunction="average" dataDxfId="298" totalsRowDxfId="297"/>
    <tableColumn id="6" xr3:uid="{E3B263FD-A454-4F35-B6D8-5287CFDDFA6D}" name="1000" totalsRowFunction="average" dataDxfId="296" totalsRowDxfId="295"/>
    <tableColumn id="7" xr3:uid="{920A971C-476D-471B-A568-35B952EA6E5D}" name="2000" totalsRowFunction="average" dataDxfId="294" totalsRowDxfId="293"/>
    <tableColumn id="8" xr3:uid="{40188F30-7598-4F9B-A90A-5B634D510B47}" name="3000" totalsRowFunction="average" dataDxfId="292" totalsRowDxfId="291"/>
    <tableColumn id="9" xr3:uid="{10808DD3-BBF4-4593-A6EE-D9205373B925}" name="4000" totalsRowFunction="average" dataDxfId="290" totalsRowDxfId="289"/>
    <tableColumn id="10" xr3:uid="{0851E7B5-127F-4D84-A2E9-228442AA6AD9}" name="6000" totalsRowFunction="average" dataDxfId="288" totalsRowDxfId="287"/>
    <tableColumn id="11" xr3:uid="{76FB6A1C-0E1B-42B7-A7FD-6131D8BBE5CD}" name="8000" totalsRowFunction="average" dataDxfId="286" totalsRowDxfId="285"/>
    <tableColumn id="12" xr3:uid="{C0E216A8-A1AB-47A1-AA6D-672D8AAF01D9}" name="10000" totalsRowFunction="average" dataDxfId="284" totalsRowDxfId="283"/>
    <tableColumn id="13" xr3:uid="{482909AC-513B-46F1-98CC-3EA01E489111}" name="12000" totalsRowFunction="average" dataDxfId="282" totalsRowDxfId="28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409042-8039-4A59-8964-1F72515CEE1D}" name="Table27" displayName="Table27" ref="A1:M23" totalsRowCount="1" headerRowDxfId="280" dataDxfId="278" headerRowBorderDxfId="279" tableBorderDxfId="277" totalsRowBorderDxfId="276">
  <autoFilter ref="A1:M22" xr:uid="{D43CEE64-A897-48BB-860C-66FF8B5D7CC3}"/>
  <tableColumns count="13">
    <tableColumn id="1" xr3:uid="{9BADF3FC-5ACA-4FFC-B6DB-22CD38F7FCCF}" name="100" totalsRowFunction="custom" dataDxfId="275" totalsRowDxfId="274">
      <totalsRowFormula>AVERAGE(Table27[100])</totalsRowFormula>
    </tableColumn>
    <tableColumn id="2" xr3:uid="{5495B91E-750B-43F2-BA9C-DD650635FF0B}" name="200" totalsRowFunction="average" dataDxfId="273" totalsRowDxfId="272"/>
    <tableColumn id="3" xr3:uid="{FF44BE47-AAF3-4BB7-A1C4-29CF0E6617C1}" name="400" totalsRowFunction="average" dataDxfId="271" totalsRowDxfId="270"/>
    <tableColumn id="4" xr3:uid="{D20ECFFD-4B63-4A2E-8B44-0B1D6337FC42}" name="500" totalsRowFunction="average" dataDxfId="269" totalsRowDxfId="268"/>
    <tableColumn id="5" xr3:uid="{27BEDBA2-A82F-43B8-8C9B-A3CC5DDB7DC0}" name="800" totalsRowFunction="average" dataDxfId="267" totalsRowDxfId="266"/>
    <tableColumn id="6" xr3:uid="{480EF8A9-0A8A-475D-89EE-AB582069916B}" name="1000" totalsRowFunction="average" dataDxfId="265" totalsRowDxfId="264"/>
    <tableColumn id="7" xr3:uid="{2C74CAF7-260E-4684-9038-56BE26A9186F}" name="2000" totalsRowFunction="average" dataDxfId="263" totalsRowDxfId="262"/>
    <tableColumn id="8" xr3:uid="{1CE32858-94C2-46B0-B619-3A573F410D76}" name="3000" totalsRowFunction="average" dataDxfId="261" totalsRowDxfId="260"/>
    <tableColumn id="9" xr3:uid="{FA9CA9A4-0D2D-4289-BCD1-E5940EE5B325}" name="4000" totalsRowFunction="average" dataDxfId="259" totalsRowDxfId="258"/>
    <tableColumn id="10" xr3:uid="{DE2BB344-A30F-472D-AB81-37DC66DEE187}" name="6000" totalsRowFunction="average" dataDxfId="257" totalsRowDxfId="256"/>
    <tableColumn id="11" xr3:uid="{44E950E6-273C-474C-B3A7-CA6126610AD4}" name="8000" totalsRowFunction="average" dataDxfId="255" totalsRowDxfId="254"/>
    <tableColumn id="12" xr3:uid="{11291D5C-5B77-4F12-AD94-568359A99FB7}" name="10000" totalsRowFunction="average" dataDxfId="253" totalsRowDxfId="252"/>
    <tableColumn id="13" xr3:uid="{17C2DF50-CF7A-4258-A6A8-D3C4632DC040}" name="12000" totalsRowFunction="average" dataDxfId="251" totalsRowDxfId="2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39EA78-6608-4DFF-91F3-9DEEBDF35A2C}" name="Table15" displayName="Table15" ref="A1:M13" totalsRowCount="1" headerRowDxfId="249" dataDxfId="247" totalsRowDxfId="245" headerRowBorderDxfId="248" tableBorderDxfId="246" totalsRowBorderDxfId="244">
  <autoFilter ref="A1:M12" xr:uid="{0CFAD6F3-EDA0-46C1-9695-6AA16C55EE42}"/>
  <tableColumns count="13">
    <tableColumn id="1" xr3:uid="{E6AF18E7-1F59-4DF3-BB90-56282476F4C2}" name="100" totalsRowFunction="custom" dataDxfId="243" totalsRowDxfId="242">
      <totalsRowFormula>AVERAGE(Table15[100])</totalsRowFormula>
    </tableColumn>
    <tableColumn id="2" xr3:uid="{A3AFB258-57F3-484C-9896-FE7D10E9A498}" name="200" totalsRowFunction="average" dataDxfId="241" totalsRowDxfId="240"/>
    <tableColumn id="3" xr3:uid="{E0D3E0CE-6E6D-4CF4-8A71-0266162AB75C}" name="400" totalsRowFunction="average" dataDxfId="239" totalsRowDxfId="238"/>
    <tableColumn id="4" xr3:uid="{07FD58F1-A573-4D2C-845E-C4D253C48F55}" name="500" totalsRowFunction="average" dataDxfId="237" totalsRowDxfId="236"/>
    <tableColumn id="5" xr3:uid="{78764997-92CF-44C0-9A76-DFB44CC81701}" name="800" totalsRowFunction="average" dataDxfId="235" totalsRowDxfId="234"/>
    <tableColumn id="6" xr3:uid="{F1F055A2-9661-44F5-B962-4CB1E3C6DF2B}" name="1000" totalsRowFunction="average" dataDxfId="233" totalsRowDxfId="232"/>
    <tableColumn id="7" xr3:uid="{0934EE55-7F41-417E-A238-1F917E2CBC6A}" name="2000" totalsRowFunction="average" dataDxfId="231" totalsRowDxfId="230"/>
    <tableColumn id="8" xr3:uid="{013EC77A-775D-4E61-AF06-0255615B759F}" name="3000" totalsRowFunction="average" dataDxfId="229" totalsRowDxfId="228"/>
    <tableColumn id="9" xr3:uid="{97927A3E-92CF-48F1-BE2A-DE6032FFCD41}" name="4000" totalsRowFunction="average" dataDxfId="227" totalsRowDxfId="226"/>
    <tableColumn id="10" xr3:uid="{6798FD9E-AC91-4D17-8CFA-412E21944DA0}" name="6000" totalsRowFunction="average" dataDxfId="225" totalsRowDxfId="224"/>
    <tableColumn id="11" xr3:uid="{739790D3-7C00-4A13-9F6C-55AC23EFF4B3}" name="8000" totalsRowFunction="average" dataDxfId="223" totalsRowDxfId="222"/>
    <tableColumn id="12" xr3:uid="{22EA8DD6-CB08-4AEC-A6B2-CE8D26F63D68}" name="10000" totalsRowFunction="average" dataDxfId="221" totalsRowDxfId="220"/>
    <tableColumn id="13" xr3:uid="{01410A6F-DD2F-4F5A-A452-B72BE412A8DD}" name="12000" totalsRowFunction="average" dataDxfId="219" totalsRowDxfId="2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7B1CDE-219D-49BB-A3BE-5202CBC1B945}" name="Table14" displayName="Table14" ref="A1:M46" totalsRowCount="1" headerRowDxfId="217" dataDxfId="215" totalsRowDxfId="213" headerRowBorderDxfId="216" tableBorderDxfId="214" totalsRowBorderDxfId="212">
  <autoFilter ref="A1:M45" xr:uid="{6449AD2C-0279-4A02-BB70-69D62EABA436}"/>
  <tableColumns count="13">
    <tableColumn id="1" xr3:uid="{EC6C189B-05BC-47D8-8671-27286B3D70DC}" name="100" totalsRowFunction="custom" dataDxfId="211" totalsRowDxfId="210">
      <totalsRowFormula>AVERAGE(Table14[100])</totalsRowFormula>
    </tableColumn>
    <tableColumn id="2" xr3:uid="{511B7FC7-061C-48BD-8642-D96BC2C041CD}" name="200" totalsRowFunction="average" dataDxfId="209" totalsRowDxfId="208"/>
    <tableColumn id="3" xr3:uid="{DAAE84CB-396B-4EE3-9E62-CF719C710FF4}" name="400" totalsRowFunction="average" dataDxfId="207" totalsRowDxfId="206"/>
    <tableColumn id="4" xr3:uid="{E47F71FD-DACD-4E38-9FD4-F8E868BF5767}" name="500" totalsRowFunction="average" dataDxfId="205" totalsRowDxfId="204"/>
    <tableColumn id="5" xr3:uid="{EFDE594E-36FE-4E30-BA8F-0402DD772173}" name="800" totalsRowFunction="average" dataDxfId="203" totalsRowDxfId="202"/>
    <tableColumn id="6" xr3:uid="{A17C49E9-A11A-4CF5-A35C-276C16F888BA}" name="1000" totalsRowFunction="average" dataDxfId="201" totalsRowDxfId="200"/>
    <tableColumn id="7" xr3:uid="{3C4857B8-C110-4FE4-8E7C-47A5B1C26BEB}" name="2000" totalsRowFunction="average" dataDxfId="199" totalsRowDxfId="198"/>
    <tableColumn id="8" xr3:uid="{C3330145-4A96-483C-8FC4-71C49C0C9B8E}" name="3000" totalsRowFunction="average" dataDxfId="197" totalsRowDxfId="196"/>
    <tableColumn id="9" xr3:uid="{E4126C99-05F8-4FC3-893D-972AF5BD262A}" name="4000" totalsRowFunction="average" dataDxfId="195" totalsRowDxfId="194"/>
    <tableColumn id="10" xr3:uid="{F004F582-AD2B-400A-ADBF-9117CFE8C225}" name="6000" totalsRowFunction="average" dataDxfId="193" totalsRowDxfId="192"/>
    <tableColumn id="11" xr3:uid="{EB6CA589-4010-4449-A022-D3E242AC24B0}" name="8000" totalsRowFunction="average" dataDxfId="191" totalsRowDxfId="190"/>
    <tableColumn id="12" xr3:uid="{AF4894E8-01CD-4F42-A171-23A7334F9BD5}" name="10000" totalsRowFunction="average" dataDxfId="189" totalsRowDxfId="188"/>
    <tableColumn id="13" xr3:uid="{905718A0-E8A5-4FB3-AAD2-ADE868713449}" name="12000" totalsRowFunction="average" dataDxfId="187" totalsRowDxfId="18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FE1FC4-DD72-4E85-A784-603C67685E20}" name="Table21" displayName="Table21" ref="A1:M12" totalsRowCount="1" headerRowDxfId="185" dataDxfId="183" headerRowBorderDxfId="184" tableBorderDxfId="182" totalsRowBorderDxfId="181">
  <autoFilter ref="A1:M11" xr:uid="{8FB2E5E0-E93C-453D-A0EE-1341BE25AFF8}"/>
  <tableColumns count="13">
    <tableColumn id="1" xr3:uid="{3E885F3D-DEED-4D46-8FB1-D1503F9DE3D2}" name="100" totalsRowFunction="custom" dataDxfId="180" totalsRowDxfId="179">
      <totalsRowFormula>AVERAGE(Table21[100])</totalsRowFormula>
    </tableColumn>
    <tableColumn id="2" xr3:uid="{33E28B85-5347-48A8-898A-F2A64A8927F9}" name="200" totalsRowFunction="average" dataDxfId="178" totalsRowDxfId="177"/>
    <tableColumn id="3" xr3:uid="{2A576790-5453-4871-B044-8B071632F635}" name="400" totalsRowFunction="average" dataDxfId="176" totalsRowDxfId="175"/>
    <tableColumn id="4" xr3:uid="{BE87CF63-6024-4647-A26E-F8691DC6F159}" name="500" totalsRowFunction="average" dataDxfId="174" totalsRowDxfId="173"/>
    <tableColumn id="5" xr3:uid="{964AABE9-22CB-4E32-B485-45D6CD7F2E95}" name="800" totalsRowFunction="average" dataDxfId="172" totalsRowDxfId="171"/>
    <tableColumn id="6" xr3:uid="{8076B829-3954-4DC8-9F22-A45E3F6A6398}" name="1000" totalsRowFunction="average" dataDxfId="170" totalsRowDxfId="169"/>
    <tableColumn id="7" xr3:uid="{1B890A87-477A-41FF-A434-00DB4AA6AAAD}" name="2000" totalsRowFunction="average" dataDxfId="168" totalsRowDxfId="167"/>
    <tableColumn id="8" xr3:uid="{8EBFD340-4675-413C-9A7B-8E4651EEAA24}" name="3000" totalsRowFunction="average" dataDxfId="166" totalsRowDxfId="165"/>
    <tableColumn id="9" xr3:uid="{C476C646-C70B-4117-A833-55F46429538D}" name="4000" totalsRowFunction="average" dataDxfId="164" totalsRowDxfId="163"/>
    <tableColumn id="10" xr3:uid="{5E3B5DE7-7412-41DC-8001-12147A9EBA0F}" name="6000" totalsRowFunction="average" dataDxfId="162" totalsRowDxfId="161"/>
    <tableColumn id="11" xr3:uid="{839B6E9D-990C-4F94-AD27-A0A715A13468}" name="8000" totalsRowFunction="average" dataDxfId="160" totalsRowDxfId="159"/>
    <tableColumn id="12" xr3:uid="{94297334-52AB-4A35-9E8B-52B7BD74576C}" name="10000" totalsRowFunction="average" dataDxfId="158" totalsRowDxfId="157"/>
    <tableColumn id="13" xr3:uid="{4B43BEE0-1A09-4ED4-8C14-7B5A3976EF58}" name="12000" totalsRowFunction="average" dataDxfId="156" totalsRowDxfId="15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8D7B62-8B7A-4577-8F43-59D9F93E960B}" name="Table20" displayName="Table20" ref="A1:M28" totalsRowCount="1" headerRowDxfId="154" dataDxfId="152" headerRowBorderDxfId="153" tableBorderDxfId="151" totalsRowBorderDxfId="150">
  <autoFilter ref="A1:M27" xr:uid="{F3CA9394-4974-44CF-9A09-7E6B7ABFF327}"/>
  <tableColumns count="13">
    <tableColumn id="1" xr3:uid="{42D5F416-8B04-48A6-BDBF-32E835A7180C}" name="100" totalsRowFunction="average" dataDxfId="149" totalsRowDxfId="148"/>
    <tableColumn id="2" xr3:uid="{074F03B3-5A26-4B2E-9F22-079561BFBBB0}" name="200" totalsRowFunction="average" dataDxfId="147" totalsRowDxfId="146"/>
    <tableColumn id="3" xr3:uid="{E0CF22C3-E503-44EA-842B-395A26B735C1}" name="400" totalsRowFunction="average" dataDxfId="145" totalsRowDxfId="144"/>
    <tableColumn id="4" xr3:uid="{DB760389-C191-4E25-A256-21BB7ACF3915}" name="500" totalsRowFunction="average" dataDxfId="143" totalsRowDxfId="142"/>
    <tableColumn id="5" xr3:uid="{2FD0BC68-F677-4ECE-B78C-2DB6E602AF3D}" name="800" totalsRowFunction="average" dataDxfId="141" totalsRowDxfId="140"/>
    <tableColumn id="6" xr3:uid="{5E337170-F71D-425B-963C-048949221818}" name="1000" totalsRowFunction="average" dataDxfId="139" totalsRowDxfId="138"/>
    <tableColumn id="7" xr3:uid="{639DD6CD-E8B0-4EC2-9B66-2C6AA303A853}" name="2000" totalsRowFunction="average" dataDxfId="137" totalsRowDxfId="136"/>
    <tableColumn id="8" xr3:uid="{BB90CC9E-6D3D-41F8-B438-14A1A60FF80C}" name="3000" totalsRowFunction="average" dataDxfId="135" totalsRowDxfId="134"/>
    <tableColumn id="9" xr3:uid="{9FDCC848-E979-4621-87CE-74889E288934}" name="4000" totalsRowFunction="average" dataDxfId="133" totalsRowDxfId="132"/>
    <tableColumn id="10" xr3:uid="{6A61192B-6DF2-4ECC-99A7-0A8D22B31774}" name="6000" totalsRowFunction="average" dataDxfId="131" totalsRowDxfId="130"/>
    <tableColumn id="11" xr3:uid="{03FA6A7E-2B66-4E3B-BF18-D516070D9FEF}" name="8000" totalsRowFunction="average" dataDxfId="129" totalsRowDxfId="128"/>
    <tableColumn id="12" xr3:uid="{1011AF0F-78C6-4751-91F8-A302BD665D34}" name="10000" totalsRowFunction="average" dataDxfId="127" totalsRowDxfId="126"/>
    <tableColumn id="13" xr3:uid="{5043373F-9D43-403E-A51A-F48A196E5526}" name="12000" totalsRowFunction="average" dataDxfId="125" totalsRowDxfId="1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4C2A-EC4D-48FD-B57C-310244FE54C4}" name="Table18" displayName="Table18" ref="A1:M11" totalsRowCount="1" headerRowDxfId="123" dataDxfId="121" headerRowBorderDxfId="122" tableBorderDxfId="120" totalsRowBorderDxfId="119">
  <autoFilter ref="A1:M10" xr:uid="{6E8AF704-5178-42D1-BB43-65A7E6CCF62A}"/>
  <tableColumns count="13">
    <tableColumn id="1" xr3:uid="{D0C98B65-2A87-4E05-A971-A2D3535DA49F}" name="100" totalsRowFunction="custom" dataDxfId="118" totalsRowDxfId="117">
      <totalsRowFormula>AVERAGE(Table18[100])</totalsRowFormula>
    </tableColumn>
    <tableColumn id="2" xr3:uid="{48E18DF7-FA0D-4797-9782-E13093F845F3}" name="200" totalsRowFunction="average" dataDxfId="116" totalsRowDxfId="115"/>
    <tableColumn id="3" xr3:uid="{9426A392-DBC0-414F-9ED1-DEC89B61A658}" name="400" totalsRowFunction="average" dataDxfId="114" totalsRowDxfId="113"/>
    <tableColumn id="4" xr3:uid="{3482D463-4525-4E0E-852A-279E3AE89D59}" name="500" totalsRowFunction="average" dataDxfId="112" totalsRowDxfId="111"/>
    <tableColumn id="5" xr3:uid="{19DF4516-E9C3-4EE9-BBE2-9E63D2C221E9}" name="800" totalsRowFunction="average" dataDxfId="110" totalsRowDxfId="109"/>
    <tableColumn id="6" xr3:uid="{C7911E8F-CC03-4F1B-9AC1-898D2875384C}" name="1000" totalsRowFunction="average" dataDxfId="108" totalsRowDxfId="107"/>
    <tableColumn id="7" xr3:uid="{81C39029-BDE5-4511-90B7-4D1B07567BE7}" name="2000" totalsRowFunction="average" dataDxfId="106" totalsRowDxfId="105"/>
    <tableColumn id="8" xr3:uid="{B1090413-38D6-4AF3-97D8-E301777FE5DF}" name="3000" totalsRowFunction="average" dataDxfId="104" totalsRowDxfId="103"/>
    <tableColumn id="9" xr3:uid="{EE5564CB-179A-4C8D-8320-39C9D6053284}" name="4000" totalsRowFunction="average" dataDxfId="102" totalsRowDxfId="101"/>
    <tableColumn id="10" xr3:uid="{45353598-FA59-4B8C-A8E4-2BFB5596F1A9}" name="6000" totalsRowFunction="average" dataDxfId="100" totalsRowDxfId="99"/>
    <tableColumn id="11" xr3:uid="{1C4C8053-F9B3-43D0-8CEF-C8FAD68E1EE7}" name="8000" totalsRowFunction="average" dataDxfId="98" totalsRowDxfId="97"/>
    <tableColumn id="12" xr3:uid="{26632B58-4B90-4896-90FC-9493281982A9}" name="10000" totalsRowFunction="average" dataDxfId="96" totalsRowDxfId="95"/>
    <tableColumn id="13" xr3:uid="{D6F76E29-5DE8-4AC6-8DF6-7C0F820ADEBD}" name="12000" totalsRowFunction="average" dataDxfId="94" totalsRowDxfId="9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7D88E4-834D-4096-8017-97989B042E67}" name="Table19" displayName="Table19" ref="A1:M46" totalsRowCount="1" headerRowDxfId="92" dataDxfId="90" headerRowBorderDxfId="91" tableBorderDxfId="89" totalsRowBorderDxfId="88">
  <autoFilter ref="A1:M45" xr:uid="{4FDCF394-0630-414B-9CD1-CCE7F75FE899}"/>
  <tableColumns count="13">
    <tableColumn id="1" xr3:uid="{735E516E-CC67-4C0D-8577-AEC26A1932B0}" name="100" totalsRowFunction="custom" dataDxfId="87" totalsRowDxfId="86">
      <totalsRowFormula>AVERAGE(Table19[100])</totalsRowFormula>
    </tableColumn>
    <tableColumn id="2" xr3:uid="{2090920F-FF4A-48F9-AA74-84B405328C67}" name="200" totalsRowFunction="average" dataDxfId="85" totalsRowDxfId="84"/>
    <tableColumn id="3" xr3:uid="{517B1B17-F341-49EA-B287-6F4E08704E28}" name="400" totalsRowFunction="average" dataDxfId="83" totalsRowDxfId="82"/>
    <tableColumn id="4" xr3:uid="{616729DA-B194-40C4-A48F-7946BA4666D6}" name="500" totalsRowFunction="average" dataDxfId="81" totalsRowDxfId="80"/>
    <tableColumn id="5" xr3:uid="{A5A73EC7-EDD3-4E83-B927-1F61297C299A}" name="800" totalsRowFunction="average" dataDxfId="79" totalsRowDxfId="78"/>
    <tableColumn id="6" xr3:uid="{F07CE29B-08D9-44D1-9E58-DE1AC852F3D6}" name="1000" totalsRowFunction="average" dataDxfId="77" totalsRowDxfId="76"/>
    <tableColumn id="7" xr3:uid="{1BEE7AAA-ACD0-49AC-8A93-D17ED35C010A}" name="2000" totalsRowFunction="average" dataDxfId="75" totalsRowDxfId="74"/>
    <tableColumn id="8" xr3:uid="{9B343FBE-233D-409C-B413-0496EE168761}" name="3000" totalsRowFunction="average" dataDxfId="73" totalsRowDxfId="72"/>
    <tableColumn id="9" xr3:uid="{61475211-ADED-41C7-8DC6-EC6BA2150A06}" name="4000" totalsRowFunction="average" dataDxfId="71" totalsRowDxfId="70"/>
    <tableColumn id="10" xr3:uid="{D747F7A6-380F-40BB-AF54-11B4FE2A21C5}" name="6000" totalsRowFunction="average" dataDxfId="69" totalsRowDxfId="68"/>
    <tableColumn id="11" xr3:uid="{F7D0F7B4-FF4E-495A-9F23-595111BB98D3}" name="8000" totalsRowFunction="average" dataDxfId="67" totalsRowDxfId="66"/>
    <tableColumn id="12" xr3:uid="{C793F50E-3F50-47F1-9804-0A5EB2A2F13E}" name="10000" totalsRowFunction="average" dataDxfId="65" totalsRowDxfId="64"/>
    <tableColumn id="13" xr3:uid="{FF6E5B32-F1AA-4607-BCD7-87322A348530}" name="12000" totalsRowFunction="average" dataDxfId="63" totalsRowDxfId="6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EADCD9-020D-4B99-9F5D-F10F14670270}" name="Table17" displayName="Table17" ref="A1:M41" totalsRowCount="1" headerRowDxfId="61" dataDxfId="59" headerRowBorderDxfId="60" tableBorderDxfId="58" totalsRowBorderDxfId="57">
  <autoFilter ref="A1:M40" xr:uid="{67CF2584-6000-4A96-AAC5-9E5F9E29DB7E}"/>
  <tableColumns count="13">
    <tableColumn id="1" xr3:uid="{DBC42922-BD05-43AD-9111-20E8BE50AC40}" name="100" totalsRowFunction="custom" dataDxfId="56" totalsRowDxfId="55">
      <totalsRowFormula>AVERAGE(Table17[100])</totalsRowFormula>
    </tableColumn>
    <tableColumn id="2" xr3:uid="{0C15711F-0E5C-46F3-90FE-202D5A6B7114}" name="200" totalsRowFunction="average" dataDxfId="54" totalsRowDxfId="53"/>
    <tableColumn id="3" xr3:uid="{42CF5E00-5159-47FF-B4ED-BE0656AC0371}" name="400" totalsRowFunction="average" dataDxfId="52" totalsRowDxfId="51"/>
    <tableColumn id="4" xr3:uid="{90ECD7C9-0508-4DC6-A9D5-B5DAAB26627C}" name="500" totalsRowFunction="average" dataDxfId="50" totalsRowDxfId="49"/>
    <tableColumn id="5" xr3:uid="{4FA9FE0F-67DA-48D0-81D4-6D6787051BCE}" name="800" totalsRowFunction="average" dataDxfId="48" totalsRowDxfId="47"/>
    <tableColumn id="6" xr3:uid="{5DF3F7BC-2C02-4453-BA36-6B2B778C72B5}" name="1000" totalsRowFunction="average" dataDxfId="46" totalsRowDxfId="45"/>
    <tableColumn id="7" xr3:uid="{BD5DCFEF-9FFD-4547-8373-DF6AC750A9CD}" name="2000" totalsRowFunction="average" dataDxfId="44" totalsRowDxfId="43"/>
    <tableColumn id="8" xr3:uid="{6003402E-E0C1-4881-97FC-3C95F167C711}" name="3000" totalsRowFunction="average" dataDxfId="42" totalsRowDxfId="41"/>
    <tableColumn id="9" xr3:uid="{55A7D5BC-D956-4122-88CE-9A334B251E8F}" name="4000" totalsRowFunction="average" dataDxfId="40" totalsRowDxfId="39"/>
    <tableColumn id="10" xr3:uid="{5ACBEECA-3310-4958-8696-BFA1EBF38AAA}" name="6000" totalsRowFunction="average" dataDxfId="38" totalsRowDxfId="37"/>
    <tableColumn id="11" xr3:uid="{3895954B-0EF9-4908-8208-B6F8F6BE2847}" name="8000" totalsRowFunction="average" dataDxfId="36" totalsRowDxfId="35"/>
    <tableColumn id="12" xr3:uid="{90A27B5C-9B13-4E25-81ED-B066F78A496C}" name="10000" totalsRowFunction="average" dataDxfId="34" totalsRowDxfId="33"/>
    <tableColumn id="13" xr3:uid="{A383A1AB-453C-4671-90E4-CD126DC9992F}" name="12000" totalsRowFunction="average" dataDxfId="32" totalsRowDxfId="3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4414E50-9B0A-4792-B5AB-6F65CCC468A4}" name="Table16" displayName="Table16" ref="A1:M18" totalsRowCount="1" headerRowDxfId="30" dataDxfId="28" headerRowBorderDxfId="29" tableBorderDxfId="27" totalsRowBorderDxfId="26">
  <autoFilter ref="A1:M17" xr:uid="{A16AA9A5-7AD6-4677-8A77-008A99647BED}"/>
  <tableColumns count="13">
    <tableColumn id="1" xr3:uid="{ECC3F5F3-2A08-4DED-9CE0-885DCCF9E89F}" name="100" totalsRowFunction="custom" dataDxfId="25" totalsRowDxfId="24">
      <totalsRowFormula>AVERAGE(Table16[100])</totalsRowFormula>
    </tableColumn>
    <tableColumn id="2" xr3:uid="{C7ACDCA4-2657-4EF0-9B6A-13C1962CA17F}" name="200" totalsRowFunction="average" dataDxfId="23" totalsRowDxfId="22"/>
    <tableColumn id="3" xr3:uid="{14721CE5-B9B7-4E62-A731-A20B376CFA58}" name="400" totalsRowFunction="average" dataDxfId="21" totalsRowDxfId="20"/>
    <tableColumn id="4" xr3:uid="{6DD7F3F1-C700-4F6D-B0DF-580CC0E7E03F}" name="500" totalsRowFunction="average" dataDxfId="19" totalsRowDxfId="18"/>
    <tableColumn id="5" xr3:uid="{37D56539-0524-4498-8E18-9B70B5941AF7}" name="800" totalsRowFunction="average" dataDxfId="17" totalsRowDxfId="16"/>
    <tableColumn id="6" xr3:uid="{9EC9B37D-241B-4AB7-86AB-1CDFFF0636D4}" name="1000" totalsRowFunction="average" dataDxfId="15" totalsRowDxfId="14"/>
    <tableColumn id="7" xr3:uid="{7296A0F6-AC5D-48AB-B673-D77E5654809D}" name="2000" totalsRowFunction="average" dataDxfId="13" totalsRowDxfId="12"/>
    <tableColumn id="8" xr3:uid="{2103D222-2A92-43FF-A6B1-303C42259A13}" name="3000" totalsRowFunction="average" dataDxfId="11" totalsRowDxfId="10"/>
    <tableColumn id="9" xr3:uid="{B2F4E1D9-2275-41E2-850E-D18D7DD3854B}" name="4000" totalsRowFunction="average" dataDxfId="9" totalsRowDxfId="8"/>
    <tableColumn id="10" xr3:uid="{C2023370-EAA2-409F-AB19-CCB344250421}" name="6000" totalsRowFunction="average" dataDxfId="7" totalsRowDxfId="6"/>
    <tableColumn id="11" xr3:uid="{28981354-406D-4072-B66B-7E4FAA4C4100}" name="8000" totalsRowFunction="average" dataDxfId="5" totalsRowDxfId="4"/>
    <tableColumn id="12" xr3:uid="{B4810C95-3BA9-42F0-994C-7E543B794CBF}" name="10000" totalsRowFunction="average" dataDxfId="3" totalsRowDxfId="2"/>
    <tableColumn id="13" xr3:uid="{82B62D92-950D-4C2B-9E4D-EF1132B45FD5}" name="12000" totalsRowFunction="averag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E9196-6D75-46AF-BCE5-EA33D2899FBA}" name="hearingSurveys_20210309160333_GR_FINAL" displayName="hearingSurveys_20210309160333_GR_FINAL" ref="A1:DH135" tableType="queryTable" totalsRowShown="0" headerRowDxfId="684">
  <autoFilter ref="A1:DH135" xr:uid="{4E4954FC-162C-4C94-8881-E568B5833A0C}"/>
  <tableColumns count="112">
    <tableColumn id="1" xr3:uid="{63FCC8AD-E890-4EF7-898D-877B0580ED68}" uniqueName="1" name="Name" queryTableFieldId="1" dataDxfId="683"/>
    <tableColumn id="2" xr3:uid="{7119BC17-9D81-419F-B5D6-29A9AF5F7775}" uniqueName="2" name="Date" queryTableFieldId="2" dataDxfId="682"/>
    <tableColumn id="3" xr3:uid="{5999BCB2-1AC3-4BFB-A37C-AE7349B29797}" uniqueName="3" name="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 queryTableFieldId="3" dataDxfId="681"/>
    <tableColumn id="4" xr3:uid="{3A0F2983-95EC-4B13-BE94-E39EE9EB9EC7}" uniqueName="4" name="Time (s)" queryTableFieldId="4" dataDxfId="680"/>
    <tableColumn id="5" xr3:uid="{B4F6E294-3E33-469E-9283-D56DE5D70D38}" uniqueName="5" name="**Τίτλος Μελέτης:**  \_x000a_Διερεύνηση επιπέδων ηχητικής έντασης και συχνοτικού περιεχομένου εμφάνισης ακουστικής δυσφορίας, σε ημικρανικούς ακροατές με υπερευευαισθησία ήχου. _x000a__x000a_**Κύριος ερευνητής:** Joshua D. Reiss \_x000a_**Queen Mary Ethics of Research Committee " queryTableFieldId="5" dataDxfId="679"/>
    <tableColumn id="6" xr3:uid="{6A680B01-51D6-4370-9FE5-0F5242524DA3}" uniqueName="6" name="Time (s)2" queryTableFieldId="6" dataDxfId="678"/>
    <tableColumn id="7" xr3:uid="{6466A42B-AADB-4B7A-862B-B197EFE72B61}" uniqueName="7" name="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 queryTableFieldId="7" dataDxfId="677"/>
    <tableColumn id="8" xr3:uid="{3102BE13-833D-490D-A6A3-5E61F253C8A3}" uniqueName="8" name="Time (s)3" queryTableFieldId="8" dataDxfId="676"/>
    <tableColumn id="9" xr3:uid="{93342F69-B9E8-497F-A05D-C34F0F64F07D}" uniqueName="9" nam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 queryTableFieldId="9" dataDxfId="675"/>
    <tableColumn id="10" xr3:uid="{494F831E-D2A3-4933-A9E8-024042900285}" uniqueName="10" name="Time (s)4" queryTableFieldId="10" dataDxfId="674"/>
    <tableColumn id="11" xr3:uid="{554D62B8-B630-4814-B09A-D759FA5D40E5}" uniqueName="11" name="Γράψτε το email σας εδώ (παρακαλούμε βεβαιωθείτε πώς έχετε γράψει το ίδιο email και τις δύο φορές)" queryTableFieldId="11" dataDxfId="673"/>
    <tableColumn id="12" xr3:uid="{4E637D19-1A1A-420C-BE3A-9AF21649C059}" uniqueName="12" name="Time (s)5" queryTableFieldId="12" dataDxfId="672"/>
    <tableColumn id="13" xr3:uid="{87C29302-FF75-4457-8A27-A6D307E98CD1}" uniqueName="13" name="Παρακαλούμε επιλέξτε την ηλικιακή σας ομάδα : " queryTableFieldId="13" dataDxfId="671"/>
    <tableColumn id="14" xr3:uid="{97E828DB-8803-498E-B427-BAE89A4475CC}" uniqueName="14" name="Time (s)6" queryTableFieldId="14" dataDxfId="670"/>
    <tableColumn id="15" xr3:uid="{807D2B25-DB62-4FA8-A60C-833AA6F85457}" uniqueName="15" name="Παρακαλούμε επιλέξτε το φύλο σας :" queryTableFieldId="15" dataDxfId="669"/>
    <tableColumn id="16" xr3:uid="{C56AD093-EEA7-462C-A65A-703F133B4CA7}" uniqueName="16" name="Time (s)7" queryTableFieldId="16" dataDxfId="668"/>
    <tableColumn id="17" xr3:uid="{BCA7F005-A5A6-48FF-B906-DD5060D6D339}" uniqueName="17" name="Είναι η πρώτη φορά που κάνετε αυτή τη μελέτη;" queryTableFieldId="17" dataDxfId="667"/>
    <tableColumn id="18" xr3:uid="{86802B6C-7D0D-4D5C-887D-D61F8E0126E3}" uniqueName="18" name="Time (s)8" queryTableFieldId="18" dataDxfId="666"/>
    <tableColumn id="19" xr3:uid="{86A92BC3-D17E-476B-83C9-20CC5CBE46DA}" uniqueName="19" name=" Έχετε ποτέ διαγνωστεί ή αντιμετωπίσετε οποιαδήποτε μορφή ημικρανίας;" queryTableFieldId="19" dataDxfId="665"/>
    <tableColumn id="20" xr3:uid="{8CF6D756-8C0A-4D83-AAF1-C67E2DC19B73}" uniqueName="20" name="Time (s)9" queryTableFieldId="20" dataDxfId="664"/>
    <tableColumn id="21" xr3:uid="{15C0A6AB-CF42-4D8B-9301-6C5580C979C6}" uniqueName="21" name="Έχετε λάβει ποτέ ιατρική διάγνωση για τις ημικρανίες σας;" queryTableFieldId="21" dataDxfId="663"/>
    <tableColumn id="22" xr3:uid="{50F6F16F-629D-4C6B-9A3D-92C9E56F21A8}" uniqueName="22" name="Time (s)10" queryTableFieldId="22" dataDxfId="662"/>
    <tableColumn id="23" xr3:uid="{55C07EDE-3E86-48C1-9EF4-602DF100560E}" uniqueName="23" name="Λαμβάνετε κάποιου είδους φαρμακευτική αγωγή για την ημικρανία ( προφυλακτική ή συμπτωματική);" queryTableFieldId="23" dataDxfId="661"/>
    <tableColumn id="24" xr3:uid="{2FAAC701-C04C-4FEA-8750-0B243A503471}" uniqueName="24" name="Time (s)11" queryTableFieldId="24" dataDxfId="660"/>
    <tableColumn id="25" xr3:uid="{29A73FFD-5625-4317-BAE8-13F4BF918DE1}" uniqueName="25" name="Παρακαλούμε σημειώστε το όνομα της αγωγής που λαμβάνετε χρησιμοποιώντας το παρακάτω κουτί (Αν δεν είναι διαθέσιμο σημειώστε Μ/Δ)" queryTableFieldId="25" dataDxfId="659"/>
    <tableColumn id="26" xr3:uid="{EBF3AFF8-2101-4CAF-9B4C-177AD5405D94}" uniqueName="26" name="Time (s)12" queryTableFieldId="26" dataDxfId="658"/>
    <tableColumn id="27" xr3:uid="{CA5A1379-D4A2-435F-9BD9-4403CDE9C2BD}" uniqueName="27" name="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 queryTableFieldId="27" dataDxfId="657"/>
    <tableColumn id="28" xr3:uid="{CC92B77B-083F-485A-860D-8506145D96E8}" uniqueName="28" name="Time (s)13" queryTableFieldId="28" dataDxfId="656"/>
    <tableColumn id="29" xr3:uid="{91B75674-5704-449C-B34A-A24996F4E04A}" uniqueName="29" name="Πόσο καιρό έχετε παρατηρήσει αυτό το φαινόμενο;" queryTableFieldId="29" dataDxfId="655"/>
    <tableColumn id="30" xr3:uid="{30984346-15EE-499D-A55C-BBE13F6EDE86}" uniqueName="30" name="Time (s)14" queryTableFieldId="30" dataDxfId="654"/>
    <tableColumn id="31" xr3:uid="{55A77B2D-FCA8-40A0-AE26-64899E17B949}" uniqueName="31" name="Ποιό αυτι(ά) φαίνεται να επηρεάζεται από αυτό το φαινόμενο:" queryTableFieldId="31" dataDxfId="653"/>
    <tableColumn id="32" xr3:uid="{4579F760-8545-4B5E-B6E3-1F99FA498563}" uniqueName="32" name="Time (s)15" queryTableFieldId="32" dataDxfId="652"/>
    <tableColumn id="33" xr3:uid="{07EDF5B8-9A68-49FD-9C11-EF47EBFFBF12}" uniqueName="33" name="Αυτό το φαινόμενο φαίνεται να συμπίπτει με τις ημικρανίες σας;" queryTableFieldId="33" dataDxfId="651"/>
    <tableColumn id="34" xr3:uid="{2E2564EE-AEB8-4D1D-A516-90276827A7BF}" uniqueName="34" name="Time (s)16" queryTableFieldId="34" dataDxfId="650"/>
    <tableColumn id="35" xr3:uid="{ABFC4434-E42C-404A-BF8C-8E15F615A08A}" uniqueName="35" name=" Πότε συμβαίνει αυτό το φαινόμενο (επιλέξτε όλα όσα ισχύουν)" queryTableFieldId="35" dataDxfId="649"/>
    <tableColumn id="36" xr3:uid="{308B1E96-DD03-47B8-B4AE-CA95B9A1B4AA}" uniqueName="36" name="Time (s)17" queryTableFieldId="36" dataDxfId="648"/>
    <tableColumn id="37" xr3:uid="{C7508DE9-5B1F-45C0-94F1-8A534F528C3B}" uniqueName="37" name="Ποιος από τους παρακάτω ήχους ή συμβάντα είναι συχνά πολύ δυνατός για εσάς (επιλέξτε όλα όσα ισχύουν);" queryTableFieldId="37" dataDxfId="647"/>
    <tableColumn id="38" xr3:uid="{272130A9-1773-46A4-9087-41F78C3525A4}" uniqueName="38" name="Time (s)18" queryTableFieldId="38" dataDxfId="646"/>
    <tableColumn id="39" xr3:uid="{BF2E7E87-FF9C-4909-80AA-5704D206D4EE}" uniqueName="39" name="Πόσο συχνά αντιμετωπίζετε ημικρανίες; (κρίσεις ανά μήνα)" queryTableFieldId="39" dataDxfId="645"/>
    <tableColumn id="40" xr3:uid="{DCE372CD-249B-4479-AAC9-EF4A50312DA1}" uniqueName="40" name="Time (s)19" queryTableFieldId="40" dataDxfId="644"/>
    <tableColumn id="41" xr3:uid="{EEB0232B-9408-46CA-A34F-54AC3B890247}" uniqueName="41" name="Βαθμολογήστε τη σοβαρότητα των ημικρανιών σας σε κλίμακα από 0 έως 100." queryTableFieldId="41" dataDxfId="643"/>
    <tableColumn id="42" xr3:uid="{15F32884-C6C8-44AF-9774-3802FF61E415}" uniqueName="42" name="Time (s)20" queryTableFieldId="42" dataDxfId="642"/>
    <tableColumn id="43" xr3:uid="{6C18D86E-3755-410C-B2E2-FC355379400B}" uniqueName="43" name="Αντιμετωπίζετε ημικρανία ή αύρα (αισθητηριακές διαταραχές που συμβαίνουν λίγο πριν από την ημικρανία) αυτήν τη στιγμή;" queryTableFieldId="43" dataDxfId="641"/>
    <tableColumn id="44" xr3:uid="{A6B277EC-C4F7-4C34-BEBE-702F96E99ECE}" uniqueName="44" name="Time (s)21" queryTableFieldId="44" dataDxfId="640"/>
    <tableColumn id="45" xr3:uid="{BF7A14BE-D680-41BC-A969-9319585364CB}" uniqueName="45" name="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 queryTableFieldId="45" dataDxfId="639"/>
    <tableColumn id="46" xr3:uid="{928F8E19-824C-465A-A95B-5844F309D110}" uniqueName="46" name="Time (s)22" queryTableFieldId="46" dataDxfId="638"/>
    <tableColumn id="47" xr3:uid="{C22CD5BC-6978-4AD1-A36B-8B8B56914007}" uniqueName="47" name="Βαθμονόμηση συστήματος " queryTableFieldId="47" dataDxfId="637"/>
    <tableColumn id="48" xr3:uid="{A49B36CC-291C-466B-B793-5E41F4EA11D9}" uniqueName="48" name="Time (s)23" queryTableFieldId="48" dataDxfId="636"/>
    <tableColumn id="49" xr3:uid="{C0D6EBD2-3C2B-4855-BB7D-5A4DD346FE29}" uniqueName="49" name="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 queryTableFieldId="49" dataDxfId="635"/>
    <tableColumn id="50" xr3:uid="{0771282D-C2E2-488D-8D5C-4699B269D684}" uniqueName="50" name="Time (s)24" queryTableFieldId="50" dataDxfId="634"/>
    <tableColumn id="51" xr3:uid="{6E23967E-6D67-4644-9DE4-B146F8E5411B}" uniqueName="51" name="Τέστ Στέρεο  " queryTableFieldId="51" dataDxfId="633"/>
    <tableColumn id="52" xr3:uid="{ECE0E314-1A46-40CA-A39C-80BB645AE2F0}" uniqueName="52" name="Time (s)25" queryTableFieldId="52" dataDxfId="632"/>
    <tableColumn id="53" xr3:uid="{9432BCCC-9115-471B-B39D-38708F53027F}" uniqueName="53" name="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_x000a__x000a_* **Προσαρμόστε τους τόνους χρησ" queryTableFieldId="53" dataDxfId="631"/>
    <tableColumn id="54" xr3:uid="{1C43B446-6685-4D6C-99F5-A0296929A4F4}" uniqueName="54" name="Time (s)26" queryTableFieldId="54" dataDxfId="630"/>
    <tableColumn id="55" xr3:uid="{28736489-888F-4577-9161-41D7EE4F1A23}" uniqueName="55" name="Τόνος 1 - Μόλις να ακούγεται rating" queryTableFieldId="55" dataDxfId="629"/>
    <tableColumn id="56" xr3:uid="{7C7AEA39-CD86-4E02-8AB5-37B589CA4ED0}" uniqueName="56" name="Time (s)27" queryTableFieldId="56" dataDxfId="628"/>
    <tableColumn id="57" xr3:uid="{A6300132-5E9C-4DD9-BADA-303D9B4C66AE}" uniqueName="57" name="Τόνος 1 - Ελάχιστα ενοχλητικός rating" queryTableFieldId="57" dataDxfId="627"/>
    <tableColumn id="58" xr3:uid="{9F96827A-8063-4096-A474-1BBE0BF0BD09}" uniqueName="58" name="Time (s)28" queryTableFieldId="58" dataDxfId="626"/>
    <tableColumn id="59" xr3:uid="{6222A97F-7DF5-4FF3-962D-C418CE2FEB13}" uniqueName="59" name="Τόνος 2 - Μόλις να ακούγεται rating" queryTableFieldId="59" dataDxfId="625"/>
    <tableColumn id="60" xr3:uid="{1E852A28-7910-40B4-86B7-5BB24CA93E18}" uniqueName="60" name="Time (s)29" queryTableFieldId="60" dataDxfId="624"/>
    <tableColumn id="61" xr3:uid="{106C9AFF-5F4D-4018-951C-55B490C83F18}" uniqueName="61" name="Τόνος 2 - Ελάχιστα ενοχλητικός rating" queryTableFieldId="61" dataDxfId="623"/>
    <tableColumn id="62" xr3:uid="{4F2EF10F-B39E-4C46-A095-0CD438B9219D}" uniqueName="62" name="Time (s)30" queryTableFieldId="62" dataDxfId="622"/>
    <tableColumn id="63" xr3:uid="{935B8DA4-324E-4F24-B847-CF3876452A83}" uniqueName="63" name="Τόνος 3 - Μόλις να ακούγεται rating" queryTableFieldId="63" dataDxfId="621"/>
    <tableColumn id="64" xr3:uid="{BB18E85D-3E59-4AB1-9457-3E55D1886017}" uniqueName="64" name="Time (s)31" queryTableFieldId="64" dataDxfId="620"/>
    <tableColumn id="65" xr3:uid="{E9B86BD1-DDDF-4837-90D2-14CF50B2B3A1}" uniqueName="65" name="Τόνος 3 - Ελάχιστα ενοχλητικός rating" queryTableFieldId="65" dataDxfId="619"/>
    <tableColumn id="66" xr3:uid="{6CBF3FDD-90E4-4EDB-826A-1C553506FAB4}" uniqueName="66" name="Time (s)32" queryTableFieldId="66" dataDxfId="618"/>
    <tableColumn id="67" xr3:uid="{3EC9595C-74D9-4595-A113-D860B1387A9B}" uniqueName="67" name="Τόνος 4 - Μόλις να ακούγεται rating" queryTableFieldId="67" dataDxfId="617"/>
    <tableColumn id="68" xr3:uid="{28C7BAF1-1956-4A76-BDA9-C3E120CFD789}" uniqueName="68" name="Time (s)33" queryTableFieldId="68" dataDxfId="616"/>
    <tableColumn id="69" xr3:uid="{57EB8EB5-BBCA-4958-9D91-8FEA115F9B8F}" uniqueName="69" name="Τόνος 4 - Ελάχιστα ενοχλητικός rating" queryTableFieldId="69" dataDxfId="615"/>
    <tableColumn id="70" xr3:uid="{BA15CB7C-46C7-4561-A502-771EAD361243}" uniqueName="70" name="Time (s)34" queryTableFieldId="70" dataDxfId="614"/>
    <tableColumn id="71" xr3:uid="{A753F616-3C52-4E8B-B556-7580D997E395}" uniqueName="71" name="Τόνος 5 - Μόλις να ακούγεται rating" queryTableFieldId="71" dataDxfId="613"/>
    <tableColumn id="72" xr3:uid="{CF2FCDB9-BBCF-45E9-8595-EA57BBA7F541}" uniqueName="72" name="Time (s)35" queryTableFieldId="72" dataDxfId="612"/>
    <tableColumn id="73" xr3:uid="{B3EBB37F-3DC1-4FA2-B9E7-8B9C234D09C6}" uniqueName="73" name="Τόνος 5 - Ελάχιστα ενοχλητικός rating" queryTableFieldId="73" dataDxfId="611"/>
    <tableColumn id="74" xr3:uid="{B92DCFB0-5AF7-482F-8E1F-2BA6205FCA11}" uniqueName="74" name="Time (s)36" queryTableFieldId="74" dataDxfId="610"/>
    <tableColumn id="75" xr3:uid="{0197A324-AA67-4138-8547-EF1283F3AA66}" uniqueName="75" name="Τόνος 6 - Μόλις να ακούγεται rating" queryTableFieldId="75" dataDxfId="609"/>
    <tableColumn id="76" xr3:uid="{8F8733D8-9022-4D2F-8E8D-2014228B2C44}" uniqueName="76" name="Time (s)37" queryTableFieldId="76" dataDxfId="608"/>
    <tableColumn id="77" xr3:uid="{9941A906-33B3-4812-8308-E607FC27E086}" uniqueName="77" name="Τόνος 6 - Ελάχιστα ενοχλητικός rating" queryTableFieldId="77" dataDxfId="607"/>
    <tableColumn id="78" xr3:uid="{F7470BC1-8CC5-4E0A-A2A8-95E803A1678E}" uniqueName="78" name="Time (s)38" queryTableFieldId="78" dataDxfId="606"/>
    <tableColumn id="79" xr3:uid="{0E2B7BE6-0028-48C9-8DB7-B437A136FF2F}" uniqueName="79" name="Τόνος 7 - Μόλις να ακούγεται rating" queryTableFieldId="79" dataDxfId="605"/>
    <tableColumn id="80" xr3:uid="{E5C92D59-DCCD-4B56-96EA-F827369212C1}" uniqueName="80" name="Time (s)39" queryTableFieldId="80" dataDxfId="604"/>
    <tableColumn id="81" xr3:uid="{C4ACB5AC-4ADE-45F3-A84A-523B62255D51}" uniqueName="81" name="Τόνος 7 - Ελάχιστα ενοχλητικός rating" queryTableFieldId="81" dataDxfId="603"/>
    <tableColumn id="82" xr3:uid="{318C2E11-BDD0-4E73-B766-272DBF780830}" uniqueName="82" name="Time (s)40" queryTableFieldId="82" dataDxfId="602"/>
    <tableColumn id="83" xr3:uid="{A17CAF07-9D52-4DFC-9F82-555108DE7322}" uniqueName="83" name="Τόνος 8 - Μόλις να ακούγεται rating" queryTableFieldId="83" dataDxfId="601"/>
    <tableColumn id="84" xr3:uid="{E5DAD5EE-EE24-4C37-8BBC-31EE7328A58A}" uniqueName="84" name="Time (s)41" queryTableFieldId="84" dataDxfId="600"/>
    <tableColumn id="85" xr3:uid="{C6966FC1-6779-403B-BE95-FE56A22A9605}" uniqueName="85" name="Τόνος 8 - Ελάχιστα ενοχλητικός rating" queryTableFieldId="85" dataDxfId="599"/>
    <tableColumn id="86" xr3:uid="{10266790-A1DC-4047-9B33-62B110FDAC89}" uniqueName="86" name="Time (s)42" queryTableFieldId="86" dataDxfId="598"/>
    <tableColumn id="87" xr3:uid="{803C1D8B-5FBA-408C-A870-2D8C29009882}" uniqueName="87" name="Τόνος 9 - Μόλις να ακούγεται rating" queryTableFieldId="87" dataDxfId="597"/>
    <tableColumn id="88" xr3:uid="{47DC3269-D55F-41D3-8052-2F5531074AC5}" uniqueName="88" name="Time (s)43" queryTableFieldId="88" dataDxfId="596"/>
    <tableColumn id="89" xr3:uid="{BFB17658-E6EF-46FD-A422-E48F62365200}" uniqueName="89" name="Τόνος 9 - Ελάχιστα ενοχλητικός rating" queryTableFieldId="89" dataDxfId="595"/>
    <tableColumn id="90" xr3:uid="{E1B723DA-DF4D-4902-B050-772117465128}" uniqueName="90" name="Time (s)44" queryTableFieldId="90" dataDxfId="594"/>
    <tableColumn id="91" xr3:uid="{CA607687-E639-43F3-91BE-0026C9CBF971}" uniqueName="91" name="Τόνος 10 - Μόλις να ακούγεται rating" queryTableFieldId="91" dataDxfId="593"/>
    <tableColumn id="92" xr3:uid="{679A4CCD-A62A-48A8-806A-01F257224C58}" uniqueName="92" name="Time (s)45" queryTableFieldId="92" dataDxfId="592"/>
    <tableColumn id="93" xr3:uid="{B19E6251-BE04-44F2-BBD9-E3965669A360}" uniqueName="93" name="Τόνος 10 - Ελάχιστα ενοχλητικός rating" queryTableFieldId="93" dataDxfId="591"/>
    <tableColumn id="94" xr3:uid="{9E8E48E4-3AD2-401A-BBEA-30489F6953B5}" uniqueName="94" name="Time (s)46" queryTableFieldId="94" dataDxfId="590"/>
    <tableColumn id="95" xr3:uid="{B104787D-AA01-416B-B894-E8D924D871B5}" uniqueName="95" name="Τόνος 11 - Μόλις να ακούγεται rating" queryTableFieldId="95" dataDxfId="589"/>
    <tableColumn id="96" xr3:uid="{8511DBF2-B5F5-4E70-823C-2C170BE6D24D}" uniqueName="96" name="Time (s)47" queryTableFieldId="96" dataDxfId="588"/>
    <tableColumn id="97" xr3:uid="{D12F8506-4725-414B-AD24-964A12AB95B3}" uniqueName="97" name="Τόνος 11 - Ελάχιστα ενοχλητικός rating" queryTableFieldId="97" dataDxfId="587"/>
    <tableColumn id="98" xr3:uid="{09B999F2-205D-47BB-A150-15D353DA6506}" uniqueName="98" name="Time (s)48" queryTableFieldId="98" dataDxfId="586"/>
    <tableColumn id="99" xr3:uid="{ABEB13D8-A0B1-4EC2-9CE4-BD57FF540C1B}" uniqueName="99" name="Τόνος 12 - Μόλις να ακούγεται rating" queryTableFieldId="99" dataDxfId="585"/>
    <tableColumn id="100" xr3:uid="{18D5F93B-6A4C-4F2D-B353-D2C49F0086AE}" uniqueName="100" name="Time (s)49" queryTableFieldId="100" dataDxfId="584"/>
    <tableColumn id="101" xr3:uid="{95F323BF-2E7C-4CF4-AB96-9023C0CD4A98}" uniqueName="101" name="Τόνος 12 - Ελάχιστα ενοχλητικός rating" queryTableFieldId="101" dataDxfId="583"/>
    <tableColumn id="102" xr3:uid="{8D324BC7-F553-40BF-9A77-C407CE6C4FCE}" uniqueName="102" name="Time (s)50" queryTableFieldId="102" dataDxfId="582"/>
    <tableColumn id="103" xr3:uid="{2BB3AC82-919E-464B-AD51-1C0D22076FFC}" uniqueName="103" name="Τόνος 13 - Μόλις να ακούγεται rating" queryTableFieldId="103" dataDxfId="581"/>
    <tableColumn id="104" xr3:uid="{CCB2BF34-E6F6-49A4-8AB9-8550361058BC}" uniqueName="104" name="Time (s)51" queryTableFieldId="104" dataDxfId="580"/>
    <tableColumn id="105" xr3:uid="{BA7FEA9B-9E0D-4169-B964-81A2DCDD94F9}" uniqueName="105" name="Τόνος 13 - Ελάχιστα ενοχλητικός rating" queryTableFieldId="105" dataDxfId="579"/>
    <tableColumn id="106" xr3:uid="{28C3A672-5E55-4851-8F3F-C7940253660A}" uniqueName="106" name="Time (s)52" queryTableFieldId="106" dataDxfId="578"/>
    <tableColumn id="107" xr3:uid="{C5A0B4FB-6120-4D7F-8519-F10B4C6330C0}" uniqueName="107" name="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 queryTableFieldId="107" dataDxfId="577"/>
    <tableColumn id="108" xr3:uid="{B7850567-73BD-4609-AB0E-428845B0474A}" uniqueName="108" name="Time (s)53" queryTableFieldId="108" dataDxfId="576"/>
    <tableColumn id="109" xr3:uid="{D1309D66-DC38-4F6B-B271-4E8A178A378A}" uniqueName="109" name="Μπορείτε είτε να χρησιμοποιήσετε το παρακάτω πλαίσιο ή να στείλετε email στο a.mourgela@qmul.ac.uk" queryTableFieldId="109" dataDxfId="575"/>
    <tableColumn id="110" xr3:uid="{3B392A87-7B60-4F2A-812D-A3A640AFB174}" uniqueName="110" name="Time (s)54" queryTableFieldId="110" dataDxfId="574"/>
    <tableColumn id="111" xr3:uid="{324AADDF-469A-4416-A68D-A70D5BA198BB}" uniqueName="111" name=" Τέλος της μελέτης, παρακαλούμε πατήστε &quot;submit&quot; και μπορείτε να κλείσετε αυτήν τη σελίδα." queryTableFieldId="111" dataDxfId="573"/>
    <tableColumn id="112" xr3:uid="{1C1CEB9B-3B0D-42E9-A5EB-FC885774244B}" uniqueName="112" name="Time (s)55" queryTableFieldId="112" dataDxfId="5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525ED-26B5-4EBA-AB4D-DBAD322B7A64}" name="female_nomig_response" displayName="female_nomig_response" ref="A1:DB29" tableType="queryTable" totalsRowShown="0" headerRowDxfId="571">
  <autoFilter ref="A1:DB29" xr:uid="{043525ED-26B5-4EBA-AB4D-DBAD322B7A64}"/>
  <tableColumns count="106">
    <tableColumn id="1" xr3:uid="{C56D3853-D0D1-4244-A92A-EFF02297806E}" uniqueName="1" name="Name" queryTableFieldId="1" dataDxfId="570"/>
    <tableColumn id="2" xr3:uid="{A29FA635-32C8-4E12-AC7B-D132B7897353}" uniqueName="2" name="Date" queryTableFieldId="2" dataDxfId="569"/>
    <tableColumn id="3" xr3:uid="{140D9FD2-AEBF-4DA3-9203-D695A2C9EAEF}" uniqueName="3" name="Please enter your Prolific ID in the box below: " queryTableFieldId="3" dataDxfId="568"/>
    <tableColumn id="4" xr3:uid="{449D4F36-70E0-4689-8479-BEA3A68BB7F7}" uniqueName="4" name="Time (s)" queryTableFieldId="4" dataDxfId="567"/>
    <tableColumn id="5" xr3:uid="{13527C05-201A-43AD-A861-C8906F4469E4}" uniqueName="5" name="Before you proceed follow the link below to view and download the participant information sheet. Please take the time to review the information carefully, you may keep a copy of the document for your records. \_x000a_Click on the link to read the  document: [Li" queryTableFieldId="5" dataDxfId="566"/>
    <tableColumn id="6" xr3:uid="{9B8AA555-6F65-4FD6-ACA0-F7F1DE7549B9}" uniqueName="6" name="Time (s)2" queryTableFieldId="6" dataDxfId="565"/>
    <tableColumn id="7" xr3:uid="{B8E63487-9BF2-4F03-A1FF-AD02DE56FB59}" uniqueName="7" name="**Title of Research Study:** Investigation of frequency-specific loudness discomfort levels, in listeners with migraine-related hypersensitivity to sound. _x000a__x000a_**Principal Investigator:** Joshua D.Reiss \_x000a_**Queen Mary Ethics of Research Committee Ref**: QMER" queryTableFieldId="7" dataDxfId="564"/>
    <tableColumn id="8" xr3:uid="{16E8CCC4-7031-4DCF-96A2-77B1CB60DCC7}" uniqueName="8" name="Time (s)3" queryTableFieldId="8" dataDxfId="563"/>
    <tableColumn id="9" xr3:uid="{1C5A733B-AD5D-4552-9201-004DF7C89E2C}" uniqueName="9" name="Are you 18 years old or older? (**Notice**: *this study is targeted towards participants over 18, if you are less than 18 years old, thank you for your interest but you are not eligible for this study*)" queryTableFieldId="9" dataDxfId="562"/>
    <tableColumn id="10" xr3:uid="{E023D1A9-2E6F-495A-BFB4-76329733415B}" uniqueName="10" name="Time (s)4" queryTableFieldId="10" dataDxfId="561"/>
    <tableColumn id="11" xr3:uid="{2A1102E1-E3AB-44B0-901A-D107ADF10474}" uniqueName="11" name=" Have you ever been diagnosed with or experience any form of hearing loss? (**Notice**: *This study is targeted towards participants with **no** prior diagnosis or experience of hearing loss, if you are experiencing hearing loss thank you for your interes" queryTableFieldId="11" dataDxfId="560"/>
    <tableColumn id="12" xr3:uid="{3F799C3B-B927-4A21-9301-7E787AB9373C}" uniqueName="12" name="Time (s)5" queryTableFieldId="12" dataDxfId="559"/>
    <tableColumn id="13" xr3:uid="{4318D117-57C9-4064-9700-A86BDE8A739E}" uniqueName="13" name="Please select your age group:" queryTableFieldId="13" dataDxfId="558"/>
    <tableColumn id="14" xr3:uid="{AE7DB37D-6A42-4D39-83BC-492666D810E9}" uniqueName="14" name="Time (s)6" queryTableFieldId="14" dataDxfId="557"/>
    <tableColumn id="15" xr3:uid="{4C3B828C-1D79-4A2B-85E2-CD25D789595E}" uniqueName="15" name="Please select your sex:" queryTableFieldId="15" dataDxfId="556"/>
    <tableColumn id="16" xr3:uid="{0EE8BDAC-E703-417E-ACD2-FB4A62E66146}" uniqueName="16" name="Time (s)7" queryTableFieldId="16" dataDxfId="555"/>
    <tableColumn id="17" xr3:uid="{AF505FD6-4434-4E19-B6EE-8E3EAC8A4A53}" uniqueName="17" name="Have you ever been diagnosed with or experience any form of migraine? " queryTableFieldId="17" dataDxfId="554"/>
    <tableColumn id="18" xr3:uid="{2F858F5E-A6B9-4F8C-8527-C1DCD7E5385B}" uniqueName="18" name="Time (s)8" queryTableFieldId="18" dataDxfId="553"/>
    <tableColumn id="19" xr3:uid="{1FB0760C-2527-43EE-A37D-564B77E05459}" uniqueName="19" name="Have you ever received a medical diagnosis for your migraines? " queryTableFieldId="19" dataDxfId="552"/>
    <tableColumn id="20" xr3:uid="{4C181937-7AA3-4DC2-861C-1DF060E4115C}" uniqueName="20" name="Time (s)9" queryTableFieldId="20" dataDxfId="551"/>
    <tableColumn id="21" xr3:uid="{BA1AF0FE-5E02-41BC-B8EC-A971C80EC390}" uniqueName="21" name="Do you receive any medication for your migraine (prophylactic or on symptomatic)? " queryTableFieldId="21" dataDxfId="550"/>
    <tableColumn id="22" xr3:uid="{73EC90A2-8F8F-4355-8E27-06801D2904FC}" uniqueName="22" name="Time (s)10" queryTableFieldId="22" dataDxfId="549"/>
    <tableColumn id="23" xr3:uid="{38131EDC-7721-4CB3-9AAB-DF796BD211D8}" uniqueName="23" name="Please write down the name of the medication you are receiving in the box below. (If not available please write &quot;N/A&quot;)" queryTableFieldId="23" dataDxfId="548"/>
    <tableColumn id="24" xr3:uid="{83D9A179-FB30-4C85-8609-D965AA0A63AB}" uniqueName="24" name="Time (s)11" queryTableFieldId="24" dataDxfId="547"/>
    <tableColumn id="25" xr3:uid="{A7F6F18B-63AF-4A3E-948A-AB83FC6A0357}" uniqueName="25" name="You have reported experiencing and/or being diagnosed with migraines. Does the following statement apply to you? Sounds that others believe are moderately loud are too loud to me. " queryTableFieldId="25" dataDxfId="546"/>
    <tableColumn id="26" xr3:uid="{EECD9AD2-785E-454C-8884-2CA9C82577A8}" uniqueName="26" name="Time (s)12" queryTableFieldId="26" dataDxfId="545"/>
    <tableColumn id="27" xr3:uid="{D2AB8137-08E7-4A45-94C3-EB12E247CADE}" uniqueName="27" name="How long have you noticed this phenomenon?" queryTableFieldId="27" dataDxfId="544"/>
    <tableColumn id="28" xr3:uid="{AC5ED88D-8150-4A45-8DEB-71D7A19A5321}" uniqueName="28" name="Time (s)13" queryTableFieldId="28" dataDxfId="543"/>
    <tableColumn id="29" xr3:uid="{58FD0790-83C5-4DB6-8332-BCBF2BED821F}" uniqueName="29" name="Which ear(s) seems to be affected by this phenomenon:" queryTableFieldId="29" dataDxfId="542"/>
    <tableColumn id="30" xr3:uid="{7CE161F4-A65D-4840-82CE-640888725252}" uniqueName="30" name="Time (s)14" queryTableFieldId="30" dataDxfId="541"/>
    <tableColumn id="31" xr3:uid="{4E48F3F0-6576-4739-B884-B4F41B9724D7}" uniqueName="31" name="Does this phenomenon appear to coincide with your migraines? " queryTableFieldId="31" dataDxfId="540"/>
    <tableColumn id="32" xr3:uid="{E9281874-D328-4337-A61F-04DC0A37D950}" uniqueName="32" name="Time (s)15" queryTableFieldId="32" dataDxfId="539"/>
    <tableColumn id="33" xr3:uid="{7AC47D5E-9D7A-4F14-AA5E-74F36A9A995F}" uniqueName="33" name="When does this phenomenon occur (select all that apply)" queryTableFieldId="33" dataDxfId="538"/>
    <tableColumn id="34" xr3:uid="{513B0419-75C2-49C3-AFCF-69F73467080B}" uniqueName="34" name="Time (s)16" queryTableFieldId="34" dataDxfId="537"/>
    <tableColumn id="35" xr3:uid="{8A4BF467-6F44-4525-AF7D-D4E591BC62B6}" uniqueName="35" name=" Which of the following sounds or events are often too loud for you (select all that apply)?" queryTableFieldId="35" dataDxfId="536"/>
    <tableColumn id="36" xr3:uid="{BFFCCD85-CFB6-44EB-9292-A668A15F19C9}" uniqueName="36" name="Time (s)17" queryTableFieldId="36" dataDxfId="535"/>
    <tableColumn id="37" xr3:uid="{5C038D14-B3C0-4448-94B6-E63AF343DDE7}" uniqueName="37" name="How often do you experience migraines?" queryTableFieldId="37" dataDxfId="534"/>
    <tableColumn id="38" xr3:uid="{A219F351-D8E7-4BF1-A16B-49D712708262}" uniqueName="38" name="Time (s)18" queryTableFieldId="38" dataDxfId="533"/>
    <tableColumn id="39" xr3:uid="{6D8E10F8-A23D-411B-87E6-0710B99C9CA8}" uniqueName="39" name="Rate the severity of your migraines on a scale of 0 to 100." queryTableFieldId="39" dataDxfId="532"/>
    <tableColumn id="40" xr3:uid="{8BA9A96F-B34D-4F31-8B77-095E504ED758}" uniqueName="40" name="Time (s)19" queryTableFieldId="40" dataDxfId="531"/>
    <tableColumn id="41" xr3:uid="{A915D14A-785F-41BD-AFB5-6F9C7307AB2D}" uniqueName="41" name="Are you experiencing a migraine or an aura (*sensory disturbances that happen shortly before a migraine*) right now?" queryTableFieldId="41" dataDxfId="530"/>
    <tableColumn id="42" xr3:uid="{662E6624-CE69-4807-856A-6020888358BD}" uniqueName="42" name="Time (s)20" queryTableFieldId="42" dataDxfId="529"/>
    <tableColumn id="43" xr3:uid="{813EC611-324D-44B3-9193-0DE82EA3FFEF}" uniqueName="43" name="Thank you for completing the questionnaire. The next section of this study included the listening test. Please have your headphones ready for use. " queryTableFieldId="43" dataDxfId="528"/>
    <tableColumn id="44" xr3:uid="{E6FD5C77-C8E5-4CBD-8551-3977663BDD36}" uniqueName="44" name="Time (s)21" queryTableFieldId="44" dataDxfId="527"/>
    <tableColumn id="45" xr3:uid="{7964A98A-6A87-4E24-B966-077D8B3FDECC}" uniqueName="45" name="Calibration for hardware volume  " queryTableFieldId="45" dataDxfId="526"/>
    <tableColumn id="46" xr3:uid="{9B6BEADA-A983-4A0A-8FF7-23EF6D217DDF}" uniqueName="46" name="Time (s)22" queryTableFieldId="46" dataDxfId="525"/>
    <tableColumn id="47" xr3:uid="{1482A68A-4B67-4E55-B28A-DB6ED6F4EE90}" uniqueName="47" name="I confirm that I followed the calibration process as instructed and that the listening levels on my computer are **not** extremely loud or uncomfortable. I confirm that I will **not** perform any further adjustments to the master volume of my computer for" queryTableFieldId="47" dataDxfId="524"/>
    <tableColumn id="48" xr3:uid="{551C7409-C45D-45FB-97E6-9480CF8DB87E}" uniqueName="48" name="Time (s)23" queryTableFieldId="48" dataDxfId="523"/>
    <tableColumn id="49" xr3:uid="{B3149593-55C0-4D0F-ADD9-F3826E9D30B5}" uniqueName="49" name="Stereo Check " queryTableFieldId="49" dataDxfId="522"/>
    <tableColumn id="50" xr3:uid="{6A4DF7BF-4287-45A7-9B5F-B46393667BBF}" uniqueName="50" name="Time (s)24" queryTableFieldId="50" dataDxfId="521"/>
    <tableColumn id="51" xr3:uid="{BB889E59-22B4-4136-BAC2-F991610E438A}" uniqueName="51" name="You will shortly be taken to the main test. You will be presented with a series of sliders, each corresponding to a pure tone signal. You will first be asked to adjust the volume of the slider until the tone is barely audible. _x000a_* **Please only adjust the " queryTableFieldId="51" dataDxfId="520"/>
    <tableColumn id="52" xr3:uid="{F1209DA9-B06D-4982-9AE7-0295B068C001}" uniqueName="52" name="Time (s)25" queryTableFieldId="52" dataDxfId="519"/>
    <tableColumn id="53" xr3:uid="{F00317FB-0362-4D77-A6C9-44830E8D81FF}" uniqueName="53" name="Tone 1 - Just audible rating" queryTableFieldId="53" dataDxfId="518"/>
    <tableColumn id="54" xr3:uid="{6AFBE809-1B49-4B5C-B743-902FD819C398}" uniqueName="54" name="Time (s)26" queryTableFieldId="54" dataDxfId="517"/>
    <tableColumn id="55" xr3:uid="{9419831B-6066-4148-B4BB-1B62784C08DE}" uniqueName="55" name="Tone 1 - Mildly uncomfortable rating" queryTableFieldId="55" dataDxfId="516"/>
    <tableColumn id="56" xr3:uid="{1F0E8906-6B6E-41D9-8194-04FBA7FDFB7F}" uniqueName="56" name="Time (s)27" queryTableFieldId="56" dataDxfId="515"/>
    <tableColumn id="57" xr3:uid="{A1A49CD6-EEA1-40C8-8DB4-1685579382FB}" uniqueName="57" name="Tone 2 - Just audible rating" queryTableFieldId="57" dataDxfId="514"/>
    <tableColumn id="58" xr3:uid="{D379E944-866E-48BF-B884-91101C1C8513}" uniqueName="58" name="Time (s)28" queryTableFieldId="58" dataDxfId="513"/>
    <tableColumn id="59" xr3:uid="{0D9E5CF6-8B7C-4F94-88F8-3AE6C2A662A3}" uniqueName="59" name="Tone 2 - Mildly uncomfortable rating" queryTableFieldId="59" dataDxfId="512"/>
    <tableColumn id="60" xr3:uid="{9BBA7077-A9C8-470A-B9ED-83E8F373CF3D}" uniqueName="60" name="Time (s)29" queryTableFieldId="60" dataDxfId="511"/>
    <tableColumn id="61" xr3:uid="{F8359A85-A1D5-4B1B-9A79-52AF1850D3BA}" uniqueName="61" name="Tone 3 - Just audible rating" queryTableFieldId="61" dataDxfId="510"/>
    <tableColumn id="62" xr3:uid="{8AB788A2-5FD8-4E45-95D8-FC830F563D07}" uniqueName="62" name="Time (s)30" queryTableFieldId="62" dataDxfId="509"/>
    <tableColumn id="63" xr3:uid="{4475C423-C411-46C8-BB4B-50845A5E6532}" uniqueName="63" name="Tone 3 - Mildly uncomfortable rating" queryTableFieldId="63" dataDxfId="508"/>
    <tableColumn id="64" xr3:uid="{6DBD055D-7E7D-45B1-AACF-E6D1E81A98DC}" uniqueName="64" name="Time (s)31" queryTableFieldId="64" dataDxfId="507"/>
    <tableColumn id="65" xr3:uid="{52F53D24-2F20-4D93-BD55-A838EEC4C0F9}" uniqueName="65" name="Tone 4 - Just audible rating" queryTableFieldId="65" dataDxfId="506"/>
    <tableColumn id="66" xr3:uid="{51D3BB3A-024B-41EE-A837-A9645A4D7EF9}" uniqueName="66" name="Time (s)32" queryTableFieldId="66" dataDxfId="505"/>
    <tableColumn id="67" xr3:uid="{83B2A8CD-7971-48A1-8908-42AD4C711DBA}" uniqueName="67" name="Tone 4 - Mildly uncomfortable rating" queryTableFieldId="67" dataDxfId="504"/>
    <tableColumn id="68" xr3:uid="{BFCBAA83-F285-4242-904F-33A1251D17DF}" uniqueName="68" name="Time (s)33" queryTableFieldId="68" dataDxfId="503"/>
    <tableColumn id="69" xr3:uid="{208D0C66-9DE5-4123-8638-3F6627A32196}" uniqueName="69" name="Tone 5 - Just audible rating" queryTableFieldId="69" dataDxfId="502"/>
    <tableColumn id="70" xr3:uid="{731D59B0-94C0-4B49-A80D-DAB0B4CD0C9B}" uniqueName="70" name="Time (s)34" queryTableFieldId="70" dataDxfId="501"/>
    <tableColumn id="71" xr3:uid="{67543CB3-DBB6-4820-A3A3-7CE4E436C9FE}" uniqueName="71" name="Tone 5 - Mildly uncomfortable rating" queryTableFieldId="71" dataDxfId="500"/>
    <tableColumn id="72" xr3:uid="{B42CA183-BBD2-42B1-921F-CDAD5A35543C}" uniqueName="72" name="Time (s)35" queryTableFieldId="72" dataDxfId="499"/>
    <tableColumn id="73" xr3:uid="{6F529E83-62BD-4967-8522-62B5934ADFC6}" uniqueName="73" name="Tone 6 - Just audible rating" queryTableFieldId="73" dataDxfId="498"/>
    <tableColumn id="74" xr3:uid="{6EBE61AB-6074-43DB-B23D-8C37B5D96E59}" uniqueName="74" name="Time (s)36" queryTableFieldId="74" dataDxfId="497"/>
    <tableColumn id="75" xr3:uid="{CDCF15FB-82CE-49B9-B9BF-9375B63DD3FC}" uniqueName="75" name="Tone 6- Mildly uncomfortable rating" queryTableFieldId="75" dataDxfId="496"/>
    <tableColumn id="76" xr3:uid="{1DFB2D84-A93B-44CA-8860-4AC70B4EE056}" uniqueName="76" name="Time (s)37" queryTableFieldId="76" dataDxfId="495"/>
    <tableColumn id="77" xr3:uid="{8BF86D42-5661-4961-8A9C-2EE3BAE2F120}" uniqueName="77" name="Tone 7 - Just audible rating" queryTableFieldId="77" dataDxfId="494"/>
    <tableColumn id="78" xr3:uid="{242C370D-AEE6-4BBB-81FD-2CEB77AA0327}" uniqueName="78" name="Time (s)38" queryTableFieldId="78" dataDxfId="493"/>
    <tableColumn id="79" xr3:uid="{B0FABBAA-CFE5-4512-9EEC-39453EDB652A}" uniqueName="79" name="Tone 7- Mildly uncomfortable rating" queryTableFieldId="79" dataDxfId="492"/>
    <tableColumn id="80" xr3:uid="{F116AEBA-9D47-4B92-BDB2-9638A0311135}" uniqueName="80" name="Time (s)39" queryTableFieldId="80" dataDxfId="491"/>
    <tableColumn id="81" xr3:uid="{6D7EAC68-525A-45FB-933D-3C25226FE73C}" uniqueName="81" name="Tone 8 - Just audible rating" queryTableFieldId="81" dataDxfId="490"/>
    <tableColumn id="82" xr3:uid="{B5E10C82-BEF5-4FC7-8030-0105CFF9D833}" uniqueName="82" name="Time (s)40" queryTableFieldId="82" dataDxfId="489"/>
    <tableColumn id="83" xr3:uid="{ECF01328-1333-454B-8E91-509856C52777}" uniqueName="83" name="Tone 8- Mildly uncomfortable rating" queryTableFieldId="83" dataDxfId="488"/>
    <tableColumn id="84" xr3:uid="{CA1374FB-C0D5-438A-B0DB-B94CA81587B8}" uniqueName="84" name="Time (s)41" queryTableFieldId="84" dataDxfId="487"/>
    <tableColumn id="85" xr3:uid="{22B22206-3C2E-450A-8A8C-73B9843FE273}" uniqueName="85" name="Tone 9 - Just audible rating" queryTableFieldId="85" dataDxfId="486"/>
    <tableColumn id="86" xr3:uid="{7B6A43C0-09E2-40AA-99F7-B47286FB3903}" uniqueName="86" name="Time (s)42" queryTableFieldId="86" dataDxfId="485"/>
    <tableColumn id="87" xr3:uid="{B33696B2-6DF9-4F17-B53D-A7B99131E251}" uniqueName="87" name="Tone 9- Mildly uncomfortable rating" queryTableFieldId="87" dataDxfId="484"/>
    <tableColumn id="88" xr3:uid="{448D7E08-D1E3-4B95-9975-1F9FC53A3993}" uniqueName="88" name="Time (s)43" queryTableFieldId="88" dataDxfId="483"/>
    <tableColumn id="89" xr3:uid="{B7F844B7-B069-40E8-8CE6-5FEFA675E078}" uniqueName="89" name="Tone 10 - Just audible rating" queryTableFieldId="89" dataDxfId="482"/>
    <tableColumn id="90" xr3:uid="{97CE2EA7-A113-4D4A-8096-85B51C7F6BEE}" uniqueName="90" name="Time (s)44" queryTableFieldId="90" dataDxfId="481"/>
    <tableColumn id="91" xr3:uid="{AE5F8326-1AB8-4EA8-840A-2FBE357191C3}" uniqueName="91" name="Tone 10- Mildly uncomfortable rating" queryTableFieldId="91" dataDxfId="480"/>
    <tableColumn id="92" xr3:uid="{D2017ED7-B963-4EE4-91F9-DE300634FC9C}" uniqueName="92" name="Time (s)45" queryTableFieldId="92" dataDxfId="479"/>
    <tableColumn id="93" xr3:uid="{5A7123B4-B04C-4580-9D73-48A74F89CE8D}" uniqueName="93" name="Tone 11 - Just audible rating" queryTableFieldId="93" dataDxfId="478"/>
    <tableColumn id="94" xr3:uid="{ECAA116C-ECB5-4065-B8A8-FF378127FDCC}" uniqueName="94" name="Time (s)46" queryTableFieldId="94" dataDxfId="477"/>
    <tableColumn id="95" xr3:uid="{06993C6F-28D3-451F-9691-AF30FF0961F8}" uniqueName="95" name="Tone 11- Mildly uncomfortable rating" queryTableFieldId="95" dataDxfId="476"/>
    <tableColumn id="96" xr3:uid="{531B9DC8-D836-42D1-8117-0C94DB9EC369}" uniqueName="96" name="Time (s)47" queryTableFieldId="96" dataDxfId="475"/>
    <tableColumn id="97" xr3:uid="{7A8F342E-A000-4F51-8466-255A238EB68E}" uniqueName="97" name="Tone 12 - Just audible rating" queryTableFieldId="97" dataDxfId="474"/>
    <tableColumn id="98" xr3:uid="{AB5AC9F5-A286-471D-B75D-877FD9A00B4C}" uniqueName="98" name="Time (s)48" queryTableFieldId="98" dataDxfId="473"/>
    <tableColumn id="99" xr3:uid="{B6B182B4-BD54-440B-A0BA-4759742CE168}" uniqueName="99" name="Tone 12- Mildly uncomfortable rating" queryTableFieldId="99" dataDxfId="472"/>
    <tableColumn id="100" xr3:uid="{0288D167-A00B-4650-847A-5141527656FF}" uniqueName="100" name="Time (s)49" queryTableFieldId="100" dataDxfId="471"/>
    <tableColumn id="101" xr3:uid="{BEDFA1E1-BE9B-414F-98E4-F4A6EFD27F94}" uniqueName="101" name="Tone 13 - Just audible rating" queryTableFieldId="101" dataDxfId="470"/>
    <tableColumn id="102" xr3:uid="{56B1F11A-FF3B-46D0-A5CA-EFCAFBF5B52A}" uniqueName="102" name="Time (s)50" queryTableFieldId="102" dataDxfId="469"/>
    <tableColumn id="103" xr3:uid="{5E15BC10-C201-4555-BECB-869464EAEAC1}" uniqueName="103" name="Tone 13- Mildly uncomfortable rating" queryTableFieldId="103" dataDxfId="468"/>
    <tableColumn id="104" xr3:uid="{42BF8180-DB6E-4E26-9AD7-41F0EAA892F9}" uniqueName="104" name="Time (s)51" queryTableFieldId="104" dataDxfId="467"/>
    <tableColumn id="105" xr3:uid="{3CEB7948-A328-4F92-A096-F7E52D19E34B}" uniqueName="105" name="Thank you for taking part in our study! Please copy and paste the code **B7E90FB4** in the Prolific app to receive your payment. Before you leave this page make sure you click **Submit**  for your participation to go through. " queryTableFieldId="105" dataDxfId="466"/>
    <tableColumn id="106" xr3:uid="{B2C0E57A-1EBD-401B-9F3E-48F51084E68E}" uniqueName="106" name="Time (s)52" queryTableFieldId="106" dataDxfId="4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C918AB-BB56-4520-8B8E-139312B381DF}" name="Table13" displayName="Table13" ref="A1:O51" totalsRowCount="1" headerRowDxfId="464">
  <autoFilter ref="A1:O50" xr:uid="{47C918AB-BB56-4520-8B8E-139312B381DF}"/>
  <tableColumns count="15">
    <tableColumn id="1" xr3:uid="{82C1E976-3291-45B8-A06D-C9F69728D3E9}" name="age group" dataDxfId="463" totalsRowDxfId="462"/>
    <tableColumn id="2" xr3:uid="{39A43090-C94F-4832-A195-B1523A501AC4}" name="sex" dataDxfId="461" totalsRowDxfId="460"/>
    <tableColumn id="3" xr3:uid="{0337AE55-623F-48C7-96E5-8AE4452E2FB6}" name="100" totalsRowFunction="average" dataDxfId="459" totalsRowDxfId="458"/>
    <tableColumn id="4" xr3:uid="{1CC33E6E-9B5C-471C-8FDB-FC86F71E36E2}" name="200" totalsRowFunction="average" dataDxfId="457" totalsRowDxfId="456"/>
    <tableColumn id="5" xr3:uid="{982BD7C6-1CA8-48ED-872C-7EB345BA7EEA}" name="400" totalsRowFunction="average" dataDxfId="455" totalsRowDxfId="454"/>
    <tableColumn id="6" xr3:uid="{AEF9A339-1676-4095-B084-7193015DCB7A}" name="500" totalsRowFunction="average" dataDxfId="453" totalsRowDxfId="452"/>
    <tableColumn id="7" xr3:uid="{7D9506DD-A2E7-42E1-B7D4-BE26864EBC61}" name="800" totalsRowFunction="average" dataDxfId="451" totalsRowDxfId="450"/>
    <tableColumn id="8" xr3:uid="{75446274-ED77-40DF-9A37-692B846A99BA}" name="1000" totalsRowFunction="average" dataDxfId="449" totalsRowDxfId="448"/>
    <tableColumn id="9" xr3:uid="{C7A3F439-0C0E-47C7-BE78-AAFA89315791}" name="2000" totalsRowFunction="average" dataDxfId="447" totalsRowDxfId="446"/>
    <tableColumn id="10" xr3:uid="{87D9F20F-6A53-4219-BE04-12D5055E61AD}" name="3000" totalsRowFunction="average" dataDxfId="445" totalsRowDxfId="444"/>
    <tableColumn id="11" xr3:uid="{8DA87965-8D3B-4BE9-89D9-F212248E410A}" name="4000" totalsRowFunction="average" dataDxfId="443" totalsRowDxfId="442"/>
    <tableColumn id="12" xr3:uid="{AF19AD4D-153B-4DDA-B1EF-4CB9CB30BE80}" name="6000" totalsRowFunction="average" dataDxfId="441" totalsRowDxfId="440"/>
    <tableColumn id="13" xr3:uid="{E7CAB1A9-6CA2-4B8B-A1EC-91518F044823}" name="8000" totalsRowFunction="average" dataDxfId="439" totalsRowDxfId="438"/>
    <tableColumn id="14" xr3:uid="{E873A3DA-FE60-488B-8D23-2D36CF237E43}" name="10000" totalsRowFunction="average" dataDxfId="437" totalsRowDxfId="436"/>
    <tableColumn id="15" xr3:uid="{25A987C3-77F2-4CDC-B539-E19550B0F09E}" name="12000" totalsRowFunction="average" dataDxfId="435" totalsRowDxfId="4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580923-C666-4D36-9DDE-356F6F600C41}" name="Table12" displayName="Table12" ref="A1:U57" totalsRowCount="1" headerRowDxfId="433">
  <autoFilter ref="A1:U56" xr:uid="{BE580923-C666-4D36-9DDE-356F6F600C41}"/>
  <tableColumns count="21">
    <tableColumn id="1" xr3:uid="{EC17B783-0009-4800-AC99-D83F3141A402}" name="age group" dataDxfId="432" totalsRowDxfId="431"/>
    <tableColumn id="2" xr3:uid="{F2562CCC-7162-48E9-A42D-7FE1084D807D}" name="sex" dataDxfId="430" totalsRowDxfId="429"/>
    <tableColumn id="3" xr3:uid="{959E1475-29DE-4143-A70E-5A0D46983DFB}" name="Have you ever received a medical diagnosis for your migraines? " dataDxfId="428" totalsRowDxfId="427"/>
    <tableColumn id="4" xr3:uid="{728EBBDC-10C1-49A2-AB7C-C7A13264E3FF}" name="Do you receive any medication for your migraine (prophylactic or on symptomatic)? " dataDxfId="426" totalsRowDxfId="425"/>
    <tableColumn id="5" xr3:uid="{6D564C97-33D5-456D-A19C-FF4DCD4D9E07}" name="You have reported experiencing and/or being diagnosed with migraines. Does the following statement apply to you? Sounds that others believe are moderately loud are too loud to me. " dataDxfId="424" totalsRowDxfId="423"/>
    <tableColumn id="6" xr3:uid="{D960E55E-2816-4C88-8315-5A1AAAEDF753}" name="How often do you experience migraines?" dataDxfId="422" totalsRowDxfId="421"/>
    <tableColumn id="7" xr3:uid="{ED3F03C4-AB1E-4BC0-9335-13D996F70035}" name="Rate the severity of your migraines on a scale of 0 to 100." dataDxfId="420" totalsRowDxfId="419"/>
    <tableColumn id="8" xr3:uid="{ACFEC553-8491-48FB-8DA5-0CE4737225C6}" name="Are you experiencing a migraine or an aura (*sensory disturbances that happen shortly before a migraine*) right now?" dataDxfId="418" totalsRowDxfId="417"/>
    <tableColumn id="9" xr3:uid="{0D3E2939-C8FF-478C-9803-72839F23D3E1}" name="100" totalsRowFunction="custom" dataDxfId="416" totalsRowDxfId="415">
      <totalsRowFormula>AVERAGE(Table12[100])</totalsRowFormula>
    </tableColumn>
    <tableColumn id="10" xr3:uid="{191CE107-90D1-4D63-8667-16D310BDFB30}" name="200" totalsRowFunction="average" dataDxfId="414" totalsRowDxfId="413"/>
    <tableColumn id="11" xr3:uid="{2876E84B-D02E-44D8-AE10-BC5F70327E69}" name="400" totalsRowFunction="average" dataDxfId="412" totalsRowDxfId="411"/>
    <tableColumn id="12" xr3:uid="{99A7A8E9-8387-45D0-B2B1-017B5BAF0C84}" name="500" totalsRowFunction="average" dataDxfId="410" totalsRowDxfId="409"/>
    <tableColumn id="13" xr3:uid="{4E4CF037-817F-4AE2-9697-43CC8051D932}" name="800" totalsRowFunction="average" dataDxfId="408" totalsRowDxfId="407"/>
    <tableColumn id="14" xr3:uid="{EA3CAC1B-568E-49EF-9DC1-2D2136D8D731}" name="1000" totalsRowFunction="average" dataDxfId="406" totalsRowDxfId="405"/>
    <tableColumn id="15" xr3:uid="{C9A1B1E2-39DB-46D6-BD34-A88DCCEFD507}" name="2000" totalsRowFunction="average" dataDxfId="404" totalsRowDxfId="403"/>
    <tableColumn id="16" xr3:uid="{E7AD9C11-B575-4394-92CB-C22DD4FC1750}" name="3000" totalsRowFunction="average" dataDxfId="402" totalsRowDxfId="401"/>
    <tableColumn id="17" xr3:uid="{8DEA5857-53C8-4932-BD09-B9A37E68E067}" name="4000" totalsRowFunction="average" dataDxfId="400" totalsRowDxfId="399"/>
    <tableColumn id="18" xr3:uid="{F387EFDF-E0FB-48F7-B7BA-83E66A422488}" name="6000" totalsRowFunction="average" dataDxfId="398" totalsRowDxfId="397"/>
    <tableColumn id="19" xr3:uid="{AECE7ED7-27F7-44B1-A139-87AA86E49791}" name="8000" totalsRowFunction="average" dataDxfId="396" totalsRowDxfId="395"/>
    <tableColumn id="20" xr3:uid="{E8D6162E-D18E-47F0-8D63-6F34812ED5DB}" name="10000" totalsRowFunction="average" dataDxfId="394" totalsRowDxfId="393"/>
    <tableColumn id="21" xr3:uid="{AA01D100-7215-4200-8F99-16BC77F08E84}" name="12000" totalsRowFunction="average" dataDxfId="392" totalsRowDxfId="39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B34E16-9C2D-4CEC-AC56-149150B97F14}" name="Table4" displayName="Table4" ref="P9:AB12" totalsRowShown="0">
  <autoFilter ref="P9:AB12" xr:uid="{27B34E16-9C2D-4CEC-AC56-149150B97F14}"/>
  <tableColumns count="13">
    <tableColumn id="1" xr3:uid="{5D2395F3-64EF-404A-9769-555B6A27626A}" name="100"/>
    <tableColumn id="2" xr3:uid="{DED4CACA-DA0E-4F90-93B5-F8AB606AFB8D}" name="200"/>
    <tableColumn id="3" xr3:uid="{08B53973-489C-4D25-A006-76003595F9FD}" name="400"/>
    <tableColumn id="4" xr3:uid="{E432845F-D5BA-4C1A-8CE7-2DB5A9E343F5}" name="500"/>
    <tableColumn id="5" xr3:uid="{D402FDC2-CDC8-42A1-85ED-6C6FF8C76972}" name="800"/>
    <tableColumn id="6" xr3:uid="{9366EB44-CBD0-4914-9390-524BF4F51C63}" name="1000"/>
    <tableColumn id="7" xr3:uid="{C5D9E9ED-F670-4AE1-869F-BD09DD14FAE3}" name="2000"/>
    <tableColumn id="8" xr3:uid="{98371319-6526-4486-BA0C-273D0D2AD9DD}" name="3000"/>
    <tableColumn id="9" xr3:uid="{CF2FBE77-8C7C-4545-A2E0-F0BD8BFEAD0F}" name="4000"/>
    <tableColumn id="10" xr3:uid="{762F77CF-460B-40AB-B5BA-8A1B6C5C09E9}" name="6000"/>
    <tableColumn id="11" xr3:uid="{2B596998-8ED7-4CDE-922B-65DABE0B7116}" name="8000"/>
    <tableColumn id="12" xr3:uid="{66307FA1-9F32-40B4-95AB-A233E25AB40D}" name="10000"/>
    <tableColumn id="13" xr3:uid="{B899E72B-2C80-43E5-A373-6BCE7C84BF0C}" name="120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54A8AAE-6D73-4BEF-98C1-4ADE479CF68D}" name="Table23" displayName="Table23" ref="A1:M24" totalsRowCount="1" headerRowDxfId="390" dataDxfId="388" headerRowBorderDxfId="389" tableBorderDxfId="387" totalsRowBorderDxfId="386">
  <autoFilter ref="A1:M23" xr:uid="{EB8B229F-43A3-4B4F-9447-68C28C598999}"/>
  <tableColumns count="13">
    <tableColumn id="1" xr3:uid="{38543047-0ADB-4542-8EAF-1B832BD552A5}" name="100" totalsRowFunction="custom" dataDxfId="385" totalsRowDxfId="384">
      <totalsRowFormula>AVERAGE(Table23[100])</totalsRowFormula>
    </tableColumn>
    <tableColumn id="2" xr3:uid="{35E78EFB-A75C-4F7C-BD0E-66604D680B65}" name="200" totalsRowFunction="average" dataDxfId="383" totalsRowDxfId="382"/>
    <tableColumn id="3" xr3:uid="{367AF7D9-3269-429C-8303-57000C28210A}" name="400" totalsRowFunction="average" dataDxfId="381" totalsRowDxfId="380"/>
    <tableColumn id="4" xr3:uid="{C22DD558-34CD-4BF6-BEF5-BAF201EA1657}" name="500" totalsRowFunction="average" dataDxfId="379" totalsRowDxfId="378"/>
    <tableColumn id="5" xr3:uid="{37A92F53-18A7-4615-A824-9A1C66385FC9}" name="800" totalsRowFunction="average" dataDxfId="377" totalsRowDxfId="376"/>
    <tableColumn id="6" xr3:uid="{23422928-5FF9-4D78-9F94-6CE6835D72C7}" name="1000" totalsRowFunction="average" dataDxfId="375" totalsRowDxfId="374"/>
    <tableColumn id="7" xr3:uid="{1689C0F8-819D-42B3-80CE-7FEA797AEEC4}" name="2000" totalsRowFunction="average" dataDxfId="373" totalsRowDxfId="372"/>
    <tableColumn id="8" xr3:uid="{B4D79267-F7B9-44A5-BCC0-D9AAA47FDC19}" name="3000" totalsRowFunction="average" dataDxfId="371" totalsRowDxfId="370"/>
    <tableColumn id="9" xr3:uid="{D6FE0BD8-BAF2-44EA-82E4-C7A4196ACF4D}" name="4000" totalsRowFunction="average" dataDxfId="369" totalsRowDxfId="368"/>
    <tableColumn id="10" xr3:uid="{5C710B59-6D82-441C-8565-0C025C908910}" name="6000" totalsRowFunction="average" dataDxfId="367" totalsRowDxfId="366"/>
    <tableColumn id="11" xr3:uid="{A646B016-0523-4129-A8CD-83A1F3CB4FB7}" name="8000" totalsRowFunction="average" dataDxfId="365" totalsRowDxfId="364"/>
    <tableColumn id="12" xr3:uid="{53BF7583-2B70-4553-A2FB-2A31E47B00BD}" name="10000" totalsRowFunction="average" dataDxfId="363" totalsRowDxfId="362"/>
    <tableColumn id="13" xr3:uid="{37B701F1-1D49-4A99-A2D0-E33F28BAF3C7}" name="12000" totalsRowFunction="average" dataDxfId="361" totalsRowDxfId="36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3B3DDC-118C-41B0-B783-980C55D00CE0}" name="Table24" displayName="Table24" ref="A1:M35" totalsRowCount="1" headerRowDxfId="359" dataDxfId="357" headerRowBorderDxfId="358" tableBorderDxfId="356" totalsRowBorderDxfId="355">
  <autoFilter ref="A1:M34" xr:uid="{61F2EB3E-835D-401A-8DD7-291293BF9A98}"/>
  <tableColumns count="13">
    <tableColumn id="1" xr3:uid="{FF842628-F68B-47F7-81F2-56DCD9AB65C4}" name="100" totalsRowFunction="custom" dataDxfId="354" totalsRowDxfId="353">
      <totalsRowFormula>AVERAGE(Table24[100])</totalsRowFormula>
    </tableColumn>
    <tableColumn id="2" xr3:uid="{012A5C6D-6F59-4027-A7A2-370FD92C5A03}" name="200" totalsRowFunction="average" dataDxfId="352" totalsRowDxfId="351"/>
    <tableColumn id="3" xr3:uid="{A31E9792-BD57-4FBE-849D-5139BB603949}" name="400" totalsRowFunction="average" dataDxfId="350" totalsRowDxfId="349"/>
    <tableColumn id="4" xr3:uid="{18EAD78E-125A-4FD6-AA4A-E08ADEEC940A}" name="500" totalsRowFunction="average" dataDxfId="348" totalsRowDxfId="347"/>
    <tableColumn id="5" xr3:uid="{CA5BED25-7ABC-4917-B927-23D4F5B67863}" name="800" totalsRowFunction="average" dataDxfId="346" totalsRowDxfId="345"/>
    <tableColumn id="6" xr3:uid="{9737B986-76DC-4814-86A8-18575AD7BC9F}" name="1000" totalsRowFunction="average" dataDxfId="344" totalsRowDxfId="343"/>
    <tableColumn id="7" xr3:uid="{F43C697F-E8D7-4057-AF21-083C0AC3532B}" name="2000" totalsRowFunction="average" dataDxfId="342" totalsRowDxfId="341"/>
    <tableColumn id="8" xr3:uid="{76F541EB-0461-487A-99DA-BF7A756BD459}" name="3000" totalsRowFunction="average" dataDxfId="340" totalsRowDxfId="339"/>
    <tableColumn id="9" xr3:uid="{91AF567A-1ED5-41F8-BAD3-BC37379BFACE}" name="4000" totalsRowFunction="average" dataDxfId="338" totalsRowDxfId="337"/>
    <tableColumn id="10" xr3:uid="{8AD397B7-8529-48F6-863F-1CF0E5C4E42D}" name="6000" totalsRowFunction="average" dataDxfId="336" totalsRowDxfId="335"/>
    <tableColumn id="11" xr3:uid="{45A18989-D293-44C2-A8C7-CA43DABBF17D}" name="8000" totalsRowFunction="average" dataDxfId="334" totalsRowDxfId="333"/>
    <tableColumn id="12" xr3:uid="{77E8B521-634F-4F8B-8CB2-FC6265889407}" name="10000" totalsRowFunction="average" dataDxfId="332" totalsRowDxfId="331"/>
    <tableColumn id="13" xr3:uid="{ABA56A48-6E28-428E-9157-691DB11CE21D}" name="12000" totalsRowFunction="average" dataDxfId="330" totalsRowDxfId="32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93B6F4-5E79-4A58-822C-68FC2B7EC095}" name="Table5" displayName="Table5" ref="A1:O11" totalsRowShown="0" headerRowDxfId="328" dataDxfId="327">
  <autoFilter ref="A1:O11" xr:uid="{7493B6F4-5E79-4A58-822C-68FC2B7EC095}"/>
  <tableColumns count="15">
    <tableColumn id="1" xr3:uid="{977F143D-78D0-4578-9399-4A97E0D1095C}" name="Please select your age group:" dataDxfId="326"/>
    <tableColumn id="2" xr3:uid="{60EA0D75-CB57-42FA-801A-15BBB74C76FF}" name="Please select your sex:" dataDxfId="325"/>
    <tableColumn id="3" xr3:uid="{C1539ABC-9B56-4CFA-9F7A-106C0C1E7BB7}" name="100" dataDxfId="324"/>
    <tableColumn id="4" xr3:uid="{8C9716D6-A773-40FA-B135-F31C9E5C4BFF}" name="200" dataDxfId="323"/>
    <tableColumn id="5" xr3:uid="{C6B998E0-F982-4638-A300-F8FCEB723EAC}" name="400" dataDxfId="322"/>
    <tableColumn id="6" xr3:uid="{0388937A-50F9-4920-B213-CDDBEC098D00}" name="500" dataDxfId="321"/>
    <tableColumn id="7" xr3:uid="{D6B7452F-D106-4E1A-B6F3-C918D289DA0E}" name="800" dataDxfId="320"/>
    <tableColumn id="8" xr3:uid="{FF0DB842-3F2B-499B-9925-DDA7D4C962C9}" name="1000" dataDxfId="319"/>
    <tableColumn id="9" xr3:uid="{0698DA24-A73A-4457-8F55-BE02FFFA06BB}" name="2000" dataDxfId="318"/>
    <tableColumn id="10" xr3:uid="{797E972D-1D4E-40D1-A584-3BFE45509AC3}" name="3000" dataDxfId="317"/>
    <tableColumn id="11" xr3:uid="{084FDCE0-521A-4080-B118-D701E90B069B}" name="4000" dataDxfId="316"/>
    <tableColumn id="12" xr3:uid="{FCEFE47A-5463-42A6-8660-04E771048815}" name="6000" dataDxfId="315"/>
    <tableColumn id="13" xr3:uid="{82DB5356-BB1F-421E-A085-982728ACBD8C}" name="8000" dataDxfId="314"/>
    <tableColumn id="14" xr3:uid="{967B8DA6-1112-4B0F-BF18-32285D4699E8}" name="10000" dataDxfId="313"/>
    <tableColumn id="15" xr3:uid="{48F8FBF5-11A9-4CA1-89A1-74B811626C69}" name="12000" dataDxfId="3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13FD9F-8A8D-4410-9EE4-CEB4EB3348D4}">
  <we:reference id="wa200002512" version="7.5.5.0" store="en-US" storeType="OMEX"/>
  <we:alternateReferences>
    <we:reference id="WA200002512" version="7.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B67F-9AD1-4EA9-8E72-38A304909F99}">
  <dimension ref="A1:DH56"/>
  <sheetViews>
    <sheetView topLeftCell="DD70" zoomScaleNormal="100" workbookViewId="0">
      <selection activeCell="S1" sqref="S1:U1"/>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37.7265625" bestFit="1" customWidth="1"/>
    <col min="16" max="16" width="11.54296875" bestFit="1" customWidth="1"/>
    <col min="17" max="17" width="43.1796875" bestFit="1" customWidth="1"/>
    <col min="18" max="18" width="11.54296875" bestFit="1" customWidth="1"/>
    <col min="19" max="19" width="62.81640625" bestFit="1" customWidth="1"/>
    <col min="20" max="20" width="11.54296875" bestFit="1" customWidth="1"/>
    <col min="21" max="21" width="54.7265625" bestFit="1" customWidth="1"/>
    <col min="22" max="22" width="11.54296875" bestFit="1" customWidth="1"/>
    <col min="23" max="23" width="71.90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0" bestFit="1" customWidth="1"/>
    <col min="30" max="30" width="11.54296875" bestFit="1" customWidth="1"/>
    <col min="31" max="31" width="48.08984375" bestFit="1" customWidth="1"/>
    <col min="32" max="32" width="11.54296875" bestFit="1" customWidth="1"/>
    <col min="33" max="33" width="55.26953125" bestFit="1" customWidth="1"/>
    <col min="34" max="34" width="11.54296875" bestFit="1" customWidth="1"/>
    <col min="35" max="35" width="48.90625" bestFit="1" customWidth="1"/>
    <col min="36" max="36" width="11.54296875" bestFit="1" customWidth="1"/>
    <col min="37" max="37" width="80.7265625" bestFit="1" customWidth="1"/>
    <col min="38" max="38" width="11.54296875" bestFit="1" customWidth="1"/>
    <col min="39" max="39" width="55.7265625" bestFit="1" customWidth="1"/>
    <col min="40" max="40" width="11.54296875" bestFit="1" customWidth="1"/>
    <col min="41" max="41" width="48.90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42" bestFit="1" customWidth="1"/>
    <col min="48" max="48" width="11.54296875" bestFit="1" customWidth="1"/>
    <col min="49" max="49" width="80.7265625" bestFit="1" customWidth="1"/>
    <col min="50" max="50" width="11.54296875" bestFit="1" customWidth="1"/>
    <col min="51" max="51" width="17.08984375" bestFit="1" customWidth="1"/>
    <col min="52" max="52" width="11.54296875" bestFit="1" customWidth="1"/>
    <col min="53" max="53" width="80.7265625" bestFit="1" customWidth="1"/>
    <col min="54" max="54" width="11.54296875" bestFit="1" customWidth="1"/>
    <col min="55" max="55" width="23.36328125" bestFit="1" customWidth="1"/>
    <col min="56" max="56" width="11.54296875" bestFit="1" customWidth="1"/>
    <col min="57" max="57" width="31.6328125" bestFit="1" customWidth="1"/>
    <col min="58" max="58" width="11.54296875" bestFit="1" customWidth="1"/>
    <col min="59" max="59" width="23.36328125" bestFit="1" customWidth="1"/>
    <col min="60" max="60" width="11.54296875" bestFit="1" customWidth="1"/>
    <col min="61" max="61" width="31.6328125" bestFit="1" customWidth="1"/>
    <col min="62" max="62" width="11.54296875" bestFit="1" customWidth="1"/>
    <col min="63" max="63" width="23.36328125" bestFit="1" customWidth="1"/>
    <col min="64" max="64" width="11.54296875" bestFit="1" customWidth="1"/>
    <col min="65" max="65" width="31.6328125" bestFit="1" customWidth="1"/>
    <col min="66" max="66" width="11.54296875" bestFit="1" customWidth="1"/>
    <col min="67" max="67" width="23.36328125" bestFit="1" customWidth="1"/>
    <col min="68" max="68" width="11.54296875" bestFit="1" customWidth="1"/>
    <col min="69" max="69" width="31.6328125" bestFit="1" customWidth="1"/>
    <col min="70" max="70" width="11.54296875" bestFit="1" customWidth="1"/>
    <col min="71" max="71" width="23.36328125" bestFit="1" customWidth="1"/>
    <col min="72" max="72" width="11.54296875" bestFit="1" customWidth="1"/>
    <col min="73" max="73" width="31.6328125" bestFit="1" customWidth="1"/>
    <col min="74" max="74" width="11.54296875" bestFit="1" customWidth="1"/>
    <col min="75" max="75" width="23.36328125" bestFit="1" customWidth="1"/>
    <col min="76" max="76" width="11.54296875" bestFit="1" customWidth="1"/>
    <col min="77" max="77" width="31.1796875" bestFit="1" customWidth="1"/>
    <col min="78" max="78" width="11.54296875" bestFit="1" customWidth="1"/>
    <col min="79" max="79" width="23.36328125" bestFit="1" customWidth="1"/>
    <col min="80" max="80" width="11.54296875" bestFit="1" customWidth="1"/>
    <col min="81" max="81" width="31.1796875" bestFit="1" customWidth="1"/>
    <col min="82" max="82" width="11.54296875" bestFit="1" customWidth="1"/>
    <col min="83" max="83" width="23.36328125" bestFit="1" customWidth="1"/>
    <col min="84" max="84" width="11.54296875" bestFit="1" customWidth="1"/>
    <col min="85" max="85" width="31.1796875" bestFit="1" customWidth="1"/>
    <col min="86" max="86" width="11.54296875" bestFit="1" customWidth="1"/>
    <col min="87" max="87" width="23.36328125" bestFit="1" customWidth="1"/>
    <col min="88" max="88" width="11.54296875" bestFit="1" customWidth="1"/>
    <col min="89" max="89" width="31.1796875" bestFit="1" customWidth="1"/>
    <col min="90" max="90" width="11.54296875" bestFit="1" customWidth="1"/>
    <col min="91" max="91" width="24.36328125" bestFit="1" customWidth="1"/>
    <col min="92" max="92" width="11.54296875" bestFit="1" customWidth="1"/>
    <col min="93" max="93" width="32.1796875" bestFit="1" customWidth="1"/>
    <col min="94" max="94" width="11.54296875" bestFit="1" customWidth="1"/>
    <col min="95" max="95" width="24.36328125" bestFit="1" customWidth="1"/>
    <col min="96" max="96" width="11.54296875" bestFit="1" customWidth="1"/>
    <col min="97" max="97" width="32.1796875" bestFit="1" customWidth="1"/>
    <col min="98" max="98" width="11.54296875" bestFit="1" customWidth="1"/>
    <col min="99" max="99" width="24.36328125" bestFit="1" customWidth="1"/>
    <col min="100" max="100" width="12.54296875" bestFit="1" customWidth="1"/>
    <col min="101" max="101" width="32.1796875" bestFit="1" customWidth="1"/>
    <col min="102" max="102" width="12.54296875" bestFit="1" customWidth="1"/>
    <col min="103" max="103" width="24.36328125" bestFit="1" customWidth="1"/>
    <col min="104" max="104" width="12.54296875" bestFit="1" customWidth="1"/>
    <col min="105" max="105" width="32.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57.36328125" bestFit="1" customWidth="1"/>
    <col min="112" max="112" width="12.54296875" bestFit="1" customWidth="1"/>
  </cols>
  <sheetData>
    <row r="1" spans="1:112" ht="18" customHeight="1" x14ac:dyDescent="0.35">
      <c r="A1" t="s">
        <v>115</v>
      </c>
      <c r="B1" t="s">
        <v>116</v>
      </c>
      <c r="C1" s="36" t="s">
        <v>6322</v>
      </c>
      <c r="D1" t="s">
        <v>118</v>
      </c>
      <c r="E1" s="36" t="s">
        <v>6323</v>
      </c>
      <c r="F1" t="s">
        <v>120</v>
      </c>
      <c r="G1" t="s">
        <v>6324</v>
      </c>
      <c r="H1" t="s">
        <v>122</v>
      </c>
      <c r="I1" t="s">
        <v>6325</v>
      </c>
      <c r="J1" t="s">
        <v>124</v>
      </c>
      <c r="K1" t="s">
        <v>6326</v>
      </c>
      <c r="L1" t="s">
        <v>126</v>
      </c>
      <c r="M1" t="s">
        <v>13</v>
      </c>
      <c r="N1" t="s">
        <v>128</v>
      </c>
      <c r="O1" t="s">
        <v>14</v>
      </c>
      <c r="P1" t="s">
        <v>130</v>
      </c>
      <c r="Q1" t="s">
        <v>6327</v>
      </c>
      <c r="R1" t="s">
        <v>132</v>
      </c>
      <c r="S1" t="s">
        <v>6328</v>
      </c>
      <c r="T1" t="s">
        <v>134</v>
      </c>
      <c r="U1" t="s">
        <v>22</v>
      </c>
      <c r="V1" t="s">
        <v>136</v>
      </c>
      <c r="W1" t="s">
        <v>23</v>
      </c>
      <c r="X1" t="s">
        <v>138</v>
      </c>
      <c r="Y1" t="s">
        <v>6329</v>
      </c>
      <c r="Z1" t="s">
        <v>140</v>
      </c>
      <c r="AA1" t="s">
        <v>24</v>
      </c>
      <c r="AB1" t="s">
        <v>142</v>
      </c>
      <c r="AC1" t="s">
        <v>6330</v>
      </c>
      <c r="AD1" t="s">
        <v>144</v>
      </c>
      <c r="AE1" t="s">
        <v>6331</v>
      </c>
      <c r="AF1" t="s">
        <v>146</v>
      </c>
      <c r="AG1" t="s">
        <v>6332</v>
      </c>
      <c r="AH1" t="s">
        <v>148</v>
      </c>
      <c r="AI1" t="s">
        <v>6333</v>
      </c>
      <c r="AJ1" t="s">
        <v>150</v>
      </c>
      <c r="AK1" t="s">
        <v>6334</v>
      </c>
      <c r="AL1" t="s">
        <v>152</v>
      </c>
      <c r="AM1" t="s">
        <v>25</v>
      </c>
      <c r="AN1" t="s">
        <v>154</v>
      </c>
      <c r="AO1" t="s">
        <v>26</v>
      </c>
      <c r="AP1" t="s">
        <v>156</v>
      </c>
      <c r="AQ1" t="s">
        <v>27</v>
      </c>
      <c r="AR1" t="s">
        <v>158</v>
      </c>
      <c r="AS1" t="s">
        <v>6335</v>
      </c>
      <c r="AT1" t="s">
        <v>160</v>
      </c>
      <c r="AU1" t="s">
        <v>6336</v>
      </c>
      <c r="AV1" t="s">
        <v>162</v>
      </c>
      <c r="AW1" t="s">
        <v>6337</v>
      </c>
      <c r="AX1" t="s">
        <v>164</v>
      </c>
      <c r="AY1" t="s">
        <v>6338</v>
      </c>
      <c r="AZ1" t="s">
        <v>166</v>
      </c>
      <c r="BA1" s="36" t="s">
        <v>6339</v>
      </c>
      <c r="BB1" t="s">
        <v>168</v>
      </c>
      <c r="BC1" t="s">
        <v>6340</v>
      </c>
      <c r="BD1" t="s">
        <v>170</v>
      </c>
      <c r="BE1" t="s">
        <v>6341</v>
      </c>
      <c r="BF1" t="s">
        <v>172</v>
      </c>
      <c r="BG1" t="s">
        <v>6342</v>
      </c>
      <c r="BH1" t="s">
        <v>174</v>
      </c>
      <c r="BI1" t="s">
        <v>6343</v>
      </c>
      <c r="BJ1" t="s">
        <v>176</v>
      </c>
      <c r="BK1" t="s">
        <v>6344</v>
      </c>
      <c r="BL1" t="s">
        <v>178</v>
      </c>
      <c r="BM1" t="s">
        <v>6345</v>
      </c>
      <c r="BN1" t="s">
        <v>180</v>
      </c>
      <c r="BO1" t="s">
        <v>6346</v>
      </c>
      <c r="BP1" t="s">
        <v>182</v>
      </c>
      <c r="BQ1" t="s">
        <v>6347</v>
      </c>
      <c r="BR1" t="s">
        <v>184</v>
      </c>
      <c r="BS1" t="s">
        <v>6348</v>
      </c>
      <c r="BT1" t="s">
        <v>186</v>
      </c>
      <c r="BU1" t="s">
        <v>6349</v>
      </c>
      <c r="BV1" t="s">
        <v>188</v>
      </c>
      <c r="BW1" t="s">
        <v>6350</v>
      </c>
      <c r="BX1" t="s">
        <v>190</v>
      </c>
      <c r="BY1" t="s">
        <v>6351</v>
      </c>
      <c r="BZ1" t="s">
        <v>192</v>
      </c>
      <c r="CA1" t="s">
        <v>6352</v>
      </c>
      <c r="CB1" t="s">
        <v>194</v>
      </c>
      <c r="CC1" t="s">
        <v>6353</v>
      </c>
      <c r="CD1" t="s">
        <v>196</v>
      </c>
      <c r="CE1" t="s">
        <v>6354</v>
      </c>
      <c r="CF1" t="s">
        <v>198</v>
      </c>
      <c r="CG1" t="s">
        <v>6355</v>
      </c>
      <c r="CH1" t="s">
        <v>200</v>
      </c>
      <c r="CI1" t="s">
        <v>6356</v>
      </c>
      <c r="CJ1" t="s">
        <v>202</v>
      </c>
      <c r="CK1" t="s">
        <v>6357</v>
      </c>
      <c r="CL1" t="s">
        <v>204</v>
      </c>
      <c r="CM1" t="s">
        <v>6358</v>
      </c>
      <c r="CN1" t="s">
        <v>206</v>
      </c>
      <c r="CO1" t="s">
        <v>6359</v>
      </c>
      <c r="CP1" t="s">
        <v>208</v>
      </c>
      <c r="CQ1" t="s">
        <v>6360</v>
      </c>
      <c r="CR1" t="s">
        <v>210</v>
      </c>
      <c r="CS1" t="s">
        <v>6361</v>
      </c>
      <c r="CT1" t="s">
        <v>212</v>
      </c>
      <c r="CU1" t="s">
        <v>6362</v>
      </c>
      <c r="CV1" t="s">
        <v>214</v>
      </c>
      <c r="CW1" t="s">
        <v>6363</v>
      </c>
      <c r="CX1" t="s">
        <v>216</v>
      </c>
      <c r="CY1" t="s">
        <v>6364</v>
      </c>
      <c r="CZ1" t="s">
        <v>218</v>
      </c>
      <c r="DA1" t="s">
        <v>6365</v>
      </c>
      <c r="DB1" t="s">
        <v>220</v>
      </c>
      <c r="DC1" t="s">
        <v>6366</v>
      </c>
      <c r="DD1" t="s">
        <v>222</v>
      </c>
      <c r="DE1" t="s">
        <v>6367</v>
      </c>
      <c r="DF1" t="s">
        <v>224</v>
      </c>
      <c r="DG1" t="s">
        <v>6368</v>
      </c>
      <c r="DH1" t="s">
        <v>226</v>
      </c>
    </row>
    <row r="2" spans="1:112" x14ac:dyDescent="0.35">
      <c r="A2" t="s">
        <v>6369</v>
      </c>
      <c r="B2" t="s">
        <v>6370</v>
      </c>
      <c r="C2" t="s">
        <v>6371</v>
      </c>
      <c r="D2" t="s">
        <v>6372</v>
      </c>
      <c r="E2" t="s">
        <v>6373</v>
      </c>
      <c r="F2" t="s">
        <v>6374</v>
      </c>
      <c r="G2" t="s">
        <v>28</v>
      </c>
      <c r="H2" t="s">
        <v>6375</v>
      </c>
      <c r="I2" t="s">
        <v>6376</v>
      </c>
      <c r="J2" t="s">
        <v>6377</v>
      </c>
      <c r="L2" t="s">
        <v>243</v>
      </c>
      <c r="M2" t="s">
        <v>242</v>
      </c>
      <c r="N2" t="s">
        <v>243</v>
      </c>
      <c r="O2" t="s">
        <v>242</v>
      </c>
      <c r="P2" t="s">
        <v>243</v>
      </c>
      <c r="Q2" t="s">
        <v>242</v>
      </c>
      <c r="R2" t="s">
        <v>243</v>
      </c>
      <c r="S2" t="s">
        <v>242</v>
      </c>
      <c r="T2" t="s">
        <v>243</v>
      </c>
      <c r="U2" t="s">
        <v>242</v>
      </c>
      <c r="V2" t="s">
        <v>243</v>
      </c>
      <c r="W2" t="s">
        <v>242</v>
      </c>
      <c r="X2" t="s">
        <v>243</v>
      </c>
      <c r="Y2" t="s">
        <v>242</v>
      </c>
      <c r="Z2" t="s">
        <v>243</v>
      </c>
      <c r="AA2" t="s">
        <v>242</v>
      </c>
      <c r="AB2" t="s">
        <v>243</v>
      </c>
      <c r="AC2" t="s">
        <v>242</v>
      </c>
      <c r="AD2" t="s">
        <v>243</v>
      </c>
      <c r="AE2" t="s">
        <v>242</v>
      </c>
      <c r="AF2" t="s">
        <v>243</v>
      </c>
      <c r="AG2" t="s">
        <v>242</v>
      </c>
      <c r="AH2" t="s">
        <v>243</v>
      </c>
      <c r="AI2" t="s">
        <v>242</v>
      </c>
      <c r="AJ2" t="s">
        <v>243</v>
      </c>
      <c r="AK2" t="s">
        <v>242</v>
      </c>
      <c r="AL2" t="s">
        <v>243</v>
      </c>
      <c r="AM2" t="s">
        <v>242</v>
      </c>
      <c r="AN2" t="s">
        <v>243</v>
      </c>
      <c r="AO2" t="s">
        <v>242</v>
      </c>
      <c r="AP2" t="s">
        <v>243</v>
      </c>
      <c r="AQ2" t="s">
        <v>242</v>
      </c>
      <c r="AR2" t="s">
        <v>243</v>
      </c>
      <c r="AS2" t="s">
        <v>242</v>
      </c>
      <c r="AT2" t="s">
        <v>243</v>
      </c>
      <c r="AU2" t="s">
        <v>242</v>
      </c>
      <c r="AV2" t="s">
        <v>243</v>
      </c>
      <c r="AW2" t="s">
        <v>242</v>
      </c>
      <c r="AX2" t="s">
        <v>243</v>
      </c>
      <c r="AY2" t="s">
        <v>242</v>
      </c>
      <c r="AZ2" t="s">
        <v>243</v>
      </c>
      <c r="BA2" t="s">
        <v>242</v>
      </c>
      <c r="BB2" t="s">
        <v>243</v>
      </c>
      <c r="BC2" t="s">
        <v>519</v>
      </c>
      <c r="BD2" t="s">
        <v>243</v>
      </c>
      <c r="BE2" t="s">
        <v>243</v>
      </c>
      <c r="BF2" t="s">
        <v>243</v>
      </c>
      <c r="BG2" t="s">
        <v>519</v>
      </c>
      <c r="BH2" t="s">
        <v>243</v>
      </c>
      <c r="BI2" t="s">
        <v>243</v>
      </c>
      <c r="BJ2" t="s">
        <v>243</v>
      </c>
      <c r="BK2" t="s">
        <v>519</v>
      </c>
      <c r="BL2" t="s">
        <v>243</v>
      </c>
      <c r="BM2" t="s">
        <v>243</v>
      </c>
      <c r="BN2" t="s">
        <v>243</v>
      </c>
      <c r="BO2" t="s">
        <v>519</v>
      </c>
      <c r="BP2" t="s">
        <v>243</v>
      </c>
      <c r="BQ2" t="s">
        <v>243</v>
      </c>
      <c r="BR2" t="s">
        <v>243</v>
      </c>
      <c r="BS2" t="s">
        <v>519</v>
      </c>
      <c r="BT2" t="s">
        <v>243</v>
      </c>
      <c r="BU2" t="s">
        <v>243</v>
      </c>
      <c r="BV2" t="s">
        <v>243</v>
      </c>
      <c r="BW2" t="s">
        <v>519</v>
      </c>
      <c r="BX2" t="s">
        <v>243</v>
      </c>
      <c r="BY2" t="s">
        <v>243</v>
      </c>
      <c r="BZ2" t="s">
        <v>243</v>
      </c>
      <c r="CA2" t="s">
        <v>519</v>
      </c>
      <c r="CB2" t="s">
        <v>243</v>
      </c>
      <c r="CC2" t="s">
        <v>243</v>
      </c>
      <c r="CD2" t="s">
        <v>243</v>
      </c>
      <c r="CE2" t="s">
        <v>519</v>
      </c>
      <c r="CF2" t="s">
        <v>243</v>
      </c>
      <c r="CG2" t="s">
        <v>243</v>
      </c>
      <c r="CH2" t="s">
        <v>243</v>
      </c>
      <c r="CI2" t="s">
        <v>519</v>
      </c>
      <c r="CJ2" t="s">
        <v>243</v>
      </c>
      <c r="CK2" t="s">
        <v>243</v>
      </c>
      <c r="CL2" t="s">
        <v>243</v>
      </c>
      <c r="CM2" t="s">
        <v>519</v>
      </c>
      <c r="CN2" t="s">
        <v>243</v>
      </c>
      <c r="CO2" t="s">
        <v>243</v>
      </c>
      <c r="CP2" t="s">
        <v>243</v>
      </c>
      <c r="CQ2" t="s">
        <v>519</v>
      </c>
      <c r="CR2" t="s">
        <v>243</v>
      </c>
      <c r="CS2" t="s">
        <v>243</v>
      </c>
      <c r="CT2" t="s">
        <v>243</v>
      </c>
      <c r="CU2" t="s">
        <v>519</v>
      </c>
      <c r="CV2" t="s">
        <v>243</v>
      </c>
      <c r="CW2" t="s">
        <v>243</v>
      </c>
      <c r="CX2" t="s">
        <v>243</v>
      </c>
      <c r="CY2" t="s">
        <v>519</v>
      </c>
      <c r="CZ2" t="s">
        <v>243</v>
      </c>
      <c r="DA2" t="s">
        <v>243</v>
      </c>
      <c r="DB2" t="s">
        <v>243</v>
      </c>
      <c r="DC2" t="s">
        <v>242</v>
      </c>
      <c r="DD2" t="s">
        <v>243</v>
      </c>
      <c r="DF2" t="s">
        <v>243</v>
      </c>
      <c r="DG2" t="s">
        <v>242</v>
      </c>
      <c r="DH2" t="s">
        <v>244</v>
      </c>
    </row>
    <row r="3" spans="1:112" x14ac:dyDescent="0.35">
      <c r="A3" t="s">
        <v>6369</v>
      </c>
      <c r="B3" t="s">
        <v>6378</v>
      </c>
      <c r="C3" t="s">
        <v>6371</v>
      </c>
      <c r="D3" t="s">
        <v>2911</v>
      </c>
      <c r="E3" t="s">
        <v>6373</v>
      </c>
      <c r="F3" t="s">
        <v>6379</v>
      </c>
      <c r="G3" t="s">
        <v>28</v>
      </c>
      <c r="H3" t="s">
        <v>2873</v>
      </c>
      <c r="I3" t="s">
        <v>6376</v>
      </c>
      <c r="J3" t="s">
        <v>6380</v>
      </c>
      <c r="L3" t="s">
        <v>243</v>
      </c>
      <c r="M3" t="s">
        <v>242</v>
      </c>
      <c r="N3" t="s">
        <v>243</v>
      </c>
      <c r="O3" t="s">
        <v>242</v>
      </c>
      <c r="P3" t="s">
        <v>243</v>
      </c>
      <c r="Q3" t="s">
        <v>242</v>
      </c>
      <c r="R3" t="s">
        <v>243</v>
      </c>
      <c r="S3" t="s">
        <v>242</v>
      </c>
      <c r="T3" t="s">
        <v>243</v>
      </c>
      <c r="U3" t="s">
        <v>242</v>
      </c>
      <c r="V3" t="s">
        <v>243</v>
      </c>
      <c r="W3" t="s">
        <v>242</v>
      </c>
      <c r="X3" t="s">
        <v>243</v>
      </c>
      <c r="Y3" t="s">
        <v>242</v>
      </c>
      <c r="Z3" t="s">
        <v>243</v>
      </c>
      <c r="AA3" t="s">
        <v>242</v>
      </c>
      <c r="AB3" t="s">
        <v>243</v>
      </c>
      <c r="AC3" t="s">
        <v>242</v>
      </c>
      <c r="AD3" t="s">
        <v>243</v>
      </c>
      <c r="AE3" t="s">
        <v>242</v>
      </c>
      <c r="AF3" t="s">
        <v>243</v>
      </c>
      <c r="AG3" t="s">
        <v>242</v>
      </c>
      <c r="AH3" t="s">
        <v>243</v>
      </c>
      <c r="AI3" t="s">
        <v>242</v>
      </c>
      <c r="AJ3" t="s">
        <v>243</v>
      </c>
      <c r="AK3" t="s">
        <v>242</v>
      </c>
      <c r="AL3" t="s">
        <v>243</v>
      </c>
      <c r="AM3" t="s">
        <v>242</v>
      </c>
      <c r="AN3" t="s">
        <v>243</v>
      </c>
      <c r="AO3" t="s">
        <v>242</v>
      </c>
      <c r="AP3" t="s">
        <v>243</v>
      </c>
      <c r="AQ3" t="s">
        <v>242</v>
      </c>
      <c r="AR3" t="s">
        <v>243</v>
      </c>
      <c r="AS3" t="s">
        <v>242</v>
      </c>
      <c r="AT3" t="s">
        <v>243</v>
      </c>
      <c r="AU3" t="s">
        <v>242</v>
      </c>
      <c r="AV3" t="s">
        <v>243</v>
      </c>
      <c r="AW3" t="s">
        <v>242</v>
      </c>
      <c r="AX3" t="s">
        <v>243</v>
      </c>
      <c r="AY3" t="s">
        <v>242</v>
      </c>
      <c r="AZ3" t="s">
        <v>243</v>
      </c>
      <c r="BA3" t="s">
        <v>242</v>
      </c>
      <c r="BB3" t="s">
        <v>243</v>
      </c>
      <c r="BC3" t="s">
        <v>519</v>
      </c>
      <c r="BD3" t="s">
        <v>243</v>
      </c>
      <c r="BE3" t="s">
        <v>243</v>
      </c>
      <c r="BF3" t="s">
        <v>243</v>
      </c>
      <c r="BG3" t="s">
        <v>519</v>
      </c>
      <c r="BH3" t="s">
        <v>243</v>
      </c>
      <c r="BI3" t="s">
        <v>243</v>
      </c>
      <c r="BJ3" t="s">
        <v>243</v>
      </c>
      <c r="BK3" t="s">
        <v>519</v>
      </c>
      <c r="BL3" t="s">
        <v>243</v>
      </c>
      <c r="BM3" t="s">
        <v>243</v>
      </c>
      <c r="BN3" t="s">
        <v>243</v>
      </c>
      <c r="BO3" t="s">
        <v>519</v>
      </c>
      <c r="BP3" t="s">
        <v>243</v>
      </c>
      <c r="BQ3" t="s">
        <v>243</v>
      </c>
      <c r="BR3" t="s">
        <v>243</v>
      </c>
      <c r="BS3" t="s">
        <v>519</v>
      </c>
      <c r="BT3" t="s">
        <v>243</v>
      </c>
      <c r="BU3" t="s">
        <v>243</v>
      </c>
      <c r="BV3" t="s">
        <v>243</v>
      </c>
      <c r="BW3" t="s">
        <v>519</v>
      </c>
      <c r="BX3" t="s">
        <v>243</v>
      </c>
      <c r="BY3" t="s">
        <v>243</v>
      </c>
      <c r="BZ3" t="s">
        <v>243</v>
      </c>
      <c r="CA3" t="s">
        <v>519</v>
      </c>
      <c r="CB3" t="s">
        <v>243</v>
      </c>
      <c r="CC3" t="s">
        <v>243</v>
      </c>
      <c r="CD3" t="s">
        <v>243</v>
      </c>
      <c r="CE3" t="s">
        <v>519</v>
      </c>
      <c r="CF3" t="s">
        <v>243</v>
      </c>
      <c r="CG3" t="s">
        <v>243</v>
      </c>
      <c r="CH3" t="s">
        <v>243</v>
      </c>
      <c r="CI3" t="s">
        <v>519</v>
      </c>
      <c r="CJ3" t="s">
        <v>243</v>
      </c>
      <c r="CK3" t="s">
        <v>243</v>
      </c>
      <c r="CL3" t="s">
        <v>243</v>
      </c>
      <c r="CM3" t="s">
        <v>519</v>
      </c>
      <c r="CN3" t="s">
        <v>243</v>
      </c>
      <c r="CO3" t="s">
        <v>243</v>
      </c>
      <c r="CP3" t="s">
        <v>243</v>
      </c>
      <c r="CQ3" t="s">
        <v>519</v>
      </c>
      <c r="CR3" t="s">
        <v>243</v>
      </c>
      <c r="CS3" t="s">
        <v>243</v>
      </c>
      <c r="CT3" t="s">
        <v>243</v>
      </c>
      <c r="CU3" t="s">
        <v>519</v>
      </c>
      <c r="CV3" t="s">
        <v>243</v>
      </c>
      <c r="CW3" t="s">
        <v>243</v>
      </c>
      <c r="CX3" t="s">
        <v>243</v>
      </c>
      <c r="CY3" t="s">
        <v>519</v>
      </c>
      <c r="CZ3" t="s">
        <v>243</v>
      </c>
      <c r="DA3" t="s">
        <v>243</v>
      </c>
      <c r="DB3" t="s">
        <v>243</v>
      </c>
      <c r="DC3" t="s">
        <v>242</v>
      </c>
      <c r="DD3" t="s">
        <v>243</v>
      </c>
      <c r="DF3" t="s">
        <v>243</v>
      </c>
      <c r="DG3" t="s">
        <v>242</v>
      </c>
      <c r="DH3" t="s">
        <v>244</v>
      </c>
    </row>
    <row r="4" spans="1:112" x14ac:dyDescent="0.35">
      <c r="A4" t="s">
        <v>6369</v>
      </c>
      <c r="B4" t="s">
        <v>6381</v>
      </c>
      <c r="C4" t="s">
        <v>6371</v>
      </c>
      <c r="D4" t="s">
        <v>6382</v>
      </c>
      <c r="E4" t="s">
        <v>6373</v>
      </c>
      <c r="F4" t="s">
        <v>6095</v>
      </c>
      <c r="G4" t="s">
        <v>28</v>
      </c>
      <c r="H4" t="s">
        <v>6383</v>
      </c>
      <c r="I4" t="s">
        <v>6376</v>
      </c>
      <c r="J4" t="s">
        <v>3355</v>
      </c>
      <c r="L4" t="s">
        <v>243</v>
      </c>
      <c r="M4" t="s">
        <v>242</v>
      </c>
      <c r="N4" t="s">
        <v>243</v>
      </c>
      <c r="O4" t="s">
        <v>242</v>
      </c>
      <c r="P4" t="s">
        <v>243</v>
      </c>
      <c r="Q4" t="s">
        <v>242</v>
      </c>
      <c r="R4" t="s">
        <v>243</v>
      </c>
      <c r="S4" t="s">
        <v>242</v>
      </c>
      <c r="T4" t="s">
        <v>243</v>
      </c>
      <c r="U4" t="s">
        <v>242</v>
      </c>
      <c r="V4" t="s">
        <v>243</v>
      </c>
      <c r="W4" t="s">
        <v>242</v>
      </c>
      <c r="X4" t="s">
        <v>243</v>
      </c>
      <c r="Y4" t="s">
        <v>242</v>
      </c>
      <c r="Z4" t="s">
        <v>243</v>
      </c>
      <c r="AA4" t="s">
        <v>242</v>
      </c>
      <c r="AB4" t="s">
        <v>243</v>
      </c>
      <c r="AC4" t="s">
        <v>242</v>
      </c>
      <c r="AD4" t="s">
        <v>243</v>
      </c>
      <c r="AE4" t="s">
        <v>242</v>
      </c>
      <c r="AF4" t="s">
        <v>243</v>
      </c>
      <c r="AG4" t="s">
        <v>242</v>
      </c>
      <c r="AH4" t="s">
        <v>243</v>
      </c>
      <c r="AI4" t="s">
        <v>242</v>
      </c>
      <c r="AJ4" t="s">
        <v>243</v>
      </c>
      <c r="AK4" t="s">
        <v>242</v>
      </c>
      <c r="AL4" t="s">
        <v>243</v>
      </c>
      <c r="AM4" t="s">
        <v>242</v>
      </c>
      <c r="AN4" t="s">
        <v>243</v>
      </c>
      <c r="AO4" t="s">
        <v>242</v>
      </c>
      <c r="AP4" t="s">
        <v>243</v>
      </c>
      <c r="AQ4" t="s">
        <v>242</v>
      </c>
      <c r="AR4" t="s">
        <v>243</v>
      </c>
      <c r="AS4" t="s">
        <v>242</v>
      </c>
      <c r="AT4" t="s">
        <v>243</v>
      </c>
      <c r="AU4" t="s">
        <v>242</v>
      </c>
      <c r="AV4" t="s">
        <v>243</v>
      </c>
      <c r="AW4" t="s">
        <v>242</v>
      </c>
      <c r="AX4" t="s">
        <v>243</v>
      </c>
      <c r="AY4" t="s">
        <v>242</v>
      </c>
      <c r="AZ4" t="s">
        <v>243</v>
      </c>
      <c r="BA4" t="s">
        <v>242</v>
      </c>
      <c r="BB4" t="s">
        <v>243</v>
      </c>
      <c r="BC4" t="s">
        <v>519</v>
      </c>
      <c r="BD4" t="s">
        <v>243</v>
      </c>
      <c r="BE4" t="s">
        <v>243</v>
      </c>
      <c r="BF4" t="s">
        <v>243</v>
      </c>
      <c r="BG4" t="s">
        <v>519</v>
      </c>
      <c r="BH4" t="s">
        <v>243</v>
      </c>
      <c r="BI4" t="s">
        <v>243</v>
      </c>
      <c r="BJ4" t="s">
        <v>243</v>
      </c>
      <c r="BK4" t="s">
        <v>519</v>
      </c>
      <c r="BL4" t="s">
        <v>243</v>
      </c>
      <c r="BM4" t="s">
        <v>243</v>
      </c>
      <c r="BN4" t="s">
        <v>243</v>
      </c>
      <c r="BO4" t="s">
        <v>519</v>
      </c>
      <c r="BP4" t="s">
        <v>243</v>
      </c>
      <c r="BQ4" t="s">
        <v>243</v>
      </c>
      <c r="BR4" t="s">
        <v>243</v>
      </c>
      <c r="BS4" t="s">
        <v>519</v>
      </c>
      <c r="BT4" t="s">
        <v>243</v>
      </c>
      <c r="BU4" t="s">
        <v>243</v>
      </c>
      <c r="BV4" t="s">
        <v>243</v>
      </c>
      <c r="BW4" t="s">
        <v>519</v>
      </c>
      <c r="BX4" t="s">
        <v>243</v>
      </c>
      <c r="BY4" t="s">
        <v>243</v>
      </c>
      <c r="BZ4" t="s">
        <v>243</v>
      </c>
      <c r="CA4" t="s">
        <v>519</v>
      </c>
      <c r="CB4" t="s">
        <v>243</v>
      </c>
      <c r="CC4" t="s">
        <v>243</v>
      </c>
      <c r="CD4" t="s">
        <v>243</v>
      </c>
      <c r="CE4" t="s">
        <v>519</v>
      </c>
      <c r="CF4" t="s">
        <v>243</v>
      </c>
      <c r="CG4" t="s">
        <v>243</v>
      </c>
      <c r="CH4" t="s">
        <v>243</v>
      </c>
      <c r="CI4" t="s">
        <v>519</v>
      </c>
      <c r="CJ4" t="s">
        <v>243</v>
      </c>
      <c r="CK4" t="s">
        <v>243</v>
      </c>
      <c r="CL4" t="s">
        <v>243</v>
      </c>
      <c r="CM4" t="s">
        <v>519</v>
      </c>
      <c r="CN4" t="s">
        <v>243</v>
      </c>
      <c r="CO4" t="s">
        <v>243</v>
      </c>
      <c r="CP4" t="s">
        <v>243</v>
      </c>
      <c r="CQ4" t="s">
        <v>519</v>
      </c>
      <c r="CR4" t="s">
        <v>243</v>
      </c>
      <c r="CS4" t="s">
        <v>243</v>
      </c>
      <c r="CT4" t="s">
        <v>243</v>
      </c>
      <c r="CU4" t="s">
        <v>519</v>
      </c>
      <c r="CV4" t="s">
        <v>243</v>
      </c>
      <c r="CW4" t="s">
        <v>243</v>
      </c>
      <c r="CX4" t="s">
        <v>243</v>
      </c>
      <c r="CY4" t="s">
        <v>519</v>
      </c>
      <c r="CZ4" t="s">
        <v>243</v>
      </c>
      <c r="DA4" t="s">
        <v>243</v>
      </c>
      <c r="DB4" t="s">
        <v>243</v>
      </c>
      <c r="DC4" t="s">
        <v>242</v>
      </c>
      <c r="DD4" t="s">
        <v>243</v>
      </c>
      <c r="DF4" t="s">
        <v>243</v>
      </c>
      <c r="DG4" t="s">
        <v>242</v>
      </c>
      <c r="DH4" t="s">
        <v>244</v>
      </c>
    </row>
    <row r="5" spans="1:112" x14ac:dyDescent="0.35">
      <c r="A5" t="s">
        <v>6369</v>
      </c>
      <c r="B5" t="s">
        <v>6384</v>
      </c>
      <c r="C5" t="s">
        <v>6371</v>
      </c>
      <c r="D5" t="s">
        <v>6385</v>
      </c>
      <c r="E5" t="s">
        <v>6373</v>
      </c>
      <c r="F5" t="s">
        <v>6386</v>
      </c>
      <c r="G5" t="s">
        <v>28</v>
      </c>
      <c r="H5" t="s">
        <v>2132</v>
      </c>
      <c r="I5" t="s">
        <v>6387</v>
      </c>
      <c r="J5" t="s">
        <v>6388</v>
      </c>
      <c r="L5" t="s">
        <v>6389</v>
      </c>
      <c r="M5" t="s">
        <v>18</v>
      </c>
      <c r="N5" t="s">
        <v>6390</v>
      </c>
      <c r="O5" t="s">
        <v>17</v>
      </c>
      <c r="P5" t="s">
        <v>1107</v>
      </c>
      <c r="Q5" t="s">
        <v>28</v>
      </c>
      <c r="R5" t="s">
        <v>2873</v>
      </c>
      <c r="S5" t="s">
        <v>6391</v>
      </c>
      <c r="T5" t="s">
        <v>6392</v>
      </c>
      <c r="U5" t="s">
        <v>28</v>
      </c>
      <c r="V5" t="s">
        <v>6393</v>
      </c>
      <c r="W5" t="s">
        <v>29</v>
      </c>
      <c r="X5" t="s">
        <v>6394</v>
      </c>
      <c r="Y5" t="s">
        <v>242</v>
      </c>
      <c r="Z5" t="s">
        <v>243</v>
      </c>
      <c r="AA5" t="s">
        <v>29</v>
      </c>
      <c r="AB5" t="s">
        <v>244</v>
      </c>
      <c r="AC5" t="s">
        <v>242</v>
      </c>
      <c r="AD5" t="s">
        <v>243</v>
      </c>
      <c r="AE5" t="s">
        <v>242</v>
      </c>
      <c r="AF5" t="s">
        <v>243</v>
      </c>
      <c r="AG5" t="s">
        <v>242</v>
      </c>
      <c r="AH5" t="s">
        <v>243</v>
      </c>
      <c r="AI5" t="s">
        <v>242</v>
      </c>
      <c r="AJ5" t="s">
        <v>243</v>
      </c>
      <c r="AK5" t="s">
        <v>242</v>
      </c>
      <c r="AL5" t="s">
        <v>243</v>
      </c>
      <c r="AM5" t="s">
        <v>6395</v>
      </c>
      <c r="AN5" t="s">
        <v>244</v>
      </c>
      <c r="AO5" t="s">
        <v>825</v>
      </c>
      <c r="AP5" t="s">
        <v>5000</v>
      </c>
      <c r="AQ5" t="s">
        <v>32</v>
      </c>
      <c r="AR5" t="s">
        <v>6396</v>
      </c>
      <c r="AS5" t="s">
        <v>242</v>
      </c>
      <c r="AT5" t="s">
        <v>6397</v>
      </c>
      <c r="AU5" t="s">
        <v>6398</v>
      </c>
      <c r="AV5" t="s">
        <v>6399</v>
      </c>
      <c r="AW5" t="s">
        <v>6400</v>
      </c>
      <c r="AX5" t="s">
        <v>2164</v>
      </c>
      <c r="AY5" t="s">
        <v>6401</v>
      </c>
      <c r="AZ5" t="s">
        <v>6402</v>
      </c>
      <c r="BA5" t="s">
        <v>242</v>
      </c>
      <c r="BB5" t="s">
        <v>2611</v>
      </c>
      <c r="BC5" t="s">
        <v>664</v>
      </c>
      <c r="BD5" t="s">
        <v>6403</v>
      </c>
      <c r="BE5" t="s">
        <v>479</v>
      </c>
      <c r="BF5" t="s">
        <v>6404</v>
      </c>
      <c r="BG5" t="s">
        <v>595</v>
      </c>
      <c r="BH5" t="s">
        <v>6405</v>
      </c>
      <c r="BI5" t="s">
        <v>274</v>
      </c>
      <c r="BJ5" t="s">
        <v>6406</v>
      </c>
      <c r="BK5" t="s">
        <v>397</v>
      </c>
      <c r="BL5" t="s">
        <v>6407</v>
      </c>
      <c r="BM5" t="s">
        <v>254</v>
      </c>
      <c r="BN5" t="s">
        <v>6408</v>
      </c>
      <c r="BO5" t="s">
        <v>595</v>
      </c>
      <c r="BP5" t="s">
        <v>6409</v>
      </c>
      <c r="BQ5" t="s">
        <v>395</v>
      </c>
      <c r="BR5" t="s">
        <v>6410</v>
      </c>
      <c r="BS5" t="s">
        <v>351</v>
      </c>
      <c r="BT5" t="s">
        <v>6411</v>
      </c>
      <c r="BU5" t="s">
        <v>688</v>
      </c>
      <c r="BV5" t="s">
        <v>6008</v>
      </c>
      <c r="BW5" t="s">
        <v>664</v>
      </c>
      <c r="BX5" t="s">
        <v>6412</v>
      </c>
      <c r="BY5" t="s">
        <v>268</v>
      </c>
      <c r="BZ5" t="s">
        <v>6413</v>
      </c>
      <c r="CA5" t="s">
        <v>416</v>
      </c>
      <c r="CB5" t="s">
        <v>6414</v>
      </c>
      <c r="CC5" t="s">
        <v>289</v>
      </c>
      <c r="CD5" t="s">
        <v>6415</v>
      </c>
      <c r="CE5" t="s">
        <v>585</v>
      </c>
      <c r="CF5" t="s">
        <v>4217</v>
      </c>
      <c r="CG5" t="s">
        <v>285</v>
      </c>
      <c r="CH5" t="s">
        <v>6416</v>
      </c>
      <c r="CI5" t="s">
        <v>252</v>
      </c>
      <c r="CJ5" t="s">
        <v>1594</v>
      </c>
      <c r="CK5" t="s">
        <v>532</v>
      </c>
      <c r="CL5" t="s">
        <v>6417</v>
      </c>
      <c r="CM5" t="s">
        <v>591</v>
      </c>
      <c r="CN5" t="s">
        <v>1042</v>
      </c>
      <c r="CO5" t="s">
        <v>257</v>
      </c>
      <c r="CP5" t="s">
        <v>6418</v>
      </c>
      <c r="CQ5" t="s">
        <v>276</v>
      </c>
      <c r="CR5" t="s">
        <v>6419</v>
      </c>
      <c r="CS5" t="s">
        <v>779</v>
      </c>
      <c r="CT5" t="s">
        <v>6420</v>
      </c>
      <c r="CU5" t="s">
        <v>339</v>
      </c>
      <c r="CV5" t="s">
        <v>6421</v>
      </c>
      <c r="CW5" t="s">
        <v>414</v>
      </c>
      <c r="CX5" t="s">
        <v>6422</v>
      </c>
      <c r="CY5" t="s">
        <v>342</v>
      </c>
      <c r="CZ5" t="s">
        <v>4333</v>
      </c>
      <c r="DA5" t="s">
        <v>424</v>
      </c>
      <c r="DB5" t="s">
        <v>6423</v>
      </c>
      <c r="DC5" t="s">
        <v>242</v>
      </c>
      <c r="DD5" t="s">
        <v>238</v>
      </c>
      <c r="DF5" t="s">
        <v>6424</v>
      </c>
      <c r="DG5" t="s">
        <v>242</v>
      </c>
      <c r="DH5" t="s">
        <v>6425</v>
      </c>
    </row>
    <row r="6" spans="1:112" x14ac:dyDescent="0.35">
      <c r="A6" t="s">
        <v>6369</v>
      </c>
      <c r="B6" t="s">
        <v>6426</v>
      </c>
      <c r="C6" t="s">
        <v>6371</v>
      </c>
      <c r="D6" t="s">
        <v>6427</v>
      </c>
      <c r="E6" t="s">
        <v>6373</v>
      </c>
      <c r="F6" t="s">
        <v>6428</v>
      </c>
      <c r="G6" t="s">
        <v>28</v>
      </c>
      <c r="H6" t="s">
        <v>6429</v>
      </c>
      <c r="I6" t="s">
        <v>6387</v>
      </c>
      <c r="J6" t="s">
        <v>6430</v>
      </c>
      <c r="L6" t="s">
        <v>6431</v>
      </c>
      <c r="M6" t="s">
        <v>15</v>
      </c>
      <c r="N6" t="s">
        <v>6432</v>
      </c>
      <c r="O6" t="s">
        <v>17</v>
      </c>
      <c r="P6" t="s">
        <v>1652</v>
      </c>
      <c r="Q6" t="s">
        <v>28</v>
      </c>
      <c r="R6" t="s">
        <v>4328</v>
      </c>
      <c r="S6" t="s">
        <v>6391</v>
      </c>
      <c r="T6" t="s">
        <v>6220</v>
      </c>
      <c r="U6" t="s">
        <v>28</v>
      </c>
      <c r="V6" t="s">
        <v>6433</v>
      </c>
      <c r="W6" t="s">
        <v>28</v>
      </c>
      <c r="X6" t="s">
        <v>6434</v>
      </c>
      <c r="Y6" t="s">
        <v>6435</v>
      </c>
      <c r="Z6" t="s">
        <v>6436</v>
      </c>
      <c r="AA6" t="s">
        <v>33</v>
      </c>
      <c r="AB6" t="s">
        <v>6437</v>
      </c>
      <c r="AC6" t="s">
        <v>6438</v>
      </c>
      <c r="AD6" t="s">
        <v>6439</v>
      </c>
      <c r="AE6" t="s">
        <v>6440</v>
      </c>
      <c r="AF6" t="s">
        <v>2828</v>
      </c>
      <c r="AG6" t="s">
        <v>28</v>
      </c>
      <c r="AH6" t="s">
        <v>6441</v>
      </c>
      <c r="AI6" t="s">
        <v>6442</v>
      </c>
      <c r="AJ6" t="s">
        <v>6443</v>
      </c>
      <c r="AK6" t="s">
        <v>6444</v>
      </c>
      <c r="AL6" t="s">
        <v>6445</v>
      </c>
      <c r="AM6" t="s">
        <v>6446</v>
      </c>
      <c r="AN6" t="s">
        <v>6447</v>
      </c>
      <c r="AO6" t="s">
        <v>4730</v>
      </c>
      <c r="AP6" t="s">
        <v>6448</v>
      </c>
      <c r="AQ6" t="s">
        <v>32</v>
      </c>
      <c r="AR6" t="s">
        <v>6449</v>
      </c>
      <c r="AS6" t="s">
        <v>242</v>
      </c>
      <c r="AT6" t="s">
        <v>6450</v>
      </c>
      <c r="AU6" t="s">
        <v>6451</v>
      </c>
      <c r="AV6" t="s">
        <v>6452</v>
      </c>
      <c r="AW6" t="s">
        <v>6400</v>
      </c>
      <c r="AX6" t="s">
        <v>6453</v>
      </c>
      <c r="AY6" t="s">
        <v>6401</v>
      </c>
      <c r="AZ6" t="s">
        <v>6454</v>
      </c>
      <c r="BA6" t="s">
        <v>242</v>
      </c>
      <c r="BB6" t="s">
        <v>6455</v>
      </c>
      <c r="BC6" t="s">
        <v>243</v>
      </c>
      <c r="BD6" t="s">
        <v>6456</v>
      </c>
      <c r="BE6" t="s">
        <v>295</v>
      </c>
      <c r="BF6" t="s">
        <v>6457</v>
      </c>
      <c r="BG6" t="s">
        <v>243</v>
      </c>
      <c r="BH6" t="s">
        <v>6458</v>
      </c>
      <c r="BI6" t="s">
        <v>295</v>
      </c>
      <c r="BJ6" t="s">
        <v>6459</v>
      </c>
      <c r="BK6" t="s">
        <v>243</v>
      </c>
      <c r="BL6" t="s">
        <v>6460</v>
      </c>
      <c r="BM6" t="s">
        <v>295</v>
      </c>
      <c r="BN6" t="s">
        <v>6461</v>
      </c>
      <c r="BO6" t="s">
        <v>519</v>
      </c>
      <c r="BP6" t="s">
        <v>6462</v>
      </c>
      <c r="BQ6" t="s">
        <v>295</v>
      </c>
      <c r="BR6" t="s">
        <v>3223</v>
      </c>
      <c r="BS6" t="s">
        <v>519</v>
      </c>
      <c r="BT6" t="s">
        <v>6463</v>
      </c>
      <c r="BU6" t="s">
        <v>295</v>
      </c>
      <c r="BV6" t="s">
        <v>1701</v>
      </c>
      <c r="BW6" t="s">
        <v>519</v>
      </c>
      <c r="BX6" t="s">
        <v>6464</v>
      </c>
      <c r="BY6" t="s">
        <v>295</v>
      </c>
      <c r="BZ6" t="s">
        <v>6465</v>
      </c>
      <c r="CA6" t="s">
        <v>519</v>
      </c>
      <c r="CB6" t="s">
        <v>6466</v>
      </c>
      <c r="CC6" t="s">
        <v>295</v>
      </c>
      <c r="CD6" t="s">
        <v>976</v>
      </c>
      <c r="CE6" t="s">
        <v>519</v>
      </c>
      <c r="CF6" t="s">
        <v>5420</v>
      </c>
      <c r="CG6" t="s">
        <v>295</v>
      </c>
      <c r="CH6" t="s">
        <v>6467</v>
      </c>
      <c r="CI6" t="s">
        <v>243</v>
      </c>
      <c r="CJ6" t="s">
        <v>5363</v>
      </c>
      <c r="CK6" t="s">
        <v>295</v>
      </c>
      <c r="CL6" t="s">
        <v>6468</v>
      </c>
      <c r="CM6" t="s">
        <v>243</v>
      </c>
      <c r="CN6" t="s">
        <v>6469</v>
      </c>
      <c r="CO6" t="s">
        <v>295</v>
      </c>
      <c r="CP6" t="s">
        <v>6470</v>
      </c>
      <c r="CQ6" t="s">
        <v>519</v>
      </c>
      <c r="CR6" t="s">
        <v>6471</v>
      </c>
      <c r="CS6" t="s">
        <v>295</v>
      </c>
      <c r="CT6" t="s">
        <v>6472</v>
      </c>
      <c r="CU6" t="s">
        <v>519</v>
      </c>
      <c r="CV6" t="s">
        <v>6473</v>
      </c>
      <c r="CW6" t="s">
        <v>295</v>
      </c>
      <c r="CX6" t="s">
        <v>6474</v>
      </c>
      <c r="CY6" t="s">
        <v>243</v>
      </c>
      <c r="CZ6" t="s">
        <v>6475</v>
      </c>
      <c r="DA6" t="s">
        <v>295</v>
      </c>
      <c r="DB6" t="s">
        <v>6476</v>
      </c>
      <c r="DC6" t="s">
        <v>242</v>
      </c>
      <c r="DD6" t="s">
        <v>6477</v>
      </c>
      <c r="DF6" t="s">
        <v>6478</v>
      </c>
      <c r="DG6" t="s">
        <v>242</v>
      </c>
      <c r="DH6" t="s">
        <v>1790</v>
      </c>
    </row>
    <row r="7" spans="1:112" x14ac:dyDescent="0.35">
      <c r="A7" t="s">
        <v>6369</v>
      </c>
      <c r="B7" t="s">
        <v>6479</v>
      </c>
      <c r="C7" t="s">
        <v>6371</v>
      </c>
      <c r="D7" t="s">
        <v>2678</v>
      </c>
      <c r="E7" t="s">
        <v>6373</v>
      </c>
      <c r="F7" t="s">
        <v>6480</v>
      </c>
      <c r="G7" t="s">
        <v>28</v>
      </c>
      <c r="H7" t="s">
        <v>6481</v>
      </c>
      <c r="I7" t="s">
        <v>6387</v>
      </c>
      <c r="J7" t="s">
        <v>6482</v>
      </c>
      <c r="L7" t="s">
        <v>6483</v>
      </c>
      <c r="M7" t="s">
        <v>20</v>
      </c>
      <c r="N7" t="s">
        <v>6484</v>
      </c>
      <c r="O7" t="s">
        <v>17</v>
      </c>
      <c r="P7" t="s">
        <v>6485</v>
      </c>
      <c r="Q7" t="s">
        <v>28</v>
      </c>
      <c r="R7" t="s">
        <v>6486</v>
      </c>
      <c r="S7" t="s">
        <v>6391</v>
      </c>
      <c r="T7" t="s">
        <v>6487</v>
      </c>
      <c r="U7" t="s">
        <v>28</v>
      </c>
      <c r="V7" t="s">
        <v>1018</v>
      </c>
      <c r="W7" t="s">
        <v>28</v>
      </c>
      <c r="X7" t="s">
        <v>1018</v>
      </c>
      <c r="Y7" t="s">
        <v>6488</v>
      </c>
      <c r="Z7" t="s">
        <v>6489</v>
      </c>
      <c r="AA7" t="s">
        <v>33</v>
      </c>
      <c r="AB7" t="s">
        <v>6490</v>
      </c>
      <c r="AC7" t="s">
        <v>6438</v>
      </c>
      <c r="AD7" t="s">
        <v>6491</v>
      </c>
      <c r="AE7" t="s">
        <v>6440</v>
      </c>
      <c r="AF7" t="s">
        <v>6492</v>
      </c>
      <c r="AG7" t="s">
        <v>28</v>
      </c>
      <c r="AH7" t="s">
        <v>6493</v>
      </c>
      <c r="AI7" t="s">
        <v>6494</v>
      </c>
      <c r="AJ7" t="s">
        <v>6495</v>
      </c>
      <c r="AK7" t="s">
        <v>6496</v>
      </c>
      <c r="AL7" t="s">
        <v>6497</v>
      </c>
      <c r="AM7" t="s">
        <v>6498</v>
      </c>
      <c r="AN7" t="s">
        <v>6499</v>
      </c>
      <c r="AO7" t="s">
        <v>1498</v>
      </c>
      <c r="AP7" t="s">
        <v>6500</v>
      </c>
      <c r="AQ7" t="s">
        <v>35</v>
      </c>
      <c r="AR7" t="s">
        <v>1427</v>
      </c>
      <c r="AS7" t="s">
        <v>242</v>
      </c>
      <c r="AT7" t="s">
        <v>6501</v>
      </c>
      <c r="AU7" t="s">
        <v>6502</v>
      </c>
      <c r="AV7" t="s">
        <v>6503</v>
      </c>
      <c r="AW7" t="s">
        <v>6400</v>
      </c>
      <c r="AX7" t="s">
        <v>6504</v>
      </c>
      <c r="AY7" t="s">
        <v>6401</v>
      </c>
      <c r="AZ7" t="s">
        <v>6505</v>
      </c>
      <c r="BA7" t="s">
        <v>242</v>
      </c>
      <c r="BB7" t="s">
        <v>6506</v>
      </c>
      <c r="BC7" t="s">
        <v>266</v>
      </c>
      <c r="BD7" t="s">
        <v>6507</v>
      </c>
      <c r="BE7" t="s">
        <v>257</v>
      </c>
      <c r="BF7" t="s">
        <v>6508</v>
      </c>
      <c r="BG7" t="s">
        <v>589</v>
      </c>
      <c r="BH7" t="s">
        <v>6509</v>
      </c>
      <c r="BI7" t="s">
        <v>449</v>
      </c>
      <c r="BJ7" t="s">
        <v>6510</v>
      </c>
      <c r="BK7" t="s">
        <v>583</v>
      </c>
      <c r="BL7" t="s">
        <v>6511</v>
      </c>
      <c r="BM7" t="s">
        <v>424</v>
      </c>
      <c r="BN7" t="s">
        <v>6512</v>
      </c>
      <c r="BO7" t="s">
        <v>283</v>
      </c>
      <c r="BP7" t="s">
        <v>6513</v>
      </c>
      <c r="BQ7" t="s">
        <v>335</v>
      </c>
      <c r="BR7" t="s">
        <v>6514</v>
      </c>
      <c r="BS7" t="s">
        <v>266</v>
      </c>
      <c r="BT7" t="s">
        <v>6515</v>
      </c>
      <c r="BU7" t="s">
        <v>287</v>
      </c>
      <c r="BV7" t="s">
        <v>6516</v>
      </c>
      <c r="BW7" t="s">
        <v>1788</v>
      </c>
      <c r="BX7" t="s">
        <v>6517</v>
      </c>
      <c r="BY7" t="s">
        <v>335</v>
      </c>
      <c r="BZ7" t="s">
        <v>6518</v>
      </c>
      <c r="CA7" t="s">
        <v>266</v>
      </c>
      <c r="CB7" t="s">
        <v>6519</v>
      </c>
      <c r="CC7" t="s">
        <v>261</v>
      </c>
      <c r="CD7" t="s">
        <v>3683</v>
      </c>
      <c r="CE7" t="s">
        <v>263</v>
      </c>
      <c r="CF7" t="s">
        <v>6520</v>
      </c>
      <c r="CG7" t="s">
        <v>271</v>
      </c>
      <c r="CH7" t="s">
        <v>6521</v>
      </c>
      <c r="CI7" t="s">
        <v>266</v>
      </c>
      <c r="CJ7" t="s">
        <v>5624</v>
      </c>
      <c r="CK7" t="s">
        <v>744</v>
      </c>
      <c r="CL7" t="s">
        <v>3111</v>
      </c>
      <c r="CM7" t="s">
        <v>283</v>
      </c>
      <c r="CN7" t="s">
        <v>3814</v>
      </c>
      <c r="CO7" t="s">
        <v>371</v>
      </c>
      <c r="CP7" t="s">
        <v>6522</v>
      </c>
      <c r="CQ7" t="s">
        <v>266</v>
      </c>
      <c r="CR7" t="s">
        <v>6469</v>
      </c>
      <c r="CS7" t="s">
        <v>779</v>
      </c>
      <c r="CT7" t="s">
        <v>6523</v>
      </c>
      <c r="CU7" t="s">
        <v>342</v>
      </c>
      <c r="CV7" t="s">
        <v>6524</v>
      </c>
      <c r="CW7" t="s">
        <v>467</v>
      </c>
      <c r="CX7" t="s">
        <v>6525</v>
      </c>
      <c r="CY7" t="s">
        <v>263</v>
      </c>
      <c r="CZ7" t="s">
        <v>3447</v>
      </c>
      <c r="DA7" t="s">
        <v>291</v>
      </c>
      <c r="DB7" t="s">
        <v>549</v>
      </c>
      <c r="DC7" t="s">
        <v>242</v>
      </c>
      <c r="DD7" t="s">
        <v>1846</v>
      </c>
      <c r="DF7" t="s">
        <v>6526</v>
      </c>
      <c r="DG7" t="s">
        <v>242</v>
      </c>
      <c r="DH7" t="s">
        <v>6527</v>
      </c>
    </row>
    <row r="8" spans="1:112" x14ac:dyDescent="0.35">
      <c r="A8" t="s">
        <v>6369</v>
      </c>
      <c r="B8" t="s">
        <v>6528</v>
      </c>
      <c r="C8" t="s">
        <v>6371</v>
      </c>
      <c r="D8" t="s">
        <v>1251</v>
      </c>
      <c r="E8" t="s">
        <v>6373</v>
      </c>
      <c r="F8" t="s">
        <v>4270</v>
      </c>
      <c r="G8" t="s">
        <v>28</v>
      </c>
      <c r="H8" t="s">
        <v>5723</v>
      </c>
      <c r="I8" t="s">
        <v>6387</v>
      </c>
      <c r="J8" t="s">
        <v>4668</v>
      </c>
      <c r="L8" t="s">
        <v>6529</v>
      </c>
      <c r="M8" t="s">
        <v>15</v>
      </c>
      <c r="N8" t="s">
        <v>6374</v>
      </c>
      <c r="O8" t="s">
        <v>16</v>
      </c>
      <c r="P8" t="s">
        <v>6530</v>
      </c>
      <c r="Q8" t="s">
        <v>28</v>
      </c>
      <c r="R8" t="s">
        <v>6531</v>
      </c>
      <c r="S8" t="s">
        <v>6532</v>
      </c>
      <c r="T8" t="s">
        <v>4512</v>
      </c>
      <c r="U8" t="s">
        <v>242</v>
      </c>
      <c r="V8" t="s">
        <v>243</v>
      </c>
      <c r="W8" t="s">
        <v>242</v>
      </c>
      <c r="X8" t="s">
        <v>243</v>
      </c>
      <c r="Y8" t="s">
        <v>242</v>
      </c>
      <c r="Z8" t="s">
        <v>243</v>
      </c>
      <c r="AA8" t="s">
        <v>242</v>
      </c>
      <c r="AB8" t="s">
        <v>243</v>
      </c>
      <c r="AC8" t="s">
        <v>242</v>
      </c>
      <c r="AD8" t="s">
        <v>243</v>
      </c>
      <c r="AE8" t="s">
        <v>242</v>
      </c>
      <c r="AF8" t="s">
        <v>243</v>
      </c>
      <c r="AG8" t="s">
        <v>242</v>
      </c>
      <c r="AH8" t="s">
        <v>243</v>
      </c>
      <c r="AI8" t="s">
        <v>242</v>
      </c>
      <c r="AJ8" t="s">
        <v>243</v>
      </c>
      <c r="AK8" t="s">
        <v>242</v>
      </c>
      <c r="AL8" t="s">
        <v>243</v>
      </c>
      <c r="AM8" t="s">
        <v>242</v>
      </c>
      <c r="AN8" t="s">
        <v>243</v>
      </c>
      <c r="AO8" t="s">
        <v>242</v>
      </c>
      <c r="AP8" t="s">
        <v>243</v>
      </c>
      <c r="AQ8" t="s">
        <v>242</v>
      </c>
      <c r="AR8" t="s">
        <v>243</v>
      </c>
      <c r="AS8" t="s">
        <v>242</v>
      </c>
      <c r="AT8" t="s">
        <v>244</v>
      </c>
      <c r="AU8" t="s">
        <v>6533</v>
      </c>
      <c r="AV8" t="s">
        <v>6534</v>
      </c>
      <c r="AW8" t="s">
        <v>6400</v>
      </c>
      <c r="AX8" t="s">
        <v>6535</v>
      </c>
      <c r="AY8" t="s">
        <v>6401</v>
      </c>
      <c r="AZ8" t="s">
        <v>6536</v>
      </c>
      <c r="BA8" t="s">
        <v>242</v>
      </c>
      <c r="BB8" t="s">
        <v>6537</v>
      </c>
      <c r="BC8" t="s">
        <v>414</v>
      </c>
      <c r="BD8" t="s">
        <v>6538</v>
      </c>
      <c r="BE8" t="s">
        <v>1360</v>
      </c>
      <c r="BF8" t="s">
        <v>6539</v>
      </c>
      <c r="BG8" t="s">
        <v>401</v>
      </c>
      <c r="BH8" t="s">
        <v>6540</v>
      </c>
      <c r="BI8" t="s">
        <v>281</v>
      </c>
      <c r="BJ8" t="s">
        <v>6541</v>
      </c>
      <c r="BK8" t="s">
        <v>528</v>
      </c>
      <c r="BL8" t="s">
        <v>6542</v>
      </c>
      <c r="BM8" t="s">
        <v>281</v>
      </c>
      <c r="BN8" t="s">
        <v>6543</v>
      </c>
      <c r="BO8" t="s">
        <v>591</v>
      </c>
      <c r="BP8" t="s">
        <v>6544</v>
      </c>
      <c r="BQ8" t="s">
        <v>467</v>
      </c>
      <c r="BR8" t="s">
        <v>6545</v>
      </c>
      <c r="BS8" t="s">
        <v>348</v>
      </c>
      <c r="BT8" t="s">
        <v>6546</v>
      </c>
      <c r="BU8" t="s">
        <v>449</v>
      </c>
      <c r="BV8" t="s">
        <v>6547</v>
      </c>
      <c r="BW8" t="s">
        <v>348</v>
      </c>
      <c r="BX8" t="s">
        <v>6548</v>
      </c>
      <c r="BY8" t="s">
        <v>285</v>
      </c>
      <c r="BZ8" t="s">
        <v>6549</v>
      </c>
      <c r="CA8" t="s">
        <v>408</v>
      </c>
      <c r="CB8" t="s">
        <v>6550</v>
      </c>
      <c r="CC8" t="s">
        <v>454</v>
      </c>
      <c r="CD8" t="s">
        <v>6551</v>
      </c>
      <c r="CE8" t="s">
        <v>542</v>
      </c>
      <c r="CF8" t="s">
        <v>6552</v>
      </c>
      <c r="CG8" t="s">
        <v>698</v>
      </c>
      <c r="CH8" t="s">
        <v>6553</v>
      </c>
      <c r="CI8" t="s">
        <v>408</v>
      </c>
      <c r="CJ8" t="s">
        <v>6554</v>
      </c>
      <c r="CK8" t="s">
        <v>274</v>
      </c>
      <c r="CL8" t="s">
        <v>6555</v>
      </c>
      <c r="CM8" t="s">
        <v>261</v>
      </c>
      <c r="CN8" t="s">
        <v>6556</v>
      </c>
      <c r="CO8" t="s">
        <v>451</v>
      </c>
      <c r="CP8" t="s">
        <v>6557</v>
      </c>
      <c r="CQ8" t="s">
        <v>688</v>
      </c>
      <c r="CR8" t="s">
        <v>6558</v>
      </c>
      <c r="CS8" t="s">
        <v>295</v>
      </c>
      <c r="CT8" t="s">
        <v>6559</v>
      </c>
      <c r="CU8" t="s">
        <v>295</v>
      </c>
      <c r="CV8" t="s">
        <v>5513</v>
      </c>
      <c r="CW8" t="s">
        <v>295</v>
      </c>
      <c r="CX8" t="s">
        <v>6560</v>
      </c>
      <c r="CY8" t="s">
        <v>295</v>
      </c>
      <c r="CZ8" t="s">
        <v>430</v>
      </c>
      <c r="DA8" t="s">
        <v>295</v>
      </c>
      <c r="DB8" t="s">
        <v>6561</v>
      </c>
      <c r="DC8" t="s">
        <v>242</v>
      </c>
      <c r="DD8" t="s">
        <v>6562</v>
      </c>
      <c r="DF8" t="s">
        <v>6563</v>
      </c>
      <c r="DG8" t="s">
        <v>242</v>
      </c>
      <c r="DH8" t="s">
        <v>1718</v>
      </c>
    </row>
    <row r="9" spans="1:112" x14ac:dyDescent="0.35">
      <c r="A9" t="s">
        <v>6369</v>
      </c>
      <c r="B9" t="s">
        <v>6564</v>
      </c>
      <c r="C9" t="s">
        <v>6371</v>
      </c>
      <c r="D9" t="s">
        <v>6565</v>
      </c>
      <c r="E9" t="s">
        <v>6373</v>
      </c>
      <c r="F9" t="s">
        <v>6140</v>
      </c>
      <c r="G9" t="s">
        <v>28</v>
      </c>
      <c r="H9" t="s">
        <v>2471</v>
      </c>
      <c r="I9" t="s">
        <v>6387</v>
      </c>
      <c r="J9" t="s">
        <v>6566</v>
      </c>
      <c r="L9" t="s">
        <v>6567</v>
      </c>
      <c r="M9" t="s">
        <v>18</v>
      </c>
      <c r="N9" t="s">
        <v>6568</v>
      </c>
      <c r="O9" t="s">
        <v>17</v>
      </c>
      <c r="P9" t="s">
        <v>319</v>
      </c>
      <c r="Q9" t="s">
        <v>6569</v>
      </c>
      <c r="R9" t="s">
        <v>3259</v>
      </c>
      <c r="S9" t="s">
        <v>6391</v>
      </c>
      <c r="T9" t="s">
        <v>6570</v>
      </c>
      <c r="U9" t="s">
        <v>28</v>
      </c>
      <c r="V9" t="s">
        <v>6571</v>
      </c>
      <c r="W9" t="s">
        <v>28</v>
      </c>
      <c r="X9" t="s">
        <v>6572</v>
      </c>
      <c r="Y9" t="s">
        <v>6573</v>
      </c>
      <c r="Z9" t="s">
        <v>6574</v>
      </c>
      <c r="AA9" t="s">
        <v>33</v>
      </c>
      <c r="AB9" t="s">
        <v>6575</v>
      </c>
      <c r="AC9" t="s">
        <v>6438</v>
      </c>
      <c r="AD9" t="s">
        <v>6576</v>
      </c>
      <c r="AE9" t="s">
        <v>6440</v>
      </c>
      <c r="AF9" t="s">
        <v>2638</v>
      </c>
      <c r="AG9" t="s">
        <v>29</v>
      </c>
      <c r="AH9" t="s">
        <v>6577</v>
      </c>
      <c r="AI9" t="s">
        <v>6442</v>
      </c>
      <c r="AJ9" t="s">
        <v>3466</v>
      </c>
      <c r="AK9" t="s">
        <v>6578</v>
      </c>
      <c r="AL9" t="s">
        <v>6579</v>
      </c>
      <c r="AM9" t="s">
        <v>6580</v>
      </c>
      <c r="AN9" t="s">
        <v>6581</v>
      </c>
      <c r="AO9" t="s">
        <v>6582</v>
      </c>
      <c r="AP9" t="s">
        <v>6583</v>
      </c>
      <c r="AQ9" t="s">
        <v>32</v>
      </c>
      <c r="AR9" t="s">
        <v>6584</v>
      </c>
      <c r="AS9" t="s">
        <v>242</v>
      </c>
      <c r="AT9" t="s">
        <v>6585</v>
      </c>
      <c r="AU9" t="s">
        <v>563</v>
      </c>
      <c r="AV9" t="s">
        <v>6586</v>
      </c>
      <c r="AW9" t="s">
        <v>6400</v>
      </c>
      <c r="AX9" t="s">
        <v>6587</v>
      </c>
      <c r="AY9" t="s">
        <v>6588</v>
      </c>
      <c r="AZ9" t="s">
        <v>6589</v>
      </c>
      <c r="BA9" t="s">
        <v>242</v>
      </c>
      <c r="BB9" t="s">
        <v>667</v>
      </c>
      <c r="BC9" t="s">
        <v>575</v>
      </c>
      <c r="BD9" t="s">
        <v>6590</v>
      </c>
      <c r="BE9" t="s">
        <v>271</v>
      </c>
      <c r="BF9" t="s">
        <v>3473</v>
      </c>
      <c r="BG9" t="s">
        <v>367</v>
      </c>
      <c r="BH9" t="s">
        <v>6591</v>
      </c>
      <c r="BI9" t="s">
        <v>408</v>
      </c>
      <c r="BJ9" t="s">
        <v>6592</v>
      </c>
      <c r="BK9" t="s">
        <v>367</v>
      </c>
      <c r="BL9" t="s">
        <v>6593</v>
      </c>
      <c r="BM9" t="s">
        <v>424</v>
      </c>
      <c r="BN9" t="s">
        <v>6304</v>
      </c>
      <c r="BO9" t="s">
        <v>401</v>
      </c>
      <c r="BP9" t="s">
        <v>5724</v>
      </c>
      <c r="BQ9" t="s">
        <v>393</v>
      </c>
      <c r="BR9" t="s">
        <v>6594</v>
      </c>
      <c r="BS9" t="s">
        <v>351</v>
      </c>
      <c r="BT9" t="s">
        <v>6595</v>
      </c>
      <c r="BU9" t="s">
        <v>335</v>
      </c>
      <c r="BV9" t="s">
        <v>6596</v>
      </c>
      <c r="BW9" t="s">
        <v>416</v>
      </c>
      <c r="BX9" t="s">
        <v>1184</v>
      </c>
      <c r="BY9" t="s">
        <v>421</v>
      </c>
      <c r="BZ9" t="s">
        <v>2954</v>
      </c>
      <c r="CA9" t="s">
        <v>356</v>
      </c>
      <c r="CB9" t="s">
        <v>6597</v>
      </c>
      <c r="CC9" t="s">
        <v>287</v>
      </c>
      <c r="CD9" t="s">
        <v>6598</v>
      </c>
      <c r="CE9" t="s">
        <v>291</v>
      </c>
      <c r="CF9" t="s">
        <v>6599</v>
      </c>
      <c r="CG9" t="s">
        <v>291</v>
      </c>
      <c r="CH9" t="s">
        <v>6600</v>
      </c>
      <c r="CI9" t="s">
        <v>401</v>
      </c>
      <c r="CJ9" t="s">
        <v>6601</v>
      </c>
      <c r="CK9" t="s">
        <v>414</v>
      </c>
      <c r="CL9" t="s">
        <v>6602</v>
      </c>
      <c r="CM9" t="s">
        <v>291</v>
      </c>
      <c r="CN9" t="s">
        <v>6603</v>
      </c>
      <c r="CO9" t="s">
        <v>371</v>
      </c>
      <c r="CP9" t="s">
        <v>6604</v>
      </c>
      <c r="CQ9" t="s">
        <v>408</v>
      </c>
      <c r="CR9" t="s">
        <v>6605</v>
      </c>
      <c r="CS9" t="s">
        <v>449</v>
      </c>
      <c r="CT9" t="s">
        <v>6606</v>
      </c>
      <c r="CU9" t="s">
        <v>399</v>
      </c>
      <c r="CV9" t="s">
        <v>6607</v>
      </c>
      <c r="CW9" t="s">
        <v>542</v>
      </c>
      <c r="CX9" t="s">
        <v>6608</v>
      </c>
      <c r="CY9" t="s">
        <v>289</v>
      </c>
      <c r="CZ9" t="s">
        <v>6609</v>
      </c>
      <c r="DA9" t="s">
        <v>344</v>
      </c>
      <c r="DB9" t="s">
        <v>6610</v>
      </c>
      <c r="DC9" t="s">
        <v>242</v>
      </c>
      <c r="DD9" t="s">
        <v>6611</v>
      </c>
      <c r="DF9" t="s">
        <v>6612</v>
      </c>
      <c r="DG9" t="s">
        <v>242</v>
      </c>
      <c r="DH9" t="s">
        <v>6613</v>
      </c>
    </row>
    <row r="10" spans="1:112" x14ac:dyDescent="0.35">
      <c r="A10" t="s">
        <v>6369</v>
      </c>
      <c r="B10" t="s">
        <v>6614</v>
      </c>
      <c r="C10" t="s">
        <v>6371</v>
      </c>
      <c r="D10" t="s">
        <v>6615</v>
      </c>
      <c r="E10" t="s">
        <v>6373</v>
      </c>
      <c r="F10" t="s">
        <v>6616</v>
      </c>
      <c r="G10" t="s">
        <v>28</v>
      </c>
      <c r="H10" t="s">
        <v>4814</v>
      </c>
      <c r="I10" t="s">
        <v>6387</v>
      </c>
      <c r="J10" t="s">
        <v>6617</v>
      </c>
      <c r="L10" t="s">
        <v>6618</v>
      </c>
      <c r="M10" t="s">
        <v>20</v>
      </c>
      <c r="N10" t="s">
        <v>6207</v>
      </c>
      <c r="O10" t="s">
        <v>17</v>
      </c>
      <c r="P10" t="s">
        <v>6619</v>
      </c>
      <c r="Q10" t="s">
        <v>28</v>
      </c>
      <c r="R10" t="s">
        <v>6620</v>
      </c>
      <c r="S10" t="s">
        <v>6391</v>
      </c>
      <c r="T10" t="s">
        <v>6621</v>
      </c>
      <c r="U10" t="s">
        <v>28</v>
      </c>
      <c r="V10" t="s">
        <v>4485</v>
      </c>
      <c r="W10" t="s">
        <v>29</v>
      </c>
      <c r="X10" t="s">
        <v>6622</v>
      </c>
      <c r="Y10" t="s">
        <v>242</v>
      </c>
      <c r="Z10" t="s">
        <v>243</v>
      </c>
      <c r="AA10" t="s">
        <v>33</v>
      </c>
      <c r="AB10" t="s">
        <v>244</v>
      </c>
      <c r="AC10" t="s">
        <v>6438</v>
      </c>
      <c r="AD10" t="s">
        <v>1701</v>
      </c>
      <c r="AE10" t="s">
        <v>6440</v>
      </c>
      <c r="AF10" t="s">
        <v>6623</v>
      </c>
      <c r="AG10" t="s">
        <v>28</v>
      </c>
      <c r="AH10" t="s">
        <v>6624</v>
      </c>
      <c r="AI10" t="s">
        <v>6625</v>
      </c>
      <c r="AJ10" t="s">
        <v>6626</v>
      </c>
      <c r="AK10" t="s">
        <v>6627</v>
      </c>
      <c r="AL10" t="s">
        <v>6628</v>
      </c>
      <c r="AM10" t="s">
        <v>6629</v>
      </c>
      <c r="AN10" t="s">
        <v>6630</v>
      </c>
      <c r="AO10" t="s">
        <v>825</v>
      </c>
      <c r="AP10" t="s">
        <v>6631</v>
      </c>
      <c r="AQ10" t="s">
        <v>32</v>
      </c>
      <c r="AR10" t="s">
        <v>6632</v>
      </c>
      <c r="AS10" t="s">
        <v>242</v>
      </c>
      <c r="AT10" t="s">
        <v>5331</v>
      </c>
      <c r="AU10" t="s">
        <v>6398</v>
      </c>
      <c r="AV10" t="s">
        <v>6633</v>
      </c>
      <c r="AW10" t="s">
        <v>6400</v>
      </c>
      <c r="AX10" t="s">
        <v>6634</v>
      </c>
      <c r="AY10" t="s">
        <v>6401</v>
      </c>
      <c r="AZ10" t="s">
        <v>6635</v>
      </c>
      <c r="BA10" t="s">
        <v>242</v>
      </c>
      <c r="BB10" t="s">
        <v>6636</v>
      </c>
      <c r="BC10" t="s">
        <v>287</v>
      </c>
      <c r="BD10" t="s">
        <v>6637</v>
      </c>
      <c r="BE10" t="s">
        <v>542</v>
      </c>
      <c r="BF10" t="s">
        <v>6638</v>
      </c>
      <c r="BG10" t="s">
        <v>342</v>
      </c>
      <c r="BH10" t="s">
        <v>6639</v>
      </c>
      <c r="BI10" t="s">
        <v>473</v>
      </c>
      <c r="BJ10" t="s">
        <v>6640</v>
      </c>
      <c r="BK10" t="s">
        <v>283</v>
      </c>
      <c r="BL10" t="s">
        <v>6641</v>
      </c>
      <c r="BM10" t="s">
        <v>481</v>
      </c>
      <c r="BN10" t="s">
        <v>3597</v>
      </c>
      <c r="BO10" t="s">
        <v>263</v>
      </c>
      <c r="BP10" t="s">
        <v>6642</v>
      </c>
      <c r="BQ10" t="s">
        <v>481</v>
      </c>
      <c r="BR10" t="s">
        <v>5440</v>
      </c>
      <c r="BS10" t="s">
        <v>696</v>
      </c>
      <c r="BT10" t="s">
        <v>6643</v>
      </c>
      <c r="BU10" t="s">
        <v>519</v>
      </c>
      <c r="BV10" t="s">
        <v>2572</v>
      </c>
      <c r="BW10" t="s">
        <v>342</v>
      </c>
      <c r="BX10" t="s">
        <v>4436</v>
      </c>
      <c r="BY10" t="s">
        <v>414</v>
      </c>
      <c r="BZ10" t="s">
        <v>6644</v>
      </c>
      <c r="CA10" t="s">
        <v>591</v>
      </c>
      <c r="CB10" t="s">
        <v>474</v>
      </c>
      <c r="CC10" t="s">
        <v>532</v>
      </c>
      <c r="CD10" t="s">
        <v>4015</v>
      </c>
      <c r="CE10" t="s">
        <v>589</v>
      </c>
      <c r="CF10" t="s">
        <v>6645</v>
      </c>
      <c r="CG10" t="s">
        <v>532</v>
      </c>
      <c r="CH10" t="s">
        <v>4290</v>
      </c>
      <c r="CI10" t="s">
        <v>276</v>
      </c>
      <c r="CJ10" t="s">
        <v>2835</v>
      </c>
      <c r="CK10" t="s">
        <v>532</v>
      </c>
      <c r="CL10" t="s">
        <v>6646</v>
      </c>
      <c r="CM10" t="s">
        <v>348</v>
      </c>
      <c r="CN10" t="s">
        <v>6626</v>
      </c>
      <c r="CO10" t="s">
        <v>532</v>
      </c>
      <c r="CP10" t="s">
        <v>6647</v>
      </c>
      <c r="CQ10" t="s">
        <v>393</v>
      </c>
      <c r="CR10" t="s">
        <v>6648</v>
      </c>
      <c r="CS10" t="s">
        <v>473</v>
      </c>
      <c r="CT10" t="s">
        <v>6649</v>
      </c>
      <c r="CU10" t="s">
        <v>469</v>
      </c>
      <c r="CV10" t="s">
        <v>6650</v>
      </c>
      <c r="CW10" t="s">
        <v>473</v>
      </c>
      <c r="CX10" t="s">
        <v>6651</v>
      </c>
      <c r="CY10" t="s">
        <v>335</v>
      </c>
      <c r="CZ10" t="s">
        <v>3621</v>
      </c>
      <c r="DA10" t="s">
        <v>469</v>
      </c>
      <c r="DB10" t="s">
        <v>6652</v>
      </c>
      <c r="DC10" t="s">
        <v>242</v>
      </c>
      <c r="DD10" t="s">
        <v>2453</v>
      </c>
      <c r="DF10" t="s">
        <v>6653</v>
      </c>
      <c r="DG10" t="s">
        <v>242</v>
      </c>
      <c r="DH10" t="s">
        <v>6654</v>
      </c>
    </row>
    <row r="11" spans="1:112" x14ac:dyDescent="0.35">
      <c r="A11" t="s">
        <v>6369</v>
      </c>
      <c r="B11" t="s">
        <v>6655</v>
      </c>
      <c r="C11" t="s">
        <v>6371</v>
      </c>
      <c r="D11" t="s">
        <v>3785</v>
      </c>
      <c r="E11" t="s">
        <v>6373</v>
      </c>
      <c r="F11" t="s">
        <v>2021</v>
      </c>
      <c r="G11" t="s">
        <v>28</v>
      </c>
      <c r="H11" t="s">
        <v>6656</v>
      </c>
      <c r="I11" t="s">
        <v>6387</v>
      </c>
      <c r="J11" t="s">
        <v>5779</v>
      </c>
      <c r="L11" t="s">
        <v>6657</v>
      </c>
      <c r="M11" t="s">
        <v>18</v>
      </c>
      <c r="N11" t="s">
        <v>6658</v>
      </c>
      <c r="O11" t="s">
        <v>17</v>
      </c>
      <c r="P11" t="s">
        <v>2116</v>
      </c>
      <c r="Q11" t="s">
        <v>28</v>
      </c>
      <c r="R11" t="s">
        <v>6659</v>
      </c>
      <c r="S11" t="s">
        <v>6391</v>
      </c>
      <c r="T11" t="s">
        <v>1233</v>
      </c>
      <c r="U11" t="s">
        <v>28</v>
      </c>
      <c r="V11" t="s">
        <v>6660</v>
      </c>
      <c r="W11" t="s">
        <v>28</v>
      </c>
      <c r="X11" t="s">
        <v>4874</v>
      </c>
      <c r="Y11" t="s">
        <v>6661</v>
      </c>
      <c r="Z11" t="s">
        <v>6662</v>
      </c>
      <c r="AA11" t="s">
        <v>33</v>
      </c>
      <c r="AB11" t="s">
        <v>3283</v>
      </c>
      <c r="AC11" t="s">
        <v>6438</v>
      </c>
      <c r="AD11" t="s">
        <v>6663</v>
      </c>
      <c r="AE11" t="s">
        <v>6440</v>
      </c>
      <c r="AF11" t="s">
        <v>6664</v>
      </c>
      <c r="AG11" t="s">
        <v>28</v>
      </c>
      <c r="AH11" t="s">
        <v>6665</v>
      </c>
      <c r="AI11" t="s">
        <v>6442</v>
      </c>
      <c r="AJ11" t="s">
        <v>6666</v>
      </c>
      <c r="AK11" t="s">
        <v>6667</v>
      </c>
      <c r="AL11" t="s">
        <v>6668</v>
      </c>
      <c r="AM11" t="s">
        <v>6669</v>
      </c>
      <c r="AN11" t="s">
        <v>5660</v>
      </c>
      <c r="AO11" t="s">
        <v>825</v>
      </c>
      <c r="AP11" t="s">
        <v>6670</v>
      </c>
      <c r="AQ11" t="s">
        <v>32</v>
      </c>
      <c r="AR11" t="s">
        <v>5583</v>
      </c>
      <c r="AS11" t="s">
        <v>242</v>
      </c>
      <c r="AT11" t="s">
        <v>3284</v>
      </c>
      <c r="AU11" t="s">
        <v>6671</v>
      </c>
      <c r="AV11" t="s">
        <v>6672</v>
      </c>
      <c r="AW11" t="s">
        <v>6400</v>
      </c>
      <c r="AX11" t="s">
        <v>6673</v>
      </c>
      <c r="AY11" t="s">
        <v>6401</v>
      </c>
      <c r="AZ11" t="s">
        <v>6674</v>
      </c>
      <c r="BA11" t="s">
        <v>242</v>
      </c>
      <c r="BB11" t="s">
        <v>6675</v>
      </c>
      <c r="BC11" t="s">
        <v>589</v>
      </c>
      <c r="BD11" t="s">
        <v>6676</v>
      </c>
      <c r="BE11" t="s">
        <v>371</v>
      </c>
      <c r="BF11" t="s">
        <v>6677</v>
      </c>
      <c r="BG11" t="s">
        <v>259</v>
      </c>
      <c r="BH11" t="s">
        <v>6678</v>
      </c>
      <c r="BI11" t="s">
        <v>589</v>
      </c>
      <c r="BJ11" t="s">
        <v>6679</v>
      </c>
      <c r="BK11" t="s">
        <v>279</v>
      </c>
      <c r="BL11" t="s">
        <v>6680</v>
      </c>
      <c r="BM11" t="s">
        <v>291</v>
      </c>
      <c r="BN11" t="s">
        <v>6681</v>
      </c>
      <c r="BO11" t="s">
        <v>279</v>
      </c>
      <c r="BP11" t="s">
        <v>6682</v>
      </c>
      <c r="BQ11" t="s">
        <v>414</v>
      </c>
      <c r="BR11" t="s">
        <v>6683</v>
      </c>
      <c r="BS11" t="s">
        <v>1137</v>
      </c>
      <c r="BT11" t="s">
        <v>6684</v>
      </c>
      <c r="BU11" t="s">
        <v>414</v>
      </c>
      <c r="BV11" t="s">
        <v>6685</v>
      </c>
      <c r="BW11" t="s">
        <v>656</v>
      </c>
      <c r="BX11" t="s">
        <v>6686</v>
      </c>
      <c r="BY11" t="s">
        <v>744</v>
      </c>
      <c r="BZ11" t="s">
        <v>6687</v>
      </c>
      <c r="CA11" t="s">
        <v>1142</v>
      </c>
      <c r="CB11" t="s">
        <v>6688</v>
      </c>
      <c r="CC11" t="s">
        <v>421</v>
      </c>
      <c r="CD11" t="s">
        <v>6689</v>
      </c>
      <c r="CE11" t="s">
        <v>421</v>
      </c>
      <c r="CF11" t="s">
        <v>6690</v>
      </c>
      <c r="CG11" t="s">
        <v>360</v>
      </c>
      <c r="CH11" t="s">
        <v>6691</v>
      </c>
      <c r="CI11" t="s">
        <v>583</v>
      </c>
      <c r="CJ11" t="s">
        <v>6692</v>
      </c>
      <c r="CK11" t="s">
        <v>287</v>
      </c>
      <c r="CL11" t="s">
        <v>6693</v>
      </c>
      <c r="CM11" t="s">
        <v>1137</v>
      </c>
      <c r="CN11" t="s">
        <v>6694</v>
      </c>
      <c r="CO11" t="s">
        <v>287</v>
      </c>
      <c r="CP11" t="s">
        <v>6695</v>
      </c>
      <c r="CQ11" t="s">
        <v>351</v>
      </c>
      <c r="CR11" t="s">
        <v>6696</v>
      </c>
      <c r="CS11" t="s">
        <v>538</v>
      </c>
      <c r="CT11" t="s">
        <v>6697</v>
      </c>
      <c r="CU11" t="s">
        <v>365</v>
      </c>
      <c r="CV11" t="s">
        <v>6698</v>
      </c>
      <c r="CW11" t="s">
        <v>575</v>
      </c>
      <c r="CX11" t="s">
        <v>6699</v>
      </c>
      <c r="CY11" t="s">
        <v>473</v>
      </c>
      <c r="CZ11" t="s">
        <v>6700</v>
      </c>
      <c r="DA11" t="s">
        <v>369</v>
      </c>
      <c r="DB11" t="s">
        <v>6701</v>
      </c>
      <c r="DC11" t="s">
        <v>242</v>
      </c>
      <c r="DD11" t="s">
        <v>6702</v>
      </c>
      <c r="DF11" t="s">
        <v>6703</v>
      </c>
      <c r="DG11" t="s">
        <v>242</v>
      </c>
      <c r="DH11" t="s">
        <v>6704</v>
      </c>
    </row>
    <row r="12" spans="1:112" x14ac:dyDescent="0.35">
      <c r="A12" t="s">
        <v>6369</v>
      </c>
      <c r="B12" t="s">
        <v>6705</v>
      </c>
      <c r="C12" t="s">
        <v>6371</v>
      </c>
      <c r="D12" t="s">
        <v>6706</v>
      </c>
      <c r="E12" t="s">
        <v>6373</v>
      </c>
      <c r="F12" t="s">
        <v>2540</v>
      </c>
      <c r="G12" t="s">
        <v>28</v>
      </c>
      <c r="H12" t="s">
        <v>3368</v>
      </c>
      <c r="I12" t="s">
        <v>6387</v>
      </c>
      <c r="J12" t="s">
        <v>6707</v>
      </c>
      <c r="L12" t="s">
        <v>6708</v>
      </c>
      <c r="M12" t="s">
        <v>18</v>
      </c>
      <c r="N12" t="s">
        <v>4635</v>
      </c>
      <c r="O12" t="s">
        <v>17</v>
      </c>
      <c r="P12" t="s">
        <v>1243</v>
      </c>
      <c r="Q12" t="s">
        <v>28</v>
      </c>
      <c r="R12" t="s">
        <v>6709</v>
      </c>
      <c r="S12" t="s">
        <v>6391</v>
      </c>
      <c r="T12" t="s">
        <v>6710</v>
      </c>
      <c r="U12" t="s">
        <v>28</v>
      </c>
      <c r="V12" t="s">
        <v>2196</v>
      </c>
      <c r="W12" t="s">
        <v>28</v>
      </c>
      <c r="X12" t="s">
        <v>4390</v>
      </c>
      <c r="Y12" t="s">
        <v>6711</v>
      </c>
      <c r="Z12" t="s">
        <v>6712</v>
      </c>
      <c r="AA12" t="s">
        <v>29</v>
      </c>
      <c r="AB12" t="s">
        <v>6713</v>
      </c>
      <c r="AC12" t="s">
        <v>242</v>
      </c>
      <c r="AD12" t="s">
        <v>243</v>
      </c>
      <c r="AE12" t="s">
        <v>242</v>
      </c>
      <c r="AF12" t="s">
        <v>243</v>
      </c>
      <c r="AG12" t="s">
        <v>242</v>
      </c>
      <c r="AH12" t="s">
        <v>243</v>
      </c>
      <c r="AI12" t="s">
        <v>242</v>
      </c>
      <c r="AJ12" t="s">
        <v>243</v>
      </c>
      <c r="AK12" t="s">
        <v>242</v>
      </c>
      <c r="AL12" t="s">
        <v>243</v>
      </c>
      <c r="AM12" t="s">
        <v>6714</v>
      </c>
      <c r="AN12" t="s">
        <v>244</v>
      </c>
      <c r="AO12" t="s">
        <v>825</v>
      </c>
      <c r="AP12" t="s">
        <v>2506</v>
      </c>
      <c r="AQ12" t="s">
        <v>32</v>
      </c>
      <c r="AR12" t="s">
        <v>1492</v>
      </c>
      <c r="AS12" t="s">
        <v>242</v>
      </c>
      <c r="AT12" t="s">
        <v>6715</v>
      </c>
      <c r="AU12" t="s">
        <v>6716</v>
      </c>
      <c r="AV12" t="s">
        <v>6717</v>
      </c>
      <c r="AW12" t="s">
        <v>6400</v>
      </c>
      <c r="AX12" t="s">
        <v>1434</v>
      </c>
      <c r="AY12" t="s">
        <v>6401</v>
      </c>
      <c r="AZ12" t="s">
        <v>6718</v>
      </c>
      <c r="BA12" t="s">
        <v>242</v>
      </c>
      <c r="BB12" t="s">
        <v>6719</v>
      </c>
      <c r="BC12" t="s">
        <v>291</v>
      </c>
      <c r="BD12" t="s">
        <v>6720</v>
      </c>
      <c r="BE12" t="s">
        <v>476</v>
      </c>
      <c r="BF12" t="s">
        <v>6721</v>
      </c>
      <c r="BG12" t="s">
        <v>469</v>
      </c>
      <c r="BH12" t="s">
        <v>6722</v>
      </c>
      <c r="BI12" t="s">
        <v>337</v>
      </c>
      <c r="BJ12" t="s">
        <v>3902</v>
      </c>
      <c r="BK12" t="s">
        <v>416</v>
      </c>
      <c r="BL12" t="s">
        <v>6723</v>
      </c>
      <c r="BM12" t="s">
        <v>479</v>
      </c>
      <c r="BN12" t="s">
        <v>4006</v>
      </c>
      <c r="BO12" t="s">
        <v>287</v>
      </c>
      <c r="BP12" t="s">
        <v>6724</v>
      </c>
      <c r="BQ12" t="s">
        <v>698</v>
      </c>
      <c r="BR12" t="s">
        <v>6725</v>
      </c>
      <c r="BS12" t="s">
        <v>696</v>
      </c>
      <c r="BT12" t="s">
        <v>6726</v>
      </c>
      <c r="BU12" t="s">
        <v>358</v>
      </c>
      <c r="BV12" t="s">
        <v>5364</v>
      </c>
      <c r="BW12" t="s">
        <v>528</v>
      </c>
      <c r="BX12" t="s">
        <v>6727</v>
      </c>
      <c r="BY12" t="s">
        <v>405</v>
      </c>
      <c r="BZ12" t="s">
        <v>6728</v>
      </c>
      <c r="CA12" t="s">
        <v>589</v>
      </c>
      <c r="CB12" t="s">
        <v>3328</v>
      </c>
      <c r="CC12" t="s">
        <v>473</v>
      </c>
      <c r="CD12" t="s">
        <v>5449</v>
      </c>
      <c r="CE12" t="s">
        <v>283</v>
      </c>
      <c r="CF12" t="s">
        <v>6729</v>
      </c>
      <c r="CG12" t="s">
        <v>467</v>
      </c>
      <c r="CH12" t="s">
        <v>6730</v>
      </c>
      <c r="CI12" t="s">
        <v>589</v>
      </c>
      <c r="CJ12" t="s">
        <v>6731</v>
      </c>
      <c r="CK12" t="s">
        <v>542</v>
      </c>
      <c r="CL12" t="s">
        <v>4867</v>
      </c>
      <c r="CM12" t="s">
        <v>279</v>
      </c>
      <c r="CN12" t="s">
        <v>6732</v>
      </c>
      <c r="CO12" t="s">
        <v>538</v>
      </c>
      <c r="CP12" t="s">
        <v>6733</v>
      </c>
      <c r="CQ12" t="s">
        <v>664</v>
      </c>
      <c r="CR12" t="s">
        <v>6734</v>
      </c>
      <c r="CS12" t="s">
        <v>285</v>
      </c>
      <c r="CT12" t="s">
        <v>6735</v>
      </c>
      <c r="CU12" t="s">
        <v>591</v>
      </c>
      <c r="CV12" t="s">
        <v>3273</v>
      </c>
      <c r="CW12" t="s">
        <v>393</v>
      </c>
      <c r="CX12" t="s">
        <v>2720</v>
      </c>
      <c r="CY12" t="s">
        <v>779</v>
      </c>
      <c r="CZ12" t="s">
        <v>6736</v>
      </c>
      <c r="DA12" t="s">
        <v>371</v>
      </c>
      <c r="DB12" t="s">
        <v>6737</v>
      </c>
      <c r="DC12" t="s">
        <v>242</v>
      </c>
      <c r="DD12" t="s">
        <v>6738</v>
      </c>
      <c r="DF12" t="s">
        <v>6526</v>
      </c>
      <c r="DG12" t="s">
        <v>242</v>
      </c>
      <c r="DH12" t="s">
        <v>6739</v>
      </c>
    </row>
    <row r="13" spans="1:112" x14ac:dyDescent="0.35">
      <c r="A13" t="s">
        <v>6369</v>
      </c>
      <c r="B13" t="s">
        <v>6740</v>
      </c>
      <c r="C13" t="s">
        <v>6371</v>
      </c>
      <c r="D13" t="s">
        <v>5202</v>
      </c>
      <c r="E13" t="s">
        <v>6373</v>
      </c>
      <c r="F13" t="s">
        <v>6741</v>
      </c>
      <c r="G13" t="s">
        <v>28</v>
      </c>
      <c r="H13" t="s">
        <v>6742</v>
      </c>
      <c r="I13" t="s">
        <v>6376</v>
      </c>
      <c r="J13" t="s">
        <v>6386</v>
      </c>
      <c r="L13" t="s">
        <v>243</v>
      </c>
      <c r="M13" t="s">
        <v>242</v>
      </c>
      <c r="N13" t="s">
        <v>243</v>
      </c>
      <c r="O13" t="s">
        <v>242</v>
      </c>
      <c r="P13" t="s">
        <v>243</v>
      </c>
      <c r="Q13" t="s">
        <v>242</v>
      </c>
      <c r="R13" t="s">
        <v>243</v>
      </c>
      <c r="S13" t="s">
        <v>242</v>
      </c>
      <c r="T13" t="s">
        <v>243</v>
      </c>
      <c r="U13" t="s">
        <v>242</v>
      </c>
      <c r="V13" t="s">
        <v>243</v>
      </c>
      <c r="W13" t="s">
        <v>242</v>
      </c>
      <c r="X13" t="s">
        <v>243</v>
      </c>
      <c r="Y13" t="s">
        <v>242</v>
      </c>
      <c r="Z13" t="s">
        <v>243</v>
      </c>
      <c r="AA13" t="s">
        <v>242</v>
      </c>
      <c r="AB13" t="s">
        <v>243</v>
      </c>
      <c r="AC13" t="s">
        <v>242</v>
      </c>
      <c r="AD13" t="s">
        <v>243</v>
      </c>
      <c r="AE13" t="s">
        <v>242</v>
      </c>
      <c r="AF13" t="s">
        <v>243</v>
      </c>
      <c r="AG13" t="s">
        <v>242</v>
      </c>
      <c r="AH13" t="s">
        <v>243</v>
      </c>
      <c r="AI13" t="s">
        <v>242</v>
      </c>
      <c r="AJ13" t="s">
        <v>243</v>
      </c>
      <c r="AK13" t="s">
        <v>242</v>
      </c>
      <c r="AL13" t="s">
        <v>243</v>
      </c>
      <c r="AM13" t="s">
        <v>242</v>
      </c>
      <c r="AN13" t="s">
        <v>243</v>
      </c>
      <c r="AO13" t="s">
        <v>242</v>
      </c>
      <c r="AP13" t="s">
        <v>243</v>
      </c>
      <c r="AQ13" t="s">
        <v>242</v>
      </c>
      <c r="AR13" t="s">
        <v>243</v>
      </c>
      <c r="AS13" t="s">
        <v>242</v>
      </c>
      <c r="AT13" t="s">
        <v>243</v>
      </c>
      <c r="AU13" t="s">
        <v>242</v>
      </c>
      <c r="AV13" t="s">
        <v>243</v>
      </c>
      <c r="AW13" t="s">
        <v>242</v>
      </c>
      <c r="AX13" t="s">
        <v>243</v>
      </c>
      <c r="AY13" t="s">
        <v>242</v>
      </c>
      <c r="AZ13" t="s">
        <v>243</v>
      </c>
      <c r="BA13" t="s">
        <v>242</v>
      </c>
      <c r="BB13" t="s">
        <v>243</v>
      </c>
      <c r="BC13" t="s">
        <v>519</v>
      </c>
      <c r="BD13" t="s">
        <v>243</v>
      </c>
      <c r="BE13" t="s">
        <v>243</v>
      </c>
      <c r="BF13" t="s">
        <v>243</v>
      </c>
      <c r="BG13" t="s">
        <v>519</v>
      </c>
      <c r="BH13" t="s">
        <v>243</v>
      </c>
      <c r="BI13" t="s">
        <v>243</v>
      </c>
      <c r="BJ13" t="s">
        <v>243</v>
      </c>
      <c r="BK13" t="s">
        <v>519</v>
      </c>
      <c r="BL13" t="s">
        <v>243</v>
      </c>
      <c r="BM13" t="s">
        <v>243</v>
      </c>
      <c r="BN13" t="s">
        <v>243</v>
      </c>
      <c r="BO13" t="s">
        <v>519</v>
      </c>
      <c r="BP13" t="s">
        <v>243</v>
      </c>
      <c r="BQ13" t="s">
        <v>243</v>
      </c>
      <c r="BR13" t="s">
        <v>243</v>
      </c>
      <c r="BS13" t="s">
        <v>519</v>
      </c>
      <c r="BT13" t="s">
        <v>243</v>
      </c>
      <c r="BU13" t="s">
        <v>243</v>
      </c>
      <c r="BV13" t="s">
        <v>243</v>
      </c>
      <c r="BW13" t="s">
        <v>519</v>
      </c>
      <c r="BX13" t="s">
        <v>243</v>
      </c>
      <c r="BY13" t="s">
        <v>243</v>
      </c>
      <c r="BZ13" t="s">
        <v>243</v>
      </c>
      <c r="CA13" t="s">
        <v>519</v>
      </c>
      <c r="CB13" t="s">
        <v>243</v>
      </c>
      <c r="CC13" t="s">
        <v>243</v>
      </c>
      <c r="CD13" t="s">
        <v>243</v>
      </c>
      <c r="CE13" t="s">
        <v>519</v>
      </c>
      <c r="CF13" t="s">
        <v>243</v>
      </c>
      <c r="CG13" t="s">
        <v>243</v>
      </c>
      <c r="CH13" t="s">
        <v>243</v>
      </c>
      <c r="CI13" t="s">
        <v>519</v>
      </c>
      <c r="CJ13" t="s">
        <v>243</v>
      </c>
      <c r="CK13" t="s">
        <v>243</v>
      </c>
      <c r="CL13" t="s">
        <v>243</v>
      </c>
      <c r="CM13" t="s">
        <v>519</v>
      </c>
      <c r="CN13" t="s">
        <v>243</v>
      </c>
      <c r="CO13" t="s">
        <v>243</v>
      </c>
      <c r="CP13" t="s">
        <v>243</v>
      </c>
      <c r="CQ13" t="s">
        <v>519</v>
      </c>
      <c r="CR13" t="s">
        <v>243</v>
      </c>
      <c r="CS13" t="s">
        <v>243</v>
      </c>
      <c r="CT13" t="s">
        <v>243</v>
      </c>
      <c r="CU13" t="s">
        <v>519</v>
      </c>
      <c r="CV13" t="s">
        <v>243</v>
      </c>
      <c r="CW13" t="s">
        <v>243</v>
      </c>
      <c r="CX13" t="s">
        <v>243</v>
      </c>
      <c r="CY13" t="s">
        <v>519</v>
      </c>
      <c r="CZ13" t="s">
        <v>243</v>
      </c>
      <c r="DA13" t="s">
        <v>243</v>
      </c>
      <c r="DB13" t="s">
        <v>243</v>
      </c>
      <c r="DC13" t="s">
        <v>242</v>
      </c>
      <c r="DD13" t="s">
        <v>243</v>
      </c>
      <c r="DF13" t="s">
        <v>243</v>
      </c>
      <c r="DG13" t="s">
        <v>242</v>
      </c>
      <c r="DH13" t="s">
        <v>244</v>
      </c>
    </row>
    <row r="14" spans="1:112" x14ac:dyDescent="0.35">
      <c r="A14" t="s">
        <v>6369</v>
      </c>
      <c r="B14" t="s">
        <v>6743</v>
      </c>
      <c r="C14" t="s">
        <v>6371</v>
      </c>
      <c r="D14" t="s">
        <v>6744</v>
      </c>
      <c r="E14" t="s">
        <v>6373</v>
      </c>
      <c r="F14" t="s">
        <v>6745</v>
      </c>
      <c r="G14" t="s">
        <v>28</v>
      </c>
      <c r="H14" t="s">
        <v>3434</v>
      </c>
      <c r="I14" t="s">
        <v>6387</v>
      </c>
      <c r="J14" t="s">
        <v>6269</v>
      </c>
      <c r="L14" t="s">
        <v>6746</v>
      </c>
      <c r="M14" t="s">
        <v>18</v>
      </c>
      <c r="N14" t="s">
        <v>6747</v>
      </c>
      <c r="O14" t="s">
        <v>17</v>
      </c>
      <c r="P14" t="s">
        <v>6748</v>
      </c>
      <c r="Q14" t="s">
        <v>28</v>
      </c>
      <c r="R14" t="s">
        <v>2911</v>
      </c>
      <c r="S14" t="s">
        <v>6391</v>
      </c>
      <c r="T14" t="s">
        <v>6749</v>
      </c>
      <c r="U14" t="s">
        <v>28</v>
      </c>
      <c r="V14" t="s">
        <v>6750</v>
      </c>
      <c r="W14" t="s">
        <v>28</v>
      </c>
      <c r="X14" t="s">
        <v>6751</v>
      </c>
      <c r="Y14" t="s">
        <v>6752</v>
      </c>
      <c r="Z14" t="s">
        <v>6753</v>
      </c>
      <c r="AA14" t="s">
        <v>29</v>
      </c>
      <c r="AB14" t="s">
        <v>6754</v>
      </c>
      <c r="AC14" t="s">
        <v>242</v>
      </c>
      <c r="AD14" t="s">
        <v>243</v>
      </c>
      <c r="AE14" t="s">
        <v>242</v>
      </c>
      <c r="AF14" t="s">
        <v>243</v>
      </c>
      <c r="AG14" t="s">
        <v>242</v>
      </c>
      <c r="AH14" t="s">
        <v>243</v>
      </c>
      <c r="AI14" t="s">
        <v>242</v>
      </c>
      <c r="AJ14" t="s">
        <v>243</v>
      </c>
      <c r="AK14" t="s">
        <v>242</v>
      </c>
      <c r="AL14" t="s">
        <v>243</v>
      </c>
      <c r="AM14" t="s">
        <v>6755</v>
      </c>
      <c r="AN14" t="s">
        <v>244</v>
      </c>
      <c r="AO14" t="s">
        <v>2542</v>
      </c>
      <c r="AP14" t="s">
        <v>6756</v>
      </c>
      <c r="AQ14" t="s">
        <v>32</v>
      </c>
      <c r="AR14" t="s">
        <v>6757</v>
      </c>
      <c r="AS14" t="s">
        <v>242</v>
      </c>
      <c r="AT14" t="s">
        <v>6758</v>
      </c>
      <c r="AU14" t="s">
        <v>6759</v>
      </c>
      <c r="AV14" t="s">
        <v>6760</v>
      </c>
      <c r="AW14" t="s">
        <v>6400</v>
      </c>
      <c r="AX14" t="s">
        <v>6761</v>
      </c>
      <c r="AY14" t="s">
        <v>6401</v>
      </c>
      <c r="AZ14" t="s">
        <v>3185</v>
      </c>
      <c r="BA14" t="s">
        <v>242</v>
      </c>
      <c r="BB14" t="s">
        <v>6762</v>
      </c>
      <c r="BC14" t="s">
        <v>295</v>
      </c>
      <c r="BD14" t="s">
        <v>6763</v>
      </c>
      <c r="BE14" t="s">
        <v>295</v>
      </c>
      <c r="BF14" t="s">
        <v>6764</v>
      </c>
      <c r="BG14" t="s">
        <v>295</v>
      </c>
      <c r="BH14" t="s">
        <v>6765</v>
      </c>
      <c r="BI14" t="s">
        <v>295</v>
      </c>
      <c r="BJ14" t="s">
        <v>6766</v>
      </c>
      <c r="BK14" t="s">
        <v>243</v>
      </c>
      <c r="BL14" t="s">
        <v>6767</v>
      </c>
      <c r="BM14" t="s">
        <v>243</v>
      </c>
      <c r="BN14" t="s">
        <v>6768</v>
      </c>
      <c r="BO14" t="s">
        <v>243</v>
      </c>
      <c r="BP14" t="s">
        <v>5620</v>
      </c>
      <c r="BQ14" t="s">
        <v>295</v>
      </c>
      <c r="BR14" t="s">
        <v>6769</v>
      </c>
      <c r="BS14" t="s">
        <v>295</v>
      </c>
      <c r="BT14" t="s">
        <v>6770</v>
      </c>
      <c r="BU14" t="s">
        <v>243</v>
      </c>
      <c r="BV14" t="s">
        <v>6771</v>
      </c>
      <c r="BW14" t="s">
        <v>295</v>
      </c>
      <c r="BX14" t="s">
        <v>6772</v>
      </c>
      <c r="BY14" t="s">
        <v>295</v>
      </c>
      <c r="BZ14" t="s">
        <v>6773</v>
      </c>
      <c r="CA14" t="s">
        <v>519</v>
      </c>
      <c r="CB14" t="s">
        <v>6774</v>
      </c>
      <c r="CC14" t="s">
        <v>243</v>
      </c>
      <c r="CD14" t="s">
        <v>6775</v>
      </c>
      <c r="CE14" t="s">
        <v>295</v>
      </c>
      <c r="CF14" t="s">
        <v>6776</v>
      </c>
      <c r="CG14" t="s">
        <v>295</v>
      </c>
      <c r="CH14" t="s">
        <v>1113</v>
      </c>
      <c r="CI14" t="s">
        <v>519</v>
      </c>
      <c r="CJ14" t="s">
        <v>3684</v>
      </c>
      <c r="CK14" t="s">
        <v>295</v>
      </c>
      <c r="CL14" t="s">
        <v>6777</v>
      </c>
      <c r="CM14" t="s">
        <v>295</v>
      </c>
      <c r="CN14" t="s">
        <v>6778</v>
      </c>
      <c r="CO14" t="s">
        <v>295</v>
      </c>
      <c r="CP14" t="s">
        <v>6779</v>
      </c>
      <c r="CQ14" t="s">
        <v>519</v>
      </c>
      <c r="CR14" t="s">
        <v>6780</v>
      </c>
      <c r="CS14" t="s">
        <v>295</v>
      </c>
      <c r="CT14" t="s">
        <v>5670</v>
      </c>
      <c r="CU14" t="s">
        <v>295</v>
      </c>
      <c r="CV14" t="s">
        <v>6781</v>
      </c>
      <c r="CW14" t="s">
        <v>295</v>
      </c>
      <c r="CX14" t="s">
        <v>6782</v>
      </c>
      <c r="CY14" t="s">
        <v>243</v>
      </c>
      <c r="CZ14" t="s">
        <v>6783</v>
      </c>
      <c r="DA14" t="s">
        <v>295</v>
      </c>
      <c r="DB14" t="s">
        <v>6784</v>
      </c>
      <c r="DC14" t="s">
        <v>242</v>
      </c>
      <c r="DD14" t="s">
        <v>1169</v>
      </c>
      <c r="DF14" t="s">
        <v>3208</v>
      </c>
      <c r="DG14" t="s">
        <v>242</v>
      </c>
      <c r="DH14" t="s">
        <v>6785</v>
      </c>
    </row>
    <row r="15" spans="1:112" x14ac:dyDescent="0.35">
      <c r="A15" t="s">
        <v>6369</v>
      </c>
      <c r="B15" t="s">
        <v>6786</v>
      </c>
      <c r="C15" t="s">
        <v>6371</v>
      </c>
      <c r="D15" t="s">
        <v>6787</v>
      </c>
      <c r="E15" t="s">
        <v>6373</v>
      </c>
      <c r="F15" t="s">
        <v>4361</v>
      </c>
      <c r="G15" t="s">
        <v>28</v>
      </c>
      <c r="H15" t="s">
        <v>4890</v>
      </c>
      <c r="I15" t="s">
        <v>6387</v>
      </c>
      <c r="J15" t="s">
        <v>6788</v>
      </c>
      <c r="L15" t="s">
        <v>1710</v>
      </c>
      <c r="M15" t="s">
        <v>18</v>
      </c>
      <c r="N15" t="s">
        <v>872</v>
      </c>
      <c r="O15" t="s">
        <v>17</v>
      </c>
      <c r="P15" t="s">
        <v>4819</v>
      </c>
      <c r="Q15" t="s">
        <v>28</v>
      </c>
      <c r="R15" t="s">
        <v>6789</v>
      </c>
      <c r="S15" t="s">
        <v>6391</v>
      </c>
      <c r="T15" t="s">
        <v>6790</v>
      </c>
      <c r="U15" t="s">
        <v>28</v>
      </c>
      <c r="V15" t="s">
        <v>6791</v>
      </c>
      <c r="W15" t="s">
        <v>28</v>
      </c>
      <c r="X15" t="s">
        <v>1236</v>
      </c>
      <c r="Y15" t="s">
        <v>6792</v>
      </c>
      <c r="Z15" t="s">
        <v>6793</v>
      </c>
      <c r="AA15" t="s">
        <v>33</v>
      </c>
      <c r="AB15" t="s">
        <v>6794</v>
      </c>
      <c r="AC15" t="s">
        <v>6438</v>
      </c>
      <c r="AD15" t="s">
        <v>6789</v>
      </c>
      <c r="AE15" t="s">
        <v>6440</v>
      </c>
      <c r="AF15" t="s">
        <v>6225</v>
      </c>
      <c r="AG15" t="s">
        <v>28</v>
      </c>
      <c r="AH15" t="s">
        <v>6795</v>
      </c>
      <c r="AI15" t="s">
        <v>6796</v>
      </c>
      <c r="AJ15" t="s">
        <v>6797</v>
      </c>
      <c r="AK15" t="s">
        <v>6798</v>
      </c>
      <c r="AL15" t="s">
        <v>6799</v>
      </c>
      <c r="AM15" t="s">
        <v>6800</v>
      </c>
      <c r="AN15" t="s">
        <v>6801</v>
      </c>
      <c r="AO15" t="s">
        <v>825</v>
      </c>
      <c r="AP15" t="s">
        <v>6802</v>
      </c>
      <c r="AQ15" t="s">
        <v>32</v>
      </c>
      <c r="AR15" t="s">
        <v>6803</v>
      </c>
      <c r="AS15" t="s">
        <v>242</v>
      </c>
      <c r="AT15" t="s">
        <v>6804</v>
      </c>
      <c r="AU15" t="s">
        <v>6805</v>
      </c>
      <c r="AV15" t="s">
        <v>6806</v>
      </c>
      <c r="AW15" t="s">
        <v>6400</v>
      </c>
      <c r="AX15" t="s">
        <v>6807</v>
      </c>
      <c r="AY15" t="s">
        <v>6401</v>
      </c>
      <c r="AZ15" t="s">
        <v>6808</v>
      </c>
      <c r="BA15" t="s">
        <v>242</v>
      </c>
      <c r="BB15" t="s">
        <v>6809</v>
      </c>
      <c r="BC15" t="s">
        <v>358</v>
      </c>
      <c r="BD15" t="s">
        <v>6235</v>
      </c>
      <c r="BE15" t="s">
        <v>254</v>
      </c>
      <c r="BF15" t="s">
        <v>6810</v>
      </c>
      <c r="BG15" t="s">
        <v>473</v>
      </c>
      <c r="BH15" t="s">
        <v>6811</v>
      </c>
      <c r="BI15" t="s">
        <v>268</v>
      </c>
      <c r="BJ15" t="s">
        <v>6812</v>
      </c>
      <c r="BK15" t="s">
        <v>427</v>
      </c>
      <c r="BL15" t="s">
        <v>6813</v>
      </c>
      <c r="BM15" t="s">
        <v>261</v>
      </c>
      <c r="BN15" t="s">
        <v>6814</v>
      </c>
      <c r="BO15" t="s">
        <v>542</v>
      </c>
      <c r="BP15" t="s">
        <v>6815</v>
      </c>
      <c r="BQ15" t="s">
        <v>261</v>
      </c>
      <c r="BR15" t="s">
        <v>6816</v>
      </c>
      <c r="BS15" t="s">
        <v>519</v>
      </c>
      <c r="BT15" t="s">
        <v>6817</v>
      </c>
      <c r="BU15" t="s">
        <v>367</v>
      </c>
      <c r="BV15" t="s">
        <v>6818</v>
      </c>
      <c r="BW15" t="s">
        <v>360</v>
      </c>
      <c r="BX15" t="s">
        <v>6819</v>
      </c>
      <c r="BY15" t="s">
        <v>424</v>
      </c>
      <c r="BZ15" t="s">
        <v>1130</v>
      </c>
      <c r="CA15" t="s">
        <v>360</v>
      </c>
      <c r="CB15" t="s">
        <v>6820</v>
      </c>
      <c r="CC15" t="s">
        <v>575</v>
      </c>
      <c r="CD15" t="s">
        <v>6821</v>
      </c>
      <c r="CE15" t="s">
        <v>287</v>
      </c>
      <c r="CF15" t="s">
        <v>6822</v>
      </c>
      <c r="CG15" t="s">
        <v>779</v>
      </c>
      <c r="CH15" t="s">
        <v>6823</v>
      </c>
      <c r="CI15" t="s">
        <v>528</v>
      </c>
      <c r="CJ15" t="s">
        <v>6824</v>
      </c>
      <c r="CK15" t="s">
        <v>416</v>
      </c>
      <c r="CL15" t="s">
        <v>6825</v>
      </c>
      <c r="CM15" t="s">
        <v>335</v>
      </c>
      <c r="CN15" t="s">
        <v>5785</v>
      </c>
      <c r="CO15" t="s">
        <v>401</v>
      </c>
      <c r="CP15" t="s">
        <v>6826</v>
      </c>
      <c r="CQ15" t="s">
        <v>335</v>
      </c>
      <c r="CR15" t="s">
        <v>6827</v>
      </c>
      <c r="CS15" t="s">
        <v>752</v>
      </c>
      <c r="CT15" t="s">
        <v>6828</v>
      </c>
      <c r="CU15" t="s">
        <v>365</v>
      </c>
      <c r="CV15" t="s">
        <v>683</v>
      </c>
      <c r="CW15" t="s">
        <v>401</v>
      </c>
      <c r="CX15" t="s">
        <v>6829</v>
      </c>
      <c r="CY15" t="s">
        <v>414</v>
      </c>
      <c r="CZ15" t="s">
        <v>6830</v>
      </c>
      <c r="DA15" t="s">
        <v>519</v>
      </c>
      <c r="DB15" t="s">
        <v>6831</v>
      </c>
      <c r="DC15" t="s">
        <v>242</v>
      </c>
      <c r="DD15" t="s">
        <v>3730</v>
      </c>
      <c r="DF15" t="s">
        <v>6832</v>
      </c>
      <c r="DG15" t="s">
        <v>242</v>
      </c>
      <c r="DH15" t="s">
        <v>6833</v>
      </c>
    </row>
    <row r="16" spans="1:112" x14ac:dyDescent="0.35">
      <c r="A16" t="s">
        <v>6369</v>
      </c>
      <c r="B16" t="s">
        <v>6834</v>
      </c>
      <c r="C16" t="s">
        <v>6371</v>
      </c>
      <c r="D16" t="s">
        <v>6835</v>
      </c>
      <c r="E16" t="s">
        <v>6373</v>
      </c>
      <c r="F16" t="s">
        <v>6836</v>
      </c>
      <c r="G16" t="s">
        <v>28</v>
      </c>
      <c r="H16" t="s">
        <v>5398</v>
      </c>
      <c r="I16" t="s">
        <v>6387</v>
      </c>
      <c r="J16" t="s">
        <v>992</v>
      </c>
      <c r="L16" t="s">
        <v>6837</v>
      </c>
      <c r="M16" t="s">
        <v>18</v>
      </c>
      <c r="N16" t="s">
        <v>3623</v>
      </c>
      <c r="O16" t="s">
        <v>17</v>
      </c>
      <c r="P16" t="s">
        <v>6838</v>
      </c>
      <c r="Q16" t="s">
        <v>28</v>
      </c>
      <c r="R16" t="s">
        <v>4756</v>
      </c>
      <c r="S16" t="s">
        <v>6391</v>
      </c>
      <c r="T16" t="s">
        <v>2853</v>
      </c>
      <c r="U16" t="s">
        <v>28</v>
      </c>
      <c r="V16" t="s">
        <v>6839</v>
      </c>
      <c r="W16" t="s">
        <v>28</v>
      </c>
      <c r="X16" t="s">
        <v>1799</v>
      </c>
      <c r="Y16" t="s">
        <v>6840</v>
      </c>
      <c r="Z16" t="s">
        <v>6841</v>
      </c>
      <c r="AA16" t="s">
        <v>33</v>
      </c>
      <c r="AB16" t="s">
        <v>6842</v>
      </c>
      <c r="AC16" t="s">
        <v>6438</v>
      </c>
      <c r="AD16" t="s">
        <v>6843</v>
      </c>
      <c r="AE16" t="s">
        <v>6440</v>
      </c>
      <c r="AF16" t="s">
        <v>6844</v>
      </c>
      <c r="AG16" t="s">
        <v>28</v>
      </c>
      <c r="AH16" t="s">
        <v>5238</v>
      </c>
      <c r="AI16" t="s">
        <v>6442</v>
      </c>
      <c r="AJ16" t="s">
        <v>6845</v>
      </c>
      <c r="AK16" t="s">
        <v>6846</v>
      </c>
      <c r="AL16" t="s">
        <v>6847</v>
      </c>
      <c r="AM16" t="s">
        <v>6848</v>
      </c>
      <c r="AN16" t="s">
        <v>6849</v>
      </c>
      <c r="AO16" t="s">
        <v>6850</v>
      </c>
      <c r="AP16" t="s">
        <v>6851</v>
      </c>
      <c r="AQ16" t="s">
        <v>35</v>
      </c>
      <c r="AR16" t="s">
        <v>2456</v>
      </c>
      <c r="AS16" t="s">
        <v>242</v>
      </c>
      <c r="AT16" t="s">
        <v>6852</v>
      </c>
      <c r="AU16" t="s">
        <v>6853</v>
      </c>
      <c r="AV16" t="s">
        <v>6854</v>
      </c>
      <c r="AW16" t="s">
        <v>6400</v>
      </c>
      <c r="AX16" t="s">
        <v>1581</v>
      </c>
      <c r="AY16" t="s">
        <v>6855</v>
      </c>
      <c r="AZ16" t="s">
        <v>6856</v>
      </c>
      <c r="BA16" t="s">
        <v>242</v>
      </c>
      <c r="BB16" t="s">
        <v>6857</v>
      </c>
      <c r="BC16" t="s">
        <v>429</v>
      </c>
      <c r="BD16" t="s">
        <v>6858</v>
      </c>
      <c r="BE16" t="s">
        <v>268</v>
      </c>
      <c r="BF16" t="s">
        <v>6859</v>
      </c>
      <c r="BG16" t="s">
        <v>538</v>
      </c>
      <c r="BH16" t="s">
        <v>6860</v>
      </c>
      <c r="BI16" t="s">
        <v>538</v>
      </c>
      <c r="BJ16" t="s">
        <v>6861</v>
      </c>
      <c r="BK16" t="s">
        <v>356</v>
      </c>
      <c r="BL16" t="s">
        <v>6862</v>
      </c>
      <c r="BM16" t="s">
        <v>424</v>
      </c>
      <c r="BN16" t="s">
        <v>6863</v>
      </c>
      <c r="BO16" t="s">
        <v>259</v>
      </c>
      <c r="BP16" t="s">
        <v>2849</v>
      </c>
      <c r="BQ16" t="s">
        <v>538</v>
      </c>
      <c r="BR16" t="s">
        <v>6864</v>
      </c>
      <c r="BS16" t="s">
        <v>397</v>
      </c>
      <c r="BT16" t="s">
        <v>6865</v>
      </c>
      <c r="BU16" t="s">
        <v>779</v>
      </c>
      <c r="BV16" t="s">
        <v>3957</v>
      </c>
      <c r="BW16" t="s">
        <v>528</v>
      </c>
      <c r="BX16" t="s">
        <v>6866</v>
      </c>
      <c r="BY16" t="s">
        <v>335</v>
      </c>
      <c r="BZ16" t="s">
        <v>6867</v>
      </c>
      <c r="CA16" t="s">
        <v>360</v>
      </c>
      <c r="CB16" t="s">
        <v>6868</v>
      </c>
      <c r="CC16" t="s">
        <v>399</v>
      </c>
      <c r="CD16" t="s">
        <v>6869</v>
      </c>
      <c r="CE16" t="s">
        <v>467</v>
      </c>
      <c r="CF16" t="s">
        <v>6870</v>
      </c>
      <c r="CG16" t="s">
        <v>257</v>
      </c>
      <c r="CH16" t="s">
        <v>6871</v>
      </c>
      <c r="CI16" t="s">
        <v>481</v>
      </c>
      <c r="CJ16" t="s">
        <v>6872</v>
      </c>
      <c r="CK16" t="s">
        <v>285</v>
      </c>
      <c r="CL16" t="s">
        <v>6873</v>
      </c>
      <c r="CM16" t="s">
        <v>532</v>
      </c>
      <c r="CN16" t="s">
        <v>6874</v>
      </c>
      <c r="CO16" t="s">
        <v>449</v>
      </c>
      <c r="CP16" t="s">
        <v>6875</v>
      </c>
      <c r="CQ16" t="s">
        <v>449</v>
      </c>
      <c r="CR16" t="s">
        <v>6876</v>
      </c>
      <c r="CS16" t="s">
        <v>271</v>
      </c>
      <c r="CT16" t="s">
        <v>6877</v>
      </c>
      <c r="CU16" t="s">
        <v>408</v>
      </c>
      <c r="CV16" t="s">
        <v>1280</v>
      </c>
      <c r="CW16" t="s">
        <v>473</v>
      </c>
      <c r="CX16" t="s">
        <v>6878</v>
      </c>
      <c r="CY16" t="s">
        <v>411</v>
      </c>
      <c r="CZ16" t="s">
        <v>6879</v>
      </c>
      <c r="DA16" t="s">
        <v>411</v>
      </c>
      <c r="DB16" t="s">
        <v>6880</v>
      </c>
      <c r="DC16" t="s">
        <v>242</v>
      </c>
      <c r="DD16" t="s">
        <v>6881</v>
      </c>
      <c r="DF16" t="s">
        <v>6882</v>
      </c>
      <c r="DG16" t="s">
        <v>242</v>
      </c>
      <c r="DH16" t="s">
        <v>6883</v>
      </c>
    </row>
    <row r="17" spans="1:112" x14ac:dyDescent="0.35">
      <c r="A17" t="s">
        <v>6369</v>
      </c>
      <c r="B17" t="s">
        <v>6884</v>
      </c>
      <c r="C17" t="s">
        <v>6371</v>
      </c>
      <c r="D17" t="s">
        <v>6885</v>
      </c>
      <c r="E17" t="s">
        <v>6373</v>
      </c>
      <c r="F17" t="s">
        <v>6886</v>
      </c>
      <c r="G17" t="s">
        <v>28</v>
      </c>
      <c r="H17" t="s">
        <v>6887</v>
      </c>
      <c r="I17" t="s">
        <v>6387</v>
      </c>
      <c r="J17" t="s">
        <v>6888</v>
      </c>
      <c r="L17" t="s">
        <v>6889</v>
      </c>
      <c r="M17" t="s">
        <v>18</v>
      </c>
      <c r="N17" t="s">
        <v>6890</v>
      </c>
      <c r="O17" t="s">
        <v>17</v>
      </c>
      <c r="P17" t="s">
        <v>5402</v>
      </c>
      <c r="Q17" t="s">
        <v>28</v>
      </c>
      <c r="R17" t="s">
        <v>6891</v>
      </c>
      <c r="S17" t="s">
        <v>6391</v>
      </c>
      <c r="T17" t="s">
        <v>6892</v>
      </c>
      <c r="U17" t="s">
        <v>29</v>
      </c>
      <c r="V17" t="s">
        <v>6893</v>
      </c>
      <c r="W17" t="s">
        <v>28</v>
      </c>
      <c r="X17" t="s">
        <v>6894</v>
      </c>
      <c r="Y17" t="s">
        <v>6895</v>
      </c>
      <c r="Z17" t="s">
        <v>4465</v>
      </c>
      <c r="AA17" t="s">
        <v>33</v>
      </c>
      <c r="AB17" t="s">
        <v>6896</v>
      </c>
      <c r="AC17" t="s">
        <v>6438</v>
      </c>
      <c r="AD17" t="s">
        <v>6897</v>
      </c>
      <c r="AE17" t="s">
        <v>6440</v>
      </c>
      <c r="AF17" t="s">
        <v>4767</v>
      </c>
      <c r="AG17" t="s">
        <v>28</v>
      </c>
      <c r="AH17" t="s">
        <v>6898</v>
      </c>
      <c r="AI17" t="s">
        <v>6899</v>
      </c>
      <c r="AJ17" t="s">
        <v>6900</v>
      </c>
      <c r="AK17" t="s">
        <v>6901</v>
      </c>
      <c r="AL17" t="s">
        <v>6902</v>
      </c>
      <c r="AM17" t="s">
        <v>6903</v>
      </c>
      <c r="AN17" t="s">
        <v>6904</v>
      </c>
      <c r="AO17" t="s">
        <v>4254</v>
      </c>
      <c r="AP17" t="s">
        <v>6905</v>
      </c>
      <c r="AQ17" t="s">
        <v>32</v>
      </c>
      <c r="AR17" t="s">
        <v>3864</v>
      </c>
      <c r="AS17" t="s">
        <v>242</v>
      </c>
      <c r="AT17" t="s">
        <v>6906</v>
      </c>
      <c r="AU17" t="s">
        <v>6907</v>
      </c>
      <c r="AV17" t="s">
        <v>6908</v>
      </c>
      <c r="AW17" t="s">
        <v>6400</v>
      </c>
      <c r="AX17" t="s">
        <v>6909</v>
      </c>
      <c r="AY17" t="s">
        <v>6401</v>
      </c>
      <c r="AZ17" t="s">
        <v>6910</v>
      </c>
      <c r="BA17" t="s">
        <v>242</v>
      </c>
      <c r="BB17" t="s">
        <v>6911</v>
      </c>
      <c r="BC17" t="s">
        <v>243</v>
      </c>
      <c r="BD17" t="s">
        <v>6912</v>
      </c>
      <c r="BE17" t="s">
        <v>295</v>
      </c>
      <c r="BF17" t="s">
        <v>6913</v>
      </c>
      <c r="BG17" t="s">
        <v>295</v>
      </c>
      <c r="BH17" t="s">
        <v>6914</v>
      </c>
      <c r="BI17" t="s">
        <v>295</v>
      </c>
      <c r="BJ17" t="s">
        <v>4731</v>
      </c>
      <c r="BK17" t="s">
        <v>295</v>
      </c>
      <c r="BL17" t="s">
        <v>6915</v>
      </c>
      <c r="BM17" t="s">
        <v>295</v>
      </c>
      <c r="BN17" t="s">
        <v>6916</v>
      </c>
      <c r="BO17" t="s">
        <v>295</v>
      </c>
      <c r="BP17" t="s">
        <v>6917</v>
      </c>
      <c r="BQ17" t="s">
        <v>295</v>
      </c>
      <c r="BR17" t="s">
        <v>6918</v>
      </c>
      <c r="BS17" t="s">
        <v>295</v>
      </c>
      <c r="BT17" t="s">
        <v>6919</v>
      </c>
      <c r="BU17" t="s">
        <v>295</v>
      </c>
      <c r="BV17" t="s">
        <v>6920</v>
      </c>
      <c r="BW17" t="s">
        <v>519</v>
      </c>
      <c r="BX17" t="s">
        <v>2024</v>
      </c>
      <c r="BY17" t="s">
        <v>295</v>
      </c>
      <c r="BZ17" t="s">
        <v>2856</v>
      </c>
      <c r="CA17" t="s">
        <v>519</v>
      </c>
      <c r="CB17" t="s">
        <v>6921</v>
      </c>
      <c r="CC17" t="s">
        <v>295</v>
      </c>
      <c r="CD17" t="s">
        <v>6922</v>
      </c>
      <c r="CE17" t="s">
        <v>295</v>
      </c>
      <c r="CF17" t="s">
        <v>6923</v>
      </c>
      <c r="CG17" t="s">
        <v>295</v>
      </c>
      <c r="CH17" t="s">
        <v>4098</v>
      </c>
      <c r="CI17" t="s">
        <v>519</v>
      </c>
      <c r="CJ17" t="s">
        <v>6924</v>
      </c>
      <c r="CK17" t="s">
        <v>295</v>
      </c>
      <c r="CL17" t="s">
        <v>6512</v>
      </c>
      <c r="CM17" t="s">
        <v>519</v>
      </c>
      <c r="CN17" t="s">
        <v>1517</v>
      </c>
      <c r="CO17" t="s">
        <v>295</v>
      </c>
      <c r="CP17" t="s">
        <v>6925</v>
      </c>
      <c r="CQ17" t="s">
        <v>295</v>
      </c>
      <c r="CR17" t="s">
        <v>6926</v>
      </c>
      <c r="CS17" t="s">
        <v>295</v>
      </c>
      <c r="CT17" t="s">
        <v>6927</v>
      </c>
      <c r="CU17" t="s">
        <v>295</v>
      </c>
      <c r="CV17" t="s">
        <v>6928</v>
      </c>
      <c r="CW17" t="s">
        <v>295</v>
      </c>
      <c r="CX17" t="s">
        <v>6929</v>
      </c>
      <c r="CY17" t="s">
        <v>295</v>
      </c>
      <c r="CZ17" t="s">
        <v>6930</v>
      </c>
      <c r="DA17" t="s">
        <v>295</v>
      </c>
      <c r="DB17" t="s">
        <v>6931</v>
      </c>
      <c r="DC17" t="s">
        <v>242</v>
      </c>
      <c r="DD17" t="s">
        <v>6932</v>
      </c>
      <c r="DF17" t="s">
        <v>6933</v>
      </c>
      <c r="DG17" t="s">
        <v>242</v>
      </c>
      <c r="DH17" t="s">
        <v>6934</v>
      </c>
    </row>
    <row r="18" spans="1:112" x14ac:dyDescent="0.35">
      <c r="A18" t="s">
        <v>6369</v>
      </c>
      <c r="B18" t="s">
        <v>6935</v>
      </c>
      <c r="C18" t="s">
        <v>6371</v>
      </c>
      <c r="D18" t="s">
        <v>6936</v>
      </c>
      <c r="E18" t="s">
        <v>6373</v>
      </c>
      <c r="F18" t="s">
        <v>6587</v>
      </c>
      <c r="G18" t="s">
        <v>28</v>
      </c>
      <c r="H18" t="s">
        <v>6664</v>
      </c>
      <c r="I18" t="s">
        <v>6387</v>
      </c>
      <c r="J18" t="s">
        <v>5377</v>
      </c>
      <c r="L18" t="s">
        <v>4922</v>
      </c>
      <c r="M18" t="s">
        <v>18</v>
      </c>
      <c r="N18" t="s">
        <v>6937</v>
      </c>
      <c r="O18" t="s">
        <v>37</v>
      </c>
      <c r="P18" t="s">
        <v>6938</v>
      </c>
      <c r="Q18" t="s">
        <v>28</v>
      </c>
      <c r="R18" t="s">
        <v>2185</v>
      </c>
      <c r="S18" t="s">
        <v>6391</v>
      </c>
      <c r="T18" t="s">
        <v>6939</v>
      </c>
      <c r="U18" t="s">
        <v>28</v>
      </c>
      <c r="V18" t="s">
        <v>929</v>
      </c>
      <c r="W18" t="s">
        <v>28</v>
      </c>
      <c r="X18" t="s">
        <v>6940</v>
      </c>
      <c r="Y18" t="s">
        <v>6941</v>
      </c>
      <c r="Z18" t="s">
        <v>6942</v>
      </c>
      <c r="AA18" t="s">
        <v>33</v>
      </c>
      <c r="AB18" t="s">
        <v>1119</v>
      </c>
      <c r="AC18" t="s">
        <v>6438</v>
      </c>
      <c r="AD18" t="s">
        <v>6943</v>
      </c>
      <c r="AE18" t="s">
        <v>6440</v>
      </c>
      <c r="AF18" t="s">
        <v>6944</v>
      </c>
      <c r="AG18" t="s">
        <v>28</v>
      </c>
      <c r="AH18" t="s">
        <v>6945</v>
      </c>
      <c r="AI18" t="s">
        <v>6494</v>
      </c>
      <c r="AJ18" t="s">
        <v>6313</v>
      </c>
      <c r="AK18" t="s">
        <v>6946</v>
      </c>
      <c r="AL18" t="s">
        <v>6947</v>
      </c>
      <c r="AM18" t="s">
        <v>6948</v>
      </c>
      <c r="AN18" t="s">
        <v>6949</v>
      </c>
      <c r="AO18" t="s">
        <v>6950</v>
      </c>
      <c r="AP18" t="s">
        <v>6951</v>
      </c>
      <c r="AQ18" t="s">
        <v>35</v>
      </c>
      <c r="AR18" t="s">
        <v>6952</v>
      </c>
      <c r="AS18" t="s">
        <v>242</v>
      </c>
      <c r="AT18" t="s">
        <v>6953</v>
      </c>
      <c r="AU18" t="s">
        <v>6954</v>
      </c>
      <c r="AV18" t="s">
        <v>6955</v>
      </c>
      <c r="AW18" t="s">
        <v>6400</v>
      </c>
      <c r="AX18" t="s">
        <v>6956</v>
      </c>
      <c r="AY18" t="s">
        <v>6401</v>
      </c>
      <c r="AZ18" t="s">
        <v>6957</v>
      </c>
      <c r="BA18" t="s">
        <v>242</v>
      </c>
      <c r="BB18" t="s">
        <v>6958</v>
      </c>
      <c r="BC18" t="s">
        <v>589</v>
      </c>
      <c r="BD18" t="s">
        <v>6959</v>
      </c>
      <c r="BE18" t="s">
        <v>342</v>
      </c>
      <c r="BF18" t="s">
        <v>1482</v>
      </c>
      <c r="BG18" t="s">
        <v>664</v>
      </c>
      <c r="BH18" t="s">
        <v>4063</v>
      </c>
      <c r="BI18" t="s">
        <v>595</v>
      </c>
      <c r="BJ18" t="s">
        <v>6960</v>
      </c>
      <c r="BK18" t="s">
        <v>348</v>
      </c>
      <c r="BL18" t="s">
        <v>6961</v>
      </c>
      <c r="BM18" t="s">
        <v>421</v>
      </c>
      <c r="BN18" t="s">
        <v>4480</v>
      </c>
      <c r="BO18" t="s">
        <v>339</v>
      </c>
      <c r="BP18" t="s">
        <v>6962</v>
      </c>
      <c r="BQ18" t="s">
        <v>351</v>
      </c>
      <c r="BR18" t="s">
        <v>4654</v>
      </c>
      <c r="BS18" t="s">
        <v>585</v>
      </c>
      <c r="BT18" t="s">
        <v>4741</v>
      </c>
      <c r="BU18" t="s">
        <v>342</v>
      </c>
      <c r="BV18" t="s">
        <v>6963</v>
      </c>
      <c r="BW18" t="s">
        <v>993</v>
      </c>
      <c r="BX18" t="s">
        <v>5135</v>
      </c>
      <c r="BY18" t="s">
        <v>339</v>
      </c>
      <c r="BZ18" t="s">
        <v>6964</v>
      </c>
      <c r="CA18" t="s">
        <v>656</v>
      </c>
      <c r="CB18" t="s">
        <v>6965</v>
      </c>
      <c r="CC18" t="s">
        <v>696</v>
      </c>
      <c r="CD18" t="s">
        <v>2810</v>
      </c>
      <c r="CE18" t="s">
        <v>1788</v>
      </c>
      <c r="CF18" t="s">
        <v>4691</v>
      </c>
      <c r="CG18" t="s">
        <v>653</v>
      </c>
      <c r="CH18" t="s">
        <v>5498</v>
      </c>
      <c r="CI18" t="s">
        <v>1142</v>
      </c>
      <c r="CJ18" t="s">
        <v>3330</v>
      </c>
      <c r="CK18" t="s">
        <v>1137</v>
      </c>
      <c r="CL18" t="s">
        <v>6966</v>
      </c>
      <c r="CM18" t="s">
        <v>585</v>
      </c>
      <c r="CN18" t="s">
        <v>6967</v>
      </c>
      <c r="CO18" t="s">
        <v>585</v>
      </c>
      <c r="CP18" t="s">
        <v>6968</v>
      </c>
      <c r="CQ18" t="s">
        <v>252</v>
      </c>
      <c r="CR18" t="s">
        <v>6969</v>
      </c>
      <c r="CS18" t="s">
        <v>339</v>
      </c>
      <c r="CT18" t="s">
        <v>3521</v>
      </c>
      <c r="CU18" t="s">
        <v>397</v>
      </c>
      <c r="CV18" t="s">
        <v>6970</v>
      </c>
      <c r="CW18" t="s">
        <v>421</v>
      </c>
      <c r="CX18" t="s">
        <v>4419</v>
      </c>
      <c r="CY18" t="s">
        <v>281</v>
      </c>
      <c r="CZ18" t="s">
        <v>2295</v>
      </c>
      <c r="DA18" t="s">
        <v>344</v>
      </c>
      <c r="DB18" t="s">
        <v>6971</v>
      </c>
      <c r="DC18" t="s">
        <v>242</v>
      </c>
      <c r="DD18" t="s">
        <v>6972</v>
      </c>
      <c r="DF18" t="s">
        <v>6973</v>
      </c>
      <c r="DG18" t="s">
        <v>242</v>
      </c>
      <c r="DH18" t="s">
        <v>5399</v>
      </c>
    </row>
    <row r="19" spans="1:112" x14ac:dyDescent="0.35">
      <c r="A19" t="s">
        <v>6369</v>
      </c>
      <c r="B19" t="s">
        <v>6974</v>
      </c>
      <c r="C19" t="s">
        <v>6371</v>
      </c>
      <c r="D19" t="s">
        <v>4413</v>
      </c>
      <c r="E19" t="s">
        <v>6373</v>
      </c>
      <c r="F19" t="s">
        <v>6975</v>
      </c>
      <c r="G19" t="s">
        <v>28</v>
      </c>
      <c r="H19" t="s">
        <v>6976</v>
      </c>
      <c r="I19" t="s">
        <v>6387</v>
      </c>
      <c r="J19" t="s">
        <v>6977</v>
      </c>
      <c r="L19" t="s">
        <v>6978</v>
      </c>
      <c r="M19" t="s">
        <v>15</v>
      </c>
      <c r="N19" t="s">
        <v>6979</v>
      </c>
      <c r="O19" t="s">
        <v>17</v>
      </c>
      <c r="P19" t="s">
        <v>6980</v>
      </c>
      <c r="Q19" t="s">
        <v>28</v>
      </c>
      <c r="R19" t="s">
        <v>6981</v>
      </c>
      <c r="S19" t="s">
        <v>6532</v>
      </c>
      <c r="T19" t="s">
        <v>6982</v>
      </c>
      <c r="U19" t="s">
        <v>242</v>
      </c>
      <c r="V19" t="s">
        <v>243</v>
      </c>
      <c r="W19" t="s">
        <v>242</v>
      </c>
      <c r="X19" t="s">
        <v>243</v>
      </c>
      <c r="Y19" t="s">
        <v>242</v>
      </c>
      <c r="Z19" t="s">
        <v>243</v>
      </c>
      <c r="AA19" t="s">
        <v>242</v>
      </c>
      <c r="AB19" t="s">
        <v>243</v>
      </c>
      <c r="AC19" t="s">
        <v>242</v>
      </c>
      <c r="AD19" t="s">
        <v>243</v>
      </c>
      <c r="AE19" t="s">
        <v>242</v>
      </c>
      <c r="AF19" t="s">
        <v>243</v>
      </c>
      <c r="AG19" t="s">
        <v>242</v>
      </c>
      <c r="AH19" t="s">
        <v>243</v>
      </c>
      <c r="AI19" t="s">
        <v>242</v>
      </c>
      <c r="AJ19" t="s">
        <v>243</v>
      </c>
      <c r="AK19" t="s">
        <v>242</v>
      </c>
      <c r="AL19" t="s">
        <v>243</v>
      </c>
      <c r="AM19" t="s">
        <v>242</v>
      </c>
      <c r="AN19" t="s">
        <v>243</v>
      </c>
      <c r="AO19" t="s">
        <v>242</v>
      </c>
      <c r="AP19" t="s">
        <v>243</v>
      </c>
      <c r="AQ19" t="s">
        <v>242</v>
      </c>
      <c r="AR19" t="s">
        <v>243</v>
      </c>
      <c r="AS19" t="s">
        <v>242</v>
      </c>
      <c r="AT19" t="s">
        <v>244</v>
      </c>
      <c r="AU19" t="s">
        <v>1122</v>
      </c>
      <c r="AV19" t="s">
        <v>6983</v>
      </c>
      <c r="AW19" t="s">
        <v>6400</v>
      </c>
      <c r="AX19" t="s">
        <v>1340</v>
      </c>
      <c r="AY19" t="s">
        <v>6401</v>
      </c>
      <c r="AZ19" t="s">
        <v>6984</v>
      </c>
      <c r="BA19" t="s">
        <v>242</v>
      </c>
      <c r="BB19" t="s">
        <v>6985</v>
      </c>
      <c r="BC19" t="s">
        <v>519</v>
      </c>
      <c r="BD19" t="s">
        <v>4037</v>
      </c>
      <c r="BE19" t="s">
        <v>295</v>
      </c>
      <c r="BF19" t="s">
        <v>6986</v>
      </c>
      <c r="BG19" t="s">
        <v>519</v>
      </c>
      <c r="BH19" t="s">
        <v>6987</v>
      </c>
      <c r="BI19" t="s">
        <v>685</v>
      </c>
      <c r="BJ19" t="s">
        <v>6988</v>
      </c>
      <c r="BK19" t="s">
        <v>371</v>
      </c>
      <c r="BL19" t="s">
        <v>6989</v>
      </c>
      <c r="BM19" t="s">
        <v>295</v>
      </c>
      <c r="BN19" t="s">
        <v>6990</v>
      </c>
      <c r="BO19" t="s">
        <v>779</v>
      </c>
      <c r="BP19" t="s">
        <v>6991</v>
      </c>
      <c r="BQ19" t="s">
        <v>293</v>
      </c>
      <c r="BR19" t="s">
        <v>6992</v>
      </c>
      <c r="BS19" t="s">
        <v>414</v>
      </c>
      <c r="BT19" t="s">
        <v>6993</v>
      </c>
      <c r="BU19" t="s">
        <v>1091</v>
      </c>
      <c r="BV19" t="s">
        <v>6994</v>
      </c>
      <c r="BW19" t="s">
        <v>519</v>
      </c>
      <c r="BX19" t="s">
        <v>6995</v>
      </c>
      <c r="BY19" t="s">
        <v>685</v>
      </c>
      <c r="BZ19" t="s">
        <v>6996</v>
      </c>
      <c r="CA19" t="s">
        <v>371</v>
      </c>
      <c r="CB19" t="s">
        <v>6997</v>
      </c>
      <c r="CC19" t="s">
        <v>293</v>
      </c>
      <c r="CD19" t="s">
        <v>6998</v>
      </c>
      <c r="CE19" t="s">
        <v>519</v>
      </c>
      <c r="CF19" t="s">
        <v>6999</v>
      </c>
      <c r="CG19" t="s">
        <v>293</v>
      </c>
      <c r="CH19" t="s">
        <v>7000</v>
      </c>
      <c r="CI19" t="s">
        <v>360</v>
      </c>
      <c r="CJ19" t="s">
        <v>7001</v>
      </c>
      <c r="CK19" t="s">
        <v>476</v>
      </c>
      <c r="CL19" t="s">
        <v>7002</v>
      </c>
      <c r="CM19" t="s">
        <v>519</v>
      </c>
      <c r="CN19" t="s">
        <v>7003</v>
      </c>
      <c r="CO19" t="s">
        <v>1380</v>
      </c>
      <c r="CP19" t="s">
        <v>7004</v>
      </c>
      <c r="CQ19" t="s">
        <v>519</v>
      </c>
      <c r="CR19" t="s">
        <v>7005</v>
      </c>
      <c r="CS19" t="s">
        <v>293</v>
      </c>
      <c r="CT19" t="s">
        <v>7006</v>
      </c>
      <c r="CU19" t="s">
        <v>271</v>
      </c>
      <c r="CV19" t="s">
        <v>7007</v>
      </c>
      <c r="CW19" t="s">
        <v>685</v>
      </c>
      <c r="CX19" t="s">
        <v>7008</v>
      </c>
      <c r="CY19" t="s">
        <v>295</v>
      </c>
      <c r="CZ19" t="s">
        <v>7009</v>
      </c>
      <c r="DA19" t="s">
        <v>295</v>
      </c>
      <c r="DB19" t="s">
        <v>7010</v>
      </c>
      <c r="DC19" t="s">
        <v>242</v>
      </c>
      <c r="DD19" t="s">
        <v>7011</v>
      </c>
      <c r="DF19" t="s">
        <v>7012</v>
      </c>
      <c r="DG19" t="s">
        <v>242</v>
      </c>
      <c r="DH19" t="s">
        <v>3571</v>
      </c>
    </row>
    <row r="20" spans="1:112" x14ac:dyDescent="0.35">
      <c r="A20" t="s">
        <v>6369</v>
      </c>
      <c r="B20" t="s">
        <v>7013</v>
      </c>
      <c r="C20" t="s">
        <v>6371</v>
      </c>
      <c r="D20" t="s">
        <v>7014</v>
      </c>
      <c r="E20" t="s">
        <v>6373</v>
      </c>
      <c r="F20" t="s">
        <v>7015</v>
      </c>
      <c r="G20" t="s">
        <v>28</v>
      </c>
      <c r="H20" t="s">
        <v>7016</v>
      </c>
      <c r="I20" t="s">
        <v>6387</v>
      </c>
      <c r="J20" t="s">
        <v>3095</v>
      </c>
      <c r="L20" t="s">
        <v>7017</v>
      </c>
      <c r="M20" t="s">
        <v>18</v>
      </c>
      <c r="N20" t="s">
        <v>7018</v>
      </c>
      <c r="O20" t="s">
        <v>17</v>
      </c>
      <c r="P20" t="s">
        <v>3368</v>
      </c>
      <c r="Q20" t="s">
        <v>28</v>
      </c>
      <c r="R20" t="s">
        <v>1077</v>
      </c>
      <c r="S20" t="s">
        <v>6391</v>
      </c>
      <c r="T20" t="s">
        <v>7019</v>
      </c>
      <c r="U20" t="s">
        <v>28</v>
      </c>
      <c r="V20" t="s">
        <v>7020</v>
      </c>
      <c r="W20" t="s">
        <v>29</v>
      </c>
      <c r="X20" t="s">
        <v>7021</v>
      </c>
      <c r="Y20" t="s">
        <v>242</v>
      </c>
      <c r="Z20" t="s">
        <v>243</v>
      </c>
      <c r="AA20" t="s">
        <v>33</v>
      </c>
      <c r="AB20" t="s">
        <v>244</v>
      </c>
      <c r="AC20" t="s">
        <v>6438</v>
      </c>
      <c r="AD20" t="s">
        <v>7022</v>
      </c>
      <c r="AE20" t="s">
        <v>6440</v>
      </c>
      <c r="AF20" t="s">
        <v>7023</v>
      </c>
      <c r="AG20" t="s">
        <v>28</v>
      </c>
      <c r="AH20" t="s">
        <v>7024</v>
      </c>
      <c r="AI20" t="s">
        <v>7025</v>
      </c>
      <c r="AJ20" t="s">
        <v>7026</v>
      </c>
      <c r="AK20" t="s">
        <v>7027</v>
      </c>
      <c r="AL20" t="s">
        <v>7028</v>
      </c>
      <c r="AM20" t="s">
        <v>7029</v>
      </c>
      <c r="AN20" t="s">
        <v>7030</v>
      </c>
      <c r="AO20" t="s">
        <v>2542</v>
      </c>
      <c r="AP20" t="s">
        <v>7031</v>
      </c>
      <c r="AQ20" t="s">
        <v>32</v>
      </c>
      <c r="AR20" t="s">
        <v>7032</v>
      </c>
      <c r="AS20" t="s">
        <v>242</v>
      </c>
      <c r="AT20" t="s">
        <v>7033</v>
      </c>
      <c r="AU20" t="s">
        <v>7034</v>
      </c>
      <c r="AV20" t="s">
        <v>7035</v>
      </c>
      <c r="AW20" t="s">
        <v>6400</v>
      </c>
      <c r="AX20" t="s">
        <v>7036</v>
      </c>
      <c r="AY20" t="s">
        <v>6401</v>
      </c>
      <c r="AZ20" t="s">
        <v>7037</v>
      </c>
      <c r="BA20" t="s">
        <v>242</v>
      </c>
      <c r="BB20" t="s">
        <v>700</v>
      </c>
      <c r="BC20" t="s">
        <v>4183</v>
      </c>
      <c r="BD20" t="s">
        <v>7038</v>
      </c>
      <c r="BE20" t="s">
        <v>752</v>
      </c>
      <c r="BF20" t="s">
        <v>7039</v>
      </c>
      <c r="BG20" t="s">
        <v>651</v>
      </c>
      <c r="BH20" t="s">
        <v>7040</v>
      </c>
      <c r="BI20" t="s">
        <v>401</v>
      </c>
      <c r="BJ20" t="s">
        <v>7041</v>
      </c>
      <c r="BK20" t="s">
        <v>651</v>
      </c>
      <c r="BL20" t="s">
        <v>4853</v>
      </c>
      <c r="BM20" t="s">
        <v>421</v>
      </c>
      <c r="BN20" t="s">
        <v>7042</v>
      </c>
      <c r="BO20" t="s">
        <v>659</v>
      </c>
      <c r="BP20" t="s">
        <v>7043</v>
      </c>
      <c r="BQ20" t="s">
        <v>744</v>
      </c>
      <c r="BR20" t="s">
        <v>7044</v>
      </c>
      <c r="BS20" t="s">
        <v>4183</v>
      </c>
      <c r="BT20" t="s">
        <v>7045</v>
      </c>
      <c r="BU20" t="s">
        <v>752</v>
      </c>
      <c r="BV20" t="s">
        <v>7046</v>
      </c>
      <c r="BW20" t="s">
        <v>651</v>
      </c>
      <c r="BX20" t="s">
        <v>7047</v>
      </c>
      <c r="BY20" t="s">
        <v>360</v>
      </c>
      <c r="BZ20" t="s">
        <v>7048</v>
      </c>
      <c r="CA20" t="s">
        <v>651</v>
      </c>
      <c r="CB20" t="s">
        <v>7049</v>
      </c>
      <c r="CC20" t="s">
        <v>421</v>
      </c>
      <c r="CD20" t="s">
        <v>7050</v>
      </c>
      <c r="CE20" t="s">
        <v>651</v>
      </c>
      <c r="CF20" t="s">
        <v>7051</v>
      </c>
      <c r="CG20" t="s">
        <v>401</v>
      </c>
      <c r="CH20" t="s">
        <v>7052</v>
      </c>
      <c r="CI20" t="s">
        <v>651</v>
      </c>
      <c r="CJ20" t="s">
        <v>7053</v>
      </c>
      <c r="CK20" t="s">
        <v>421</v>
      </c>
      <c r="CL20" t="s">
        <v>7054</v>
      </c>
      <c r="CM20" t="s">
        <v>356</v>
      </c>
      <c r="CN20" t="s">
        <v>7055</v>
      </c>
      <c r="CO20" t="s">
        <v>519</v>
      </c>
      <c r="CP20" t="s">
        <v>7056</v>
      </c>
      <c r="CQ20" t="s">
        <v>542</v>
      </c>
      <c r="CR20" t="s">
        <v>7057</v>
      </c>
      <c r="CS20" t="s">
        <v>271</v>
      </c>
      <c r="CT20" t="s">
        <v>7058</v>
      </c>
      <c r="CU20" t="s">
        <v>1142</v>
      </c>
      <c r="CV20" t="s">
        <v>7059</v>
      </c>
      <c r="CW20" t="s">
        <v>467</v>
      </c>
      <c r="CX20" t="s">
        <v>7060</v>
      </c>
      <c r="CY20" t="s">
        <v>271</v>
      </c>
      <c r="CZ20" t="s">
        <v>7061</v>
      </c>
      <c r="DA20" t="s">
        <v>254</v>
      </c>
      <c r="DB20" t="s">
        <v>6767</v>
      </c>
      <c r="DC20" t="s">
        <v>242</v>
      </c>
      <c r="DD20" t="s">
        <v>5478</v>
      </c>
      <c r="DF20" t="s">
        <v>7062</v>
      </c>
      <c r="DG20" t="s">
        <v>242</v>
      </c>
      <c r="DH20" t="s">
        <v>7063</v>
      </c>
    </row>
    <row r="21" spans="1:112" x14ac:dyDescent="0.35">
      <c r="A21" t="s">
        <v>6369</v>
      </c>
      <c r="B21" t="s">
        <v>7064</v>
      </c>
      <c r="C21" t="s">
        <v>6371</v>
      </c>
      <c r="D21" t="s">
        <v>7065</v>
      </c>
      <c r="E21" t="s">
        <v>6373</v>
      </c>
      <c r="F21" t="s">
        <v>7066</v>
      </c>
      <c r="G21" t="s">
        <v>28</v>
      </c>
      <c r="H21" t="s">
        <v>7067</v>
      </c>
      <c r="I21" t="s">
        <v>6387</v>
      </c>
      <c r="J21" t="s">
        <v>7068</v>
      </c>
      <c r="L21" t="s">
        <v>7069</v>
      </c>
      <c r="M21" t="s">
        <v>18</v>
      </c>
      <c r="N21" t="s">
        <v>3406</v>
      </c>
      <c r="O21" t="s">
        <v>17</v>
      </c>
      <c r="P21" t="s">
        <v>437</v>
      </c>
      <c r="Q21" t="s">
        <v>28</v>
      </c>
      <c r="R21" t="s">
        <v>7070</v>
      </c>
      <c r="S21" t="s">
        <v>6391</v>
      </c>
      <c r="T21" t="s">
        <v>7071</v>
      </c>
      <c r="U21" t="s">
        <v>28</v>
      </c>
      <c r="V21" t="s">
        <v>5240</v>
      </c>
      <c r="W21" t="s">
        <v>28</v>
      </c>
      <c r="X21" t="s">
        <v>7072</v>
      </c>
      <c r="Y21" t="s">
        <v>7073</v>
      </c>
      <c r="Z21" t="s">
        <v>7074</v>
      </c>
      <c r="AA21" t="s">
        <v>33</v>
      </c>
      <c r="AB21" t="s">
        <v>7075</v>
      </c>
      <c r="AC21" t="s">
        <v>7076</v>
      </c>
      <c r="AD21" t="s">
        <v>7077</v>
      </c>
      <c r="AE21" t="s">
        <v>6440</v>
      </c>
      <c r="AF21" t="s">
        <v>2194</v>
      </c>
      <c r="AG21" t="s">
        <v>28</v>
      </c>
      <c r="AH21" t="s">
        <v>7078</v>
      </c>
      <c r="AI21" t="s">
        <v>6442</v>
      </c>
      <c r="AJ21" t="s">
        <v>7079</v>
      </c>
      <c r="AK21" t="s">
        <v>7080</v>
      </c>
      <c r="AL21" t="s">
        <v>7081</v>
      </c>
      <c r="AM21" t="s">
        <v>7082</v>
      </c>
      <c r="AN21" t="s">
        <v>7083</v>
      </c>
      <c r="AO21" t="s">
        <v>1760</v>
      </c>
      <c r="AP21" t="s">
        <v>7084</v>
      </c>
      <c r="AQ21" t="s">
        <v>35</v>
      </c>
      <c r="AR21" t="s">
        <v>5848</v>
      </c>
      <c r="AS21" t="s">
        <v>242</v>
      </c>
      <c r="AT21" t="s">
        <v>6649</v>
      </c>
      <c r="AU21" t="s">
        <v>7085</v>
      </c>
      <c r="AV21" t="s">
        <v>7086</v>
      </c>
      <c r="AW21" t="s">
        <v>6400</v>
      </c>
      <c r="AX21" t="s">
        <v>7087</v>
      </c>
      <c r="AY21" t="s">
        <v>6401</v>
      </c>
      <c r="AZ21" t="s">
        <v>7088</v>
      </c>
      <c r="BA21" t="s">
        <v>242</v>
      </c>
      <c r="BB21" t="s">
        <v>7089</v>
      </c>
      <c r="BC21" t="s">
        <v>243</v>
      </c>
      <c r="BD21" t="s">
        <v>7090</v>
      </c>
      <c r="BE21" t="s">
        <v>243</v>
      </c>
      <c r="BF21" t="s">
        <v>7091</v>
      </c>
      <c r="BG21" t="s">
        <v>519</v>
      </c>
      <c r="BH21" t="s">
        <v>7092</v>
      </c>
      <c r="BI21" t="s">
        <v>243</v>
      </c>
      <c r="BJ21" t="s">
        <v>7093</v>
      </c>
      <c r="BK21" t="s">
        <v>519</v>
      </c>
      <c r="BL21" t="s">
        <v>1281</v>
      </c>
      <c r="BM21" t="s">
        <v>295</v>
      </c>
      <c r="BN21" t="s">
        <v>7094</v>
      </c>
      <c r="BO21" t="s">
        <v>519</v>
      </c>
      <c r="BP21" t="s">
        <v>7095</v>
      </c>
      <c r="BQ21" t="s">
        <v>295</v>
      </c>
      <c r="BR21" t="s">
        <v>7096</v>
      </c>
      <c r="BS21" t="s">
        <v>519</v>
      </c>
      <c r="BT21" t="s">
        <v>7097</v>
      </c>
      <c r="BU21" t="s">
        <v>295</v>
      </c>
      <c r="BV21" t="s">
        <v>7098</v>
      </c>
      <c r="BW21" t="s">
        <v>519</v>
      </c>
      <c r="BX21" t="s">
        <v>7099</v>
      </c>
      <c r="BY21" t="s">
        <v>295</v>
      </c>
      <c r="BZ21" t="s">
        <v>7100</v>
      </c>
      <c r="CA21" t="s">
        <v>519</v>
      </c>
      <c r="CB21" t="s">
        <v>749</v>
      </c>
      <c r="CC21" t="s">
        <v>295</v>
      </c>
      <c r="CD21" t="s">
        <v>7101</v>
      </c>
      <c r="CE21" t="s">
        <v>295</v>
      </c>
      <c r="CF21" t="s">
        <v>7102</v>
      </c>
      <c r="CG21" t="s">
        <v>295</v>
      </c>
      <c r="CH21" t="s">
        <v>7103</v>
      </c>
      <c r="CI21" t="s">
        <v>519</v>
      </c>
      <c r="CJ21" t="s">
        <v>7104</v>
      </c>
      <c r="CK21" t="s">
        <v>295</v>
      </c>
      <c r="CL21" t="s">
        <v>7105</v>
      </c>
      <c r="CM21" t="s">
        <v>519</v>
      </c>
      <c r="CN21" t="s">
        <v>7106</v>
      </c>
      <c r="CO21" t="s">
        <v>295</v>
      </c>
      <c r="CP21" t="s">
        <v>7107</v>
      </c>
      <c r="CQ21" t="s">
        <v>519</v>
      </c>
      <c r="CR21" t="s">
        <v>7108</v>
      </c>
      <c r="CS21" t="s">
        <v>295</v>
      </c>
      <c r="CT21" t="s">
        <v>3866</v>
      </c>
      <c r="CU21" t="s">
        <v>519</v>
      </c>
      <c r="CV21" t="s">
        <v>7109</v>
      </c>
      <c r="CW21" t="s">
        <v>295</v>
      </c>
      <c r="CX21" t="s">
        <v>7110</v>
      </c>
      <c r="CY21" t="s">
        <v>295</v>
      </c>
      <c r="CZ21" t="s">
        <v>7111</v>
      </c>
      <c r="DA21" t="s">
        <v>295</v>
      </c>
      <c r="DB21" t="s">
        <v>7112</v>
      </c>
      <c r="DC21" t="s">
        <v>242</v>
      </c>
      <c r="DD21" t="s">
        <v>7113</v>
      </c>
      <c r="DF21" t="s">
        <v>7114</v>
      </c>
      <c r="DG21" t="s">
        <v>242</v>
      </c>
      <c r="DH21" t="s">
        <v>7115</v>
      </c>
    </row>
    <row r="22" spans="1:112" x14ac:dyDescent="0.35">
      <c r="A22" t="s">
        <v>6369</v>
      </c>
      <c r="B22" t="s">
        <v>7116</v>
      </c>
      <c r="C22" t="s">
        <v>6371</v>
      </c>
      <c r="D22" t="s">
        <v>6229</v>
      </c>
      <c r="E22" t="s">
        <v>6373</v>
      </c>
      <c r="F22" t="s">
        <v>1953</v>
      </c>
      <c r="G22" t="s">
        <v>28</v>
      </c>
      <c r="H22" t="s">
        <v>1152</v>
      </c>
      <c r="I22" t="s">
        <v>6387</v>
      </c>
      <c r="J22" t="s">
        <v>3418</v>
      </c>
      <c r="L22" t="s">
        <v>7117</v>
      </c>
      <c r="M22" t="s">
        <v>18</v>
      </c>
      <c r="N22" t="s">
        <v>7118</v>
      </c>
      <c r="O22" t="s">
        <v>17</v>
      </c>
      <c r="P22" t="s">
        <v>7119</v>
      </c>
      <c r="Q22" t="s">
        <v>28</v>
      </c>
      <c r="R22" t="s">
        <v>7120</v>
      </c>
      <c r="S22" t="s">
        <v>6391</v>
      </c>
      <c r="T22" t="s">
        <v>2635</v>
      </c>
      <c r="U22" t="s">
        <v>28</v>
      </c>
      <c r="V22" t="s">
        <v>1107</v>
      </c>
      <c r="W22" t="s">
        <v>28</v>
      </c>
      <c r="X22" t="s">
        <v>7121</v>
      </c>
      <c r="Y22" t="s">
        <v>7122</v>
      </c>
      <c r="Z22" t="s">
        <v>7123</v>
      </c>
      <c r="AA22" t="s">
        <v>33</v>
      </c>
      <c r="AB22" t="s">
        <v>2163</v>
      </c>
      <c r="AC22" t="s">
        <v>6438</v>
      </c>
      <c r="AD22" t="s">
        <v>7124</v>
      </c>
      <c r="AE22" t="s">
        <v>6440</v>
      </c>
      <c r="AF22" t="s">
        <v>4916</v>
      </c>
      <c r="AG22" t="s">
        <v>28</v>
      </c>
      <c r="AH22" t="s">
        <v>7125</v>
      </c>
      <c r="AI22" t="s">
        <v>6442</v>
      </c>
      <c r="AJ22" t="s">
        <v>7126</v>
      </c>
      <c r="AK22" t="s">
        <v>7127</v>
      </c>
      <c r="AL22" t="s">
        <v>7128</v>
      </c>
      <c r="AM22" t="s">
        <v>7129</v>
      </c>
      <c r="AN22" t="s">
        <v>7130</v>
      </c>
      <c r="AO22" t="s">
        <v>2542</v>
      </c>
      <c r="AP22" t="s">
        <v>7131</v>
      </c>
      <c r="AQ22" t="s">
        <v>32</v>
      </c>
      <c r="AR22" t="s">
        <v>7132</v>
      </c>
      <c r="AS22" t="s">
        <v>242</v>
      </c>
      <c r="AT22" t="s">
        <v>7133</v>
      </c>
      <c r="AU22" t="s">
        <v>4400</v>
      </c>
      <c r="AV22" t="s">
        <v>7134</v>
      </c>
      <c r="AW22" t="s">
        <v>6400</v>
      </c>
      <c r="AX22" t="s">
        <v>1205</v>
      </c>
      <c r="AY22" t="s">
        <v>6401</v>
      </c>
      <c r="AZ22" t="s">
        <v>5173</v>
      </c>
      <c r="BA22" t="s">
        <v>242</v>
      </c>
      <c r="BB22" t="s">
        <v>7135</v>
      </c>
      <c r="BC22" t="s">
        <v>335</v>
      </c>
      <c r="BD22" t="s">
        <v>1139</v>
      </c>
      <c r="BE22" t="s">
        <v>274</v>
      </c>
      <c r="BF22" t="s">
        <v>7136</v>
      </c>
      <c r="BG22" t="s">
        <v>335</v>
      </c>
      <c r="BH22" t="s">
        <v>7137</v>
      </c>
      <c r="BI22" t="s">
        <v>473</v>
      </c>
      <c r="BJ22" t="s">
        <v>7138</v>
      </c>
      <c r="BK22" t="s">
        <v>397</v>
      </c>
      <c r="BL22" t="s">
        <v>3168</v>
      </c>
      <c r="BM22" t="s">
        <v>289</v>
      </c>
      <c r="BN22" t="s">
        <v>7139</v>
      </c>
      <c r="BO22" t="s">
        <v>900</v>
      </c>
      <c r="BP22" t="s">
        <v>7140</v>
      </c>
      <c r="BQ22" t="s">
        <v>532</v>
      </c>
      <c r="BR22" t="s">
        <v>7141</v>
      </c>
      <c r="BS22" t="s">
        <v>397</v>
      </c>
      <c r="BT22" t="s">
        <v>7142</v>
      </c>
      <c r="BU22" t="s">
        <v>257</v>
      </c>
      <c r="BV22" t="s">
        <v>7143</v>
      </c>
      <c r="BW22" t="s">
        <v>752</v>
      </c>
      <c r="BX22" t="s">
        <v>7144</v>
      </c>
      <c r="BY22" t="s">
        <v>575</v>
      </c>
      <c r="BZ22" t="s">
        <v>7145</v>
      </c>
      <c r="CA22" t="s">
        <v>595</v>
      </c>
      <c r="CB22" t="s">
        <v>7146</v>
      </c>
      <c r="CC22" t="s">
        <v>351</v>
      </c>
      <c r="CD22" t="s">
        <v>7147</v>
      </c>
      <c r="CE22" t="s">
        <v>589</v>
      </c>
      <c r="CF22" t="s">
        <v>7148</v>
      </c>
      <c r="CG22" t="s">
        <v>367</v>
      </c>
      <c r="CH22" t="s">
        <v>7149</v>
      </c>
      <c r="CI22" t="s">
        <v>589</v>
      </c>
      <c r="CJ22" t="s">
        <v>7150</v>
      </c>
      <c r="CK22" t="s">
        <v>481</v>
      </c>
      <c r="CL22" t="s">
        <v>7151</v>
      </c>
      <c r="CM22" t="s">
        <v>585</v>
      </c>
      <c r="CN22" t="s">
        <v>7152</v>
      </c>
      <c r="CO22" t="s">
        <v>538</v>
      </c>
      <c r="CP22" t="s">
        <v>7153</v>
      </c>
      <c r="CQ22" t="s">
        <v>339</v>
      </c>
      <c r="CR22" t="s">
        <v>7154</v>
      </c>
      <c r="CS22" t="s">
        <v>414</v>
      </c>
      <c r="CT22" t="s">
        <v>7155</v>
      </c>
      <c r="CU22" t="s">
        <v>752</v>
      </c>
      <c r="CV22" t="s">
        <v>7156</v>
      </c>
      <c r="CW22" t="s">
        <v>538</v>
      </c>
      <c r="CX22" t="s">
        <v>7157</v>
      </c>
      <c r="CY22" t="s">
        <v>532</v>
      </c>
      <c r="CZ22" t="s">
        <v>7158</v>
      </c>
      <c r="DA22" t="s">
        <v>261</v>
      </c>
      <c r="DB22" t="s">
        <v>7159</v>
      </c>
      <c r="DC22" t="s">
        <v>242</v>
      </c>
      <c r="DD22" t="s">
        <v>4973</v>
      </c>
      <c r="DF22" t="s">
        <v>7160</v>
      </c>
      <c r="DG22" t="s">
        <v>242</v>
      </c>
      <c r="DH22" t="s">
        <v>7161</v>
      </c>
    </row>
    <row r="23" spans="1:112" x14ac:dyDescent="0.35">
      <c r="A23" t="s">
        <v>6369</v>
      </c>
      <c r="B23" t="s">
        <v>7162</v>
      </c>
      <c r="C23" t="s">
        <v>6371</v>
      </c>
      <c r="D23" t="s">
        <v>7163</v>
      </c>
      <c r="E23" t="s">
        <v>6373</v>
      </c>
      <c r="F23" t="s">
        <v>7164</v>
      </c>
      <c r="G23" t="s">
        <v>28</v>
      </c>
      <c r="H23" t="s">
        <v>7165</v>
      </c>
      <c r="I23" t="s">
        <v>6387</v>
      </c>
      <c r="J23" t="s">
        <v>4682</v>
      </c>
      <c r="L23" t="s">
        <v>7166</v>
      </c>
      <c r="M23" t="s">
        <v>18</v>
      </c>
      <c r="N23" t="s">
        <v>7167</v>
      </c>
      <c r="O23" t="s">
        <v>17</v>
      </c>
      <c r="P23" t="s">
        <v>7168</v>
      </c>
      <c r="Q23" t="s">
        <v>28</v>
      </c>
      <c r="R23" t="s">
        <v>5119</v>
      </c>
      <c r="S23" t="s">
        <v>6391</v>
      </c>
      <c r="T23" t="s">
        <v>7113</v>
      </c>
      <c r="U23" t="s">
        <v>28</v>
      </c>
      <c r="V23" t="s">
        <v>7169</v>
      </c>
      <c r="W23" t="s">
        <v>28</v>
      </c>
      <c r="X23" t="s">
        <v>7170</v>
      </c>
      <c r="Y23" t="s">
        <v>7171</v>
      </c>
      <c r="Z23" t="s">
        <v>7172</v>
      </c>
      <c r="AA23" t="s">
        <v>29</v>
      </c>
      <c r="AB23" t="s">
        <v>7173</v>
      </c>
      <c r="AC23" t="s">
        <v>242</v>
      </c>
      <c r="AD23" t="s">
        <v>243</v>
      </c>
      <c r="AE23" t="s">
        <v>242</v>
      </c>
      <c r="AF23" t="s">
        <v>243</v>
      </c>
      <c r="AG23" t="s">
        <v>242</v>
      </c>
      <c r="AH23" t="s">
        <v>243</v>
      </c>
      <c r="AI23" t="s">
        <v>242</v>
      </c>
      <c r="AJ23" t="s">
        <v>243</v>
      </c>
      <c r="AK23" t="s">
        <v>242</v>
      </c>
      <c r="AL23" t="s">
        <v>243</v>
      </c>
      <c r="AM23" t="s">
        <v>7174</v>
      </c>
      <c r="AN23" t="s">
        <v>244</v>
      </c>
      <c r="AO23" t="s">
        <v>1760</v>
      </c>
      <c r="AP23" t="s">
        <v>7175</v>
      </c>
      <c r="AQ23" t="s">
        <v>32</v>
      </c>
      <c r="AR23" t="s">
        <v>814</v>
      </c>
      <c r="AS23" t="s">
        <v>242</v>
      </c>
      <c r="AT23" t="s">
        <v>7176</v>
      </c>
      <c r="AU23" t="s">
        <v>7177</v>
      </c>
      <c r="AV23" t="s">
        <v>7178</v>
      </c>
      <c r="AW23" t="s">
        <v>6400</v>
      </c>
      <c r="AX23" t="s">
        <v>7179</v>
      </c>
      <c r="AY23" t="s">
        <v>6401</v>
      </c>
      <c r="AZ23" t="s">
        <v>7180</v>
      </c>
      <c r="BA23" t="s">
        <v>242</v>
      </c>
      <c r="BB23" t="s">
        <v>1370</v>
      </c>
      <c r="BC23" t="s">
        <v>595</v>
      </c>
      <c r="BD23" t="s">
        <v>7181</v>
      </c>
      <c r="BE23" t="s">
        <v>595</v>
      </c>
      <c r="BF23" t="s">
        <v>7182</v>
      </c>
      <c r="BG23" t="s">
        <v>591</v>
      </c>
      <c r="BH23" t="s">
        <v>791</v>
      </c>
      <c r="BI23" t="s">
        <v>473</v>
      </c>
      <c r="BJ23" t="s">
        <v>7183</v>
      </c>
      <c r="BK23" t="s">
        <v>252</v>
      </c>
      <c r="BL23" t="s">
        <v>7184</v>
      </c>
      <c r="BM23" t="s">
        <v>481</v>
      </c>
      <c r="BN23" t="s">
        <v>7185</v>
      </c>
      <c r="BO23" t="s">
        <v>348</v>
      </c>
      <c r="BP23" t="s">
        <v>7186</v>
      </c>
      <c r="BQ23" t="s">
        <v>399</v>
      </c>
      <c r="BR23" t="s">
        <v>966</v>
      </c>
      <c r="BS23" t="s">
        <v>348</v>
      </c>
      <c r="BT23" t="s">
        <v>4439</v>
      </c>
      <c r="BU23" t="s">
        <v>532</v>
      </c>
      <c r="BV23" t="s">
        <v>7187</v>
      </c>
      <c r="BW23" t="s">
        <v>351</v>
      </c>
      <c r="BX23" t="s">
        <v>7188</v>
      </c>
      <c r="BY23" t="s">
        <v>399</v>
      </c>
      <c r="BZ23" t="s">
        <v>7189</v>
      </c>
      <c r="CA23" t="s">
        <v>348</v>
      </c>
      <c r="CB23" t="s">
        <v>7190</v>
      </c>
      <c r="CC23" t="s">
        <v>532</v>
      </c>
      <c r="CD23" t="s">
        <v>7191</v>
      </c>
      <c r="CE23" t="s">
        <v>259</v>
      </c>
      <c r="CF23" t="s">
        <v>7192</v>
      </c>
      <c r="CG23" t="s">
        <v>519</v>
      </c>
      <c r="CH23" t="s">
        <v>2524</v>
      </c>
      <c r="CI23" t="s">
        <v>583</v>
      </c>
      <c r="CJ23" t="s">
        <v>2731</v>
      </c>
      <c r="CK23" t="s">
        <v>291</v>
      </c>
      <c r="CL23" t="s">
        <v>7193</v>
      </c>
      <c r="CM23" t="s">
        <v>356</v>
      </c>
      <c r="CN23" t="s">
        <v>7194</v>
      </c>
      <c r="CO23" t="s">
        <v>393</v>
      </c>
      <c r="CP23" t="s">
        <v>7195</v>
      </c>
      <c r="CQ23" t="s">
        <v>900</v>
      </c>
      <c r="CR23" t="s">
        <v>1545</v>
      </c>
      <c r="CS23" t="s">
        <v>408</v>
      </c>
      <c r="CT23" t="s">
        <v>7196</v>
      </c>
      <c r="CU23" t="s">
        <v>367</v>
      </c>
      <c r="CV23" t="s">
        <v>7197</v>
      </c>
      <c r="CW23" t="s">
        <v>291</v>
      </c>
      <c r="CX23" t="s">
        <v>7198</v>
      </c>
      <c r="CY23" t="s">
        <v>360</v>
      </c>
      <c r="CZ23" t="s">
        <v>1949</v>
      </c>
      <c r="DA23" t="s">
        <v>408</v>
      </c>
      <c r="DB23" t="s">
        <v>7199</v>
      </c>
      <c r="DC23" t="s">
        <v>242</v>
      </c>
      <c r="DD23" t="s">
        <v>7200</v>
      </c>
      <c r="DF23" t="s">
        <v>7201</v>
      </c>
      <c r="DG23" t="s">
        <v>242</v>
      </c>
      <c r="DH23" t="s">
        <v>7202</v>
      </c>
    </row>
    <row r="24" spans="1:112" x14ac:dyDescent="0.35">
      <c r="A24" t="s">
        <v>6369</v>
      </c>
      <c r="B24" t="s">
        <v>7203</v>
      </c>
      <c r="C24" t="s">
        <v>6371</v>
      </c>
      <c r="D24" t="s">
        <v>7204</v>
      </c>
      <c r="E24" t="s">
        <v>6373</v>
      </c>
      <c r="F24" t="s">
        <v>7205</v>
      </c>
      <c r="G24" t="s">
        <v>28</v>
      </c>
      <c r="H24" t="s">
        <v>7206</v>
      </c>
      <c r="I24" t="s">
        <v>6387</v>
      </c>
      <c r="J24" t="s">
        <v>4330</v>
      </c>
      <c r="L24" t="s">
        <v>7207</v>
      </c>
      <c r="M24" t="s">
        <v>18</v>
      </c>
      <c r="N24" t="s">
        <v>7208</v>
      </c>
      <c r="O24" t="s">
        <v>17</v>
      </c>
      <c r="P24" t="s">
        <v>4705</v>
      </c>
      <c r="Q24" t="s">
        <v>28</v>
      </c>
      <c r="R24" t="s">
        <v>7209</v>
      </c>
      <c r="S24" t="s">
        <v>6391</v>
      </c>
      <c r="T24" t="s">
        <v>7210</v>
      </c>
      <c r="U24" t="s">
        <v>28</v>
      </c>
      <c r="V24" t="s">
        <v>7211</v>
      </c>
      <c r="W24" t="s">
        <v>28</v>
      </c>
      <c r="X24" t="s">
        <v>2078</v>
      </c>
      <c r="Y24" t="s">
        <v>6488</v>
      </c>
      <c r="Z24" t="s">
        <v>7212</v>
      </c>
      <c r="AA24" t="s">
        <v>33</v>
      </c>
      <c r="AB24" t="s">
        <v>657</v>
      </c>
      <c r="AC24" t="s">
        <v>6438</v>
      </c>
      <c r="AD24" t="s">
        <v>7213</v>
      </c>
      <c r="AE24" t="s">
        <v>6440</v>
      </c>
      <c r="AF24" t="s">
        <v>7214</v>
      </c>
      <c r="AG24" t="s">
        <v>28</v>
      </c>
      <c r="AH24" t="s">
        <v>2452</v>
      </c>
      <c r="AI24" t="s">
        <v>6494</v>
      </c>
      <c r="AJ24" t="s">
        <v>7215</v>
      </c>
      <c r="AK24" t="s">
        <v>7216</v>
      </c>
      <c r="AL24" t="s">
        <v>7217</v>
      </c>
      <c r="AM24" t="s">
        <v>7218</v>
      </c>
      <c r="AN24" t="s">
        <v>7219</v>
      </c>
      <c r="AO24" t="s">
        <v>1498</v>
      </c>
      <c r="AP24" t="s">
        <v>7220</v>
      </c>
      <c r="AQ24" t="s">
        <v>35</v>
      </c>
      <c r="AR24" t="s">
        <v>950</v>
      </c>
      <c r="AS24" t="s">
        <v>242</v>
      </c>
      <c r="AT24" t="s">
        <v>7221</v>
      </c>
      <c r="AU24" t="s">
        <v>6398</v>
      </c>
      <c r="AV24" t="s">
        <v>7222</v>
      </c>
      <c r="AW24" t="s">
        <v>6400</v>
      </c>
      <c r="AX24" t="s">
        <v>7223</v>
      </c>
      <c r="AY24" t="s">
        <v>6401</v>
      </c>
      <c r="AZ24" t="s">
        <v>7224</v>
      </c>
      <c r="BA24" t="s">
        <v>242</v>
      </c>
      <c r="BB24" t="s">
        <v>7225</v>
      </c>
      <c r="BC24" t="s">
        <v>519</v>
      </c>
      <c r="BD24" t="s">
        <v>7226</v>
      </c>
      <c r="BE24" t="s">
        <v>295</v>
      </c>
      <c r="BF24" t="s">
        <v>7227</v>
      </c>
      <c r="BG24" t="s">
        <v>519</v>
      </c>
      <c r="BH24" t="s">
        <v>7228</v>
      </c>
      <c r="BI24" t="s">
        <v>243</v>
      </c>
      <c r="BJ24" t="s">
        <v>5656</v>
      </c>
      <c r="BK24" t="s">
        <v>519</v>
      </c>
      <c r="BL24" t="s">
        <v>7229</v>
      </c>
      <c r="BM24" t="s">
        <v>243</v>
      </c>
      <c r="BN24" t="s">
        <v>7230</v>
      </c>
      <c r="BO24" t="s">
        <v>519</v>
      </c>
      <c r="BP24" t="s">
        <v>7231</v>
      </c>
      <c r="BQ24" t="s">
        <v>243</v>
      </c>
      <c r="BR24" t="s">
        <v>3862</v>
      </c>
      <c r="BS24" t="s">
        <v>519</v>
      </c>
      <c r="BT24" t="s">
        <v>880</v>
      </c>
      <c r="BU24" t="s">
        <v>243</v>
      </c>
      <c r="BV24" t="s">
        <v>5884</v>
      </c>
      <c r="BW24" t="s">
        <v>519</v>
      </c>
      <c r="BX24" t="s">
        <v>2576</v>
      </c>
      <c r="BY24" t="s">
        <v>295</v>
      </c>
      <c r="BZ24" t="s">
        <v>7232</v>
      </c>
      <c r="CA24" t="s">
        <v>519</v>
      </c>
      <c r="CB24" t="s">
        <v>7233</v>
      </c>
      <c r="CC24" t="s">
        <v>243</v>
      </c>
      <c r="CD24" t="s">
        <v>7234</v>
      </c>
      <c r="CE24" t="s">
        <v>519</v>
      </c>
      <c r="CF24" t="s">
        <v>7235</v>
      </c>
      <c r="CG24" t="s">
        <v>243</v>
      </c>
      <c r="CH24" t="s">
        <v>7236</v>
      </c>
      <c r="CI24" t="s">
        <v>519</v>
      </c>
      <c r="CJ24" t="s">
        <v>7237</v>
      </c>
      <c r="CK24" t="s">
        <v>243</v>
      </c>
      <c r="CL24" t="s">
        <v>7238</v>
      </c>
      <c r="CM24" t="s">
        <v>519</v>
      </c>
      <c r="CN24" t="s">
        <v>7239</v>
      </c>
      <c r="CO24" t="s">
        <v>243</v>
      </c>
      <c r="CP24" t="s">
        <v>7240</v>
      </c>
      <c r="CQ24" t="s">
        <v>519</v>
      </c>
      <c r="CR24" t="s">
        <v>920</v>
      </c>
      <c r="CS24" t="s">
        <v>243</v>
      </c>
      <c r="CT24" t="s">
        <v>7241</v>
      </c>
      <c r="CU24" t="s">
        <v>519</v>
      </c>
      <c r="CV24" t="s">
        <v>1039</v>
      </c>
      <c r="CW24" t="s">
        <v>243</v>
      </c>
      <c r="CX24" t="s">
        <v>7242</v>
      </c>
      <c r="CY24" t="s">
        <v>519</v>
      </c>
      <c r="CZ24" t="s">
        <v>7243</v>
      </c>
      <c r="DA24" t="s">
        <v>295</v>
      </c>
      <c r="DB24" t="s">
        <v>7244</v>
      </c>
      <c r="DC24" t="s">
        <v>242</v>
      </c>
      <c r="DD24" t="s">
        <v>4755</v>
      </c>
      <c r="DF24" t="s">
        <v>7245</v>
      </c>
      <c r="DG24" t="s">
        <v>242</v>
      </c>
      <c r="DH24" t="s">
        <v>7246</v>
      </c>
    </row>
    <row r="25" spans="1:112" x14ac:dyDescent="0.35">
      <c r="A25" t="s">
        <v>6369</v>
      </c>
      <c r="B25" t="s">
        <v>7247</v>
      </c>
      <c r="C25" t="s">
        <v>6371</v>
      </c>
      <c r="D25" t="s">
        <v>6723</v>
      </c>
      <c r="E25" t="s">
        <v>6373</v>
      </c>
      <c r="F25" t="s">
        <v>5863</v>
      </c>
      <c r="G25" t="s">
        <v>28</v>
      </c>
      <c r="H25" t="s">
        <v>6096</v>
      </c>
      <c r="I25" t="s">
        <v>6387</v>
      </c>
      <c r="J25" t="s">
        <v>7248</v>
      </c>
      <c r="L25" t="s">
        <v>286</v>
      </c>
      <c r="M25" t="s">
        <v>18</v>
      </c>
      <c r="N25" t="s">
        <v>7249</v>
      </c>
      <c r="O25" t="s">
        <v>17</v>
      </c>
      <c r="P25" t="s">
        <v>6663</v>
      </c>
      <c r="Q25" t="s">
        <v>28</v>
      </c>
      <c r="R25" t="s">
        <v>7250</v>
      </c>
      <c r="S25" t="s">
        <v>6391</v>
      </c>
      <c r="T25" t="s">
        <v>7251</v>
      </c>
      <c r="U25" t="s">
        <v>28</v>
      </c>
      <c r="V25" t="s">
        <v>7252</v>
      </c>
      <c r="W25" t="s">
        <v>28</v>
      </c>
      <c r="X25" t="s">
        <v>504</v>
      </c>
      <c r="Y25" t="s">
        <v>7253</v>
      </c>
      <c r="Z25" t="s">
        <v>7254</v>
      </c>
      <c r="AA25" t="s">
        <v>33</v>
      </c>
      <c r="AB25" t="s">
        <v>7255</v>
      </c>
      <c r="AC25" t="s">
        <v>7256</v>
      </c>
      <c r="AD25" t="s">
        <v>7257</v>
      </c>
      <c r="AE25" t="s">
        <v>6440</v>
      </c>
      <c r="AF25" t="s">
        <v>308</v>
      </c>
      <c r="AG25" t="s">
        <v>28</v>
      </c>
      <c r="AH25" t="s">
        <v>7258</v>
      </c>
      <c r="AI25" t="s">
        <v>6494</v>
      </c>
      <c r="AJ25" t="s">
        <v>7259</v>
      </c>
      <c r="AK25" t="s">
        <v>7260</v>
      </c>
      <c r="AL25" t="s">
        <v>7261</v>
      </c>
      <c r="AM25" t="s">
        <v>7262</v>
      </c>
      <c r="AN25" t="s">
        <v>3262</v>
      </c>
      <c r="AO25" t="s">
        <v>7263</v>
      </c>
      <c r="AP25" t="s">
        <v>7264</v>
      </c>
      <c r="AQ25" t="s">
        <v>32</v>
      </c>
      <c r="AR25" t="s">
        <v>3729</v>
      </c>
      <c r="AS25" t="s">
        <v>242</v>
      </c>
      <c r="AT25" t="s">
        <v>7265</v>
      </c>
      <c r="AU25" t="s">
        <v>7085</v>
      </c>
      <c r="AV25" t="s">
        <v>7266</v>
      </c>
      <c r="AW25" t="s">
        <v>6400</v>
      </c>
      <c r="AX25" t="s">
        <v>7267</v>
      </c>
      <c r="AY25" t="s">
        <v>6401</v>
      </c>
      <c r="AZ25" t="s">
        <v>4647</v>
      </c>
      <c r="BA25" t="s">
        <v>242</v>
      </c>
      <c r="BB25" t="s">
        <v>7268</v>
      </c>
      <c r="BC25" t="s">
        <v>295</v>
      </c>
      <c r="BD25" t="s">
        <v>7269</v>
      </c>
      <c r="BE25" t="s">
        <v>295</v>
      </c>
      <c r="BF25" t="s">
        <v>7270</v>
      </c>
      <c r="BG25" t="s">
        <v>295</v>
      </c>
      <c r="BH25" t="s">
        <v>7271</v>
      </c>
      <c r="BI25" t="s">
        <v>295</v>
      </c>
      <c r="BJ25" t="s">
        <v>5137</v>
      </c>
      <c r="BK25" t="s">
        <v>295</v>
      </c>
      <c r="BL25" t="s">
        <v>7272</v>
      </c>
      <c r="BM25" t="s">
        <v>295</v>
      </c>
      <c r="BN25" t="s">
        <v>7273</v>
      </c>
      <c r="BO25" t="s">
        <v>295</v>
      </c>
      <c r="BP25" t="s">
        <v>1248</v>
      </c>
      <c r="BQ25" t="s">
        <v>295</v>
      </c>
      <c r="BR25" t="s">
        <v>5995</v>
      </c>
      <c r="BS25" t="s">
        <v>295</v>
      </c>
      <c r="BT25" t="s">
        <v>3401</v>
      </c>
      <c r="BU25" t="s">
        <v>295</v>
      </c>
      <c r="BV25" t="s">
        <v>7274</v>
      </c>
      <c r="BW25" t="s">
        <v>519</v>
      </c>
      <c r="BX25" t="s">
        <v>7275</v>
      </c>
      <c r="BY25" t="s">
        <v>295</v>
      </c>
      <c r="BZ25" t="s">
        <v>7276</v>
      </c>
      <c r="CA25" t="s">
        <v>519</v>
      </c>
      <c r="CB25" t="s">
        <v>1594</v>
      </c>
      <c r="CC25" t="s">
        <v>295</v>
      </c>
      <c r="CD25" t="s">
        <v>7277</v>
      </c>
      <c r="CE25" t="s">
        <v>519</v>
      </c>
      <c r="CF25" t="s">
        <v>5220</v>
      </c>
      <c r="CG25" t="s">
        <v>295</v>
      </c>
      <c r="CH25" t="s">
        <v>1006</v>
      </c>
      <c r="CI25" t="s">
        <v>519</v>
      </c>
      <c r="CJ25" t="s">
        <v>7278</v>
      </c>
      <c r="CK25" t="s">
        <v>295</v>
      </c>
      <c r="CL25" t="s">
        <v>1933</v>
      </c>
      <c r="CM25" t="s">
        <v>519</v>
      </c>
      <c r="CN25" t="s">
        <v>7279</v>
      </c>
      <c r="CO25" t="s">
        <v>295</v>
      </c>
      <c r="CP25" t="s">
        <v>5632</v>
      </c>
      <c r="CQ25" t="s">
        <v>519</v>
      </c>
      <c r="CR25" t="s">
        <v>1698</v>
      </c>
      <c r="CS25" t="s">
        <v>295</v>
      </c>
      <c r="CT25" t="s">
        <v>5164</v>
      </c>
      <c r="CU25" t="s">
        <v>295</v>
      </c>
      <c r="CV25" t="s">
        <v>7280</v>
      </c>
      <c r="CW25" t="s">
        <v>295</v>
      </c>
      <c r="CX25" t="s">
        <v>7281</v>
      </c>
      <c r="CY25" t="s">
        <v>295</v>
      </c>
      <c r="CZ25" t="s">
        <v>3422</v>
      </c>
      <c r="DA25" t="s">
        <v>295</v>
      </c>
      <c r="DB25" t="s">
        <v>7282</v>
      </c>
      <c r="DC25" t="s">
        <v>242</v>
      </c>
      <c r="DD25" t="s">
        <v>5013</v>
      </c>
      <c r="DF25" t="s">
        <v>7283</v>
      </c>
      <c r="DG25" t="s">
        <v>242</v>
      </c>
      <c r="DH25" t="s">
        <v>7284</v>
      </c>
    </row>
    <row r="26" spans="1:112" x14ac:dyDescent="0.35">
      <c r="A26" t="s">
        <v>6369</v>
      </c>
      <c r="B26" t="s">
        <v>7285</v>
      </c>
      <c r="C26" t="s">
        <v>6371</v>
      </c>
      <c r="D26" t="s">
        <v>7286</v>
      </c>
      <c r="E26" t="s">
        <v>6373</v>
      </c>
      <c r="F26" t="s">
        <v>3590</v>
      </c>
      <c r="G26" t="s">
        <v>28</v>
      </c>
      <c r="H26" t="s">
        <v>7287</v>
      </c>
      <c r="I26" t="s">
        <v>6387</v>
      </c>
      <c r="J26" t="s">
        <v>7281</v>
      </c>
      <c r="L26" t="s">
        <v>7288</v>
      </c>
      <c r="M26" t="s">
        <v>15</v>
      </c>
      <c r="N26" t="s">
        <v>7289</v>
      </c>
      <c r="O26" t="s">
        <v>17</v>
      </c>
      <c r="P26" t="s">
        <v>7290</v>
      </c>
      <c r="Q26" t="s">
        <v>28</v>
      </c>
      <c r="R26" t="s">
        <v>7291</v>
      </c>
      <c r="S26" t="s">
        <v>6391</v>
      </c>
      <c r="T26" t="s">
        <v>7292</v>
      </c>
      <c r="U26" t="s">
        <v>28</v>
      </c>
      <c r="V26" t="s">
        <v>2185</v>
      </c>
      <c r="W26" t="s">
        <v>28</v>
      </c>
      <c r="X26" t="s">
        <v>7293</v>
      </c>
      <c r="Y26" t="s">
        <v>7294</v>
      </c>
      <c r="Z26" t="s">
        <v>7295</v>
      </c>
      <c r="AA26" t="s">
        <v>33</v>
      </c>
      <c r="AB26" t="s">
        <v>7296</v>
      </c>
      <c r="AC26" t="s">
        <v>6438</v>
      </c>
      <c r="AD26" t="s">
        <v>7297</v>
      </c>
      <c r="AE26" t="s">
        <v>7298</v>
      </c>
      <c r="AF26" t="s">
        <v>4773</v>
      </c>
      <c r="AG26" t="s">
        <v>28</v>
      </c>
      <c r="AH26" t="s">
        <v>7299</v>
      </c>
      <c r="AI26" t="s">
        <v>6796</v>
      </c>
      <c r="AJ26" t="s">
        <v>6775</v>
      </c>
      <c r="AK26" t="s">
        <v>7300</v>
      </c>
      <c r="AL26" t="s">
        <v>7301</v>
      </c>
      <c r="AM26" t="s">
        <v>7302</v>
      </c>
      <c r="AN26" t="s">
        <v>7303</v>
      </c>
      <c r="AO26" t="s">
        <v>2542</v>
      </c>
      <c r="AP26" t="s">
        <v>7304</v>
      </c>
      <c r="AQ26" t="s">
        <v>32</v>
      </c>
      <c r="AR26" t="s">
        <v>7305</v>
      </c>
      <c r="AS26" t="s">
        <v>242</v>
      </c>
      <c r="AT26" t="s">
        <v>7306</v>
      </c>
      <c r="AU26" t="s">
        <v>7307</v>
      </c>
      <c r="AV26" t="s">
        <v>7308</v>
      </c>
      <c r="AW26" t="s">
        <v>6400</v>
      </c>
      <c r="AX26" t="s">
        <v>7309</v>
      </c>
      <c r="AY26" t="s">
        <v>6401</v>
      </c>
      <c r="AZ26" t="s">
        <v>605</v>
      </c>
      <c r="BA26" t="s">
        <v>242</v>
      </c>
      <c r="BB26" t="s">
        <v>7310</v>
      </c>
      <c r="BC26" t="s">
        <v>291</v>
      </c>
      <c r="BD26" t="s">
        <v>7311</v>
      </c>
      <c r="BE26" t="s">
        <v>427</v>
      </c>
      <c r="BF26" t="s">
        <v>7312</v>
      </c>
      <c r="BG26" t="s">
        <v>393</v>
      </c>
      <c r="BH26" t="s">
        <v>689</v>
      </c>
      <c r="BI26" t="s">
        <v>365</v>
      </c>
      <c r="BJ26" t="s">
        <v>7313</v>
      </c>
      <c r="BK26" t="s">
        <v>287</v>
      </c>
      <c r="BL26" t="s">
        <v>7314</v>
      </c>
      <c r="BM26" t="s">
        <v>538</v>
      </c>
      <c r="BN26" t="s">
        <v>7315</v>
      </c>
      <c r="BO26" t="s">
        <v>900</v>
      </c>
      <c r="BP26" t="s">
        <v>7316</v>
      </c>
      <c r="BQ26" t="s">
        <v>356</v>
      </c>
      <c r="BR26" t="s">
        <v>7317</v>
      </c>
      <c r="BS26" t="s">
        <v>397</v>
      </c>
      <c r="BT26" t="s">
        <v>7318</v>
      </c>
      <c r="BU26" t="s">
        <v>416</v>
      </c>
      <c r="BV26" t="s">
        <v>7319</v>
      </c>
      <c r="BW26" t="s">
        <v>519</v>
      </c>
      <c r="BX26" t="s">
        <v>7320</v>
      </c>
      <c r="BY26" t="s">
        <v>356</v>
      </c>
      <c r="BZ26" t="s">
        <v>7321</v>
      </c>
      <c r="CA26" t="s">
        <v>342</v>
      </c>
      <c r="CB26" t="s">
        <v>7322</v>
      </c>
      <c r="CC26" t="s">
        <v>351</v>
      </c>
      <c r="CD26" t="s">
        <v>7323</v>
      </c>
      <c r="CE26" t="s">
        <v>287</v>
      </c>
      <c r="CF26" t="s">
        <v>4314</v>
      </c>
      <c r="CG26" t="s">
        <v>348</v>
      </c>
      <c r="CH26" t="s">
        <v>3481</v>
      </c>
      <c r="CI26" t="s">
        <v>421</v>
      </c>
      <c r="CJ26" t="s">
        <v>5634</v>
      </c>
      <c r="CK26" t="s">
        <v>335</v>
      </c>
      <c r="CL26" t="s">
        <v>2414</v>
      </c>
      <c r="CM26" t="s">
        <v>469</v>
      </c>
      <c r="CN26" t="s">
        <v>7324</v>
      </c>
      <c r="CO26" t="s">
        <v>356</v>
      </c>
      <c r="CP26" t="s">
        <v>7325</v>
      </c>
      <c r="CQ26" t="s">
        <v>287</v>
      </c>
      <c r="CR26" t="s">
        <v>7326</v>
      </c>
      <c r="CS26" t="s">
        <v>393</v>
      </c>
      <c r="CT26" t="s">
        <v>7327</v>
      </c>
      <c r="CU26" t="s">
        <v>538</v>
      </c>
      <c r="CV26" t="s">
        <v>7328</v>
      </c>
      <c r="CW26" t="s">
        <v>685</v>
      </c>
      <c r="CX26" t="s">
        <v>7329</v>
      </c>
      <c r="CY26" t="s">
        <v>285</v>
      </c>
      <c r="CZ26" t="s">
        <v>4216</v>
      </c>
      <c r="DA26" t="s">
        <v>411</v>
      </c>
      <c r="DB26" t="s">
        <v>7330</v>
      </c>
      <c r="DC26" t="s">
        <v>242</v>
      </c>
      <c r="DD26" t="s">
        <v>7331</v>
      </c>
      <c r="DF26" t="s">
        <v>7332</v>
      </c>
      <c r="DG26" t="s">
        <v>242</v>
      </c>
      <c r="DH26" t="s">
        <v>7200</v>
      </c>
    </row>
    <row r="27" spans="1:112" x14ac:dyDescent="0.35">
      <c r="A27" t="s">
        <v>6369</v>
      </c>
      <c r="B27" t="s">
        <v>7333</v>
      </c>
      <c r="C27" t="s">
        <v>6371</v>
      </c>
      <c r="D27" t="s">
        <v>7334</v>
      </c>
      <c r="E27" t="s">
        <v>6373</v>
      </c>
      <c r="F27" t="s">
        <v>3623</v>
      </c>
      <c r="G27" t="s">
        <v>28</v>
      </c>
      <c r="H27" t="s">
        <v>7335</v>
      </c>
      <c r="I27" t="s">
        <v>6387</v>
      </c>
      <c r="J27" t="s">
        <v>1953</v>
      </c>
      <c r="L27" t="s">
        <v>7336</v>
      </c>
      <c r="M27" t="s">
        <v>15</v>
      </c>
      <c r="N27" t="s">
        <v>7337</v>
      </c>
      <c r="O27" t="s">
        <v>17</v>
      </c>
      <c r="P27" t="s">
        <v>7338</v>
      </c>
      <c r="Q27" t="s">
        <v>28</v>
      </c>
      <c r="R27" t="s">
        <v>7339</v>
      </c>
      <c r="S27" t="s">
        <v>6391</v>
      </c>
      <c r="T27" t="s">
        <v>7340</v>
      </c>
      <c r="U27" t="s">
        <v>28</v>
      </c>
      <c r="V27" t="s">
        <v>7071</v>
      </c>
      <c r="W27" t="s">
        <v>28</v>
      </c>
      <c r="X27" t="s">
        <v>7341</v>
      </c>
      <c r="Y27" t="s">
        <v>6895</v>
      </c>
      <c r="Z27" t="s">
        <v>3664</v>
      </c>
      <c r="AA27" t="s">
        <v>33</v>
      </c>
      <c r="AB27" t="s">
        <v>7342</v>
      </c>
      <c r="AC27" t="s">
        <v>6438</v>
      </c>
      <c r="AD27" t="s">
        <v>7343</v>
      </c>
      <c r="AE27" t="s">
        <v>6440</v>
      </c>
      <c r="AF27" t="s">
        <v>961</v>
      </c>
      <c r="AG27" t="s">
        <v>28</v>
      </c>
      <c r="AH27" t="s">
        <v>1066</v>
      </c>
      <c r="AI27" t="s">
        <v>6899</v>
      </c>
      <c r="AJ27" t="s">
        <v>3112</v>
      </c>
      <c r="AK27" t="s">
        <v>7344</v>
      </c>
      <c r="AL27" t="s">
        <v>7345</v>
      </c>
      <c r="AM27" t="s">
        <v>7346</v>
      </c>
      <c r="AN27" t="s">
        <v>7347</v>
      </c>
      <c r="AO27" t="s">
        <v>7348</v>
      </c>
      <c r="AP27" t="s">
        <v>2855</v>
      </c>
      <c r="AQ27" t="s">
        <v>32</v>
      </c>
      <c r="AR27" t="s">
        <v>7349</v>
      </c>
      <c r="AS27" t="s">
        <v>242</v>
      </c>
      <c r="AT27" t="s">
        <v>7350</v>
      </c>
      <c r="AU27" t="s">
        <v>7351</v>
      </c>
      <c r="AV27" t="s">
        <v>7352</v>
      </c>
      <c r="AW27" t="s">
        <v>6400</v>
      </c>
      <c r="AX27" t="s">
        <v>7353</v>
      </c>
      <c r="AY27" t="s">
        <v>6401</v>
      </c>
      <c r="AZ27" t="s">
        <v>7354</v>
      </c>
      <c r="BA27" t="s">
        <v>242</v>
      </c>
      <c r="BB27" t="s">
        <v>7355</v>
      </c>
      <c r="BC27" t="s">
        <v>254</v>
      </c>
      <c r="BD27" t="s">
        <v>7356</v>
      </c>
      <c r="BE27" t="s">
        <v>295</v>
      </c>
      <c r="BF27" t="s">
        <v>7357</v>
      </c>
      <c r="BG27" t="s">
        <v>395</v>
      </c>
      <c r="BH27" t="s">
        <v>2278</v>
      </c>
      <c r="BI27" t="s">
        <v>731</v>
      </c>
      <c r="BJ27" t="s">
        <v>684</v>
      </c>
      <c r="BK27" t="s">
        <v>532</v>
      </c>
      <c r="BL27" t="s">
        <v>7358</v>
      </c>
      <c r="BM27" t="s">
        <v>405</v>
      </c>
      <c r="BN27" t="s">
        <v>4946</v>
      </c>
      <c r="BO27" t="s">
        <v>291</v>
      </c>
      <c r="BP27" t="s">
        <v>7359</v>
      </c>
      <c r="BQ27" t="s">
        <v>295</v>
      </c>
      <c r="BR27" t="s">
        <v>7360</v>
      </c>
      <c r="BS27" t="s">
        <v>575</v>
      </c>
      <c r="BT27" t="s">
        <v>7361</v>
      </c>
      <c r="BU27" t="s">
        <v>451</v>
      </c>
      <c r="BV27" t="s">
        <v>5151</v>
      </c>
      <c r="BW27" t="s">
        <v>542</v>
      </c>
      <c r="BX27" t="s">
        <v>7362</v>
      </c>
      <c r="BY27" t="s">
        <v>479</v>
      </c>
      <c r="BZ27" t="s">
        <v>7363</v>
      </c>
      <c r="CA27" t="s">
        <v>356</v>
      </c>
      <c r="CB27" t="s">
        <v>7364</v>
      </c>
      <c r="CC27" t="s">
        <v>274</v>
      </c>
      <c r="CD27" t="s">
        <v>7365</v>
      </c>
      <c r="CE27" t="s">
        <v>519</v>
      </c>
      <c r="CF27" t="s">
        <v>7366</v>
      </c>
      <c r="CG27" t="s">
        <v>698</v>
      </c>
      <c r="CH27" t="s">
        <v>7367</v>
      </c>
      <c r="CI27" t="s">
        <v>401</v>
      </c>
      <c r="CJ27" t="s">
        <v>7368</v>
      </c>
      <c r="CK27" t="s">
        <v>532</v>
      </c>
      <c r="CL27" t="s">
        <v>7369</v>
      </c>
      <c r="CM27" t="s">
        <v>449</v>
      </c>
      <c r="CN27" t="s">
        <v>2303</v>
      </c>
      <c r="CO27" t="s">
        <v>261</v>
      </c>
      <c r="CP27" t="s">
        <v>7370</v>
      </c>
      <c r="CQ27" t="s">
        <v>257</v>
      </c>
      <c r="CR27" t="s">
        <v>7371</v>
      </c>
      <c r="CS27" t="s">
        <v>281</v>
      </c>
      <c r="CT27" t="s">
        <v>7372</v>
      </c>
      <c r="CU27" t="s">
        <v>295</v>
      </c>
      <c r="CV27" t="s">
        <v>7373</v>
      </c>
      <c r="CW27" t="s">
        <v>295</v>
      </c>
      <c r="CX27" t="s">
        <v>1515</v>
      </c>
      <c r="CY27" t="s">
        <v>295</v>
      </c>
      <c r="CZ27" t="s">
        <v>975</v>
      </c>
      <c r="DA27" t="s">
        <v>295</v>
      </c>
      <c r="DB27" t="s">
        <v>7192</v>
      </c>
      <c r="DC27" t="s">
        <v>242</v>
      </c>
      <c r="DD27" t="s">
        <v>2459</v>
      </c>
      <c r="DF27" t="s">
        <v>7374</v>
      </c>
      <c r="DG27" t="s">
        <v>242</v>
      </c>
      <c r="DH27" t="s">
        <v>7375</v>
      </c>
    </row>
    <row r="28" spans="1:112" x14ac:dyDescent="0.35">
      <c r="A28" t="s">
        <v>6369</v>
      </c>
      <c r="B28" t="s">
        <v>7376</v>
      </c>
      <c r="C28" t="s">
        <v>6371</v>
      </c>
      <c r="D28" t="s">
        <v>2415</v>
      </c>
      <c r="E28" t="s">
        <v>6373</v>
      </c>
      <c r="F28" t="s">
        <v>7377</v>
      </c>
      <c r="G28" t="s">
        <v>28</v>
      </c>
      <c r="H28" t="s">
        <v>7378</v>
      </c>
      <c r="I28" t="s">
        <v>6387</v>
      </c>
      <c r="J28" t="s">
        <v>7379</v>
      </c>
      <c r="L28" t="s">
        <v>7380</v>
      </c>
      <c r="M28" t="s">
        <v>18</v>
      </c>
      <c r="N28" t="s">
        <v>7381</v>
      </c>
      <c r="O28" t="s">
        <v>17</v>
      </c>
      <c r="P28" t="s">
        <v>7382</v>
      </c>
      <c r="Q28" t="s">
        <v>28</v>
      </c>
      <c r="R28" t="s">
        <v>7383</v>
      </c>
      <c r="S28" t="s">
        <v>6391</v>
      </c>
      <c r="T28" t="s">
        <v>7384</v>
      </c>
      <c r="U28" t="s">
        <v>28</v>
      </c>
      <c r="V28" t="s">
        <v>7385</v>
      </c>
      <c r="W28" t="s">
        <v>28</v>
      </c>
      <c r="X28" t="s">
        <v>7386</v>
      </c>
      <c r="Y28" t="s">
        <v>7387</v>
      </c>
      <c r="Z28" t="s">
        <v>7388</v>
      </c>
      <c r="AA28" t="s">
        <v>33</v>
      </c>
      <c r="AB28" t="s">
        <v>7389</v>
      </c>
      <c r="AC28" t="s">
        <v>6438</v>
      </c>
      <c r="AD28" t="s">
        <v>4759</v>
      </c>
      <c r="AE28" t="s">
        <v>6440</v>
      </c>
      <c r="AF28" t="s">
        <v>5283</v>
      </c>
      <c r="AG28" t="s">
        <v>28</v>
      </c>
      <c r="AH28" t="s">
        <v>2643</v>
      </c>
      <c r="AI28" t="s">
        <v>6442</v>
      </c>
      <c r="AJ28" t="s">
        <v>5952</v>
      </c>
      <c r="AK28" t="s">
        <v>7390</v>
      </c>
      <c r="AL28" t="s">
        <v>7391</v>
      </c>
      <c r="AM28" t="s">
        <v>7392</v>
      </c>
      <c r="AN28" t="s">
        <v>7393</v>
      </c>
      <c r="AO28" t="s">
        <v>5544</v>
      </c>
      <c r="AP28" t="s">
        <v>7394</v>
      </c>
      <c r="AQ28" t="s">
        <v>32</v>
      </c>
      <c r="AR28" t="s">
        <v>7395</v>
      </c>
      <c r="AS28" t="s">
        <v>242</v>
      </c>
      <c r="AT28" t="s">
        <v>7396</v>
      </c>
      <c r="AU28" t="s">
        <v>7397</v>
      </c>
      <c r="AV28" t="s">
        <v>7398</v>
      </c>
      <c r="AW28" t="s">
        <v>6400</v>
      </c>
      <c r="AX28" t="s">
        <v>7399</v>
      </c>
      <c r="AY28" t="s">
        <v>6401</v>
      </c>
      <c r="AZ28" t="s">
        <v>7400</v>
      </c>
      <c r="BA28" t="s">
        <v>242</v>
      </c>
      <c r="BB28" t="s">
        <v>7401</v>
      </c>
      <c r="BC28" t="s">
        <v>752</v>
      </c>
      <c r="BD28" t="s">
        <v>7402</v>
      </c>
      <c r="BE28" t="s">
        <v>271</v>
      </c>
      <c r="BF28" t="s">
        <v>7403</v>
      </c>
      <c r="BG28" t="s">
        <v>365</v>
      </c>
      <c r="BH28" t="s">
        <v>2107</v>
      </c>
      <c r="BI28" t="s">
        <v>473</v>
      </c>
      <c r="BJ28" t="s">
        <v>7404</v>
      </c>
      <c r="BK28" t="s">
        <v>752</v>
      </c>
      <c r="BL28" t="s">
        <v>7405</v>
      </c>
      <c r="BM28" t="s">
        <v>473</v>
      </c>
      <c r="BN28" t="s">
        <v>7406</v>
      </c>
      <c r="BO28" t="s">
        <v>335</v>
      </c>
      <c r="BP28" t="s">
        <v>3153</v>
      </c>
      <c r="BQ28" t="s">
        <v>467</v>
      </c>
      <c r="BR28" t="s">
        <v>4744</v>
      </c>
      <c r="BS28" t="s">
        <v>397</v>
      </c>
      <c r="BT28" t="s">
        <v>956</v>
      </c>
      <c r="BU28" t="s">
        <v>467</v>
      </c>
      <c r="BV28" t="s">
        <v>7407</v>
      </c>
      <c r="BW28" t="s">
        <v>360</v>
      </c>
      <c r="BX28" t="s">
        <v>5137</v>
      </c>
      <c r="BY28" t="s">
        <v>285</v>
      </c>
      <c r="BZ28" t="s">
        <v>7408</v>
      </c>
      <c r="CA28" t="s">
        <v>744</v>
      </c>
      <c r="CB28" t="s">
        <v>7409</v>
      </c>
      <c r="CC28" t="s">
        <v>532</v>
      </c>
      <c r="CD28" t="s">
        <v>3352</v>
      </c>
      <c r="CE28" t="s">
        <v>365</v>
      </c>
      <c r="CF28" t="s">
        <v>5169</v>
      </c>
      <c r="CG28" t="s">
        <v>285</v>
      </c>
      <c r="CH28" t="s">
        <v>1583</v>
      </c>
      <c r="CI28" t="s">
        <v>335</v>
      </c>
      <c r="CJ28" t="s">
        <v>2353</v>
      </c>
      <c r="CK28" t="s">
        <v>532</v>
      </c>
      <c r="CL28" t="s">
        <v>7410</v>
      </c>
      <c r="CM28" t="s">
        <v>744</v>
      </c>
      <c r="CN28" t="s">
        <v>7411</v>
      </c>
      <c r="CO28" t="s">
        <v>371</v>
      </c>
      <c r="CP28" t="s">
        <v>6308</v>
      </c>
      <c r="CQ28" t="s">
        <v>416</v>
      </c>
      <c r="CR28" t="s">
        <v>7412</v>
      </c>
      <c r="CS28" t="s">
        <v>414</v>
      </c>
      <c r="CT28" t="s">
        <v>3157</v>
      </c>
      <c r="CU28" t="s">
        <v>752</v>
      </c>
      <c r="CV28" t="s">
        <v>4310</v>
      </c>
      <c r="CW28" t="s">
        <v>779</v>
      </c>
      <c r="CX28" t="s">
        <v>7413</v>
      </c>
      <c r="CY28" t="s">
        <v>285</v>
      </c>
      <c r="CZ28" t="s">
        <v>7414</v>
      </c>
      <c r="DA28" t="s">
        <v>481</v>
      </c>
      <c r="DB28" t="s">
        <v>7415</v>
      </c>
      <c r="DC28" t="s">
        <v>242</v>
      </c>
      <c r="DD28" t="s">
        <v>7416</v>
      </c>
      <c r="DF28" t="s">
        <v>7417</v>
      </c>
      <c r="DG28" t="s">
        <v>242</v>
      </c>
      <c r="DH28" t="s">
        <v>7418</v>
      </c>
    </row>
    <row r="29" spans="1:112" x14ac:dyDescent="0.35">
      <c r="A29" t="s">
        <v>6369</v>
      </c>
      <c r="B29" t="s">
        <v>7419</v>
      </c>
      <c r="C29" t="s">
        <v>6371</v>
      </c>
      <c r="D29" t="s">
        <v>7420</v>
      </c>
      <c r="E29" t="s">
        <v>6373</v>
      </c>
      <c r="F29" t="s">
        <v>5682</v>
      </c>
      <c r="G29" t="s">
        <v>28</v>
      </c>
      <c r="H29" t="s">
        <v>7421</v>
      </c>
      <c r="I29" t="s">
        <v>6387</v>
      </c>
      <c r="J29" t="s">
        <v>7422</v>
      </c>
      <c r="L29" t="s">
        <v>2657</v>
      </c>
      <c r="M29" t="s">
        <v>18</v>
      </c>
      <c r="N29" t="s">
        <v>7423</v>
      </c>
      <c r="O29" t="s">
        <v>17</v>
      </c>
      <c r="P29" t="s">
        <v>7424</v>
      </c>
      <c r="Q29" t="s">
        <v>28</v>
      </c>
      <c r="R29" t="s">
        <v>7425</v>
      </c>
      <c r="S29" t="s">
        <v>6391</v>
      </c>
      <c r="T29" t="s">
        <v>6486</v>
      </c>
      <c r="U29" t="s">
        <v>28</v>
      </c>
      <c r="V29" t="s">
        <v>7426</v>
      </c>
      <c r="W29" t="s">
        <v>28</v>
      </c>
      <c r="X29" t="s">
        <v>7427</v>
      </c>
      <c r="Y29" t="s">
        <v>7428</v>
      </c>
      <c r="Z29" t="s">
        <v>7429</v>
      </c>
      <c r="AA29" t="s">
        <v>33</v>
      </c>
      <c r="AB29" t="s">
        <v>3775</v>
      </c>
      <c r="AC29" t="s">
        <v>6438</v>
      </c>
      <c r="AD29" t="s">
        <v>7430</v>
      </c>
      <c r="AE29" t="s">
        <v>6440</v>
      </c>
      <c r="AF29" t="s">
        <v>1011</v>
      </c>
      <c r="AG29" t="s">
        <v>28</v>
      </c>
      <c r="AH29" t="s">
        <v>7431</v>
      </c>
      <c r="AI29" t="s">
        <v>6442</v>
      </c>
      <c r="AJ29" t="s">
        <v>7422</v>
      </c>
      <c r="AK29" t="s">
        <v>7432</v>
      </c>
      <c r="AL29" t="s">
        <v>7433</v>
      </c>
      <c r="AM29" t="s">
        <v>7434</v>
      </c>
      <c r="AN29" t="s">
        <v>7435</v>
      </c>
      <c r="AO29" t="s">
        <v>7436</v>
      </c>
      <c r="AP29" t="s">
        <v>7437</v>
      </c>
      <c r="AQ29" t="s">
        <v>35</v>
      </c>
      <c r="AR29" t="s">
        <v>5454</v>
      </c>
      <c r="AS29" t="s">
        <v>242</v>
      </c>
      <c r="AT29" t="s">
        <v>7438</v>
      </c>
      <c r="AU29" t="s">
        <v>7439</v>
      </c>
      <c r="AV29" t="s">
        <v>7440</v>
      </c>
      <c r="AW29" t="s">
        <v>6400</v>
      </c>
      <c r="AX29" t="s">
        <v>7441</v>
      </c>
      <c r="AY29" t="s">
        <v>6401</v>
      </c>
      <c r="AZ29" t="s">
        <v>3515</v>
      </c>
      <c r="BA29" t="s">
        <v>242</v>
      </c>
      <c r="BB29" t="s">
        <v>3244</v>
      </c>
      <c r="BC29" t="s">
        <v>360</v>
      </c>
      <c r="BD29" t="s">
        <v>2845</v>
      </c>
      <c r="BE29" t="s">
        <v>467</v>
      </c>
      <c r="BF29" t="s">
        <v>7442</v>
      </c>
      <c r="BG29" t="s">
        <v>339</v>
      </c>
      <c r="BH29" t="s">
        <v>1920</v>
      </c>
      <c r="BI29" t="s">
        <v>367</v>
      </c>
      <c r="BJ29" t="s">
        <v>7443</v>
      </c>
      <c r="BK29" t="s">
        <v>348</v>
      </c>
      <c r="BL29" t="s">
        <v>5230</v>
      </c>
      <c r="BM29" t="s">
        <v>900</v>
      </c>
      <c r="BN29" t="s">
        <v>7444</v>
      </c>
      <c r="BO29" t="s">
        <v>583</v>
      </c>
      <c r="BP29" t="s">
        <v>7445</v>
      </c>
      <c r="BQ29" t="s">
        <v>591</v>
      </c>
      <c r="BR29" t="s">
        <v>7446</v>
      </c>
      <c r="BS29" t="s">
        <v>656</v>
      </c>
      <c r="BT29" t="s">
        <v>7221</v>
      </c>
      <c r="BU29" t="s">
        <v>696</v>
      </c>
      <c r="BV29" t="s">
        <v>4976</v>
      </c>
      <c r="BW29" t="s">
        <v>283</v>
      </c>
      <c r="BX29" t="s">
        <v>644</v>
      </c>
      <c r="BY29" t="s">
        <v>348</v>
      </c>
      <c r="BZ29" t="s">
        <v>7447</v>
      </c>
      <c r="CA29" t="s">
        <v>664</v>
      </c>
      <c r="CB29" t="s">
        <v>7448</v>
      </c>
      <c r="CC29" t="s">
        <v>591</v>
      </c>
      <c r="CD29" t="s">
        <v>7449</v>
      </c>
      <c r="CE29" t="s">
        <v>1142</v>
      </c>
      <c r="CF29" t="s">
        <v>1254</v>
      </c>
      <c r="CG29" t="s">
        <v>283</v>
      </c>
      <c r="CH29" t="s">
        <v>7450</v>
      </c>
      <c r="CI29" t="s">
        <v>993</v>
      </c>
      <c r="CJ29" t="s">
        <v>7451</v>
      </c>
      <c r="CK29" t="s">
        <v>583</v>
      </c>
      <c r="CL29" t="s">
        <v>7452</v>
      </c>
      <c r="CM29" t="s">
        <v>664</v>
      </c>
      <c r="CN29" t="s">
        <v>6018</v>
      </c>
      <c r="CO29" t="s">
        <v>595</v>
      </c>
      <c r="CP29" t="s">
        <v>7453</v>
      </c>
      <c r="CQ29" t="s">
        <v>339</v>
      </c>
      <c r="CR29" t="s">
        <v>4668</v>
      </c>
      <c r="CS29" t="s">
        <v>416</v>
      </c>
      <c r="CT29" t="s">
        <v>4911</v>
      </c>
      <c r="CU29" t="s">
        <v>595</v>
      </c>
      <c r="CV29" t="s">
        <v>715</v>
      </c>
      <c r="CW29" t="s">
        <v>401</v>
      </c>
      <c r="CX29" t="s">
        <v>7454</v>
      </c>
      <c r="CY29" t="s">
        <v>416</v>
      </c>
      <c r="CZ29" t="s">
        <v>7455</v>
      </c>
      <c r="DA29" t="s">
        <v>421</v>
      </c>
      <c r="DB29" t="s">
        <v>7456</v>
      </c>
      <c r="DC29" t="s">
        <v>242</v>
      </c>
      <c r="DD29" t="s">
        <v>1763</v>
      </c>
      <c r="DF29" t="s">
        <v>7457</v>
      </c>
      <c r="DG29" t="s">
        <v>242</v>
      </c>
      <c r="DH29" t="s">
        <v>7458</v>
      </c>
    </row>
    <row r="30" spans="1:112" x14ac:dyDescent="0.35">
      <c r="A30" t="s">
        <v>6369</v>
      </c>
      <c r="B30" t="s">
        <v>7459</v>
      </c>
      <c r="C30" t="s">
        <v>6371</v>
      </c>
      <c r="D30" t="s">
        <v>7460</v>
      </c>
      <c r="E30" t="s">
        <v>6373</v>
      </c>
      <c r="F30" t="s">
        <v>7461</v>
      </c>
      <c r="G30" t="s">
        <v>28</v>
      </c>
      <c r="H30" t="s">
        <v>7416</v>
      </c>
      <c r="I30" t="s">
        <v>6387</v>
      </c>
      <c r="J30" t="s">
        <v>7462</v>
      </c>
      <c r="L30" t="s">
        <v>5772</v>
      </c>
      <c r="M30" t="s">
        <v>18</v>
      </c>
      <c r="N30" t="s">
        <v>2732</v>
      </c>
      <c r="O30" t="s">
        <v>16</v>
      </c>
      <c r="P30" t="s">
        <v>7463</v>
      </c>
      <c r="Q30" t="s">
        <v>28</v>
      </c>
      <c r="R30" t="s">
        <v>7464</v>
      </c>
      <c r="S30" t="s">
        <v>6532</v>
      </c>
      <c r="T30" t="s">
        <v>7465</v>
      </c>
      <c r="U30" t="s">
        <v>242</v>
      </c>
      <c r="V30" t="s">
        <v>243</v>
      </c>
      <c r="W30" t="s">
        <v>242</v>
      </c>
      <c r="X30" t="s">
        <v>243</v>
      </c>
      <c r="Y30" t="s">
        <v>242</v>
      </c>
      <c r="Z30" t="s">
        <v>243</v>
      </c>
      <c r="AA30" t="s">
        <v>242</v>
      </c>
      <c r="AB30" t="s">
        <v>243</v>
      </c>
      <c r="AC30" t="s">
        <v>242</v>
      </c>
      <c r="AD30" t="s">
        <v>243</v>
      </c>
      <c r="AE30" t="s">
        <v>242</v>
      </c>
      <c r="AF30" t="s">
        <v>243</v>
      </c>
      <c r="AG30" t="s">
        <v>242</v>
      </c>
      <c r="AH30" t="s">
        <v>243</v>
      </c>
      <c r="AI30" t="s">
        <v>242</v>
      </c>
      <c r="AJ30" t="s">
        <v>243</v>
      </c>
      <c r="AK30" t="s">
        <v>242</v>
      </c>
      <c r="AL30" t="s">
        <v>243</v>
      </c>
      <c r="AM30" t="s">
        <v>242</v>
      </c>
      <c r="AN30" t="s">
        <v>243</v>
      </c>
      <c r="AO30" t="s">
        <v>242</v>
      </c>
      <c r="AP30" t="s">
        <v>243</v>
      </c>
      <c r="AQ30" t="s">
        <v>242</v>
      </c>
      <c r="AR30" t="s">
        <v>243</v>
      </c>
      <c r="AS30" t="s">
        <v>242</v>
      </c>
      <c r="AT30" t="s">
        <v>244</v>
      </c>
      <c r="AU30" t="s">
        <v>7466</v>
      </c>
      <c r="AV30" t="s">
        <v>7467</v>
      </c>
      <c r="AW30" t="s">
        <v>6400</v>
      </c>
      <c r="AX30" t="s">
        <v>7468</v>
      </c>
      <c r="AY30" t="s">
        <v>6401</v>
      </c>
      <c r="AZ30" t="s">
        <v>7469</v>
      </c>
      <c r="BA30" t="s">
        <v>242</v>
      </c>
      <c r="BB30" t="s">
        <v>7470</v>
      </c>
      <c r="BC30" t="s">
        <v>532</v>
      </c>
      <c r="BD30" t="s">
        <v>7471</v>
      </c>
      <c r="BE30" t="s">
        <v>295</v>
      </c>
      <c r="BF30" t="s">
        <v>7472</v>
      </c>
      <c r="BG30" t="s">
        <v>519</v>
      </c>
      <c r="BH30" t="s">
        <v>7473</v>
      </c>
      <c r="BI30" t="s">
        <v>1380</v>
      </c>
      <c r="BJ30" t="s">
        <v>7474</v>
      </c>
      <c r="BK30" t="s">
        <v>744</v>
      </c>
      <c r="BL30" t="s">
        <v>7475</v>
      </c>
      <c r="BM30" t="s">
        <v>1091</v>
      </c>
      <c r="BN30" t="s">
        <v>7476</v>
      </c>
      <c r="BO30" t="s">
        <v>335</v>
      </c>
      <c r="BP30" t="s">
        <v>7477</v>
      </c>
      <c r="BQ30" t="s">
        <v>479</v>
      </c>
      <c r="BR30" t="s">
        <v>7478</v>
      </c>
      <c r="BS30" t="s">
        <v>779</v>
      </c>
      <c r="BT30" t="s">
        <v>7479</v>
      </c>
      <c r="BU30" t="s">
        <v>685</v>
      </c>
      <c r="BV30" t="s">
        <v>7480</v>
      </c>
      <c r="BW30" t="s">
        <v>416</v>
      </c>
      <c r="BX30" t="s">
        <v>7481</v>
      </c>
      <c r="BY30" t="s">
        <v>405</v>
      </c>
      <c r="BZ30" t="s">
        <v>7482</v>
      </c>
      <c r="CA30" t="s">
        <v>335</v>
      </c>
      <c r="CB30" t="s">
        <v>7309</v>
      </c>
      <c r="CC30" t="s">
        <v>1131</v>
      </c>
      <c r="CD30" t="s">
        <v>7483</v>
      </c>
      <c r="CE30" t="s">
        <v>421</v>
      </c>
      <c r="CF30" t="s">
        <v>4987</v>
      </c>
      <c r="CG30" t="s">
        <v>698</v>
      </c>
      <c r="CH30" t="s">
        <v>7484</v>
      </c>
      <c r="CI30" t="s">
        <v>900</v>
      </c>
      <c r="CJ30" t="s">
        <v>959</v>
      </c>
      <c r="CK30" t="s">
        <v>344</v>
      </c>
      <c r="CL30" t="s">
        <v>7485</v>
      </c>
      <c r="CM30" t="s">
        <v>528</v>
      </c>
      <c r="CN30" t="s">
        <v>7486</v>
      </c>
      <c r="CO30" t="s">
        <v>698</v>
      </c>
      <c r="CP30" t="s">
        <v>3400</v>
      </c>
      <c r="CQ30" t="s">
        <v>356</v>
      </c>
      <c r="CR30" t="s">
        <v>7487</v>
      </c>
      <c r="CS30" t="s">
        <v>698</v>
      </c>
      <c r="CT30" t="s">
        <v>7488</v>
      </c>
      <c r="CU30" t="s">
        <v>367</v>
      </c>
      <c r="CV30" t="s">
        <v>7489</v>
      </c>
      <c r="CW30" t="s">
        <v>454</v>
      </c>
      <c r="CX30" t="s">
        <v>1794</v>
      </c>
      <c r="CY30" t="s">
        <v>744</v>
      </c>
      <c r="CZ30" t="s">
        <v>7490</v>
      </c>
      <c r="DA30" t="s">
        <v>1131</v>
      </c>
      <c r="DB30" t="s">
        <v>7491</v>
      </c>
      <c r="DC30" t="s">
        <v>242</v>
      </c>
      <c r="DD30" t="s">
        <v>7492</v>
      </c>
      <c r="DF30" t="s">
        <v>7493</v>
      </c>
      <c r="DG30" t="s">
        <v>242</v>
      </c>
      <c r="DH30" t="s">
        <v>7494</v>
      </c>
    </row>
    <row r="31" spans="1:112" x14ac:dyDescent="0.35">
      <c r="A31" t="s">
        <v>6369</v>
      </c>
      <c r="B31" t="s">
        <v>7495</v>
      </c>
      <c r="C31" t="s">
        <v>6371</v>
      </c>
      <c r="D31" t="s">
        <v>7496</v>
      </c>
      <c r="E31" t="s">
        <v>6373</v>
      </c>
      <c r="F31" t="s">
        <v>7497</v>
      </c>
      <c r="G31" t="s">
        <v>28</v>
      </c>
      <c r="H31" t="s">
        <v>6231</v>
      </c>
      <c r="I31" t="s">
        <v>6387</v>
      </c>
      <c r="J31" t="s">
        <v>7498</v>
      </c>
      <c r="L31" t="s">
        <v>7499</v>
      </c>
      <c r="M31" t="s">
        <v>18</v>
      </c>
      <c r="N31" t="s">
        <v>3419</v>
      </c>
      <c r="O31" t="s">
        <v>16</v>
      </c>
      <c r="P31" t="s">
        <v>7500</v>
      </c>
      <c r="Q31" t="s">
        <v>28</v>
      </c>
      <c r="R31" t="s">
        <v>7501</v>
      </c>
      <c r="S31" t="s">
        <v>6532</v>
      </c>
      <c r="T31" t="s">
        <v>3037</v>
      </c>
      <c r="U31" t="s">
        <v>242</v>
      </c>
      <c r="V31" t="s">
        <v>243</v>
      </c>
      <c r="W31" t="s">
        <v>242</v>
      </c>
      <c r="X31" t="s">
        <v>243</v>
      </c>
      <c r="Y31" t="s">
        <v>242</v>
      </c>
      <c r="Z31" t="s">
        <v>243</v>
      </c>
      <c r="AA31" t="s">
        <v>242</v>
      </c>
      <c r="AB31" t="s">
        <v>243</v>
      </c>
      <c r="AC31" t="s">
        <v>242</v>
      </c>
      <c r="AD31" t="s">
        <v>243</v>
      </c>
      <c r="AE31" t="s">
        <v>242</v>
      </c>
      <c r="AF31" t="s">
        <v>243</v>
      </c>
      <c r="AG31" t="s">
        <v>242</v>
      </c>
      <c r="AH31" t="s">
        <v>243</v>
      </c>
      <c r="AI31" t="s">
        <v>242</v>
      </c>
      <c r="AJ31" t="s">
        <v>243</v>
      </c>
      <c r="AK31" t="s">
        <v>242</v>
      </c>
      <c r="AL31" t="s">
        <v>243</v>
      </c>
      <c r="AM31" t="s">
        <v>242</v>
      </c>
      <c r="AN31" t="s">
        <v>243</v>
      </c>
      <c r="AO31" t="s">
        <v>242</v>
      </c>
      <c r="AP31" t="s">
        <v>243</v>
      </c>
      <c r="AQ31" t="s">
        <v>242</v>
      </c>
      <c r="AR31" t="s">
        <v>243</v>
      </c>
      <c r="AS31" t="s">
        <v>242</v>
      </c>
      <c r="AT31" t="s">
        <v>244</v>
      </c>
      <c r="AU31" t="s">
        <v>7502</v>
      </c>
      <c r="AV31" t="s">
        <v>7503</v>
      </c>
      <c r="AW31" t="s">
        <v>6400</v>
      </c>
      <c r="AX31" t="s">
        <v>4185</v>
      </c>
      <c r="AY31" t="s">
        <v>6401</v>
      </c>
      <c r="AZ31" t="s">
        <v>7504</v>
      </c>
      <c r="BA31" t="s">
        <v>242</v>
      </c>
      <c r="BB31" t="s">
        <v>7505</v>
      </c>
      <c r="BC31" t="s">
        <v>473</v>
      </c>
      <c r="BD31" t="s">
        <v>7506</v>
      </c>
      <c r="BE31" t="s">
        <v>274</v>
      </c>
      <c r="BF31" t="s">
        <v>7507</v>
      </c>
      <c r="BG31" t="s">
        <v>261</v>
      </c>
      <c r="BH31" t="s">
        <v>5172</v>
      </c>
      <c r="BI31" t="s">
        <v>731</v>
      </c>
      <c r="BJ31" t="s">
        <v>7508</v>
      </c>
      <c r="BK31" t="s">
        <v>285</v>
      </c>
      <c r="BL31" t="s">
        <v>7509</v>
      </c>
      <c r="BM31" t="s">
        <v>451</v>
      </c>
      <c r="BN31" t="s">
        <v>7510</v>
      </c>
      <c r="BO31" t="s">
        <v>542</v>
      </c>
      <c r="BP31" t="s">
        <v>7511</v>
      </c>
      <c r="BQ31" t="s">
        <v>274</v>
      </c>
      <c r="BR31" t="s">
        <v>7394</v>
      </c>
      <c r="BS31" t="s">
        <v>779</v>
      </c>
      <c r="BT31" t="s">
        <v>5528</v>
      </c>
      <c r="BU31" t="s">
        <v>369</v>
      </c>
      <c r="BV31" t="s">
        <v>2094</v>
      </c>
      <c r="BW31" t="s">
        <v>335</v>
      </c>
      <c r="BX31" t="s">
        <v>7512</v>
      </c>
      <c r="BY31" t="s">
        <v>261</v>
      </c>
      <c r="BZ31" t="s">
        <v>5614</v>
      </c>
      <c r="CA31" t="s">
        <v>360</v>
      </c>
      <c r="CB31" t="s">
        <v>7513</v>
      </c>
      <c r="CC31" t="s">
        <v>405</v>
      </c>
      <c r="CD31" t="s">
        <v>803</v>
      </c>
      <c r="CE31" t="s">
        <v>335</v>
      </c>
      <c r="CF31" t="s">
        <v>1178</v>
      </c>
      <c r="CG31" t="s">
        <v>698</v>
      </c>
      <c r="CH31" t="s">
        <v>5532</v>
      </c>
      <c r="CI31" t="s">
        <v>519</v>
      </c>
      <c r="CJ31" t="s">
        <v>7514</v>
      </c>
      <c r="CK31" t="s">
        <v>731</v>
      </c>
      <c r="CL31" t="s">
        <v>7515</v>
      </c>
      <c r="CM31" t="s">
        <v>414</v>
      </c>
      <c r="CN31" t="s">
        <v>4178</v>
      </c>
      <c r="CO31" t="s">
        <v>698</v>
      </c>
      <c r="CP31" t="s">
        <v>317</v>
      </c>
      <c r="CQ31" t="s">
        <v>360</v>
      </c>
      <c r="CR31" t="s">
        <v>1316</v>
      </c>
      <c r="CS31" t="s">
        <v>698</v>
      </c>
      <c r="CT31" t="s">
        <v>7516</v>
      </c>
      <c r="CU31" t="s">
        <v>371</v>
      </c>
      <c r="CV31" t="s">
        <v>7517</v>
      </c>
      <c r="CW31" t="s">
        <v>261</v>
      </c>
      <c r="CX31" t="s">
        <v>7518</v>
      </c>
      <c r="CY31" t="s">
        <v>399</v>
      </c>
      <c r="CZ31" t="s">
        <v>1390</v>
      </c>
      <c r="DA31" t="s">
        <v>344</v>
      </c>
      <c r="DB31" t="s">
        <v>7519</v>
      </c>
      <c r="DC31" t="s">
        <v>242</v>
      </c>
      <c r="DD31" t="s">
        <v>7520</v>
      </c>
      <c r="DF31" t="s">
        <v>7521</v>
      </c>
      <c r="DG31" t="s">
        <v>242</v>
      </c>
      <c r="DH31" t="s">
        <v>7250</v>
      </c>
    </row>
    <row r="32" spans="1:112" x14ac:dyDescent="0.35">
      <c r="A32" t="s">
        <v>6369</v>
      </c>
      <c r="B32" t="s">
        <v>7522</v>
      </c>
      <c r="C32" t="s">
        <v>6371</v>
      </c>
      <c r="D32" t="s">
        <v>7523</v>
      </c>
      <c r="E32" t="s">
        <v>6373</v>
      </c>
      <c r="F32" t="s">
        <v>770</v>
      </c>
      <c r="G32" t="s">
        <v>28</v>
      </c>
      <c r="H32" t="s">
        <v>7524</v>
      </c>
      <c r="I32" t="s">
        <v>6387</v>
      </c>
      <c r="J32" t="s">
        <v>4872</v>
      </c>
      <c r="L32" t="s">
        <v>7525</v>
      </c>
      <c r="M32" t="s">
        <v>18</v>
      </c>
      <c r="N32" t="s">
        <v>7526</v>
      </c>
      <c r="O32" t="s">
        <v>17</v>
      </c>
      <c r="P32" t="s">
        <v>5393</v>
      </c>
      <c r="Q32" t="s">
        <v>6569</v>
      </c>
      <c r="R32" t="s">
        <v>4116</v>
      </c>
      <c r="S32" t="s">
        <v>6532</v>
      </c>
      <c r="T32" t="s">
        <v>4828</v>
      </c>
      <c r="U32" t="s">
        <v>242</v>
      </c>
      <c r="V32" t="s">
        <v>243</v>
      </c>
      <c r="W32" t="s">
        <v>242</v>
      </c>
      <c r="X32" t="s">
        <v>243</v>
      </c>
      <c r="Y32" t="s">
        <v>242</v>
      </c>
      <c r="Z32" t="s">
        <v>243</v>
      </c>
      <c r="AA32" t="s">
        <v>242</v>
      </c>
      <c r="AB32" t="s">
        <v>243</v>
      </c>
      <c r="AC32" t="s">
        <v>242</v>
      </c>
      <c r="AD32" t="s">
        <v>243</v>
      </c>
      <c r="AE32" t="s">
        <v>242</v>
      </c>
      <c r="AF32" t="s">
        <v>243</v>
      </c>
      <c r="AG32" t="s">
        <v>242</v>
      </c>
      <c r="AH32" t="s">
        <v>243</v>
      </c>
      <c r="AI32" t="s">
        <v>242</v>
      </c>
      <c r="AJ32" t="s">
        <v>243</v>
      </c>
      <c r="AK32" t="s">
        <v>242</v>
      </c>
      <c r="AL32" t="s">
        <v>243</v>
      </c>
      <c r="AM32" t="s">
        <v>242</v>
      </c>
      <c r="AN32" t="s">
        <v>243</v>
      </c>
      <c r="AO32" t="s">
        <v>242</v>
      </c>
      <c r="AP32" t="s">
        <v>243</v>
      </c>
      <c r="AQ32" t="s">
        <v>242</v>
      </c>
      <c r="AR32" t="s">
        <v>243</v>
      </c>
      <c r="AS32" t="s">
        <v>242</v>
      </c>
      <c r="AT32" t="s">
        <v>244</v>
      </c>
      <c r="AU32" t="s">
        <v>7527</v>
      </c>
      <c r="AV32" t="s">
        <v>7528</v>
      </c>
      <c r="AW32" t="s">
        <v>6400</v>
      </c>
      <c r="AX32" t="s">
        <v>6643</v>
      </c>
      <c r="AY32" t="s">
        <v>6401</v>
      </c>
      <c r="AZ32" t="s">
        <v>7529</v>
      </c>
      <c r="BA32" t="s">
        <v>242</v>
      </c>
      <c r="BB32" t="s">
        <v>7530</v>
      </c>
      <c r="BC32" t="s">
        <v>532</v>
      </c>
      <c r="BD32" t="s">
        <v>7531</v>
      </c>
      <c r="BE32" t="s">
        <v>295</v>
      </c>
      <c r="BF32" t="s">
        <v>7532</v>
      </c>
      <c r="BG32" t="s">
        <v>538</v>
      </c>
      <c r="BH32" t="s">
        <v>7533</v>
      </c>
      <c r="BI32" t="s">
        <v>295</v>
      </c>
      <c r="BJ32" t="s">
        <v>5695</v>
      </c>
      <c r="BK32" t="s">
        <v>538</v>
      </c>
      <c r="BL32" t="s">
        <v>7534</v>
      </c>
      <c r="BM32" t="s">
        <v>295</v>
      </c>
      <c r="BN32" t="s">
        <v>7535</v>
      </c>
      <c r="BO32" t="s">
        <v>421</v>
      </c>
      <c r="BP32" t="s">
        <v>7536</v>
      </c>
      <c r="BQ32" t="s">
        <v>295</v>
      </c>
      <c r="BR32" t="s">
        <v>7537</v>
      </c>
      <c r="BS32" t="s">
        <v>351</v>
      </c>
      <c r="BT32" t="s">
        <v>7538</v>
      </c>
      <c r="BU32" t="s">
        <v>1360</v>
      </c>
      <c r="BV32" t="s">
        <v>7539</v>
      </c>
      <c r="BW32" t="s">
        <v>342</v>
      </c>
      <c r="BX32" t="s">
        <v>7540</v>
      </c>
      <c r="BY32" t="s">
        <v>295</v>
      </c>
      <c r="BZ32" t="s">
        <v>7541</v>
      </c>
      <c r="CA32" t="s">
        <v>339</v>
      </c>
      <c r="CB32" t="s">
        <v>7542</v>
      </c>
      <c r="CC32" t="s">
        <v>1128</v>
      </c>
      <c r="CD32" t="s">
        <v>7543</v>
      </c>
      <c r="CE32" t="s">
        <v>356</v>
      </c>
      <c r="CF32" t="s">
        <v>7544</v>
      </c>
      <c r="CG32" t="s">
        <v>295</v>
      </c>
      <c r="CH32" t="s">
        <v>7545</v>
      </c>
      <c r="CI32" t="s">
        <v>779</v>
      </c>
      <c r="CJ32" t="s">
        <v>7546</v>
      </c>
      <c r="CK32" t="s">
        <v>1815</v>
      </c>
      <c r="CL32" t="s">
        <v>7547</v>
      </c>
      <c r="CM32" t="s">
        <v>356</v>
      </c>
      <c r="CN32" t="s">
        <v>4537</v>
      </c>
      <c r="CO32" t="s">
        <v>2277</v>
      </c>
      <c r="CP32" t="s">
        <v>7548</v>
      </c>
      <c r="CQ32" t="s">
        <v>393</v>
      </c>
      <c r="CR32" t="s">
        <v>7549</v>
      </c>
      <c r="CS32" t="s">
        <v>295</v>
      </c>
      <c r="CT32" t="s">
        <v>7550</v>
      </c>
      <c r="CU32" t="s">
        <v>335</v>
      </c>
      <c r="CV32" t="s">
        <v>7551</v>
      </c>
      <c r="CW32" t="s">
        <v>1091</v>
      </c>
      <c r="CX32" t="s">
        <v>2502</v>
      </c>
      <c r="CY32" t="s">
        <v>575</v>
      </c>
      <c r="CZ32" t="s">
        <v>7552</v>
      </c>
      <c r="DA32" t="s">
        <v>1380</v>
      </c>
      <c r="DB32" t="s">
        <v>7553</v>
      </c>
      <c r="DC32" t="s">
        <v>242</v>
      </c>
      <c r="DD32" t="s">
        <v>7554</v>
      </c>
      <c r="DF32" t="s">
        <v>7555</v>
      </c>
      <c r="DG32" t="s">
        <v>242</v>
      </c>
      <c r="DH32" t="s">
        <v>6311</v>
      </c>
    </row>
    <row r="33" spans="1:112" x14ac:dyDescent="0.35">
      <c r="A33" t="s">
        <v>6369</v>
      </c>
      <c r="B33" t="s">
        <v>7556</v>
      </c>
      <c r="C33" t="s">
        <v>6371</v>
      </c>
      <c r="D33" t="s">
        <v>7557</v>
      </c>
      <c r="E33" t="s">
        <v>6373</v>
      </c>
      <c r="F33" t="s">
        <v>7558</v>
      </c>
      <c r="G33" t="s">
        <v>28</v>
      </c>
      <c r="H33" t="s">
        <v>6036</v>
      </c>
      <c r="I33" t="s">
        <v>6387</v>
      </c>
      <c r="J33" t="s">
        <v>6754</v>
      </c>
      <c r="L33" t="s">
        <v>7559</v>
      </c>
      <c r="M33" t="s">
        <v>18</v>
      </c>
      <c r="N33" t="s">
        <v>7560</v>
      </c>
      <c r="O33" t="s">
        <v>17</v>
      </c>
      <c r="P33" t="s">
        <v>7246</v>
      </c>
      <c r="Q33" t="s">
        <v>28</v>
      </c>
      <c r="R33" t="s">
        <v>7561</v>
      </c>
      <c r="S33" t="s">
        <v>6532</v>
      </c>
      <c r="T33" t="s">
        <v>7562</v>
      </c>
      <c r="U33" t="s">
        <v>242</v>
      </c>
      <c r="V33" t="s">
        <v>243</v>
      </c>
      <c r="W33" t="s">
        <v>242</v>
      </c>
      <c r="X33" t="s">
        <v>243</v>
      </c>
      <c r="Y33" t="s">
        <v>242</v>
      </c>
      <c r="Z33" t="s">
        <v>243</v>
      </c>
      <c r="AA33" t="s">
        <v>242</v>
      </c>
      <c r="AB33" t="s">
        <v>243</v>
      </c>
      <c r="AC33" t="s">
        <v>242</v>
      </c>
      <c r="AD33" t="s">
        <v>243</v>
      </c>
      <c r="AE33" t="s">
        <v>242</v>
      </c>
      <c r="AF33" t="s">
        <v>243</v>
      </c>
      <c r="AG33" t="s">
        <v>242</v>
      </c>
      <c r="AH33" t="s">
        <v>243</v>
      </c>
      <c r="AI33" t="s">
        <v>242</v>
      </c>
      <c r="AJ33" t="s">
        <v>243</v>
      </c>
      <c r="AK33" t="s">
        <v>242</v>
      </c>
      <c r="AL33" t="s">
        <v>243</v>
      </c>
      <c r="AM33" t="s">
        <v>242</v>
      </c>
      <c r="AN33" t="s">
        <v>243</v>
      </c>
      <c r="AO33" t="s">
        <v>242</v>
      </c>
      <c r="AP33" t="s">
        <v>243</v>
      </c>
      <c r="AQ33" t="s">
        <v>242</v>
      </c>
      <c r="AR33" t="s">
        <v>243</v>
      </c>
      <c r="AS33" t="s">
        <v>242</v>
      </c>
      <c r="AT33" t="s">
        <v>244</v>
      </c>
      <c r="AU33" t="s">
        <v>7563</v>
      </c>
      <c r="AV33" t="s">
        <v>7564</v>
      </c>
      <c r="AW33" t="s">
        <v>6400</v>
      </c>
      <c r="AX33" t="s">
        <v>7565</v>
      </c>
      <c r="AY33" t="s">
        <v>6401</v>
      </c>
      <c r="AZ33" t="s">
        <v>782</v>
      </c>
      <c r="BA33" t="s">
        <v>242</v>
      </c>
      <c r="BB33" t="s">
        <v>7566</v>
      </c>
      <c r="BC33" t="s">
        <v>532</v>
      </c>
      <c r="BD33" t="s">
        <v>7567</v>
      </c>
      <c r="BE33" t="s">
        <v>395</v>
      </c>
      <c r="BF33" t="s">
        <v>7568</v>
      </c>
      <c r="BG33" t="s">
        <v>575</v>
      </c>
      <c r="BH33" t="s">
        <v>7569</v>
      </c>
      <c r="BI33" t="s">
        <v>858</v>
      </c>
      <c r="BJ33" t="s">
        <v>4377</v>
      </c>
      <c r="BK33" t="s">
        <v>291</v>
      </c>
      <c r="BL33" t="s">
        <v>7570</v>
      </c>
      <c r="BM33" t="s">
        <v>289</v>
      </c>
      <c r="BN33" t="s">
        <v>7571</v>
      </c>
      <c r="BO33" t="s">
        <v>414</v>
      </c>
      <c r="BP33" t="s">
        <v>7572</v>
      </c>
      <c r="BQ33" t="s">
        <v>473</v>
      </c>
      <c r="BR33" t="s">
        <v>7573</v>
      </c>
      <c r="BS33" t="s">
        <v>779</v>
      </c>
      <c r="BT33" t="s">
        <v>7574</v>
      </c>
      <c r="BU33" t="s">
        <v>532</v>
      </c>
      <c r="BV33" t="s">
        <v>7575</v>
      </c>
      <c r="BW33" t="s">
        <v>360</v>
      </c>
      <c r="BX33" t="s">
        <v>959</v>
      </c>
      <c r="BY33" t="s">
        <v>532</v>
      </c>
      <c r="BZ33" t="s">
        <v>7576</v>
      </c>
      <c r="CA33" t="s">
        <v>779</v>
      </c>
      <c r="CB33" t="s">
        <v>7577</v>
      </c>
      <c r="CC33" t="s">
        <v>467</v>
      </c>
      <c r="CD33" t="s">
        <v>7578</v>
      </c>
      <c r="CE33" t="s">
        <v>335</v>
      </c>
      <c r="CF33" t="s">
        <v>7579</v>
      </c>
      <c r="CG33" t="s">
        <v>408</v>
      </c>
      <c r="CH33" t="s">
        <v>3140</v>
      </c>
      <c r="CI33" t="s">
        <v>469</v>
      </c>
      <c r="CJ33" t="s">
        <v>7580</v>
      </c>
      <c r="CK33" t="s">
        <v>532</v>
      </c>
      <c r="CL33" t="s">
        <v>7581</v>
      </c>
      <c r="CM33" t="s">
        <v>744</v>
      </c>
      <c r="CN33" t="s">
        <v>7582</v>
      </c>
      <c r="CO33" t="s">
        <v>532</v>
      </c>
      <c r="CP33" t="s">
        <v>7583</v>
      </c>
      <c r="CQ33" t="s">
        <v>744</v>
      </c>
      <c r="CR33" t="s">
        <v>7584</v>
      </c>
      <c r="CS33" t="s">
        <v>399</v>
      </c>
      <c r="CT33" t="s">
        <v>2030</v>
      </c>
      <c r="CU33" t="s">
        <v>367</v>
      </c>
      <c r="CV33" t="s">
        <v>6083</v>
      </c>
      <c r="CW33" t="s">
        <v>371</v>
      </c>
      <c r="CX33" t="s">
        <v>7585</v>
      </c>
      <c r="CY33" t="s">
        <v>414</v>
      </c>
      <c r="CZ33" t="s">
        <v>6195</v>
      </c>
      <c r="DA33" t="s">
        <v>408</v>
      </c>
      <c r="DB33" t="s">
        <v>7586</v>
      </c>
      <c r="DC33" t="s">
        <v>242</v>
      </c>
      <c r="DD33" t="s">
        <v>7587</v>
      </c>
      <c r="DF33" t="s">
        <v>1716</v>
      </c>
      <c r="DG33" t="s">
        <v>242</v>
      </c>
      <c r="DH33" t="s">
        <v>7588</v>
      </c>
    </row>
    <row r="34" spans="1:112" x14ac:dyDescent="0.35">
      <c r="A34" t="s">
        <v>6369</v>
      </c>
      <c r="B34" t="s">
        <v>7589</v>
      </c>
      <c r="C34" t="s">
        <v>6371</v>
      </c>
      <c r="D34" t="s">
        <v>7590</v>
      </c>
      <c r="E34" t="s">
        <v>6373</v>
      </c>
      <c r="F34" t="s">
        <v>6179</v>
      </c>
      <c r="G34" t="s">
        <v>28</v>
      </c>
      <c r="H34" t="s">
        <v>7591</v>
      </c>
      <c r="I34" t="s">
        <v>6387</v>
      </c>
      <c r="J34" t="s">
        <v>7592</v>
      </c>
      <c r="L34" t="s">
        <v>7593</v>
      </c>
      <c r="M34" t="s">
        <v>18</v>
      </c>
      <c r="N34" t="s">
        <v>7594</v>
      </c>
      <c r="O34" t="s">
        <v>17</v>
      </c>
      <c r="P34" t="s">
        <v>7595</v>
      </c>
      <c r="Q34" t="s">
        <v>28</v>
      </c>
      <c r="R34" t="s">
        <v>7596</v>
      </c>
      <c r="S34" t="s">
        <v>6391</v>
      </c>
      <c r="T34" t="s">
        <v>7597</v>
      </c>
      <c r="U34" t="s">
        <v>28</v>
      </c>
      <c r="V34" t="s">
        <v>7598</v>
      </c>
      <c r="W34" t="s">
        <v>29</v>
      </c>
      <c r="X34" t="s">
        <v>7599</v>
      </c>
      <c r="Y34" t="s">
        <v>242</v>
      </c>
      <c r="Z34" t="s">
        <v>243</v>
      </c>
      <c r="AA34" t="s">
        <v>33</v>
      </c>
      <c r="AB34" t="s">
        <v>244</v>
      </c>
      <c r="AC34" t="s">
        <v>6438</v>
      </c>
      <c r="AD34" t="s">
        <v>7600</v>
      </c>
      <c r="AE34" t="s">
        <v>6440</v>
      </c>
      <c r="AF34" t="s">
        <v>7601</v>
      </c>
      <c r="AG34" t="s">
        <v>28</v>
      </c>
      <c r="AH34" t="s">
        <v>7602</v>
      </c>
      <c r="AI34" t="s">
        <v>6442</v>
      </c>
      <c r="AJ34" t="s">
        <v>7603</v>
      </c>
      <c r="AK34" t="s">
        <v>7604</v>
      </c>
      <c r="AL34" t="s">
        <v>7605</v>
      </c>
      <c r="AM34" t="s">
        <v>7606</v>
      </c>
      <c r="AN34" t="s">
        <v>7607</v>
      </c>
      <c r="AO34" t="s">
        <v>825</v>
      </c>
      <c r="AP34" t="s">
        <v>7608</v>
      </c>
      <c r="AQ34" t="s">
        <v>32</v>
      </c>
      <c r="AR34" t="s">
        <v>7609</v>
      </c>
      <c r="AS34" t="s">
        <v>242</v>
      </c>
      <c r="AT34" t="s">
        <v>7610</v>
      </c>
      <c r="AU34" t="s">
        <v>7611</v>
      </c>
      <c r="AV34" t="s">
        <v>7612</v>
      </c>
      <c r="AW34" t="s">
        <v>6400</v>
      </c>
      <c r="AX34" t="s">
        <v>6272</v>
      </c>
      <c r="AY34" t="s">
        <v>6401</v>
      </c>
      <c r="AZ34" t="s">
        <v>7613</v>
      </c>
      <c r="BA34" t="s">
        <v>242</v>
      </c>
      <c r="BB34" t="s">
        <v>6944</v>
      </c>
      <c r="BC34" t="s">
        <v>358</v>
      </c>
      <c r="BD34" t="s">
        <v>7614</v>
      </c>
      <c r="BE34" t="s">
        <v>685</v>
      </c>
      <c r="BF34" t="s">
        <v>2837</v>
      </c>
      <c r="BG34" t="s">
        <v>289</v>
      </c>
      <c r="BH34" t="s">
        <v>7615</v>
      </c>
      <c r="BI34" t="s">
        <v>405</v>
      </c>
      <c r="BJ34" t="s">
        <v>7616</v>
      </c>
      <c r="BK34" t="s">
        <v>469</v>
      </c>
      <c r="BL34" t="s">
        <v>7617</v>
      </c>
      <c r="BM34" t="s">
        <v>451</v>
      </c>
      <c r="BN34" t="s">
        <v>6825</v>
      </c>
      <c r="BO34" t="s">
        <v>365</v>
      </c>
      <c r="BP34" t="s">
        <v>7618</v>
      </c>
      <c r="BQ34" t="s">
        <v>271</v>
      </c>
      <c r="BR34" t="s">
        <v>7619</v>
      </c>
      <c r="BS34" t="s">
        <v>397</v>
      </c>
      <c r="BT34" t="s">
        <v>2233</v>
      </c>
      <c r="BU34" t="s">
        <v>481</v>
      </c>
      <c r="BV34" t="s">
        <v>7620</v>
      </c>
      <c r="BW34" t="s">
        <v>519</v>
      </c>
      <c r="BX34" t="s">
        <v>7621</v>
      </c>
      <c r="BY34" t="s">
        <v>532</v>
      </c>
      <c r="BZ34" t="s">
        <v>7622</v>
      </c>
      <c r="CA34" t="s">
        <v>371</v>
      </c>
      <c r="CB34" t="s">
        <v>7623</v>
      </c>
      <c r="CC34" t="s">
        <v>257</v>
      </c>
      <c r="CD34" t="s">
        <v>921</v>
      </c>
      <c r="CE34" t="s">
        <v>365</v>
      </c>
      <c r="CF34" t="s">
        <v>7624</v>
      </c>
      <c r="CG34" t="s">
        <v>371</v>
      </c>
      <c r="CH34" t="s">
        <v>7625</v>
      </c>
      <c r="CI34" t="s">
        <v>287</v>
      </c>
      <c r="CJ34" t="s">
        <v>7626</v>
      </c>
      <c r="CK34" t="s">
        <v>414</v>
      </c>
      <c r="CL34" t="s">
        <v>5890</v>
      </c>
      <c r="CM34" t="s">
        <v>399</v>
      </c>
      <c r="CN34" t="s">
        <v>7627</v>
      </c>
      <c r="CO34" t="s">
        <v>408</v>
      </c>
      <c r="CP34" t="s">
        <v>7628</v>
      </c>
      <c r="CQ34" t="s">
        <v>414</v>
      </c>
      <c r="CR34" t="s">
        <v>7629</v>
      </c>
      <c r="CS34" t="s">
        <v>532</v>
      </c>
      <c r="CT34" t="s">
        <v>7630</v>
      </c>
      <c r="CU34" t="s">
        <v>532</v>
      </c>
      <c r="CV34" t="s">
        <v>2805</v>
      </c>
      <c r="CW34" t="s">
        <v>271</v>
      </c>
      <c r="CX34" t="s">
        <v>7631</v>
      </c>
      <c r="CY34" t="s">
        <v>408</v>
      </c>
      <c r="CZ34" t="s">
        <v>2080</v>
      </c>
      <c r="DA34" t="s">
        <v>858</v>
      </c>
      <c r="DB34" t="s">
        <v>2666</v>
      </c>
      <c r="DC34" t="s">
        <v>242</v>
      </c>
      <c r="DD34" t="s">
        <v>7632</v>
      </c>
      <c r="DF34" t="s">
        <v>7633</v>
      </c>
      <c r="DG34" t="s">
        <v>242</v>
      </c>
      <c r="DH34" t="s">
        <v>7634</v>
      </c>
    </row>
    <row r="35" spans="1:112" x14ac:dyDescent="0.35">
      <c r="A35" t="s">
        <v>6369</v>
      </c>
      <c r="B35" t="s">
        <v>7635</v>
      </c>
      <c r="C35" t="s">
        <v>6371</v>
      </c>
      <c r="D35" t="s">
        <v>7636</v>
      </c>
      <c r="E35" t="s">
        <v>6373</v>
      </c>
      <c r="F35" t="s">
        <v>3623</v>
      </c>
      <c r="G35" t="s">
        <v>28</v>
      </c>
      <c r="H35" t="s">
        <v>7637</v>
      </c>
      <c r="I35" t="s">
        <v>6387</v>
      </c>
      <c r="J35" t="s">
        <v>1168</v>
      </c>
      <c r="L35" t="s">
        <v>7638</v>
      </c>
      <c r="M35" t="s">
        <v>18</v>
      </c>
      <c r="N35" t="s">
        <v>7639</v>
      </c>
      <c r="O35" t="s">
        <v>17</v>
      </c>
      <c r="P35" t="s">
        <v>7640</v>
      </c>
      <c r="Q35" t="s">
        <v>28</v>
      </c>
      <c r="R35" t="s">
        <v>7641</v>
      </c>
      <c r="S35" t="s">
        <v>6391</v>
      </c>
      <c r="T35" t="s">
        <v>7420</v>
      </c>
      <c r="U35" t="s">
        <v>28</v>
      </c>
      <c r="V35" t="s">
        <v>7642</v>
      </c>
      <c r="W35" t="s">
        <v>28</v>
      </c>
      <c r="X35" t="s">
        <v>7643</v>
      </c>
      <c r="Y35" t="s">
        <v>7644</v>
      </c>
      <c r="Z35" t="s">
        <v>7645</v>
      </c>
      <c r="AA35" t="s">
        <v>33</v>
      </c>
      <c r="AB35" t="s">
        <v>4357</v>
      </c>
      <c r="AC35" t="s">
        <v>7076</v>
      </c>
      <c r="AD35" t="s">
        <v>7646</v>
      </c>
      <c r="AE35" t="s">
        <v>6440</v>
      </c>
      <c r="AF35" t="s">
        <v>7647</v>
      </c>
      <c r="AG35" t="s">
        <v>28</v>
      </c>
      <c r="AH35" t="s">
        <v>7648</v>
      </c>
      <c r="AI35" t="s">
        <v>7025</v>
      </c>
      <c r="AJ35" t="s">
        <v>4900</v>
      </c>
      <c r="AK35" t="s">
        <v>7649</v>
      </c>
      <c r="AL35" t="s">
        <v>7650</v>
      </c>
      <c r="AM35" t="s">
        <v>7651</v>
      </c>
      <c r="AN35" t="s">
        <v>7652</v>
      </c>
      <c r="AO35" t="s">
        <v>1607</v>
      </c>
      <c r="AP35" t="s">
        <v>7653</v>
      </c>
      <c r="AQ35" t="s">
        <v>32</v>
      </c>
      <c r="AR35" t="s">
        <v>6843</v>
      </c>
      <c r="AS35" t="s">
        <v>242</v>
      </c>
      <c r="AT35" t="s">
        <v>7654</v>
      </c>
      <c r="AU35" t="s">
        <v>36</v>
      </c>
      <c r="AV35" t="s">
        <v>1170</v>
      </c>
      <c r="AW35" t="s">
        <v>6400</v>
      </c>
      <c r="AX35" t="s">
        <v>5785</v>
      </c>
      <c r="AY35" t="s">
        <v>6401</v>
      </c>
      <c r="AZ35" t="s">
        <v>6250</v>
      </c>
      <c r="BA35" t="s">
        <v>242</v>
      </c>
      <c r="BB35" t="s">
        <v>7655</v>
      </c>
      <c r="BC35" t="s">
        <v>369</v>
      </c>
      <c r="BD35" t="s">
        <v>7656</v>
      </c>
      <c r="BE35" t="s">
        <v>405</v>
      </c>
      <c r="BF35" t="s">
        <v>7657</v>
      </c>
      <c r="BG35" t="s">
        <v>481</v>
      </c>
      <c r="BH35" t="s">
        <v>7658</v>
      </c>
      <c r="BI35" t="s">
        <v>858</v>
      </c>
      <c r="BJ35" t="s">
        <v>7039</v>
      </c>
      <c r="BK35" t="s">
        <v>664</v>
      </c>
      <c r="BL35" t="s">
        <v>3095</v>
      </c>
      <c r="BM35" t="s">
        <v>356</v>
      </c>
      <c r="BN35" t="s">
        <v>7659</v>
      </c>
      <c r="BO35" t="s">
        <v>585</v>
      </c>
      <c r="BP35" t="s">
        <v>3708</v>
      </c>
      <c r="BQ35" t="s">
        <v>421</v>
      </c>
      <c r="BR35" t="s">
        <v>5663</v>
      </c>
      <c r="BS35" t="s">
        <v>266</v>
      </c>
      <c r="BT35" t="s">
        <v>7409</v>
      </c>
      <c r="BU35" t="s">
        <v>351</v>
      </c>
      <c r="BV35" t="s">
        <v>4246</v>
      </c>
      <c r="BW35" t="s">
        <v>1137</v>
      </c>
      <c r="BX35" t="s">
        <v>6733</v>
      </c>
      <c r="BY35" t="s">
        <v>696</v>
      </c>
      <c r="BZ35" t="s">
        <v>1549</v>
      </c>
      <c r="CA35" t="s">
        <v>993</v>
      </c>
      <c r="CB35" t="s">
        <v>7660</v>
      </c>
      <c r="CC35" t="s">
        <v>351</v>
      </c>
      <c r="CD35" t="s">
        <v>7197</v>
      </c>
      <c r="CE35" t="s">
        <v>266</v>
      </c>
      <c r="CF35" t="s">
        <v>7106</v>
      </c>
      <c r="CG35" t="s">
        <v>664</v>
      </c>
      <c r="CH35" t="s">
        <v>1049</v>
      </c>
      <c r="CI35" t="s">
        <v>585</v>
      </c>
      <c r="CJ35" t="s">
        <v>2960</v>
      </c>
      <c r="CK35" t="s">
        <v>993</v>
      </c>
      <c r="CL35" t="s">
        <v>6009</v>
      </c>
      <c r="CM35" t="s">
        <v>342</v>
      </c>
      <c r="CN35" t="s">
        <v>7661</v>
      </c>
      <c r="CO35" t="s">
        <v>595</v>
      </c>
      <c r="CP35" t="s">
        <v>5228</v>
      </c>
      <c r="CQ35" t="s">
        <v>360</v>
      </c>
      <c r="CR35" t="s">
        <v>674</v>
      </c>
      <c r="CS35" t="s">
        <v>401</v>
      </c>
      <c r="CT35" t="s">
        <v>645</v>
      </c>
      <c r="CU35" t="s">
        <v>339</v>
      </c>
      <c r="CV35" t="s">
        <v>7662</v>
      </c>
      <c r="CW35" t="s">
        <v>342</v>
      </c>
      <c r="CX35" t="s">
        <v>5624</v>
      </c>
      <c r="CY35" t="s">
        <v>664</v>
      </c>
      <c r="CZ35" t="s">
        <v>7663</v>
      </c>
      <c r="DA35" t="s">
        <v>424</v>
      </c>
      <c r="DB35" t="s">
        <v>7664</v>
      </c>
      <c r="DC35" t="s">
        <v>242</v>
      </c>
      <c r="DD35" t="s">
        <v>7665</v>
      </c>
      <c r="DF35" t="s">
        <v>1730</v>
      </c>
      <c r="DG35" t="s">
        <v>242</v>
      </c>
      <c r="DH35" t="s">
        <v>7666</v>
      </c>
    </row>
    <row r="36" spans="1:112" x14ac:dyDescent="0.35">
      <c r="A36" t="s">
        <v>6369</v>
      </c>
      <c r="B36" t="s">
        <v>7667</v>
      </c>
      <c r="C36" t="s">
        <v>6371</v>
      </c>
      <c r="D36" t="s">
        <v>2585</v>
      </c>
      <c r="E36" t="s">
        <v>6373</v>
      </c>
      <c r="F36" t="s">
        <v>3047</v>
      </c>
      <c r="G36" t="s">
        <v>28</v>
      </c>
      <c r="H36" t="s">
        <v>7668</v>
      </c>
      <c r="I36" t="s">
        <v>6387</v>
      </c>
      <c r="J36" t="s">
        <v>7669</v>
      </c>
      <c r="L36" t="s">
        <v>7670</v>
      </c>
      <c r="M36" t="s">
        <v>18</v>
      </c>
      <c r="N36" t="s">
        <v>7671</v>
      </c>
      <c r="O36" t="s">
        <v>17</v>
      </c>
      <c r="P36" t="s">
        <v>7672</v>
      </c>
      <c r="Q36" t="s">
        <v>28</v>
      </c>
      <c r="R36" t="s">
        <v>3673</v>
      </c>
      <c r="S36" t="s">
        <v>6391</v>
      </c>
      <c r="T36" t="s">
        <v>2773</v>
      </c>
      <c r="U36" t="s">
        <v>28</v>
      </c>
      <c r="V36" t="s">
        <v>7673</v>
      </c>
      <c r="W36" t="s">
        <v>28</v>
      </c>
      <c r="X36" t="s">
        <v>5585</v>
      </c>
      <c r="Y36" t="s">
        <v>7674</v>
      </c>
      <c r="Z36" t="s">
        <v>7675</v>
      </c>
      <c r="AA36" t="s">
        <v>33</v>
      </c>
      <c r="AB36" t="s">
        <v>7676</v>
      </c>
      <c r="AC36" t="s">
        <v>6438</v>
      </c>
      <c r="AD36" t="s">
        <v>3678</v>
      </c>
      <c r="AE36" t="s">
        <v>6440</v>
      </c>
      <c r="AF36" t="s">
        <v>7677</v>
      </c>
      <c r="AG36" t="s">
        <v>28</v>
      </c>
      <c r="AH36" t="s">
        <v>1739</v>
      </c>
      <c r="AI36" t="s">
        <v>6442</v>
      </c>
      <c r="AJ36" t="s">
        <v>4146</v>
      </c>
      <c r="AK36" t="s">
        <v>7678</v>
      </c>
      <c r="AL36" t="s">
        <v>7679</v>
      </c>
      <c r="AM36" t="s">
        <v>7680</v>
      </c>
      <c r="AN36" t="s">
        <v>7681</v>
      </c>
      <c r="AO36" t="s">
        <v>0</v>
      </c>
      <c r="AP36" t="s">
        <v>7682</v>
      </c>
      <c r="AQ36" t="s">
        <v>7683</v>
      </c>
      <c r="AR36" t="s">
        <v>7684</v>
      </c>
      <c r="AS36" t="s">
        <v>242</v>
      </c>
      <c r="AT36" t="s">
        <v>7685</v>
      </c>
      <c r="AU36" t="s">
        <v>7085</v>
      </c>
      <c r="AV36" t="s">
        <v>7686</v>
      </c>
      <c r="AW36" t="s">
        <v>6400</v>
      </c>
      <c r="AX36" t="s">
        <v>881</v>
      </c>
      <c r="AY36" t="s">
        <v>6401</v>
      </c>
      <c r="AZ36" t="s">
        <v>7687</v>
      </c>
      <c r="BA36" t="s">
        <v>242</v>
      </c>
      <c r="BB36" t="s">
        <v>7688</v>
      </c>
      <c r="BC36" t="s">
        <v>416</v>
      </c>
      <c r="BD36" t="s">
        <v>7689</v>
      </c>
      <c r="BE36" t="s">
        <v>395</v>
      </c>
      <c r="BF36" t="s">
        <v>7690</v>
      </c>
      <c r="BG36" t="s">
        <v>348</v>
      </c>
      <c r="BH36" t="s">
        <v>2810</v>
      </c>
      <c r="BI36" t="s">
        <v>779</v>
      </c>
      <c r="BJ36" t="s">
        <v>7691</v>
      </c>
      <c r="BK36" t="s">
        <v>589</v>
      </c>
      <c r="BL36" t="s">
        <v>811</v>
      </c>
      <c r="BM36" t="s">
        <v>356</v>
      </c>
      <c r="BN36" t="s">
        <v>7692</v>
      </c>
      <c r="BO36" t="s">
        <v>653</v>
      </c>
      <c r="BP36" t="s">
        <v>1001</v>
      </c>
      <c r="BQ36" t="s">
        <v>744</v>
      </c>
      <c r="BR36" t="s">
        <v>7693</v>
      </c>
      <c r="BS36" t="s">
        <v>1137</v>
      </c>
      <c r="BT36" t="s">
        <v>7694</v>
      </c>
      <c r="BU36" t="s">
        <v>342</v>
      </c>
      <c r="BV36" t="s">
        <v>7695</v>
      </c>
      <c r="BW36" t="s">
        <v>1788</v>
      </c>
      <c r="BX36" t="s">
        <v>7696</v>
      </c>
      <c r="BY36" t="s">
        <v>696</v>
      </c>
      <c r="BZ36" t="s">
        <v>7697</v>
      </c>
      <c r="CA36" t="s">
        <v>279</v>
      </c>
      <c r="CB36" t="s">
        <v>7698</v>
      </c>
      <c r="CC36" t="s">
        <v>993</v>
      </c>
      <c r="CD36" t="s">
        <v>6114</v>
      </c>
      <c r="CE36" t="s">
        <v>7699</v>
      </c>
      <c r="CF36" t="s">
        <v>4816</v>
      </c>
      <c r="CG36" t="s">
        <v>651</v>
      </c>
      <c r="CH36" t="s">
        <v>3923</v>
      </c>
      <c r="CI36" t="s">
        <v>1788</v>
      </c>
      <c r="CJ36" t="s">
        <v>466</v>
      </c>
      <c r="CK36" t="s">
        <v>1142</v>
      </c>
      <c r="CL36" t="s">
        <v>7700</v>
      </c>
      <c r="CM36" t="s">
        <v>528</v>
      </c>
      <c r="CN36" t="s">
        <v>7701</v>
      </c>
      <c r="CO36" t="s">
        <v>416</v>
      </c>
      <c r="CP36" t="s">
        <v>7702</v>
      </c>
      <c r="CQ36" t="s">
        <v>266</v>
      </c>
      <c r="CR36" t="s">
        <v>2301</v>
      </c>
      <c r="CS36" t="s">
        <v>595</v>
      </c>
      <c r="CT36" t="s">
        <v>5880</v>
      </c>
      <c r="CU36" t="s">
        <v>266</v>
      </c>
      <c r="CV36" t="s">
        <v>1478</v>
      </c>
      <c r="CW36" t="s">
        <v>356</v>
      </c>
      <c r="CX36" t="s">
        <v>7703</v>
      </c>
      <c r="CY36" t="s">
        <v>752</v>
      </c>
      <c r="CZ36" t="s">
        <v>7042</v>
      </c>
      <c r="DA36" t="s">
        <v>414</v>
      </c>
      <c r="DB36" t="s">
        <v>501</v>
      </c>
      <c r="DC36" t="s">
        <v>242</v>
      </c>
      <c r="DD36" t="s">
        <v>5182</v>
      </c>
      <c r="DF36" t="s">
        <v>1046</v>
      </c>
      <c r="DG36" t="s">
        <v>242</v>
      </c>
      <c r="DH36" t="s">
        <v>7704</v>
      </c>
    </row>
    <row r="37" spans="1:112" x14ac:dyDescent="0.35">
      <c r="A37" t="s">
        <v>6369</v>
      </c>
      <c r="B37" t="s">
        <v>7705</v>
      </c>
      <c r="C37" t="s">
        <v>6371</v>
      </c>
      <c r="D37" t="s">
        <v>7169</v>
      </c>
      <c r="E37" t="s">
        <v>6373</v>
      </c>
      <c r="F37" t="s">
        <v>7706</v>
      </c>
      <c r="G37" t="s">
        <v>28</v>
      </c>
      <c r="H37" t="s">
        <v>7707</v>
      </c>
      <c r="I37" t="s">
        <v>6387</v>
      </c>
      <c r="J37" t="s">
        <v>7708</v>
      </c>
      <c r="L37" t="s">
        <v>7709</v>
      </c>
      <c r="M37" t="s">
        <v>18</v>
      </c>
      <c r="N37" t="s">
        <v>7710</v>
      </c>
      <c r="O37" t="s">
        <v>16</v>
      </c>
      <c r="P37" t="s">
        <v>1527</v>
      </c>
      <c r="Q37" t="s">
        <v>28</v>
      </c>
      <c r="R37" t="s">
        <v>7711</v>
      </c>
      <c r="S37" t="s">
        <v>6532</v>
      </c>
      <c r="T37" t="s">
        <v>496</v>
      </c>
      <c r="U37" t="s">
        <v>242</v>
      </c>
      <c r="V37" t="s">
        <v>243</v>
      </c>
      <c r="W37" t="s">
        <v>242</v>
      </c>
      <c r="X37" t="s">
        <v>243</v>
      </c>
      <c r="Y37" t="s">
        <v>242</v>
      </c>
      <c r="Z37" t="s">
        <v>243</v>
      </c>
      <c r="AA37" t="s">
        <v>242</v>
      </c>
      <c r="AB37" t="s">
        <v>243</v>
      </c>
      <c r="AC37" t="s">
        <v>242</v>
      </c>
      <c r="AD37" t="s">
        <v>243</v>
      </c>
      <c r="AE37" t="s">
        <v>242</v>
      </c>
      <c r="AF37" t="s">
        <v>243</v>
      </c>
      <c r="AG37" t="s">
        <v>242</v>
      </c>
      <c r="AH37" t="s">
        <v>243</v>
      </c>
      <c r="AI37" t="s">
        <v>242</v>
      </c>
      <c r="AJ37" t="s">
        <v>243</v>
      </c>
      <c r="AK37" t="s">
        <v>242</v>
      </c>
      <c r="AL37" t="s">
        <v>243</v>
      </c>
      <c r="AM37" t="s">
        <v>242</v>
      </c>
      <c r="AN37" t="s">
        <v>243</v>
      </c>
      <c r="AO37" t="s">
        <v>242</v>
      </c>
      <c r="AP37" t="s">
        <v>243</v>
      </c>
      <c r="AQ37" t="s">
        <v>242</v>
      </c>
      <c r="AR37" t="s">
        <v>243</v>
      </c>
      <c r="AS37" t="s">
        <v>242</v>
      </c>
      <c r="AT37" t="s">
        <v>244</v>
      </c>
      <c r="AU37" t="s">
        <v>7712</v>
      </c>
      <c r="AV37" t="s">
        <v>7713</v>
      </c>
      <c r="AW37" t="s">
        <v>6400</v>
      </c>
      <c r="AX37" t="s">
        <v>7208</v>
      </c>
      <c r="AY37" t="s">
        <v>6401</v>
      </c>
      <c r="AZ37" t="s">
        <v>7714</v>
      </c>
      <c r="BA37" t="s">
        <v>242</v>
      </c>
      <c r="BB37" t="s">
        <v>6235</v>
      </c>
      <c r="BC37" t="s">
        <v>414</v>
      </c>
      <c r="BD37" t="s">
        <v>7715</v>
      </c>
      <c r="BE37" t="s">
        <v>295</v>
      </c>
      <c r="BF37" t="s">
        <v>1085</v>
      </c>
      <c r="BG37" t="s">
        <v>519</v>
      </c>
      <c r="BH37" t="s">
        <v>7716</v>
      </c>
      <c r="BI37" t="s">
        <v>295</v>
      </c>
      <c r="BJ37" t="s">
        <v>7717</v>
      </c>
      <c r="BK37" t="s">
        <v>367</v>
      </c>
      <c r="BL37" t="s">
        <v>7718</v>
      </c>
      <c r="BM37" t="s">
        <v>295</v>
      </c>
      <c r="BN37" t="s">
        <v>7719</v>
      </c>
      <c r="BO37" t="s">
        <v>542</v>
      </c>
      <c r="BP37" t="s">
        <v>7720</v>
      </c>
      <c r="BQ37" t="s">
        <v>295</v>
      </c>
      <c r="BR37" t="s">
        <v>5230</v>
      </c>
      <c r="BS37" t="s">
        <v>285</v>
      </c>
      <c r="BT37" t="s">
        <v>7721</v>
      </c>
      <c r="BU37" t="s">
        <v>411</v>
      </c>
      <c r="BV37" t="s">
        <v>5624</v>
      </c>
      <c r="BW37" t="s">
        <v>408</v>
      </c>
      <c r="BX37" t="s">
        <v>7722</v>
      </c>
      <c r="BY37" t="s">
        <v>281</v>
      </c>
      <c r="BZ37" t="s">
        <v>6186</v>
      </c>
      <c r="CA37" t="s">
        <v>291</v>
      </c>
      <c r="CB37" t="s">
        <v>7723</v>
      </c>
      <c r="CC37" t="s">
        <v>731</v>
      </c>
      <c r="CD37" t="s">
        <v>7724</v>
      </c>
      <c r="CE37" t="s">
        <v>287</v>
      </c>
      <c r="CF37" t="s">
        <v>3459</v>
      </c>
      <c r="CG37" t="s">
        <v>261</v>
      </c>
      <c r="CH37" t="s">
        <v>7725</v>
      </c>
      <c r="CI37" t="s">
        <v>664</v>
      </c>
      <c r="CJ37" t="s">
        <v>3783</v>
      </c>
      <c r="CK37" t="s">
        <v>254</v>
      </c>
      <c r="CL37" t="s">
        <v>7726</v>
      </c>
      <c r="CM37" t="s">
        <v>900</v>
      </c>
      <c r="CN37" t="s">
        <v>7727</v>
      </c>
      <c r="CO37" t="s">
        <v>685</v>
      </c>
      <c r="CP37" t="s">
        <v>2924</v>
      </c>
      <c r="CQ37" t="s">
        <v>900</v>
      </c>
      <c r="CR37" t="s">
        <v>7728</v>
      </c>
      <c r="CS37" t="s">
        <v>451</v>
      </c>
      <c r="CT37" t="s">
        <v>7729</v>
      </c>
      <c r="CU37" t="s">
        <v>261</v>
      </c>
      <c r="CV37" t="s">
        <v>7730</v>
      </c>
      <c r="CW37" t="s">
        <v>293</v>
      </c>
      <c r="CX37" t="s">
        <v>7731</v>
      </c>
      <c r="CY37" t="s">
        <v>542</v>
      </c>
      <c r="CZ37" t="s">
        <v>7732</v>
      </c>
      <c r="DA37" t="s">
        <v>451</v>
      </c>
      <c r="DB37" t="s">
        <v>7498</v>
      </c>
      <c r="DC37" t="s">
        <v>242</v>
      </c>
      <c r="DD37" t="s">
        <v>7733</v>
      </c>
      <c r="DF37" t="s">
        <v>7734</v>
      </c>
      <c r="DG37" t="s">
        <v>242</v>
      </c>
      <c r="DH37" t="s">
        <v>7735</v>
      </c>
    </row>
    <row r="38" spans="1:112" x14ac:dyDescent="0.35">
      <c r="A38" t="s">
        <v>6369</v>
      </c>
      <c r="B38" t="s">
        <v>7736</v>
      </c>
      <c r="C38" t="s">
        <v>6371</v>
      </c>
      <c r="D38" t="s">
        <v>7737</v>
      </c>
      <c r="E38" t="s">
        <v>6373</v>
      </c>
      <c r="F38" t="s">
        <v>3649</v>
      </c>
      <c r="G38" t="s">
        <v>28</v>
      </c>
      <c r="H38" t="s">
        <v>6002</v>
      </c>
      <c r="I38" t="s">
        <v>6387</v>
      </c>
      <c r="J38" t="s">
        <v>7738</v>
      </c>
      <c r="L38" t="s">
        <v>7739</v>
      </c>
      <c r="M38" t="s">
        <v>18</v>
      </c>
      <c r="N38" t="s">
        <v>4887</v>
      </c>
      <c r="O38" t="s">
        <v>17</v>
      </c>
      <c r="P38" t="s">
        <v>7740</v>
      </c>
      <c r="Q38" t="s">
        <v>28</v>
      </c>
      <c r="R38" t="s">
        <v>7741</v>
      </c>
      <c r="S38" t="s">
        <v>6391</v>
      </c>
      <c r="T38" t="s">
        <v>3405</v>
      </c>
      <c r="U38" t="s">
        <v>28</v>
      </c>
      <c r="V38" t="s">
        <v>7742</v>
      </c>
      <c r="W38" t="s">
        <v>29</v>
      </c>
      <c r="X38" t="s">
        <v>7588</v>
      </c>
      <c r="Y38" t="s">
        <v>242</v>
      </c>
      <c r="Z38" t="s">
        <v>243</v>
      </c>
      <c r="AA38" t="s">
        <v>29</v>
      </c>
      <c r="AB38" t="s">
        <v>244</v>
      </c>
      <c r="AC38" t="s">
        <v>242</v>
      </c>
      <c r="AD38" t="s">
        <v>243</v>
      </c>
      <c r="AE38" t="s">
        <v>242</v>
      </c>
      <c r="AF38" t="s">
        <v>243</v>
      </c>
      <c r="AG38" t="s">
        <v>242</v>
      </c>
      <c r="AH38" t="s">
        <v>243</v>
      </c>
      <c r="AI38" t="s">
        <v>242</v>
      </c>
      <c r="AJ38" t="s">
        <v>243</v>
      </c>
      <c r="AK38" t="s">
        <v>242</v>
      </c>
      <c r="AL38" t="s">
        <v>243</v>
      </c>
      <c r="AM38" t="s">
        <v>7743</v>
      </c>
      <c r="AN38" t="s">
        <v>244</v>
      </c>
      <c r="AO38" t="s">
        <v>825</v>
      </c>
      <c r="AP38" t="s">
        <v>7744</v>
      </c>
      <c r="AQ38" t="s">
        <v>32</v>
      </c>
      <c r="AR38" t="s">
        <v>3676</v>
      </c>
      <c r="AS38" t="s">
        <v>242</v>
      </c>
      <c r="AT38" t="s">
        <v>7745</v>
      </c>
      <c r="AU38" t="s">
        <v>7746</v>
      </c>
      <c r="AV38" t="s">
        <v>7747</v>
      </c>
      <c r="AW38" t="s">
        <v>6400</v>
      </c>
      <c r="AX38" t="s">
        <v>7748</v>
      </c>
      <c r="AY38" t="s">
        <v>6401</v>
      </c>
      <c r="AZ38" t="s">
        <v>7749</v>
      </c>
      <c r="BA38" t="s">
        <v>242</v>
      </c>
      <c r="BB38" t="s">
        <v>6984</v>
      </c>
      <c r="BC38" t="s">
        <v>408</v>
      </c>
      <c r="BD38" t="s">
        <v>7750</v>
      </c>
      <c r="BE38" t="s">
        <v>685</v>
      </c>
      <c r="BF38" t="s">
        <v>7751</v>
      </c>
      <c r="BG38" t="s">
        <v>360</v>
      </c>
      <c r="BH38" t="s">
        <v>7752</v>
      </c>
      <c r="BI38" t="s">
        <v>1091</v>
      </c>
      <c r="BJ38" t="s">
        <v>7753</v>
      </c>
      <c r="BK38" t="s">
        <v>416</v>
      </c>
      <c r="BL38" t="s">
        <v>7754</v>
      </c>
      <c r="BM38" t="s">
        <v>411</v>
      </c>
      <c r="BN38" t="s">
        <v>1366</v>
      </c>
      <c r="BO38" t="s">
        <v>752</v>
      </c>
      <c r="BP38" t="s">
        <v>5646</v>
      </c>
      <c r="BQ38" t="s">
        <v>337</v>
      </c>
      <c r="BR38" t="s">
        <v>7755</v>
      </c>
      <c r="BS38" t="s">
        <v>421</v>
      </c>
      <c r="BT38" t="s">
        <v>4217</v>
      </c>
      <c r="BU38" t="s">
        <v>1091</v>
      </c>
      <c r="BV38" t="s">
        <v>6535</v>
      </c>
      <c r="BW38" t="s">
        <v>900</v>
      </c>
      <c r="BX38" t="s">
        <v>7756</v>
      </c>
      <c r="BY38" t="s">
        <v>476</v>
      </c>
      <c r="BZ38" t="s">
        <v>7757</v>
      </c>
      <c r="CA38" t="s">
        <v>416</v>
      </c>
      <c r="CB38" t="s">
        <v>7758</v>
      </c>
      <c r="CC38" t="s">
        <v>405</v>
      </c>
      <c r="CD38" t="s">
        <v>7759</v>
      </c>
      <c r="CE38" t="s">
        <v>287</v>
      </c>
      <c r="CF38" t="s">
        <v>4373</v>
      </c>
      <c r="CG38" t="s">
        <v>268</v>
      </c>
      <c r="CH38" t="s">
        <v>7760</v>
      </c>
      <c r="CI38" t="s">
        <v>339</v>
      </c>
      <c r="CJ38" t="s">
        <v>3820</v>
      </c>
      <c r="CK38" t="s">
        <v>257</v>
      </c>
      <c r="CL38" t="s">
        <v>2147</v>
      </c>
      <c r="CM38" t="s">
        <v>779</v>
      </c>
      <c r="CN38" t="s">
        <v>7761</v>
      </c>
      <c r="CO38" t="s">
        <v>281</v>
      </c>
      <c r="CP38" t="s">
        <v>6896</v>
      </c>
      <c r="CQ38" t="s">
        <v>779</v>
      </c>
      <c r="CR38" t="s">
        <v>7762</v>
      </c>
      <c r="CS38" t="s">
        <v>261</v>
      </c>
      <c r="CT38" t="s">
        <v>7763</v>
      </c>
      <c r="CU38" t="s">
        <v>481</v>
      </c>
      <c r="CV38" t="s">
        <v>7764</v>
      </c>
      <c r="CW38" t="s">
        <v>254</v>
      </c>
      <c r="CX38" t="s">
        <v>7765</v>
      </c>
      <c r="CY38" t="s">
        <v>532</v>
      </c>
      <c r="CZ38" t="s">
        <v>7766</v>
      </c>
      <c r="DA38" t="s">
        <v>411</v>
      </c>
      <c r="DB38" t="s">
        <v>3157</v>
      </c>
      <c r="DC38" t="s">
        <v>242</v>
      </c>
      <c r="DD38" t="s">
        <v>3053</v>
      </c>
      <c r="DF38" t="s">
        <v>6272</v>
      </c>
      <c r="DG38" t="s">
        <v>242</v>
      </c>
      <c r="DH38" t="s">
        <v>7767</v>
      </c>
    </row>
    <row r="39" spans="1:112" x14ac:dyDescent="0.35">
      <c r="A39" t="s">
        <v>6369</v>
      </c>
      <c r="B39" t="s">
        <v>7768</v>
      </c>
      <c r="C39" t="s">
        <v>6371</v>
      </c>
      <c r="D39" t="s">
        <v>7769</v>
      </c>
      <c r="E39" t="s">
        <v>6373</v>
      </c>
      <c r="F39" t="s">
        <v>7770</v>
      </c>
      <c r="G39" t="s">
        <v>28</v>
      </c>
      <c r="H39" t="s">
        <v>7771</v>
      </c>
      <c r="I39" t="s">
        <v>6387</v>
      </c>
      <c r="J39" t="s">
        <v>7772</v>
      </c>
      <c r="L39" t="s">
        <v>7773</v>
      </c>
      <c r="M39" t="s">
        <v>18</v>
      </c>
      <c r="N39" t="s">
        <v>7132</v>
      </c>
      <c r="O39" t="s">
        <v>16</v>
      </c>
      <c r="P39" t="s">
        <v>7774</v>
      </c>
      <c r="Q39" t="s">
        <v>28</v>
      </c>
      <c r="R39" t="s">
        <v>921</v>
      </c>
      <c r="S39" t="s">
        <v>6532</v>
      </c>
      <c r="T39" t="s">
        <v>7775</v>
      </c>
      <c r="U39" t="s">
        <v>242</v>
      </c>
      <c r="V39" t="s">
        <v>243</v>
      </c>
      <c r="W39" t="s">
        <v>242</v>
      </c>
      <c r="X39" t="s">
        <v>243</v>
      </c>
      <c r="Y39" t="s">
        <v>242</v>
      </c>
      <c r="Z39" t="s">
        <v>243</v>
      </c>
      <c r="AA39" t="s">
        <v>242</v>
      </c>
      <c r="AB39" t="s">
        <v>243</v>
      </c>
      <c r="AC39" t="s">
        <v>242</v>
      </c>
      <c r="AD39" t="s">
        <v>243</v>
      </c>
      <c r="AE39" t="s">
        <v>242</v>
      </c>
      <c r="AF39" t="s">
        <v>243</v>
      </c>
      <c r="AG39" t="s">
        <v>242</v>
      </c>
      <c r="AH39" t="s">
        <v>243</v>
      </c>
      <c r="AI39" t="s">
        <v>242</v>
      </c>
      <c r="AJ39" t="s">
        <v>243</v>
      </c>
      <c r="AK39" t="s">
        <v>242</v>
      </c>
      <c r="AL39" t="s">
        <v>243</v>
      </c>
      <c r="AM39" t="s">
        <v>242</v>
      </c>
      <c r="AN39" t="s">
        <v>243</v>
      </c>
      <c r="AO39" t="s">
        <v>242</v>
      </c>
      <c r="AP39" t="s">
        <v>243</v>
      </c>
      <c r="AQ39" t="s">
        <v>242</v>
      </c>
      <c r="AR39" t="s">
        <v>243</v>
      </c>
      <c r="AS39" t="s">
        <v>242</v>
      </c>
      <c r="AT39" t="s">
        <v>244</v>
      </c>
      <c r="AU39" t="s">
        <v>7776</v>
      </c>
      <c r="AV39" t="s">
        <v>7777</v>
      </c>
      <c r="AW39" t="s">
        <v>6400</v>
      </c>
      <c r="AX39" t="s">
        <v>7778</v>
      </c>
      <c r="AY39" t="s">
        <v>6401</v>
      </c>
      <c r="AZ39" t="s">
        <v>7779</v>
      </c>
      <c r="BA39" t="s">
        <v>242</v>
      </c>
      <c r="BB39" t="s">
        <v>7780</v>
      </c>
      <c r="BC39" t="s">
        <v>449</v>
      </c>
      <c r="BD39" t="s">
        <v>7781</v>
      </c>
      <c r="BE39" t="s">
        <v>295</v>
      </c>
      <c r="BF39" t="s">
        <v>7782</v>
      </c>
      <c r="BG39" t="s">
        <v>399</v>
      </c>
      <c r="BH39" t="s">
        <v>7783</v>
      </c>
      <c r="BI39" t="s">
        <v>295</v>
      </c>
      <c r="BJ39" t="s">
        <v>7784</v>
      </c>
      <c r="BK39" t="s">
        <v>365</v>
      </c>
      <c r="BL39" t="s">
        <v>7785</v>
      </c>
      <c r="BM39" t="s">
        <v>295</v>
      </c>
      <c r="BN39" t="s">
        <v>7786</v>
      </c>
      <c r="BO39" t="s">
        <v>365</v>
      </c>
      <c r="BP39" t="s">
        <v>7787</v>
      </c>
      <c r="BQ39" t="s">
        <v>1815</v>
      </c>
      <c r="BR39" t="s">
        <v>7788</v>
      </c>
      <c r="BS39" t="s">
        <v>538</v>
      </c>
      <c r="BT39" t="s">
        <v>7789</v>
      </c>
      <c r="BU39" t="s">
        <v>295</v>
      </c>
      <c r="BV39" t="s">
        <v>2858</v>
      </c>
      <c r="BW39" t="s">
        <v>365</v>
      </c>
      <c r="BX39" t="s">
        <v>7790</v>
      </c>
      <c r="BY39" t="s">
        <v>295</v>
      </c>
      <c r="BZ39" t="s">
        <v>7791</v>
      </c>
      <c r="CA39" t="s">
        <v>469</v>
      </c>
      <c r="CB39" t="s">
        <v>7792</v>
      </c>
      <c r="CC39" t="s">
        <v>1360</v>
      </c>
      <c r="CD39" t="s">
        <v>7793</v>
      </c>
      <c r="CE39" t="s">
        <v>243</v>
      </c>
      <c r="CF39" t="s">
        <v>7794</v>
      </c>
      <c r="CG39" t="s">
        <v>293</v>
      </c>
      <c r="CH39" t="s">
        <v>7795</v>
      </c>
      <c r="CI39" t="s">
        <v>1142</v>
      </c>
      <c r="CJ39" t="s">
        <v>7796</v>
      </c>
      <c r="CK39" t="s">
        <v>685</v>
      </c>
      <c r="CL39" t="s">
        <v>2923</v>
      </c>
      <c r="CM39" t="s">
        <v>360</v>
      </c>
      <c r="CN39" t="s">
        <v>7797</v>
      </c>
      <c r="CO39" t="s">
        <v>1128</v>
      </c>
      <c r="CP39" t="s">
        <v>7798</v>
      </c>
      <c r="CQ39" t="s">
        <v>779</v>
      </c>
      <c r="CR39" t="s">
        <v>7799</v>
      </c>
      <c r="CS39" t="s">
        <v>337</v>
      </c>
      <c r="CT39" t="s">
        <v>7800</v>
      </c>
      <c r="CU39" t="s">
        <v>367</v>
      </c>
      <c r="CV39" t="s">
        <v>7801</v>
      </c>
      <c r="CW39" t="s">
        <v>1131</v>
      </c>
      <c r="CX39" t="s">
        <v>1675</v>
      </c>
      <c r="CY39" t="s">
        <v>360</v>
      </c>
      <c r="CZ39" t="s">
        <v>7802</v>
      </c>
      <c r="DA39" t="s">
        <v>952</v>
      </c>
      <c r="DB39" t="s">
        <v>6927</v>
      </c>
      <c r="DC39" t="s">
        <v>242</v>
      </c>
      <c r="DD39" t="s">
        <v>7803</v>
      </c>
      <c r="DF39" t="s">
        <v>4202</v>
      </c>
      <c r="DG39" t="s">
        <v>242</v>
      </c>
      <c r="DH39" t="s">
        <v>4350</v>
      </c>
    </row>
    <row r="40" spans="1:112" x14ac:dyDescent="0.35">
      <c r="A40" t="s">
        <v>6369</v>
      </c>
      <c r="B40" t="s">
        <v>7804</v>
      </c>
      <c r="C40" t="s">
        <v>6371</v>
      </c>
      <c r="D40" t="s">
        <v>447</v>
      </c>
      <c r="E40" t="s">
        <v>6373</v>
      </c>
      <c r="F40" t="s">
        <v>7805</v>
      </c>
      <c r="G40" t="s">
        <v>28</v>
      </c>
      <c r="H40" t="s">
        <v>7806</v>
      </c>
      <c r="I40" t="s">
        <v>6387</v>
      </c>
      <c r="J40" t="s">
        <v>2580</v>
      </c>
      <c r="L40" t="s">
        <v>7807</v>
      </c>
      <c r="M40" t="s">
        <v>18</v>
      </c>
      <c r="N40" t="s">
        <v>7808</v>
      </c>
      <c r="O40" t="s">
        <v>16</v>
      </c>
      <c r="P40" t="s">
        <v>5399</v>
      </c>
      <c r="Q40" t="s">
        <v>28</v>
      </c>
      <c r="R40" t="s">
        <v>7809</v>
      </c>
      <c r="S40" t="s">
        <v>6532</v>
      </c>
      <c r="T40" t="s">
        <v>7810</v>
      </c>
      <c r="U40" t="s">
        <v>242</v>
      </c>
      <c r="V40" t="s">
        <v>243</v>
      </c>
      <c r="W40" t="s">
        <v>242</v>
      </c>
      <c r="X40" t="s">
        <v>243</v>
      </c>
      <c r="Y40" t="s">
        <v>242</v>
      </c>
      <c r="Z40" t="s">
        <v>243</v>
      </c>
      <c r="AA40" t="s">
        <v>242</v>
      </c>
      <c r="AB40" t="s">
        <v>243</v>
      </c>
      <c r="AC40" t="s">
        <v>242</v>
      </c>
      <c r="AD40" t="s">
        <v>243</v>
      </c>
      <c r="AE40" t="s">
        <v>242</v>
      </c>
      <c r="AF40" t="s">
        <v>243</v>
      </c>
      <c r="AG40" t="s">
        <v>242</v>
      </c>
      <c r="AH40" t="s">
        <v>243</v>
      </c>
      <c r="AI40" t="s">
        <v>242</v>
      </c>
      <c r="AJ40" t="s">
        <v>243</v>
      </c>
      <c r="AK40" t="s">
        <v>242</v>
      </c>
      <c r="AL40" t="s">
        <v>243</v>
      </c>
      <c r="AM40" t="s">
        <v>242</v>
      </c>
      <c r="AN40" t="s">
        <v>243</v>
      </c>
      <c r="AO40" t="s">
        <v>242</v>
      </c>
      <c r="AP40" t="s">
        <v>243</v>
      </c>
      <c r="AQ40" t="s">
        <v>242</v>
      </c>
      <c r="AR40" t="s">
        <v>243</v>
      </c>
      <c r="AS40" t="s">
        <v>242</v>
      </c>
      <c r="AT40" t="s">
        <v>244</v>
      </c>
      <c r="AU40" t="s">
        <v>7811</v>
      </c>
      <c r="AV40" t="s">
        <v>7812</v>
      </c>
      <c r="AW40" t="s">
        <v>6400</v>
      </c>
      <c r="AX40" t="s">
        <v>7813</v>
      </c>
      <c r="AY40" t="s">
        <v>6401</v>
      </c>
      <c r="AZ40" t="s">
        <v>7814</v>
      </c>
      <c r="BA40" t="s">
        <v>242</v>
      </c>
      <c r="BB40" t="s">
        <v>7815</v>
      </c>
      <c r="BC40" t="s">
        <v>356</v>
      </c>
      <c r="BD40" t="s">
        <v>7816</v>
      </c>
      <c r="BE40" t="s">
        <v>1131</v>
      </c>
      <c r="BF40" t="s">
        <v>7817</v>
      </c>
      <c r="BG40" t="s">
        <v>252</v>
      </c>
      <c r="BH40" t="s">
        <v>7818</v>
      </c>
      <c r="BI40" t="s">
        <v>281</v>
      </c>
      <c r="BJ40" t="s">
        <v>7819</v>
      </c>
      <c r="BK40" t="s">
        <v>266</v>
      </c>
      <c r="BL40" t="s">
        <v>2456</v>
      </c>
      <c r="BM40" t="s">
        <v>408</v>
      </c>
      <c r="BN40" t="s">
        <v>7820</v>
      </c>
      <c r="BO40" t="s">
        <v>263</v>
      </c>
      <c r="BP40" t="s">
        <v>7821</v>
      </c>
      <c r="BQ40" t="s">
        <v>532</v>
      </c>
      <c r="BR40" t="s">
        <v>7822</v>
      </c>
      <c r="BS40" t="s">
        <v>583</v>
      </c>
      <c r="BT40" t="s">
        <v>7823</v>
      </c>
      <c r="BU40" t="s">
        <v>542</v>
      </c>
      <c r="BV40" t="s">
        <v>7824</v>
      </c>
      <c r="BW40" t="s">
        <v>252</v>
      </c>
      <c r="BX40" t="s">
        <v>999</v>
      </c>
      <c r="BY40" t="s">
        <v>467</v>
      </c>
      <c r="BZ40" t="s">
        <v>7825</v>
      </c>
      <c r="CA40" t="s">
        <v>589</v>
      </c>
      <c r="CB40" t="s">
        <v>7826</v>
      </c>
      <c r="CC40" t="s">
        <v>371</v>
      </c>
      <c r="CD40" t="s">
        <v>2194</v>
      </c>
      <c r="CE40" t="s">
        <v>266</v>
      </c>
      <c r="CF40" t="s">
        <v>7827</v>
      </c>
      <c r="CG40" t="s">
        <v>542</v>
      </c>
      <c r="CH40" t="s">
        <v>1150</v>
      </c>
      <c r="CI40" t="s">
        <v>263</v>
      </c>
      <c r="CJ40" t="s">
        <v>2322</v>
      </c>
      <c r="CK40" t="s">
        <v>291</v>
      </c>
      <c r="CL40" t="s">
        <v>4026</v>
      </c>
      <c r="CM40" t="s">
        <v>252</v>
      </c>
      <c r="CN40" t="s">
        <v>7828</v>
      </c>
      <c r="CO40" t="s">
        <v>532</v>
      </c>
      <c r="CP40" t="s">
        <v>5137</v>
      </c>
      <c r="CQ40" t="s">
        <v>528</v>
      </c>
      <c r="CR40" t="s">
        <v>7829</v>
      </c>
      <c r="CS40" t="s">
        <v>399</v>
      </c>
      <c r="CT40" t="s">
        <v>7830</v>
      </c>
      <c r="CU40" t="s">
        <v>528</v>
      </c>
      <c r="CV40" t="s">
        <v>7831</v>
      </c>
      <c r="CW40" t="s">
        <v>519</v>
      </c>
      <c r="CX40" t="s">
        <v>6439</v>
      </c>
      <c r="CY40" t="s">
        <v>900</v>
      </c>
      <c r="CZ40" t="s">
        <v>7832</v>
      </c>
      <c r="DA40" t="s">
        <v>408</v>
      </c>
      <c r="DB40" t="s">
        <v>7833</v>
      </c>
      <c r="DC40" t="s">
        <v>242</v>
      </c>
      <c r="DD40" t="s">
        <v>7834</v>
      </c>
      <c r="DF40" t="s">
        <v>7835</v>
      </c>
      <c r="DG40" t="s">
        <v>242</v>
      </c>
      <c r="DH40" t="s">
        <v>1529</v>
      </c>
    </row>
    <row r="41" spans="1:112" x14ac:dyDescent="0.35">
      <c r="A41" t="s">
        <v>6369</v>
      </c>
      <c r="B41" t="s">
        <v>7836</v>
      </c>
      <c r="C41" t="s">
        <v>6371</v>
      </c>
      <c r="D41" t="s">
        <v>7837</v>
      </c>
      <c r="E41" t="s">
        <v>6373</v>
      </c>
      <c r="F41" t="s">
        <v>5891</v>
      </c>
      <c r="G41" t="s">
        <v>28</v>
      </c>
      <c r="H41" t="s">
        <v>7838</v>
      </c>
      <c r="I41" t="s">
        <v>6387</v>
      </c>
      <c r="J41" t="s">
        <v>5493</v>
      </c>
      <c r="L41" t="s">
        <v>7839</v>
      </c>
      <c r="M41" t="s">
        <v>18</v>
      </c>
      <c r="N41" t="s">
        <v>4434</v>
      </c>
      <c r="O41" t="s">
        <v>17</v>
      </c>
      <c r="P41" t="s">
        <v>2874</v>
      </c>
      <c r="Q41" t="s">
        <v>28</v>
      </c>
      <c r="R41" t="s">
        <v>7840</v>
      </c>
      <c r="S41" t="s">
        <v>6391</v>
      </c>
      <c r="T41" t="s">
        <v>4779</v>
      </c>
      <c r="U41" t="s">
        <v>28</v>
      </c>
      <c r="V41" t="s">
        <v>7841</v>
      </c>
      <c r="W41" t="s">
        <v>28</v>
      </c>
      <c r="X41" t="s">
        <v>4866</v>
      </c>
      <c r="Y41" t="s">
        <v>7842</v>
      </c>
      <c r="Z41" t="s">
        <v>7843</v>
      </c>
      <c r="AA41" t="s">
        <v>33</v>
      </c>
      <c r="AB41" t="s">
        <v>7358</v>
      </c>
      <c r="AC41" t="s">
        <v>6438</v>
      </c>
      <c r="AD41" t="s">
        <v>7417</v>
      </c>
      <c r="AE41" t="s">
        <v>6440</v>
      </c>
      <c r="AF41" t="s">
        <v>2688</v>
      </c>
      <c r="AG41" t="s">
        <v>28</v>
      </c>
      <c r="AH41" t="s">
        <v>6576</v>
      </c>
      <c r="AI41" t="s">
        <v>6494</v>
      </c>
      <c r="AJ41" t="s">
        <v>7844</v>
      </c>
      <c r="AK41" t="s">
        <v>6846</v>
      </c>
      <c r="AL41" t="s">
        <v>6280</v>
      </c>
      <c r="AM41" t="s">
        <v>7845</v>
      </c>
      <c r="AN41" t="s">
        <v>7846</v>
      </c>
      <c r="AO41" t="s">
        <v>4254</v>
      </c>
      <c r="AP41" t="s">
        <v>7847</v>
      </c>
      <c r="AQ41" t="s">
        <v>32</v>
      </c>
      <c r="AR41" t="s">
        <v>7848</v>
      </c>
      <c r="AS41" t="s">
        <v>242</v>
      </c>
      <c r="AT41" t="s">
        <v>7849</v>
      </c>
      <c r="AU41" t="s">
        <v>7850</v>
      </c>
      <c r="AV41" t="s">
        <v>7851</v>
      </c>
      <c r="AW41" t="s">
        <v>6400</v>
      </c>
      <c r="AX41" t="s">
        <v>7852</v>
      </c>
      <c r="AY41" t="s">
        <v>6401</v>
      </c>
      <c r="AZ41" t="s">
        <v>7853</v>
      </c>
      <c r="BA41" t="s">
        <v>242</v>
      </c>
      <c r="BB41" t="s">
        <v>7854</v>
      </c>
      <c r="BC41" t="s">
        <v>281</v>
      </c>
      <c r="BD41" t="s">
        <v>7855</v>
      </c>
      <c r="BE41" t="s">
        <v>295</v>
      </c>
      <c r="BF41" t="s">
        <v>7856</v>
      </c>
      <c r="BG41" t="s">
        <v>365</v>
      </c>
      <c r="BH41" t="s">
        <v>1555</v>
      </c>
      <c r="BI41" t="s">
        <v>295</v>
      </c>
      <c r="BJ41" t="s">
        <v>7857</v>
      </c>
      <c r="BK41" t="s">
        <v>424</v>
      </c>
      <c r="BL41" t="s">
        <v>7858</v>
      </c>
      <c r="BM41" t="s">
        <v>295</v>
      </c>
      <c r="BN41" t="s">
        <v>7859</v>
      </c>
      <c r="BO41" t="s">
        <v>335</v>
      </c>
      <c r="BP41" t="s">
        <v>7860</v>
      </c>
      <c r="BQ41" t="s">
        <v>295</v>
      </c>
      <c r="BR41" t="s">
        <v>7861</v>
      </c>
      <c r="BS41" t="s">
        <v>421</v>
      </c>
      <c r="BT41" t="s">
        <v>988</v>
      </c>
      <c r="BU41" t="s">
        <v>688</v>
      </c>
      <c r="BV41" t="s">
        <v>7077</v>
      </c>
      <c r="BW41" t="s">
        <v>595</v>
      </c>
      <c r="BX41" t="s">
        <v>7862</v>
      </c>
      <c r="BY41" t="s">
        <v>261</v>
      </c>
      <c r="BZ41" t="s">
        <v>7863</v>
      </c>
      <c r="CA41" t="s">
        <v>360</v>
      </c>
      <c r="CB41" t="s">
        <v>2891</v>
      </c>
      <c r="CC41" t="s">
        <v>268</v>
      </c>
      <c r="CD41" t="s">
        <v>7864</v>
      </c>
      <c r="CE41" t="s">
        <v>752</v>
      </c>
      <c r="CF41" t="s">
        <v>7865</v>
      </c>
      <c r="CG41" t="s">
        <v>467</v>
      </c>
      <c r="CH41" t="s">
        <v>5638</v>
      </c>
      <c r="CI41" t="s">
        <v>752</v>
      </c>
      <c r="CJ41" t="s">
        <v>7866</v>
      </c>
      <c r="CK41" t="s">
        <v>473</v>
      </c>
      <c r="CL41" t="s">
        <v>7867</v>
      </c>
      <c r="CM41" t="s">
        <v>752</v>
      </c>
      <c r="CN41" t="s">
        <v>7868</v>
      </c>
      <c r="CO41" t="s">
        <v>449</v>
      </c>
      <c r="CP41" t="s">
        <v>7623</v>
      </c>
      <c r="CQ41" t="s">
        <v>424</v>
      </c>
      <c r="CR41" t="s">
        <v>7158</v>
      </c>
      <c r="CS41" t="s">
        <v>261</v>
      </c>
      <c r="CT41" t="s">
        <v>645</v>
      </c>
      <c r="CU41" t="s">
        <v>414</v>
      </c>
      <c r="CV41" t="s">
        <v>7869</v>
      </c>
      <c r="CW41" t="s">
        <v>268</v>
      </c>
      <c r="CX41" t="s">
        <v>7111</v>
      </c>
      <c r="CY41" t="s">
        <v>289</v>
      </c>
      <c r="CZ41" t="s">
        <v>7870</v>
      </c>
      <c r="DA41" t="s">
        <v>454</v>
      </c>
      <c r="DB41" t="s">
        <v>7871</v>
      </c>
      <c r="DC41" t="s">
        <v>242</v>
      </c>
      <c r="DD41" t="s">
        <v>7872</v>
      </c>
      <c r="DF41" t="s">
        <v>7873</v>
      </c>
      <c r="DG41" t="s">
        <v>242</v>
      </c>
      <c r="DH41" t="s">
        <v>7874</v>
      </c>
    </row>
    <row r="42" spans="1:112" x14ac:dyDescent="0.35">
      <c r="A42" t="s">
        <v>6369</v>
      </c>
      <c r="B42" t="s">
        <v>7875</v>
      </c>
      <c r="C42" t="s">
        <v>6371</v>
      </c>
      <c r="D42" t="s">
        <v>7876</v>
      </c>
      <c r="E42" t="s">
        <v>6373</v>
      </c>
      <c r="F42" t="s">
        <v>5161</v>
      </c>
      <c r="G42" t="s">
        <v>28</v>
      </c>
      <c r="H42" t="s">
        <v>7877</v>
      </c>
      <c r="I42" t="s">
        <v>6387</v>
      </c>
      <c r="J42" t="s">
        <v>5481</v>
      </c>
      <c r="L42" t="s">
        <v>1928</v>
      </c>
      <c r="M42" t="s">
        <v>18</v>
      </c>
      <c r="N42" t="s">
        <v>7878</v>
      </c>
      <c r="O42" t="s">
        <v>16</v>
      </c>
      <c r="P42" t="s">
        <v>7879</v>
      </c>
      <c r="Q42" t="s">
        <v>28</v>
      </c>
      <c r="R42" t="s">
        <v>7880</v>
      </c>
      <c r="S42" t="s">
        <v>6532</v>
      </c>
      <c r="T42" t="s">
        <v>4434</v>
      </c>
      <c r="U42" t="s">
        <v>242</v>
      </c>
      <c r="V42" t="s">
        <v>243</v>
      </c>
      <c r="W42" t="s">
        <v>242</v>
      </c>
      <c r="X42" t="s">
        <v>243</v>
      </c>
      <c r="Y42" t="s">
        <v>242</v>
      </c>
      <c r="Z42" t="s">
        <v>243</v>
      </c>
      <c r="AA42" t="s">
        <v>242</v>
      </c>
      <c r="AB42" t="s">
        <v>243</v>
      </c>
      <c r="AC42" t="s">
        <v>242</v>
      </c>
      <c r="AD42" t="s">
        <v>243</v>
      </c>
      <c r="AE42" t="s">
        <v>242</v>
      </c>
      <c r="AF42" t="s">
        <v>243</v>
      </c>
      <c r="AG42" t="s">
        <v>242</v>
      </c>
      <c r="AH42" t="s">
        <v>243</v>
      </c>
      <c r="AI42" t="s">
        <v>242</v>
      </c>
      <c r="AJ42" t="s">
        <v>243</v>
      </c>
      <c r="AK42" t="s">
        <v>242</v>
      </c>
      <c r="AL42" t="s">
        <v>243</v>
      </c>
      <c r="AM42" t="s">
        <v>242</v>
      </c>
      <c r="AN42" t="s">
        <v>243</v>
      </c>
      <c r="AO42" t="s">
        <v>242</v>
      </c>
      <c r="AP42" t="s">
        <v>243</v>
      </c>
      <c r="AQ42" t="s">
        <v>242</v>
      </c>
      <c r="AR42" t="s">
        <v>243</v>
      </c>
      <c r="AS42" t="s">
        <v>242</v>
      </c>
      <c r="AT42" t="s">
        <v>244</v>
      </c>
      <c r="AU42" t="s">
        <v>7881</v>
      </c>
      <c r="AV42" t="s">
        <v>7882</v>
      </c>
      <c r="AW42" t="s">
        <v>6400</v>
      </c>
      <c r="AX42" t="s">
        <v>7883</v>
      </c>
      <c r="AY42" t="s">
        <v>6401</v>
      </c>
      <c r="AZ42" t="s">
        <v>7884</v>
      </c>
      <c r="BA42" t="s">
        <v>242</v>
      </c>
      <c r="BB42" t="s">
        <v>7885</v>
      </c>
      <c r="BC42" t="s">
        <v>393</v>
      </c>
      <c r="BD42" t="s">
        <v>7886</v>
      </c>
      <c r="BE42" t="s">
        <v>295</v>
      </c>
      <c r="BF42" t="s">
        <v>4960</v>
      </c>
      <c r="BG42" t="s">
        <v>393</v>
      </c>
      <c r="BH42" t="s">
        <v>7887</v>
      </c>
      <c r="BI42" t="s">
        <v>295</v>
      </c>
      <c r="BJ42" t="s">
        <v>7888</v>
      </c>
      <c r="BK42" t="s">
        <v>752</v>
      </c>
      <c r="BL42" t="s">
        <v>7889</v>
      </c>
      <c r="BM42" t="s">
        <v>295</v>
      </c>
      <c r="BN42" t="s">
        <v>7890</v>
      </c>
      <c r="BO42" t="s">
        <v>287</v>
      </c>
      <c r="BP42" t="s">
        <v>7891</v>
      </c>
      <c r="BQ42" t="s">
        <v>295</v>
      </c>
      <c r="BR42" t="s">
        <v>7892</v>
      </c>
      <c r="BS42" t="s">
        <v>397</v>
      </c>
      <c r="BT42" t="s">
        <v>7893</v>
      </c>
      <c r="BU42" t="s">
        <v>295</v>
      </c>
      <c r="BV42" t="s">
        <v>7894</v>
      </c>
      <c r="BW42" t="s">
        <v>416</v>
      </c>
      <c r="BX42" t="s">
        <v>5855</v>
      </c>
      <c r="BY42" t="s">
        <v>411</v>
      </c>
      <c r="BZ42" t="s">
        <v>3757</v>
      </c>
      <c r="CA42" t="s">
        <v>528</v>
      </c>
      <c r="CB42" t="s">
        <v>7895</v>
      </c>
      <c r="CC42" t="s">
        <v>685</v>
      </c>
      <c r="CD42" t="s">
        <v>7896</v>
      </c>
      <c r="CE42" t="s">
        <v>583</v>
      </c>
      <c r="CF42" t="s">
        <v>7897</v>
      </c>
      <c r="CG42" t="s">
        <v>698</v>
      </c>
      <c r="CH42" t="s">
        <v>7898</v>
      </c>
      <c r="CI42" t="s">
        <v>591</v>
      </c>
      <c r="CJ42" t="s">
        <v>1398</v>
      </c>
      <c r="CK42" t="s">
        <v>451</v>
      </c>
      <c r="CL42" t="s">
        <v>7899</v>
      </c>
      <c r="CM42" t="s">
        <v>397</v>
      </c>
      <c r="CN42" t="s">
        <v>7900</v>
      </c>
      <c r="CO42" t="s">
        <v>337</v>
      </c>
      <c r="CP42" t="s">
        <v>7901</v>
      </c>
      <c r="CQ42" t="s">
        <v>339</v>
      </c>
      <c r="CR42" t="s">
        <v>3599</v>
      </c>
      <c r="CS42" t="s">
        <v>405</v>
      </c>
      <c r="CT42" t="s">
        <v>7902</v>
      </c>
      <c r="CU42" t="s">
        <v>287</v>
      </c>
      <c r="CV42" t="s">
        <v>7903</v>
      </c>
      <c r="CW42" t="s">
        <v>454</v>
      </c>
      <c r="CX42" t="s">
        <v>7904</v>
      </c>
      <c r="CY42" t="s">
        <v>339</v>
      </c>
      <c r="CZ42" t="s">
        <v>3677</v>
      </c>
      <c r="DA42" t="s">
        <v>254</v>
      </c>
      <c r="DB42" t="s">
        <v>7905</v>
      </c>
      <c r="DC42" t="s">
        <v>242</v>
      </c>
      <c r="DD42" t="s">
        <v>7906</v>
      </c>
      <c r="DF42" t="s">
        <v>7907</v>
      </c>
      <c r="DG42" t="s">
        <v>242</v>
      </c>
      <c r="DH42" t="s">
        <v>7908</v>
      </c>
    </row>
    <row r="43" spans="1:112" x14ac:dyDescent="0.35">
      <c r="A43" t="s">
        <v>6369</v>
      </c>
      <c r="B43" t="s">
        <v>7909</v>
      </c>
      <c r="C43" t="s">
        <v>6371</v>
      </c>
      <c r="D43" t="s">
        <v>7876</v>
      </c>
      <c r="E43" t="s">
        <v>6373</v>
      </c>
      <c r="F43" t="s">
        <v>7910</v>
      </c>
      <c r="G43" t="s">
        <v>28</v>
      </c>
      <c r="H43" t="s">
        <v>2342</v>
      </c>
      <c r="I43" t="s">
        <v>6387</v>
      </c>
      <c r="J43" t="s">
        <v>7911</v>
      </c>
      <c r="L43" t="s">
        <v>7912</v>
      </c>
      <c r="M43" t="s">
        <v>18</v>
      </c>
      <c r="N43" t="s">
        <v>6311</v>
      </c>
      <c r="O43" t="s">
        <v>16</v>
      </c>
      <c r="P43" t="s">
        <v>7913</v>
      </c>
      <c r="Q43" t="s">
        <v>28</v>
      </c>
      <c r="R43" t="s">
        <v>5224</v>
      </c>
      <c r="S43" t="s">
        <v>6532</v>
      </c>
      <c r="T43" t="s">
        <v>6377</v>
      </c>
      <c r="U43" t="s">
        <v>242</v>
      </c>
      <c r="V43" t="s">
        <v>243</v>
      </c>
      <c r="W43" t="s">
        <v>242</v>
      </c>
      <c r="X43" t="s">
        <v>243</v>
      </c>
      <c r="Y43" t="s">
        <v>242</v>
      </c>
      <c r="Z43" t="s">
        <v>243</v>
      </c>
      <c r="AA43" t="s">
        <v>242</v>
      </c>
      <c r="AB43" t="s">
        <v>243</v>
      </c>
      <c r="AC43" t="s">
        <v>242</v>
      </c>
      <c r="AD43" t="s">
        <v>243</v>
      </c>
      <c r="AE43" t="s">
        <v>242</v>
      </c>
      <c r="AF43" t="s">
        <v>243</v>
      </c>
      <c r="AG43" t="s">
        <v>242</v>
      </c>
      <c r="AH43" t="s">
        <v>243</v>
      </c>
      <c r="AI43" t="s">
        <v>242</v>
      </c>
      <c r="AJ43" t="s">
        <v>243</v>
      </c>
      <c r="AK43" t="s">
        <v>242</v>
      </c>
      <c r="AL43" t="s">
        <v>243</v>
      </c>
      <c r="AM43" t="s">
        <v>242</v>
      </c>
      <c r="AN43" t="s">
        <v>243</v>
      </c>
      <c r="AO43" t="s">
        <v>242</v>
      </c>
      <c r="AP43" t="s">
        <v>243</v>
      </c>
      <c r="AQ43" t="s">
        <v>242</v>
      </c>
      <c r="AR43" t="s">
        <v>243</v>
      </c>
      <c r="AS43" t="s">
        <v>242</v>
      </c>
      <c r="AT43" t="s">
        <v>244</v>
      </c>
      <c r="AU43" t="s">
        <v>7914</v>
      </c>
      <c r="AV43" t="s">
        <v>7915</v>
      </c>
      <c r="AW43" t="s">
        <v>6400</v>
      </c>
      <c r="AX43" t="s">
        <v>7916</v>
      </c>
      <c r="AY43" t="s">
        <v>6401</v>
      </c>
      <c r="AZ43" t="s">
        <v>1423</v>
      </c>
      <c r="BA43" t="s">
        <v>242</v>
      </c>
      <c r="BB43" t="s">
        <v>7460</v>
      </c>
      <c r="BC43" t="s">
        <v>401</v>
      </c>
      <c r="BD43" t="s">
        <v>7917</v>
      </c>
      <c r="BE43" t="s">
        <v>858</v>
      </c>
      <c r="BF43" t="s">
        <v>7918</v>
      </c>
      <c r="BG43" t="s">
        <v>421</v>
      </c>
      <c r="BH43" t="s">
        <v>7919</v>
      </c>
      <c r="BI43" t="s">
        <v>473</v>
      </c>
      <c r="BJ43" t="s">
        <v>3404</v>
      </c>
      <c r="BK43" t="s">
        <v>900</v>
      </c>
      <c r="BL43" t="s">
        <v>7920</v>
      </c>
      <c r="BM43" t="s">
        <v>481</v>
      </c>
      <c r="BN43" t="s">
        <v>5430</v>
      </c>
      <c r="BO43" t="s">
        <v>416</v>
      </c>
      <c r="BP43" t="s">
        <v>7921</v>
      </c>
      <c r="BQ43" t="s">
        <v>291</v>
      </c>
      <c r="BR43" t="s">
        <v>7922</v>
      </c>
      <c r="BS43" t="s">
        <v>342</v>
      </c>
      <c r="BT43" t="s">
        <v>7923</v>
      </c>
      <c r="BU43" t="s">
        <v>424</v>
      </c>
      <c r="BV43" t="s">
        <v>7924</v>
      </c>
      <c r="BW43" t="s">
        <v>585</v>
      </c>
      <c r="BX43" t="s">
        <v>6726</v>
      </c>
      <c r="BY43" t="s">
        <v>427</v>
      </c>
      <c r="BZ43" t="s">
        <v>7925</v>
      </c>
      <c r="CA43" t="s">
        <v>283</v>
      </c>
      <c r="CB43" t="s">
        <v>7926</v>
      </c>
      <c r="CC43" t="s">
        <v>538</v>
      </c>
      <c r="CD43" t="s">
        <v>7927</v>
      </c>
      <c r="CE43" t="s">
        <v>266</v>
      </c>
      <c r="CF43" t="s">
        <v>2160</v>
      </c>
      <c r="CG43" t="s">
        <v>287</v>
      </c>
      <c r="CH43" t="s">
        <v>4639</v>
      </c>
      <c r="CI43" t="s">
        <v>266</v>
      </c>
      <c r="CJ43" t="s">
        <v>7928</v>
      </c>
      <c r="CK43" t="s">
        <v>360</v>
      </c>
      <c r="CL43" t="s">
        <v>5024</v>
      </c>
      <c r="CM43" t="s">
        <v>259</v>
      </c>
      <c r="CN43" t="s">
        <v>7929</v>
      </c>
      <c r="CO43" t="s">
        <v>335</v>
      </c>
      <c r="CP43" t="s">
        <v>4270</v>
      </c>
      <c r="CQ43" t="s">
        <v>259</v>
      </c>
      <c r="CR43" t="s">
        <v>4539</v>
      </c>
      <c r="CS43" t="s">
        <v>351</v>
      </c>
      <c r="CT43" t="s">
        <v>3401</v>
      </c>
      <c r="CU43" t="s">
        <v>266</v>
      </c>
      <c r="CV43" t="s">
        <v>3408</v>
      </c>
      <c r="CW43" t="s">
        <v>401</v>
      </c>
      <c r="CX43" t="s">
        <v>7930</v>
      </c>
      <c r="CY43" t="s">
        <v>416</v>
      </c>
      <c r="CZ43" t="s">
        <v>7931</v>
      </c>
      <c r="DA43" t="s">
        <v>365</v>
      </c>
      <c r="DB43" t="s">
        <v>4758</v>
      </c>
      <c r="DC43" t="s">
        <v>242</v>
      </c>
      <c r="DD43" t="s">
        <v>6927</v>
      </c>
      <c r="DF43" t="s">
        <v>7932</v>
      </c>
      <c r="DG43" t="s">
        <v>242</v>
      </c>
      <c r="DH43" t="s">
        <v>7933</v>
      </c>
    </row>
    <row r="44" spans="1:112" x14ac:dyDescent="0.35">
      <c r="A44" t="s">
        <v>6369</v>
      </c>
      <c r="B44" t="s">
        <v>7934</v>
      </c>
      <c r="C44" t="s">
        <v>6371</v>
      </c>
      <c r="D44" t="s">
        <v>7935</v>
      </c>
      <c r="E44" t="s">
        <v>6373</v>
      </c>
      <c r="F44" t="s">
        <v>3216</v>
      </c>
      <c r="G44" t="s">
        <v>28</v>
      </c>
      <c r="H44" t="s">
        <v>7936</v>
      </c>
      <c r="I44" t="s">
        <v>6387</v>
      </c>
      <c r="J44" t="s">
        <v>7937</v>
      </c>
      <c r="L44" t="s">
        <v>7938</v>
      </c>
      <c r="M44" t="s">
        <v>18</v>
      </c>
      <c r="N44" t="s">
        <v>5581</v>
      </c>
      <c r="O44" t="s">
        <v>16</v>
      </c>
      <c r="P44" t="s">
        <v>7939</v>
      </c>
      <c r="Q44" t="s">
        <v>28</v>
      </c>
      <c r="R44" t="s">
        <v>2524</v>
      </c>
      <c r="S44" t="s">
        <v>6532</v>
      </c>
      <c r="T44" t="s">
        <v>7940</v>
      </c>
      <c r="U44" t="s">
        <v>242</v>
      </c>
      <c r="V44" t="s">
        <v>243</v>
      </c>
      <c r="W44" t="s">
        <v>242</v>
      </c>
      <c r="X44" t="s">
        <v>243</v>
      </c>
      <c r="Y44" t="s">
        <v>242</v>
      </c>
      <c r="Z44" t="s">
        <v>243</v>
      </c>
      <c r="AA44" t="s">
        <v>242</v>
      </c>
      <c r="AB44" t="s">
        <v>243</v>
      </c>
      <c r="AC44" t="s">
        <v>242</v>
      </c>
      <c r="AD44" t="s">
        <v>243</v>
      </c>
      <c r="AE44" t="s">
        <v>242</v>
      </c>
      <c r="AF44" t="s">
        <v>243</v>
      </c>
      <c r="AG44" t="s">
        <v>242</v>
      </c>
      <c r="AH44" t="s">
        <v>243</v>
      </c>
      <c r="AI44" t="s">
        <v>242</v>
      </c>
      <c r="AJ44" t="s">
        <v>243</v>
      </c>
      <c r="AK44" t="s">
        <v>242</v>
      </c>
      <c r="AL44" t="s">
        <v>243</v>
      </c>
      <c r="AM44" t="s">
        <v>242</v>
      </c>
      <c r="AN44" t="s">
        <v>243</v>
      </c>
      <c r="AO44" t="s">
        <v>242</v>
      </c>
      <c r="AP44" t="s">
        <v>243</v>
      </c>
      <c r="AQ44" t="s">
        <v>242</v>
      </c>
      <c r="AR44" t="s">
        <v>243</v>
      </c>
      <c r="AS44" t="s">
        <v>242</v>
      </c>
      <c r="AT44" t="s">
        <v>244</v>
      </c>
      <c r="AU44" t="s">
        <v>7941</v>
      </c>
      <c r="AV44" t="s">
        <v>7942</v>
      </c>
      <c r="AW44" t="s">
        <v>6400</v>
      </c>
      <c r="AX44" t="s">
        <v>5681</v>
      </c>
      <c r="AY44" t="s">
        <v>6401</v>
      </c>
      <c r="AZ44" t="s">
        <v>7943</v>
      </c>
      <c r="BA44" t="s">
        <v>242</v>
      </c>
      <c r="BB44" t="s">
        <v>7944</v>
      </c>
      <c r="BC44" t="s">
        <v>285</v>
      </c>
      <c r="BD44" t="s">
        <v>7945</v>
      </c>
      <c r="BE44" t="s">
        <v>295</v>
      </c>
      <c r="BF44" t="s">
        <v>7946</v>
      </c>
      <c r="BG44" t="s">
        <v>469</v>
      </c>
      <c r="BH44" t="s">
        <v>7947</v>
      </c>
      <c r="BI44" t="s">
        <v>1128</v>
      </c>
      <c r="BJ44" t="s">
        <v>7948</v>
      </c>
      <c r="BK44" t="s">
        <v>401</v>
      </c>
      <c r="BL44" t="s">
        <v>6509</v>
      </c>
      <c r="BM44" t="s">
        <v>685</v>
      </c>
      <c r="BN44" t="s">
        <v>7949</v>
      </c>
      <c r="BO44" t="s">
        <v>528</v>
      </c>
      <c r="BP44" t="s">
        <v>7950</v>
      </c>
      <c r="BQ44" t="s">
        <v>1131</v>
      </c>
      <c r="BR44" t="s">
        <v>4806</v>
      </c>
      <c r="BS44" t="s">
        <v>348</v>
      </c>
      <c r="BT44" t="s">
        <v>6118</v>
      </c>
      <c r="BU44" t="s">
        <v>454</v>
      </c>
      <c r="BV44" t="s">
        <v>7951</v>
      </c>
      <c r="BW44" t="s">
        <v>401</v>
      </c>
      <c r="BX44" t="s">
        <v>7952</v>
      </c>
      <c r="BY44" t="s">
        <v>395</v>
      </c>
      <c r="BZ44" t="s">
        <v>7953</v>
      </c>
      <c r="CA44" t="s">
        <v>421</v>
      </c>
      <c r="CB44" t="s">
        <v>3902</v>
      </c>
      <c r="CC44" t="s">
        <v>289</v>
      </c>
      <c r="CD44" t="s">
        <v>7954</v>
      </c>
      <c r="CE44" t="s">
        <v>528</v>
      </c>
      <c r="CF44" t="s">
        <v>5278</v>
      </c>
      <c r="CG44" t="s">
        <v>473</v>
      </c>
      <c r="CH44" t="s">
        <v>7955</v>
      </c>
      <c r="CI44" t="s">
        <v>342</v>
      </c>
      <c r="CJ44" t="s">
        <v>7956</v>
      </c>
      <c r="CK44" t="s">
        <v>449</v>
      </c>
      <c r="CL44" t="s">
        <v>1593</v>
      </c>
      <c r="CM44" t="s">
        <v>339</v>
      </c>
      <c r="CN44" t="s">
        <v>7957</v>
      </c>
      <c r="CO44" t="s">
        <v>542</v>
      </c>
      <c r="CP44" t="s">
        <v>326</v>
      </c>
      <c r="CQ44" t="s">
        <v>287</v>
      </c>
      <c r="CR44" t="s">
        <v>7958</v>
      </c>
      <c r="CS44" t="s">
        <v>575</v>
      </c>
      <c r="CT44" t="s">
        <v>4560</v>
      </c>
      <c r="CU44" t="s">
        <v>356</v>
      </c>
      <c r="CV44" t="s">
        <v>7959</v>
      </c>
      <c r="CW44" t="s">
        <v>542</v>
      </c>
      <c r="CX44" t="s">
        <v>7960</v>
      </c>
      <c r="CY44" t="s">
        <v>287</v>
      </c>
      <c r="CZ44" t="s">
        <v>5023</v>
      </c>
      <c r="DA44" t="s">
        <v>481</v>
      </c>
      <c r="DB44" t="s">
        <v>7961</v>
      </c>
      <c r="DC44" t="s">
        <v>242</v>
      </c>
      <c r="DD44" t="s">
        <v>1923</v>
      </c>
      <c r="DF44" t="s">
        <v>1953</v>
      </c>
      <c r="DG44" t="s">
        <v>242</v>
      </c>
      <c r="DH44" t="s">
        <v>7962</v>
      </c>
    </row>
    <row r="45" spans="1:112" x14ac:dyDescent="0.35">
      <c r="A45" t="s">
        <v>6369</v>
      </c>
      <c r="B45" t="s">
        <v>7963</v>
      </c>
      <c r="C45" t="s">
        <v>6371</v>
      </c>
      <c r="D45" t="s">
        <v>7964</v>
      </c>
      <c r="E45" t="s">
        <v>6373</v>
      </c>
      <c r="F45" t="s">
        <v>7965</v>
      </c>
      <c r="G45" t="s">
        <v>28</v>
      </c>
      <c r="H45" t="s">
        <v>1965</v>
      </c>
      <c r="I45" t="s">
        <v>6387</v>
      </c>
      <c r="J45" t="s">
        <v>7966</v>
      </c>
      <c r="L45" t="s">
        <v>7967</v>
      </c>
      <c r="M45" t="s">
        <v>18</v>
      </c>
      <c r="N45" t="s">
        <v>7968</v>
      </c>
      <c r="O45" t="s">
        <v>17</v>
      </c>
      <c r="P45" t="s">
        <v>7969</v>
      </c>
      <c r="Q45" t="s">
        <v>28</v>
      </c>
      <c r="R45" t="s">
        <v>709</v>
      </c>
      <c r="S45" t="s">
        <v>6391</v>
      </c>
      <c r="T45" t="s">
        <v>7970</v>
      </c>
      <c r="U45" t="s">
        <v>28</v>
      </c>
      <c r="V45" t="s">
        <v>7971</v>
      </c>
      <c r="W45" t="s">
        <v>28</v>
      </c>
      <c r="X45" t="s">
        <v>3275</v>
      </c>
      <c r="Y45" t="s">
        <v>7972</v>
      </c>
      <c r="Z45" t="s">
        <v>7973</v>
      </c>
      <c r="AA45" t="s">
        <v>33</v>
      </c>
      <c r="AB45" t="s">
        <v>7974</v>
      </c>
      <c r="AC45" t="s">
        <v>6438</v>
      </c>
      <c r="AD45" t="s">
        <v>7975</v>
      </c>
      <c r="AE45" t="s">
        <v>6440</v>
      </c>
      <c r="AF45" t="s">
        <v>7189</v>
      </c>
      <c r="AG45" t="s">
        <v>28</v>
      </c>
      <c r="AH45" t="s">
        <v>6048</v>
      </c>
      <c r="AI45" t="s">
        <v>7976</v>
      </c>
      <c r="AJ45" t="s">
        <v>7368</v>
      </c>
      <c r="AK45" t="s">
        <v>7977</v>
      </c>
      <c r="AL45" t="s">
        <v>7978</v>
      </c>
      <c r="AM45" t="s">
        <v>7979</v>
      </c>
      <c r="AN45" t="s">
        <v>7980</v>
      </c>
      <c r="AO45" t="s">
        <v>4254</v>
      </c>
      <c r="AP45" t="s">
        <v>7981</v>
      </c>
      <c r="AQ45" t="s">
        <v>32</v>
      </c>
      <c r="AR45" t="s">
        <v>1178</v>
      </c>
      <c r="AS45" t="s">
        <v>242</v>
      </c>
      <c r="AT45" t="s">
        <v>440</v>
      </c>
      <c r="AU45" t="s">
        <v>7982</v>
      </c>
      <c r="AV45" t="s">
        <v>7983</v>
      </c>
      <c r="AW45" t="s">
        <v>6400</v>
      </c>
      <c r="AX45" t="s">
        <v>2958</v>
      </c>
      <c r="AY45" t="s">
        <v>6401</v>
      </c>
      <c r="AZ45" t="s">
        <v>7984</v>
      </c>
      <c r="BA45" t="s">
        <v>242</v>
      </c>
      <c r="BB45" t="s">
        <v>7985</v>
      </c>
      <c r="BC45" t="s">
        <v>481</v>
      </c>
      <c r="BD45" t="s">
        <v>7986</v>
      </c>
      <c r="BE45" t="s">
        <v>476</v>
      </c>
      <c r="BF45" t="s">
        <v>7987</v>
      </c>
      <c r="BG45" t="s">
        <v>469</v>
      </c>
      <c r="BH45" t="s">
        <v>7988</v>
      </c>
      <c r="BI45" t="s">
        <v>369</v>
      </c>
      <c r="BJ45" t="s">
        <v>7989</v>
      </c>
      <c r="BK45" t="s">
        <v>393</v>
      </c>
      <c r="BL45" t="s">
        <v>7990</v>
      </c>
      <c r="BM45" t="s">
        <v>254</v>
      </c>
      <c r="BN45" t="s">
        <v>7991</v>
      </c>
      <c r="BO45" t="s">
        <v>744</v>
      </c>
      <c r="BP45" t="s">
        <v>7992</v>
      </c>
      <c r="BQ45" t="s">
        <v>449</v>
      </c>
      <c r="BR45" t="s">
        <v>7993</v>
      </c>
      <c r="BS45" t="s">
        <v>335</v>
      </c>
      <c r="BT45" t="s">
        <v>5296</v>
      </c>
      <c r="BU45" t="s">
        <v>344</v>
      </c>
      <c r="BV45" t="s">
        <v>7994</v>
      </c>
      <c r="BW45" t="s">
        <v>519</v>
      </c>
      <c r="BX45" t="s">
        <v>7995</v>
      </c>
      <c r="BY45" t="s">
        <v>257</v>
      </c>
      <c r="BZ45" t="s">
        <v>7996</v>
      </c>
      <c r="CA45" t="s">
        <v>519</v>
      </c>
      <c r="CB45" t="s">
        <v>7997</v>
      </c>
      <c r="CC45" t="s">
        <v>858</v>
      </c>
      <c r="CD45" t="s">
        <v>7998</v>
      </c>
      <c r="CE45" t="s">
        <v>421</v>
      </c>
      <c r="CF45" t="s">
        <v>7999</v>
      </c>
      <c r="CG45" t="s">
        <v>371</v>
      </c>
      <c r="CH45" t="s">
        <v>8000</v>
      </c>
      <c r="CI45" t="s">
        <v>339</v>
      </c>
      <c r="CJ45" t="s">
        <v>8001</v>
      </c>
      <c r="CK45" t="s">
        <v>575</v>
      </c>
      <c r="CL45" t="s">
        <v>8002</v>
      </c>
      <c r="CM45" t="s">
        <v>356</v>
      </c>
      <c r="CN45" t="s">
        <v>8003</v>
      </c>
      <c r="CO45" t="s">
        <v>393</v>
      </c>
      <c r="CP45" t="s">
        <v>8004</v>
      </c>
      <c r="CQ45" t="s">
        <v>401</v>
      </c>
      <c r="CR45" t="s">
        <v>8005</v>
      </c>
      <c r="CS45" t="s">
        <v>449</v>
      </c>
      <c r="CT45" t="s">
        <v>8006</v>
      </c>
      <c r="CU45" t="s">
        <v>371</v>
      </c>
      <c r="CV45" t="s">
        <v>4049</v>
      </c>
      <c r="CW45" t="s">
        <v>289</v>
      </c>
      <c r="CX45" t="s">
        <v>2469</v>
      </c>
      <c r="CY45" t="s">
        <v>532</v>
      </c>
      <c r="CZ45" t="s">
        <v>8007</v>
      </c>
      <c r="DA45" t="s">
        <v>698</v>
      </c>
      <c r="DB45" t="s">
        <v>8008</v>
      </c>
      <c r="DC45" t="s">
        <v>242</v>
      </c>
      <c r="DD45" t="s">
        <v>8009</v>
      </c>
      <c r="DF45" t="s">
        <v>4187</v>
      </c>
      <c r="DG45" t="s">
        <v>242</v>
      </c>
      <c r="DH45" t="s">
        <v>8010</v>
      </c>
    </row>
    <row r="46" spans="1:112" x14ac:dyDescent="0.35">
      <c r="A46" t="s">
        <v>6369</v>
      </c>
      <c r="B46" t="s">
        <v>8011</v>
      </c>
      <c r="C46" t="s">
        <v>6371</v>
      </c>
      <c r="D46" t="s">
        <v>8012</v>
      </c>
      <c r="E46" t="s">
        <v>6373</v>
      </c>
      <c r="F46" t="s">
        <v>8013</v>
      </c>
      <c r="G46" t="s">
        <v>28</v>
      </c>
      <c r="H46" t="s">
        <v>8014</v>
      </c>
      <c r="I46" t="s">
        <v>6387</v>
      </c>
      <c r="J46" t="s">
        <v>8015</v>
      </c>
      <c r="L46" t="s">
        <v>8016</v>
      </c>
      <c r="M46" t="s">
        <v>15</v>
      </c>
      <c r="N46" t="s">
        <v>1238</v>
      </c>
      <c r="O46" t="s">
        <v>16</v>
      </c>
      <c r="P46" t="s">
        <v>6621</v>
      </c>
      <c r="Q46" t="s">
        <v>28</v>
      </c>
      <c r="R46" t="s">
        <v>8017</v>
      </c>
      <c r="S46" t="s">
        <v>6391</v>
      </c>
      <c r="T46" t="s">
        <v>511</v>
      </c>
      <c r="U46" t="s">
        <v>28</v>
      </c>
      <c r="V46" t="s">
        <v>5067</v>
      </c>
      <c r="W46" t="s">
        <v>29</v>
      </c>
      <c r="X46" t="s">
        <v>6468</v>
      </c>
      <c r="Y46" t="s">
        <v>242</v>
      </c>
      <c r="Z46" t="s">
        <v>243</v>
      </c>
      <c r="AA46" t="s">
        <v>29</v>
      </c>
      <c r="AB46" t="s">
        <v>244</v>
      </c>
      <c r="AC46" t="s">
        <v>242</v>
      </c>
      <c r="AD46" t="s">
        <v>243</v>
      </c>
      <c r="AE46" t="s">
        <v>242</v>
      </c>
      <c r="AF46" t="s">
        <v>243</v>
      </c>
      <c r="AG46" t="s">
        <v>242</v>
      </c>
      <c r="AH46" t="s">
        <v>243</v>
      </c>
      <c r="AI46" t="s">
        <v>242</v>
      </c>
      <c r="AJ46" t="s">
        <v>243</v>
      </c>
      <c r="AK46" t="s">
        <v>242</v>
      </c>
      <c r="AL46" t="s">
        <v>243</v>
      </c>
      <c r="AM46" t="s">
        <v>8018</v>
      </c>
      <c r="AN46" t="s">
        <v>244</v>
      </c>
      <c r="AO46" t="s">
        <v>4254</v>
      </c>
      <c r="AP46" t="s">
        <v>8019</v>
      </c>
      <c r="AQ46" t="s">
        <v>32</v>
      </c>
      <c r="AR46" t="s">
        <v>8020</v>
      </c>
      <c r="AS46" t="s">
        <v>242</v>
      </c>
      <c r="AT46" t="s">
        <v>7939</v>
      </c>
      <c r="AU46" t="s">
        <v>8021</v>
      </c>
      <c r="AV46" t="s">
        <v>8022</v>
      </c>
      <c r="AW46" t="s">
        <v>6400</v>
      </c>
      <c r="AX46" t="s">
        <v>6751</v>
      </c>
      <c r="AY46" t="s">
        <v>6401</v>
      </c>
      <c r="AZ46" t="s">
        <v>8023</v>
      </c>
      <c r="BA46" t="s">
        <v>242</v>
      </c>
      <c r="BB46" t="s">
        <v>3128</v>
      </c>
      <c r="BC46" t="s">
        <v>360</v>
      </c>
      <c r="BD46" t="s">
        <v>8024</v>
      </c>
      <c r="BE46" t="s">
        <v>2277</v>
      </c>
      <c r="BF46" t="s">
        <v>8025</v>
      </c>
      <c r="BG46" t="s">
        <v>287</v>
      </c>
      <c r="BH46" t="s">
        <v>8026</v>
      </c>
      <c r="BI46" t="s">
        <v>479</v>
      </c>
      <c r="BJ46" t="s">
        <v>8027</v>
      </c>
      <c r="BK46" t="s">
        <v>348</v>
      </c>
      <c r="BL46" t="s">
        <v>7313</v>
      </c>
      <c r="BM46" t="s">
        <v>451</v>
      </c>
      <c r="BN46" t="s">
        <v>8028</v>
      </c>
      <c r="BO46" t="s">
        <v>252</v>
      </c>
      <c r="BP46" t="s">
        <v>8029</v>
      </c>
      <c r="BQ46" t="s">
        <v>731</v>
      </c>
      <c r="BR46" t="s">
        <v>8030</v>
      </c>
      <c r="BS46" t="s">
        <v>348</v>
      </c>
      <c r="BT46" t="s">
        <v>6070</v>
      </c>
      <c r="BU46" t="s">
        <v>1131</v>
      </c>
      <c r="BV46" t="s">
        <v>8031</v>
      </c>
      <c r="BW46" t="s">
        <v>342</v>
      </c>
      <c r="BX46" t="s">
        <v>2886</v>
      </c>
      <c r="BY46" t="s">
        <v>451</v>
      </c>
      <c r="BZ46" t="s">
        <v>8032</v>
      </c>
      <c r="CA46" t="s">
        <v>342</v>
      </c>
      <c r="CB46" t="s">
        <v>994</v>
      </c>
      <c r="CC46" t="s">
        <v>451</v>
      </c>
      <c r="CD46" t="s">
        <v>1246</v>
      </c>
      <c r="CE46" t="s">
        <v>342</v>
      </c>
      <c r="CF46" t="s">
        <v>8033</v>
      </c>
      <c r="CG46" t="s">
        <v>731</v>
      </c>
      <c r="CH46" t="s">
        <v>8034</v>
      </c>
      <c r="CI46" t="s">
        <v>397</v>
      </c>
      <c r="CJ46" t="s">
        <v>1884</v>
      </c>
      <c r="CK46" t="s">
        <v>1131</v>
      </c>
      <c r="CL46" t="s">
        <v>5788</v>
      </c>
      <c r="CM46" t="s">
        <v>542</v>
      </c>
      <c r="CN46" t="s">
        <v>6469</v>
      </c>
      <c r="CO46" t="s">
        <v>1091</v>
      </c>
      <c r="CP46" t="s">
        <v>8035</v>
      </c>
      <c r="CQ46" t="s">
        <v>449</v>
      </c>
      <c r="CR46" t="s">
        <v>8036</v>
      </c>
      <c r="CS46" t="s">
        <v>295</v>
      </c>
      <c r="CT46" t="s">
        <v>2449</v>
      </c>
      <c r="CU46" t="s">
        <v>411</v>
      </c>
      <c r="CV46" t="s">
        <v>3731</v>
      </c>
      <c r="CW46" t="s">
        <v>295</v>
      </c>
      <c r="CX46" t="s">
        <v>8037</v>
      </c>
      <c r="CY46" t="s">
        <v>295</v>
      </c>
      <c r="CZ46" t="s">
        <v>8038</v>
      </c>
      <c r="DA46" t="s">
        <v>243</v>
      </c>
      <c r="DB46" t="s">
        <v>8039</v>
      </c>
      <c r="DC46" t="s">
        <v>242</v>
      </c>
      <c r="DD46" t="s">
        <v>8040</v>
      </c>
      <c r="DF46" t="s">
        <v>8041</v>
      </c>
      <c r="DG46" t="s">
        <v>242</v>
      </c>
      <c r="DH46" t="s">
        <v>8042</v>
      </c>
    </row>
    <row r="47" spans="1:112" x14ac:dyDescent="0.35">
      <c r="A47" t="s">
        <v>6369</v>
      </c>
      <c r="B47" t="s">
        <v>8043</v>
      </c>
      <c r="C47" t="s">
        <v>6371</v>
      </c>
      <c r="D47" t="s">
        <v>8044</v>
      </c>
      <c r="E47" t="s">
        <v>6373</v>
      </c>
      <c r="F47" t="s">
        <v>8045</v>
      </c>
      <c r="G47" t="s">
        <v>28</v>
      </c>
      <c r="H47" t="s">
        <v>8046</v>
      </c>
      <c r="I47" t="s">
        <v>6387</v>
      </c>
      <c r="J47" t="s">
        <v>1108</v>
      </c>
      <c r="L47" t="s">
        <v>8047</v>
      </c>
      <c r="M47" t="s">
        <v>18</v>
      </c>
      <c r="N47" t="s">
        <v>909</v>
      </c>
      <c r="O47" t="s">
        <v>17</v>
      </c>
      <c r="P47" t="s">
        <v>8048</v>
      </c>
      <c r="Q47" t="s">
        <v>28</v>
      </c>
      <c r="R47" t="s">
        <v>8049</v>
      </c>
      <c r="S47" t="s">
        <v>6532</v>
      </c>
      <c r="T47" t="s">
        <v>7337</v>
      </c>
      <c r="U47" t="s">
        <v>242</v>
      </c>
      <c r="V47" t="s">
        <v>243</v>
      </c>
      <c r="W47" t="s">
        <v>242</v>
      </c>
      <c r="X47" t="s">
        <v>243</v>
      </c>
      <c r="Y47" t="s">
        <v>242</v>
      </c>
      <c r="Z47" t="s">
        <v>243</v>
      </c>
      <c r="AA47" t="s">
        <v>242</v>
      </c>
      <c r="AB47" t="s">
        <v>243</v>
      </c>
      <c r="AC47" t="s">
        <v>242</v>
      </c>
      <c r="AD47" t="s">
        <v>243</v>
      </c>
      <c r="AE47" t="s">
        <v>242</v>
      </c>
      <c r="AF47" t="s">
        <v>243</v>
      </c>
      <c r="AG47" t="s">
        <v>242</v>
      </c>
      <c r="AH47" t="s">
        <v>243</v>
      </c>
      <c r="AI47" t="s">
        <v>242</v>
      </c>
      <c r="AJ47" t="s">
        <v>243</v>
      </c>
      <c r="AK47" t="s">
        <v>242</v>
      </c>
      <c r="AL47" t="s">
        <v>243</v>
      </c>
      <c r="AM47" t="s">
        <v>242</v>
      </c>
      <c r="AN47" t="s">
        <v>243</v>
      </c>
      <c r="AO47" t="s">
        <v>242</v>
      </c>
      <c r="AP47" t="s">
        <v>243</v>
      </c>
      <c r="AQ47" t="s">
        <v>242</v>
      </c>
      <c r="AR47" t="s">
        <v>243</v>
      </c>
      <c r="AS47" t="s">
        <v>242</v>
      </c>
      <c r="AT47" t="s">
        <v>244</v>
      </c>
      <c r="AU47" t="s">
        <v>8050</v>
      </c>
      <c r="AV47" t="s">
        <v>8051</v>
      </c>
      <c r="AW47" t="s">
        <v>6400</v>
      </c>
      <c r="AX47" t="s">
        <v>8052</v>
      </c>
      <c r="AY47" t="s">
        <v>6401</v>
      </c>
      <c r="AZ47" t="s">
        <v>8053</v>
      </c>
      <c r="BA47" t="s">
        <v>242</v>
      </c>
      <c r="BB47" t="s">
        <v>2511</v>
      </c>
      <c r="BC47" t="s">
        <v>287</v>
      </c>
      <c r="BD47" t="s">
        <v>8054</v>
      </c>
      <c r="BE47" t="s">
        <v>281</v>
      </c>
      <c r="BF47" t="s">
        <v>8055</v>
      </c>
      <c r="BG47" t="s">
        <v>591</v>
      </c>
      <c r="BH47" t="s">
        <v>8056</v>
      </c>
      <c r="BI47" t="s">
        <v>429</v>
      </c>
      <c r="BJ47" t="s">
        <v>8057</v>
      </c>
      <c r="BK47" t="s">
        <v>259</v>
      </c>
      <c r="BL47" t="s">
        <v>8058</v>
      </c>
      <c r="BM47" t="s">
        <v>285</v>
      </c>
      <c r="BN47" t="s">
        <v>8059</v>
      </c>
      <c r="BO47" t="s">
        <v>342</v>
      </c>
      <c r="BP47" t="s">
        <v>8060</v>
      </c>
      <c r="BQ47" t="s">
        <v>261</v>
      </c>
      <c r="BR47" t="s">
        <v>8061</v>
      </c>
      <c r="BS47" t="s">
        <v>283</v>
      </c>
      <c r="BT47" t="s">
        <v>4605</v>
      </c>
      <c r="BU47" t="s">
        <v>532</v>
      </c>
      <c r="BV47" t="s">
        <v>8062</v>
      </c>
      <c r="BW47" t="s">
        <v>279</v>
      </c>
      <c r="BX47" t="s">
        <v>4099</v>
      </c>
      <c r="BY47" t="s">
        <v>399</v>
      </c>
      <c r="BZ47" t="s">
        <v>715</v>
      </c>
      <c r="CA47" t="s">
        <v>993</v>
      </c>
      <c r="CB47" t="s">
        <v>8063</v>
      </c>
      <c r="CC47" t="s">
        <v>429</v>
      </c>
      <c r="CD47" t="s">
        <v>8064</v>
      </c>
      <c r="CE47" t="s">
        <v>263</v>
      </c>
      <c r="CF47" t="s">
        <v>8065</v>
      </c>
      <c r="CG47" t="s">
        <v>281</v>
      </c>
      <c r="CH47" t="s">
        <v>5862</v>
      </c>
      <c r="CI47" t="s">
        <v>696</v>
      </c>
      <c r="CJ47" t="s">
        <v>8066</v>
      </c>
      <c r="CK47" t="s">
        <v>698</v>
      </c>
      <c r="CL47" t="s">
        <v>8067</v>
      </c>
      <c r="CM47" t="s">
        <v>589</v>
      </c>
      <c r="CN47" t="s">
        <v>8068</v>
      </c>
      <c r="CO47" t="s">
        <v>268</v>
      </c>
      <c r="CP47" t="s">
        <v>5290</v>
      </c>
      <c r="CQ47" t="s">
        <v>589</v>
      </c>
      <c r="CR47" t="s">
        <v>8069</v>
      </c>
      <c r="CS47" t="s">
        <v>268</v>
      </c>
      <c r="CT47" t="s">
        <v>6420</v>
      </c>
      <c r="CU47" t="s">
        <v>342</v>
      </c>
      <c r="CV47" t="s">
        <v>8070</v>
      </c>
      <c r="CW47" t="s">
        <v>289</v>
      </c>
      <c r="CX47" t="s">
        <v>2455</v>
      </c>
      <c r="CY47" t="s">
        <v>528</v>
      </c>
      <c r="CZ47" t="s">
        <v>2165</v>
      </c>
      <c r="DA47" t="s">
        <v>399</v>
      </c>
      <c r="DB47" t="s">
        <v>8071</v>
      </c>
      <c r="DC47" t="s">
        <v>242</v>
      </c>
      <c r="DD47" t="s">
        <v>5480</v>
      </c>
      <c r="DF47" t="s">
        <v>8072</v>
      </c>
      <c r="DG47" t="s">
        <v>242</v>
      </c>
      <c r="DH47" t="s">
        <v>1526</v>
      </c>
    </row>
    <row r="48" spans="1:112" x14ac:dyDescent="0.35">
      <c r="A48" t="s">
        <v>6369</v>
      </c>
      <c r="B48" t="s">
        <v>8073</v>
      </c>
      <c r="C48" t="s">
        <v>6371</v>
      </c>
      <c r="D48" t="s">
        <v>1196</v>
      </c>
      <c r="E48" t="s">
        <v>6373</v>
      </c>
      <c r="F48" t="s">
        <v>8074</v>
      </c>
      <c r="G48" t="s">
        <v>28</v>
      </c>
      <c r="H48" t="s">
        <v>8075</v>
      </c>
      <c r="I48" t="s">
        <v>6387</v>
      </c>
      <c r="J48" t="s">
        <v>2583</v>
      </c>
      <c r="L48" t="s">
        <v>3532</v>
      </c>
      <c r="M48" t="s">
        <v>18</v>
      </c>
      <c r="N48" t="s">
        <v>8076</v>
      </c>
      <c r="O48" t="s">
        <v>16</v>
      </c>
      <c r="P48" t="s">
        <v>2121</v>
      </c>
      <c r="Q48" t="s">
        <v>28</v>
      </c>
      <c r="R48" t="s">
        <v>5061</v>
      </c>
      <c r="S48" t="s">
        <v>6391</v>
      </c>
      <c r="T48" t="s">
        <v>1084</v>
      </c>
      <c r="U48" t="s">
        <v>29</v>
      </c>
      <c r="V48" t="s">
        <v>870</v>
      </c>
      <c r="W48" t="s">
        <v>29</v>
      </c>
      <c r="X48" t="s">
        <v>2738</v>
      </c>
      <c r="Y48" t="s">
        <v>242</v>
      </c>
      <c r="Z48" t="s">
        <v>243</v>
      </c>
      <c r="AA48" t="s">
        <v>29</v>
      </c>
      <c r="AB48" t="s">
        <v>244</v>
      </c>
      <c r="AC48" t="s">
        <v>242</v>
      </c>
      <c r="AD48" t="s">
        <v>243</v>
      </c>
      <c r="AE48" t="s">
        <v>242</v>
      </c>
      <c r="AF48" t="s">
        <v>243</v>
      </c>
      <c r="AG48" t="s">
        <v>242</v>
      </c>
      <c r="AH48" t="s">
        <v>243</v>
      </c>
      <c r="AI48" t="s">
        <v>242</v>
      </c>
      <c r="AJ48" t="s">
        <v>243</v>
      </c>
      <c r="AK48" t="s">
        <v>242</v>
      </c>
      <c r="AL48" t="s">
        <v>243</v>
      </c>
      <c r="AM48" t="s">
        <v>8077</v>
      </c>
      <c r="AN48" t="s">
        <v>244</v>
      </c>
      <c r="AO48" t="s">
        <v>825</v>
      </c>
      <c r="AP48" t="s">
        <v>8078</v>
      </c>
      <c r="AQ48" t="s">
        <v>32</v>
      </c>
      <c r="AR48" t="s">
        <v>8079</v>
      </c>
      <c r="AS48" t="s">
        <v>242</v>
      </c>
      <c r="AT48" t="s">
        <v>2887</v>
      </c>
      <c r="AU48" t="s">
        <v>8080</v>
      </c>
      <c r="AV48" t="s">
        <v>8081</v>
      </c>
      <c r="AW48" t="s">
        <v>6400</v>
      </c>
      <c r="AX48" t="s">
        <v>1928</v>
      </c>
      <c r="AY48" t="s">
        <v>6401</v>
      </c>
      <c r="AZ48" t="s">
        <v>8082</v>
      </c>
      <c r="BA48" t="s">
        <v>242</v>
      </c>
      <c r="BB48" t="s">
        <v>8083</v>
      </c>
      <c r="BC48" t="s">
        <v>295</v>
      </c>
      <c r="BD48" t="s">
        <v>8084</v>
      </c>
      <c r="BE48" t="s">
        <v>295</v>
      </c>
      <c r="BF48" t="s">
        <v>8085</v>
      </c>
      <c r="BG48" t="s">
        <v>519</v>
      </c>
      <c r="BH48" t="s">
        <v>8086</v>
      </c>
      <c r="BI48" t="s">
        <v>295</v>
      </c>
      <c r="BJ48" t="s">
        <v>8087</v>
      </c>
      <c r="BK48" t="s">
        <v>519</v>
      </c>
      <c r="BL48" t="s">
        <v>492</v>
      </c>
      <c r="BM48" t="s">
        <v>295</v>
      </c>
      <c r="BN48" t="s">
        <v>8088</v>
      </c>
      <c r="BO48" t="s">
        <v>519</v>
      </c>
      <c r="BP48" t="s">
        <v>8089</v>
      </c>
      <c r="BQ48" t="s">
        <v>295</v>
      </c>
      <c r="BR48" t="s">
        <v>4958</v>
      </c>
      <c r="BS48" t="s">
        <v>243</v>
      </c>
      <c r="BT48" t="s">
        <v>8090</v>
      </c>
      <c r="BU48" t="s">
        <v>295</v>
      </c>
      <c r="BV48" t="s">
        <v>8091</v>
      </c>
      <c r="BW48" t="s">
        <v>519</v>
      </c>
      <c r="BX48" t="s">
        <v>6782</v>
      </c>
      <c r="BY48" t="s">
        <v>295</v>
      </c>
      <c r="BZ48" t="s">
        <v>8092</v>
      </c>
      <c r="CA48" t="s">
        <v>243</v>
      </c>
      <c r="CB48" t="s">
        <v>8093</v>
      </c>
      <c r="CC48" t="s">
        <v>295</v>
      </c>
      <c r="CD48" t="s">
        <v>6260</v>
      </c>
      <c r="CE48" t="s">
        <v>519</v>
      </c>
      <c r="CF48" t="s">
        <v>8094</v>
      </c>
      <c r="CG48" t="s">
        <v>295</v>
      </c>
      <c r="CH48" t="s">
        <v>2353</v>
      </c>
      <c r="CI48" t="s">
        <v>519</v>
      </c>
      <c r="CJ48" t="s">
        <v>6890</v>
      </c>
      <c r="CK48" t="s">
        <v>295</v>
      </c>
      <c r="CL48" t="s">
        <v>2167</v>
      </c>
      <c r="CM48" t="s">
        <v>519</v>
      </c>
      <c r="CN48" t="s">
        <v>8095</v>
      </c>
      <c r="CO48" t="s">
        <v>295</v>
      </c>
      <c r="CP48" t="s">
        <v>8096</v>
      </c>
      <c r="CQ48" t="s">
        <v>519</v>
      </c>
      <c r="CR48" t="s">
        <v>1286</v>
      </c>
      <c r="CS48" t="s">
        <v>295</v>
      </c>
      <c r="CT48" t="s">
        <v>3624</v>
      </c>
      <c r="CU48" t="s">
        <v>295</v>
      </c>
      <c r="CV48" t="s">
        <v>8097</v>
      </c>
      <c r="CW48" t="s">
        <v>295</v>
      </c>
      <c r="CX48" t="s">
        <v>8098</v>
      </c>
      <c r="CY48" t="s">
        <v>295</v>
      </c>
      <c r="CZ48" t="s">
        <v>8099</v>
      </c>
      <c r="DA48" t="s">
        <v>295</v>
      </c>
      <c r="DB48" t="s">
        <v>8100</v>
      </c>
      <c r="DC48" t="s">
        <v>242</v>
      </c>
      <c r="DD48" t="s">
        <v>8101</v>
      </c>
      <c r="DF48" t="s">
        <v>8102</v>
      </c>
      <c r="DG48" t="s">
        <v>242</v>
      </c>
      <c r="DH48" t="s">
        <v>7592</v>
      </c>
    </row>
    <row r="49" spans="1:112" x14ac:dyDescent="0.35">
      <c r="A49" t="s">
        <v>6369</v>
      </c>
      <c r="B49" t="s">
        <v>8103</v>
      </c>
      <c r="C49" t="s">
        <v>6371</v>
      </c>
      <c r="D49" t="s">
        <v>3364</v>
      </c>
      <c r="E49" t="s">
        <v>6373</v>
      </c>
      <c r="F49" t="s">
        <v>8104</v>
      </c>
      <c r="G49" t="s">
        <v>28</v>
      </c>
      <c r="H49" t="s">
        <v>8105</v>
      </c>
      <c r="I49" t="s">
        <v>6387</v>
      </c>
      <c r="J49" t="s">
        <v>8106</v>
      </c>
      <c r="L49" t="s">
        <v>7871</v>
      </c>
      <c r="M49" t="s">
        <v>18</v>
      </c>
      <c r="N49" t="s">
        <v>749</v>
      </c>
      <c r="O49" t="s">
        <v>17</v>
      </c>
      <c r="P49" t="s">
        <v>8107</v>
      </c>
      <c r="Q49" t="s">
        <v>6569</v>
      </c>
      <c r="R49" t="s">
        <v>1239</v>
      </c>
      <c r="S49" t="s">
        <v>6391</v>
      </c>
      <c r="T49" t="s">
        <v>8108</v>
      </c>
      <c r="U49" t="s">
        <v>29</v>
      </c>
      <c r="V49" t="s">
        <v>8109</v>
      </c>
      <c r="W49" t="s">
        <v>28</v>
      </c>
      <c r="X49" t="s">
        <v>8110</v>
      </c>
      <c r="Y49" t="s">
        <v>8111</v>
      </c>
      <c r="Z49" t="s">
        <v>7221</v>
      </c>
      <c r="AA49" t="s">
        <v>33</v>
      </c>
      <c r="AB49" t="s">
        <v>8112</v>
      </c>
      <c r="AC49" t="s">
        <v>6438</v>
      </c>
      <c r="AD49" t="s">
        <v>3789</v>
      </c>
      <c r="AE49" t="s">
        <v>6440</v>
      </c>
      <c r="AF49" t="s">
        <v>4398</v>
      </c>
      <c r="AG49" t="s">
        <v>28</v>
      </c>
      <c r="AH49" t="s">
        <v>2523</v>
      </c>
      <c r="AI49" t="s">
        <v>7976</v>
      </c>
      <c r="AJ49" t="s">
        <v>8113</v>
      </c>
      <c r="AK49" t="s">
        <v>8114</v>
      </c>
      <c r="AL49" t="s">
        <v>8115</v>
      </c>
      <c r="AM49" t="s">
        <v>8116</v>
      </c>
      <c r="AN49" t="s">
        <v>1743</v>
      </c>
      <c r="AO49" t="s">
        <v>825</v>
      </c>
      <c r="AP49" t="s">
        <v>3802</v>
      </c>
      <c r="AQ49" t="s">
        <v>32</v>
      </c>
      <c r="AR49" t="s">
        <v>8117</v>
      </c>
      <c r="AS49" t="s">
        <v>242</v>
      </c>
      <c r="AT49" t="s">
        <v>8118</v>
      </c>
      <c r="AU49" t="s">
        <v>38</v>
      </c>
      <c r="AV49" t="s">
        <v>8119</v>
      </c>
      <c r="AW49" t="s">
        <v>6400</v>
      </c>
      <c r="AX49" t="s">
        <v>8120</v>
      </c>
      <c r="AY49" t="s">
        <v>6401</v>
      </c>
      <c r="AZ49" t="s">
        <v>8121</v>
      </c>
      <c r="BA49" t="s">
        <v>242</v>
      </c>
      <c r="BB49" t="s">
        <v>8122</v>
      </c>
      <c r="BC49" t="s">
        <v>473</v>
      </c>
      <c r="BD49" t="s">
        <v>6831</v>
      </c>
      <c r="BE49" t="s">
        <v>254</v>
      </c>
      <c r="BF49" t="s">
        <v>2785</v>
      </c>
      <c r="BG49" t="s">
        <v>595</v>
      </c>
      <c r="BH49" t="s">
        <v>8123</v>
      </c>
      <c r="BI49" t="s">
        <v>405</v>
      </c>
      <c r="BJ49" t="s">
        <v>8124</v>
      </c>
      <c r="BK49" t="s">
        <v>348</v>
      </c>
      <c r="BL49" t="s">
        <v>8125</v>
      </c>
      <c r="BM49" t="s">
        <v>698</v>
      </c>
      <c r="BN49" t="s">
        <v>8126</v>
      </c>
      <c r="BO49" t="s">
        <v>664</v>
      </c>
      <c r="BP49" t="s">
        <v>8127</v>
      </c>
      <c r="BQ49" t="s">
        <v>268</v>
      </c>
      <c r="BR49" t="s">
        <v>5228</v>
      </c>
      <c r="BS49" t="s">
        <v>276</v>
      </c>
      <c r="BT49" t="s">
        <v>3263</v>
      </c>
      <c r="BU49" t="s">
        <v>532</v>
      </c>
      <c r="BV49" t="s">
        <v>8128</v>
      </c>
      <c r="BW49" t="s">
        <v>266</v>
      </c>
      <c r="BX49" t="s">
        <v>8129</v>
      </c>
      <c r="BY49" t="s">
        <v>289</v>
      </c>
      <c r="BZ49" t="s">
        <v>8130</v>
      </c>
      <c r="CA49" t="s">
        <v>653</v>
      </c>
      <c r="CB49" t="s">
        <v>8131</v>
      </c>
      <c r="CC49" t="s">
        <v>257</v>
      </c>
      <c r="CD49" t="s">
        <v>2833</v>
      </c>
      <c r="CE49" t="s">
        <v>653</v>
      </c>
      <c r="CF49" t="s">
        <v>5909</v>
      </c>
      <c r="CG49" t="s">
        <v>424</v>
      </c>
      <c r="CH49" t="s">
        <v>3706</v>
      </c>
      <c r="CI49" t="s">
        <v>259</v>
      </c>
      <c r="CJ49" t="s">
        <v>8132</v>
      </c>
      <c r="CK49" t="s">
        <v>257</v>
      </c>
      <c r="CL49" t="s">
        <v>7279</v>
      </c>
      <c r="CM49" t="s">
        <v>351</v>
      </c>
      <c r="CN49" t="s">
        <v>7342</v>
      </c>
      <c r="CO49" t="s">
        <v>285</v>
      </c>
      <c r="CP49" t="s">
        <v>8133</v>
      </c>
      <c r="CQ49" t="s">
        <v>696</v>
      </c>
      <c r="CR49" t="s">
        <v>8134</v>
      </c>
      <c r="CS49" t="s">
        <v>481</v>
      </c>
      <c r="CT49" t="s">
        <v>4071</v>
      </c>
      <c r="CU49" t="s">
        <v>519</v>
      </c>
      <c r="CV49" t="s">
        <v>7698</v>
      </c>
      <c r="CW49" t="s">
        <v>371</v>
      </c>
      <c r="CX49" t="s">
        <v>2888</v>
      </c>
      <c r="CY49" t="s">
        <v>519</v>
      </c>
      <c r="CZ49" t="s">
        <v>8135</v>
      </c>
      <c r="DA49" t="s">
        <v>519</v>
      </c>
      <c r="DB49" t="s">
        <v>6522</v>
      </c>
      <c r="DC49" t="s">
        <v>242</v>
      </c>
      <c r="DD49" t="s">
        <v>7603</v>
      </c>
      <c r="DF49" t="s">
        <v>5117</v>
      </c>
      <c r="DG49" t="s">
        <v>242</v>
      </c>
      <c r="DH49" t="s">
        <v>2578</v>
      </c>
    </row>
    <row r="50" spans="1:112" x14ac:dyDescent="0.35">
      <c r="A50" t="s">
        <v>6369</v>
      </c>
      <c r="B50" t="s">
        <v>8136</v>
      </c>
      <c r="C50" t="s">
        <v>6371</v>
      </c>
      <c r="D50" t="s">
        <v>8137</v>
      </c>
      <c r="E50" t="s">
        <v>6373</v>
      </c>
      <c r="F50" t="s">
        <v>3329</v>
      </c>
      <c r="G50" t="s">
        <v>28</v>
      </c>
      <c r="H50" t="s">
        <v>8138</v>
      </c>
      <c r="I50" t="s">
        <v>6387</v>
      </c>
      <c r="J50" t="s">
        <v>8139</v>
      </c>
      <c r="L50" t="s">
        <v>2134</v>
      </c>
      <c r="M50" t="s">
        <v>18</v>
      </c>
      <c r="N50" t="s">
        <v>8140</v>
      </c>
      <c r="O50" t="s">
        <v>17</v>
      </c>
      <c r="P50" t="s">
        <v>8141</v>
      </c>
      <c r="Q50" t="s">
        <v>28</v>
      </c>
      <c r="R50" t="s">
        <v>8142</v>
      </c>
      <c r="S50" t="s">
        <v>6532</v>
      </c>
      <c r="T50" t="s">
        <v>8143</v>
      </c>
      <c r="U50" t="s">
        <v>242</v>
      </c>
      <c r="V50" t="s">
        <v>243</v>
      </c>
      <c r="W50" t="s">
        <v>242</v>
      </c>
      <c r="X50" t="s">
        <v>243</v>
      </c>
      <c r="Y50" t="s">
        <v>242</v>
      </c>
      <c r="Z50" t="s">
        <v>243</v>
      </c>
      <c r="AA50" t="s">
        <v>242</v>
      </c>
      <c r="AB50" t="s">
        <v>243</v>
      </c>
      <c r="AC50" t="s">
        <v>242</v>
      </c>
      <c r="AD50" t="s">
        <v>243</v>
      </c>
      <c r="AE50" t="s">
        <v>242</v>
      </c>
      <c r="AF50" t="s">
        <v>243</v>
      </c>
      <c r="AG50" t="s">
        <v>242</v>
      </c>
      <c r="AH50" t="s">
        <v>243</v>
      </c>
      <c r="AI50" t="s">
        <v>242</v>
      </c>
      <c r="AJ50" t="s">
        <v>243</v>
      </c>
      <c r="AK50" t="s">
        <v>242</v>
      </c>
      <c r="AL50" t="s">
        <v>243</v>
      </c>
      <c r="AM50" t="s">
        <v>242</v>
      </c>
      <c r="AN50" t="s">
        <v>243</v>
      </c>
      <c r="AO50" t="s">
        <v>242</v>
      </c>
      <c r="AP50" t="s">
        <v>243</v>
      </c>
      <c r="AQ50" t="s">
        <v>242</v>
      </c>
      <c r="AR50" t="s">
        <v>243</v>
      </c>
      <c r="AS50" t="s">
        <v>242</v>
      </c>
      <c r="AT50" t="s">
        <v>244</v>
      </c>
      <c r="AU50" t="s">
        <v>1213</v>
      </c>
      <c r="AV50" t="s">
        <v>8144</v>
      </c>
      <c r="AW50" t="s">
        <v>6400</v>
      </c>
      <c r="AX50" t="s">
        <v>8145</v>
      </c>
      <c r="AY50" t="s">
        <v>6401</v>
      </c>
      <c r="AZ50" t="s">
        <v>8146</v>
      </c>
      <c r="BA50" t="s">
        <v>242</v>
      </c>
      <c r="BB50" t="s">
        <v>8147</v>
      </c>
      <c r="BC50" t="s">
        <v>519</v>
      </c>
      <c r="BD50" t="s">
        <v>8148</v>
      </c>
      <c r="BE50" t="s">
        <v>698</v>
      </c>
      <c r="BF50" t="s">
        <v>8149</v>
      </c>
      <c r="BG50" t="s">
        <v>283</v>
      </c>
      <c r="BH50" t="s">
        <v>8150</v>
      </c>
      <c r="BI50" t="s">
        <v>274</v>
      </c>
      <c r="BJ50" t="s">
        <v>8151</v>
      </c>
      <c r="BK50" t="s">
        <v>266</v>
      </c>
      <c r="BL50" t="s">
        <v>4956</v>
      </c>
      <c r="BM50" t="s">
        <v>454</v>
      </c>
      <c r="BN50" t="s">
        <v>5476</v>
      </c>
      <c r="BO50" t="s">
        <v>589</v>
      </c>
      <c r="BP50" t="s">
        <v>8152</v>
      </c>
      <c r="BQ50" t="s">
        <v>454</v>
      </c>
      <c r="BR50" t="s">
        <v>3254</v>
      </c>
      <c r="BS50" t="s">
        <v>276</v>
      </c>
      <c r="BT50" t="s">
        <v>1188</v>
      </c>
      <c r="BU50" t="s">
        <v>289</v>
      </c>
      <c r="BV50" t="s">
        <v>859</v>
      </c>
      <c r="BW50" t="s">
        <v>283</v>
      </c>
      <c r="BX50" t="s">
        <v>8153</v>
      </c>
      <c r="BY50" t="s">
        <v>289</v>
      </c>
      <c r="BZ50" t="s">
        <v>8154</v>
      </c>
      <c r="CA50" t="s">
        <v>283</v>
      </c>
      <c r="CB50" t="s">
        <v>8155</v>
      </c>
      <c r="CC50" t="s">
        <v>731</v>
      </c>
      <c r="CD50" t="s">
        <v>8156</v>
      </c>
      <c r="CE50" t="s">
        <v>259</v>
      </c>
      <c r="CF50" t="s">
        <v>8157</v>
      </c>
      <c r="CG50" t="s">
        <v>467</v>
      </c>
      <c r="CH50" t="s">
        <v>8158</v>
      </c>
      <c r="CI50" t="s">
        <v>259</v>
      </c>
      <c r="CJ50" t="s">
        <v>8159</v>
      </c>
      <c r="CK50" t="s">
        <v>1091</v>
      </c>
      <c r="CL50" t="s">
        <v>1259</v>
      </c>
      <c r="CM50" t="s">
        <v>342</v>
      </c>
      <c r="CN50" t="s">
        <v>8160</v>
      </c>
      <c r="CO50" t="s">
        <v>532</v>
      </c>
      <c r="CP50" t="s">
        <v>3149</v>
      </c>
      <c r="CQ50" t="s">
        <v>1788</v>
      </c>
      <c r="CR50" t="s">
        <v>7893</v>
      </c>
      <c r="CS50" t="s">
        <v>285</v>
      </c>
      <c r="CT50" t="s">
        <v>8161</v>
      </c>
      <c r="CU50" t="s">
        <v>342</v>
      </c>
      <c r="CV50" t="s">
        <v>7273</v>
      </c>
      <c r="CW50" t="s">
        <v>481</v>
      </c>
      <c r="CX50" t="s">
        <v>5662</v>
      </c>
      <c r="CY50" t="s">
        <v>335</v>
      </c>
      <c r="CZ50" t="s">
        <v>7824</v>
      </c>
      <c r="DA50" t="s">
        <v>289</v>
      </c>
      <c r="DB50" t="s">
        <v>8162</v>
      </c>
      <c r="DC50" t="s">
        <v>242</v>
      </c>
      <c r="DD50" t="s">
        <v>1787</v>
      </c>
      <c r="DF50" t="s">
        <v>3275</v>
      </c>
      <c r="DG50" t="s">
        <v>242</v>
      </c>
      <c r="DH50" t="s">
        <v>1049</v>
      </c>
    </row>
    <row r="51" spans="1:112" x14ac:dyDescent="0.35">
      <c r="A51" t="s">
        <v>6369</v>
      </c>
      <c r="B51" t="s">
        <v>8163</v>
      </c>
      <c r="C51" t="s">
        <v>6371</v>
      </c>
      <c r="D51" t="s">
        <v>8164</v>
      </c>
      <c r="E51" t="s">
        <v>6373</v>
      </c>
      <c r="F51" t="s">
        <v>8165</v>
      </c>
      <c r="G51" t="s">
        <v>28</v>
      </c>
      <c r="H51" t="s">
        <v>379</v>
      </c>
      <c r="I51" t="s">
        <v>6387</v>
      </c>
      <c r="J51" t="s">
        <v>8166</v>
      </c>
      <c r="L51" t="s">
        <v>8167</v>
      </c>
      <c r="M51" t="s">
        <v>18</v>
      </c>
      <c r="N51" t="s">
        <v>7586</v>
      </c>
      <c r="O51" t="s">
        <v>16</v>
      </c>
      <c r="P51" t="s">
        <v>8168</v>
      </c>
      <c r="Q51" t="s">
        <v>28</v>
      </c>
      <c r="R51" t="s">
        <v>8169</v>
      </c>
      <c r="S51" t="s">
        <v>6532</v>
      </c>
      <c r="T51" t="s">
        <v>8170</v>
      </c>
      <c r="U51" t="s">
        <v>242</v>
      </c>
      <c r="V51" t="s">
        <v>243</v>
      </c>
      <c r="W51" t="s">
        <v>242</v>
      </c>
      <c r="X51" t="s">
        <v>243</v>
      </c>
      <c r="Y51" t="s">
        <v>242</v>
      </c>
      <c r="Z51" t="s">
        <v>243</v>
      </c>
      <c r="AA51" t="s">
        <v>242</v>
      </c>
      <c r="AB51" t="s">
        <v>243</v>
      </c>
      <c r="AC51" t="s">
        <v>242</v>
      </c>
      <c r="AD51" t="s">
        <v>243</v>
      </c>
      <c r="AE51" t="s">
        <v>242</v>
      </c>
      <c r="AF51" t="s">
        <v>243</v>
      </c>
      <c r="AG51" t="s">
        <v>242</v>
      </c>
      <c r="AH51" t="s">
        <v>243</v>
      </c>
      <c r="AI51" t="s">
        <v>242</v>
      </c>
      <c r="AJ51" t="s">
        <v>243</v>
      </c>
      <c r="AK51" t="s">
        <v>242</v>
      </c>
      <c r="AL51" t="s">
        <v>243</v>
      </c>
      <c r="AM51" t="s">
        <v>242</v>
      </c>
      <c r="AN51" t="s">
        <v>243</v>
      </c>
      <c r="AO51" t="s">
        <v>242</v>
      </c>
      <c r="AP51" t="s">
        <v>243</v>
      </c>
      <c r="AQ51" t="s">
        <v>242</v>
      </c>
      <c r="AR51" t="s">
        <v>243</v>
      </c>
      <c r="AS51" t="s">
        <v>242</v>
      </c>
      <c r="AT51" t="s">
        <v>244</v>
      </c>
      <c r="AU51" t="s">
        <v>8171</v>
      </c>
      <c r="AV51" t="s">
        <v>8172</v>
      </c>
      <c r="AW51" t="s">
        <v>6400</v>
      </c>
      <c r="AX51" t="s">
        <v>8173</v>
      </c>
      <c r="AY51" t="s">
        <v>6401</v>
      </c>
      <c r="AZ51" t="s">
        <v>8174</v>
      </c>
      <c r="BA51" t="s">
        <v>242</v>
      </c>
      <c r="BB51" t="s">
        <v>8175</v>
      </c>
      <c r="BC51" t="s">
        <v>424</v>
      </c>
      <c r="BD51" t="s">
        <v>8176</v>
      </c>
      <c r="BE51" t="s">
        <v>274</v>
      </c>
      <c r="BF51" t="s">
        <v>8177</v>
      </c>
      <c r="BG51" t="s">
        <v>752</v>
      </c>
      <c r="BH51" t="s">
        <v>8178</v>
      </c>
      <c r="BI51" t="s">
        <v>952</v>
      </c>
      <c r="BJ51" t="s">
        <v>8179</v>
      </c>
      <c r="BK51" t="s">
        <v>252</v>
      </c>
      <c r="BL51" t="s">
        <v>8180</v>
      </c>
      <c r="BM51" t="s">
        <v>337</v>
      </c>
      <c r="BN51" t="s">
        <v>8181</v>
      </c>
      <c r="BO51" t="s">
        <v>528</v>
      </c>
      <c r="BP51" t="s">
        <v>8182</v>
      </c>
      <c r="BQ51" t="s">
        <v>952</v>
      </c>
      <c r="BR51" t="s">
        <v>8183</v>
      </c>
      <c r="BS51" t="s">
        <v>348</v>
      </c>
      <c r="BT51" t="s">
        <v>7516</v>
      </c>
      <c r="BU51" t="s">
        <v>731</v>
      </c>
      <c r="BV51" t="s">
        <v>8184</v>
      </c>
      <c r="BW51" t="s">
        <v>900</v>
      </c>
      <c r="BX51" t="s">
        <v>325</v>
      </c>
      <c r="BY51" t="s">
        <v>337</v>
      </c>
      <c r="BZ51" t="s">
        <v>8185</v>
      </c>
      <c r="CA51" t="s">
        <v>585</v>
      </c>
      <c r="CB51" t="s">
        <v>5394</v>
      </c>
      <c r="CC51" t="s">
        <v>685</v>
      </c>
      <c r="CD51" t="s">
        <v>8186</v>
      </c>
      <c r="CE51" t="s">
        <v>585</v>
      </c>
      <c r="CF51" t="s">
        <v>8187</v>
      </c>
      <c r="CG51" t="s">
        <v>451</v>
      </c>
      <c r="CH51" t="s">
        <v>363</v>
      </c>
      <c r="CI51" t="s">
        <v>348</v>
      </c>
      <c r="CJ51" t="s">
        <v>1847</v>
      </c>
      <c r="CK51" t="s">
        <v>952</v>
      </c>
      <c r="CL51" t="s">
        <v>8188</v>
      </c>
      <c r="CM51" t="s">
        <v>252</v>
      </c>
      <c r="CN51" t="s">
        <v>1159</v>
      </c>
      <c r="CO51" t="s">
        <v>451</v>
      </c>
      <c r="CP51" t="s">
        <v>6096</v>
      </c>
      <c r="CQ51" t="s">
        <v>397</v>
      </c>
      <c r="CR51" t="s">
        <v>8189</v>
      </c>
      <c r="CS51" t="s">
        <v>685</v>
      </c>
      <c r="CT51" t="s">
        <v>8190</v>
      </c>
      <c r="CU51" t="s">
        <v>696</v>
      </c>
      <c r="CV51" t="s">
        <v>3874</v>
      </c>
      <c r="CW51" t="s">
        <v>337</v>
      </c>
      <c r="CX51" t="s">
        <v>8191</v>
      </c>
      <c r="CY51" t="s">
        <v>259</v>
      </c>
      <c r="CZ51" t="s">
        <v>7378</v>
      </c>
      <c r="DA51" t="s">
        <v>395</v>
      </c>
      <c r="DB51" t="s">
        <v>8192</v>
      </c>
      <c r="DC51" t="s">
        <v>242</v>
      </c>
      <c r="DD51" t="s">
        <v>8193</v>
      </c>
      <c r="DF51" t="s">
        <v>8194</v>
      </c>
      <c r="DG51" t="s">
        <v>242</v>
      </c>
      <c r="DH51" t="s">
        <v>8195</v>
      </c>
    </row>
    <row r="52" spans="1:112" x14ac:dyDescent="0.35">
      <c r="A52" t="s">
        <v>6369</v>
      </c>
      <c r="B52" t="s">
        <v>8196</v>
      </c>
      <c r="C52" t="s">
        <v>6371</v>
      </c>
      <c r="D52" t="s">
        <v>8197</v>
      </c>
      <c r="E52" t="s">
        <v>6373</v>
      </c>
      <c r="F52" t="s">
        <v>8198</v>
      </c>
      <c r="G52" t="s">
        <v>28</v>
      </c>
      <c r="H52" t="s">
        <v>8199</v>
      </c>
      <c r="I52" t="s">
        <v>6387</v>
      </c>
      <c r="J52" t="s">
        <v>1536</v>
      </c>
      <c r="L52" t="s">
        <v>8200</v>
      </c>
      <c r="M52" t="s">
        <v>18</v>
      </c>
      <c r="N52" t="s">
        <v>3928</v>
      </c>
      <c r="O52" t="s">
        <v>16</v>
      </c>
      <c r="P52" t="s">
        <v>8201</v>
      </c>
      <c r="Q52" t="s">
        <v>28</v>
      </c>
      <c r="R52" t="s">
        <v>8202</v>
      </c>
      <c r="S52" t="s">
        <v>6532</v>
      </c>
      <c r="T52" t="s">
        <v>239</v>
      </c>
      <c r="U52" t="s">
        <v>242</v>
      </c>
      <c r="V52" t="s">
        <v>243</v>
      </c>
      <c r="W52" t="s">
        <v>242</v>
      </c>
      <c r="X52" t="s">
        <v>243</v>
      </c>
      <c r="Y52" t="s">
        <v>242</v>
      </c>
      <c r="Z52" t="s">
        <v>243</v>
      </c>
      <c r="AA52" t="s">
        <v>242</v>
      </c>
      <c r="AB52" t="s">
        <v>243</v>
      </c>
      <c r="AC52" t="s">
        <v>242</v>
      </c>
      <c r="AD52" t="s">
        <v>243</v>
      </c>
      <c r="AE52" t="s">
        <v>242</v>
      </c>
      <c r="AF52" t="s">
        <v>243</v>
      </c>
      <c r="AG52" t="s">
        <v>242</v>
      </c>
      <c r="AH52" t="s">
        <v>243</v>
      </c>
      <c r="AI52" t="s">
        <v>242</v>
      </c>
      <c r="AJ52" t="s">
        <v>243</v>
      </c>
      <c r="AK52" t="s">
        <v>242</v>
      </c>
      <c r="AL52" t="s">
        <v>243</v>
      </c>
      <c r="AM52" t="s">
        <v>242</v>
      </c>
      <c r="AN52" t="s">
        <v>243</v>
      </c>
      <c r="AO52" t="s">
        <v>242</v>
      </c>
      <c r="AP52" t="s">
        <v>243</v>
      </c>
      <c r="AQ52" t="s">
        <v>242</v>
      </c>
      <c r="AR52" t="s">
        <v>243</v>
      </c>
      <c r="AS52" t="s">
        <v>242</v>
      </c>
      <c r="AT52" t="s">
        <v>244</v>
      </c>
      <c r="AU52" t="s">
        <v>8203</v>
      </c>
      <c r="AV52" t="s">
        <v>8204</v>
      </c>
      <c r="AW52" t="s">
        <v>6400</v>
      </c>
      <c r="AX52" t="s">
        <v>8205</v>
      </c>
      <c r="AY52" t="s">
        <v>6401</v>
      </c>
      <c r="AZ52" t="s">
        <v>8206</v>
      </c>
      <c r="BA52" t="s">
        <v>242</v>
      </c>
      <c r="BB52" t="s">
        <v>8207</v>
      </c>
      <c r="BC52" t="s">
        <v>271</v>
      </c>
      <c r="BD52" t="s">
        <v>8208</v>
      </c>
      <c r="BE52" t="s">
        <v>1131</v>
      </c>
      <c r="BF52" t="s">
        <v>8209</v>
      </c>
      <c r="BG52" t="s">
        <v>289</v>
      </c>
      <c r="BH52" t="s">
        <v>8210</v>
      </c>
      <c r="BI52" t="s">
        <v>476</v>
      </c>
      <c r="BJ52" t="s">
        <v>8211</v>
      </c>
      <c r="BK52" t="s">
        <v>291</v>
      </c>
      <c r="BL52" t="s">
        <v>2639</v>
      </c>
      <c r="BM52" t="s">
        <v>274</v>
      </c>
      <c r="BN52" t="s">
        <v>7443</v>
      </c>
      <c r="BO52" t="s">
        <v>519</v>
      </c>
      <c r="BP52" t="s">
        <v>8212</v>
      </c>
      <c r="BQ52" t="s">
        <v>476</v>
      </c>
      <c r="BR52" t="s">
        <v>8213</v>
      </c>
      <c r="BS52" t="s">
        <v>367</v>
      </c>
      <c r="BT52" t="s">
        <v>8214</v>
      </c>
      <c r="BU52" t="s">
        <v>289</v>
      </c>
      <c r="BV52" t="s">
        <v>8215</v>
      </c>
      <c r="BW52" t="s">
        <v>367</v>
      </c>
      <c r="BX52" t="s">
        <v>3481</v>
      </c>
      <c r="BY52" t="s">
        <v>274</v>
      </c>
      <c r="BZ52" t="s">
        <v>7152</v>
      </c>
      <c r="CA52" t="s">
        <v>900</v>
      </c>
      <c r="CB52" t="s">
        <v>8216</v>
      </c>
      <c r="CC52" t="s">
        <v>405</v>
      </c>
      <c r="CD52" t="s">
        <v>8217</v>
      </c>
      <c r="CE52" t="s">
        <v>397</v>
      </c>
      <c r="CF52" t="s">
        <v>8218</v>
      </c>
      <c r="CG52" t="s">
        <v>698</v>
      </c>
      <c r="CH52" t="s">
        <v>8219</v>
      </c>
      <c r="CI52" t="s">
        <v>335</v>
      </c>
      <c r="CJ52" t="s">
        <v>8220</v>
      </c>
      <c r="CK52" t="s">
        <v>395</v>
      </c>
      <c r="CL52" t="s">
        <v>2476</v>
      </c>
      <c r="CM52" t="s">
        <v>416</v>
      </c>
      <c r="CN52" t="s">
        <v>8221</v>
      </c>
      <c r="CO52" t="s">
        <v>473</v>
      </c>
      <c r="CP52" t="s">
        <v>8222</v>
      </c>
      <c r="CQ52" t="s">
        <v>595</v>
      </c>
      <c r="CR52" t="s">
        <v>2326</v>
      </c>
      <c r="CS52" t="s">
        <v>532</v>
      </c>
      <c r="CT52" t="s">
        <v>8223</v>
      </c>
      <c r="CU52" t="s">
        <v>351</v>
      </c>
      <c r="CV52" t="s">
        <v>8035</v>
      </c>
      <c r="CW52" t="s">
        <v>271</v>
      </c>
      <c r="CX52" t="s">
        <v>8224</v>
      </c>
      <c r="CY52" t="s">
        <v>360</v>
      </c>
      <c r="CZ52" t="s">
        <v>4816</v>
      </c>
      <c r="DA52" t="s">
        <v>454</v>
      </c>
      <c r="DB52" t="s">
        <v>8225</v>
      </c>
      <c r="DC52" t="s">
        <v>242</v>
      </c>
      <c r="DD52" t="s">
        <v>8226</v>
      </c>
      <c r="DF52" t="s">
        <v>7682</v>
      </c>
      <c r="DG52" t="s">
        <v>242</v>
      </c>
      <c r="DH52" t="s">
        <v>8227</v>
      </c>
    </row>
    <row r="53" spans="1:112" x14ac:dyDescent="0.35">
      <c r="A53" t="s">
        <v>6369</v>
      </c>
      <c r="B53" t="s">
        <v>8228</v>
      </c>
      <c r="C53" t="s">
        <v>6371</v>
      </c>
      <c r="D53" t="s">
        <v>8229</v>
      </c>
      <c r="E53" t="s">
        <v>6373</v>
      </c>
      <c r="F53" t="s">
        <v>4300</v>
      </c>
      <c r="G53" t="s">
        <v>28</v>
      </c>
      <c r="H53" t="s">
        <v>8230</v>
      </c>
      <c r="I53" t="s">
        <v>6387</v>
      </c>
      <c r="J53" t="s">
        <v>8212</v>
      </c>
      <c r="L53" t="s">
        <v>8231</v>
      </c>
      <c r="M53" t="s">
        <v>18</v>
      </c>
      <c r="N53" t="s">
        <v>2290</v>
      </c>
      <c r="O53" t="s">
        <v>16</v>
      </c>
      <c r="P53" t="s">
        <v>1037</v>
      </c>
      <c r="Q53" t="s">
        <v>28</v>
      </c>
      <c r="R53" t="s">
        <v>8232</v>
      </c>
      <c r="S53" t="s">
        <v>6532</v>
      </c>
      <c r="T53" t="s">
        <v>8233</v>
      </c>
      <c r="U53" t="s">
        <v>242</v>
      </c>
      <c r="V53" t="s">
        <v>243</v>
      </c>
      <c r="W53" t="s">
        <v>242</v>
      </c>
      <c r="X53" t="s">
        <v>243</v>
      </c>
      <c r="Y53" t="s">
        <v>242</v>
      </c>
      <c r="Z53" t="s">
        <v>243</v>
      </c>
      <c r="AA53" t="s">
        <v>242</v>
      </c>
      <c r="AB53" t="s">
        <v>243</v>
      </c>
      <c r="AC53" t="s">
        <v>242</v>
      </c>
      <c r="AD53" t="s">
        <v>243</v>
      </c>
      <c r="AE53" t="s">
        <v>242</v>
      </c>
      <c r="AF53" t="s">
        <v>243</v>
      </c>
      <c r="AG53" t="s">
        <v>242</v>
      </c>
      <c r="AH53" t="s">
        <v>243</v>
      </c>
      <c r="AI53" t="s">
        <v>242</v>
      </c>
      <c r="AJ53" t="s">
        <v>243</v>
      </c>
      <c r="AK53" t="s">
        <v>242</v>
      </c>
      <c r="AL53" t="s">
        <v>243</v>
      </c>
      <c r="AM53" t="s">
        <v>242</v>
      </c>
      <c r="AN53" t="s">
        <v>243</v>
      </c>
      <c r="AO53" t="s">
        <v>242</v>
      </c>
      <c r="AP53" t="s">
        <v>243</v>
      </c>
      <c r="AQ53" t="s">
        <v>242</v>
      </c>
      <c r="AR53" t="s">
        <v>243</v>
      </c>
      <c r="AS53" t="s">
        <v>242</v>
      </c>
      <c r="AT53" t="s">
        <v>244</v>
      </c>
      <c r="AU53" t="s">
        <v>7085</v>
      </c>
      <c r="AV53" t="s">
        <v>8234</v>
      </c>
      <c r="AW53" t="s">
        <v>6400</v>
      </c>
      <c r="AX53" t="s">
        <v>3671</v>
      </c>
      <c r="AY53" t="s">
        <v>6401</v>
      </c>
      <c r="AZ53" t="s">
        <v>8235</v>
      </c>
      <c r="BA53" t="s">
        <v>242</v>
      </c>
      <c r="BB53" t="s">
        <v>8236</v>
      </c>
      <c r="BC53" t="s">
        <v>268</v>
      </c>
      <c r="BD53" t="s">
        <v>5558</v>
      </c>
      <c r="BE53" t="s">
        <v>685</v>
      </c>
      <c r="BF53" t="s">
        <v>8237</v>
      </c>
      <c r="BG53" t="s">
        <v>473</v>
      </c>
      <c r="BH53" t="s">
        <v>8238</v>
      </c>
      <c r="BI53" t="s">
        <v>293</v>
      </c>
      <c r="BJ53" t="s">
        <v>8239</v>
      </c>
      <c r="BK53" t="s">
        <v>542</v>
      </c>
      <c r="BL53" t="s">
        <v>8240</v>
      </c>
      <c r="BM53" t="s">
        <v>337</v>
      </c>
      <c r="BN53" t="s">
        <v>8241</v>
      </c>
      <c r="BO53" t="s">
        <v>414</v>
      </c>
      <c r="BP53" t="s">
        <v>8242</v>
      </c>
      <c r="BQ53" t="s">
        <v>1091</v>
      </c>
      <c r="BR53" t="s">
        <v>8243</v>
      </c>
      <c r="BS53" t="s">
        <v>752</v>
      </c>
      <c r="BT53" t="s">
        <v>7624</v>
      </c>
      <c r="BU53" t="s">
        <v>1091</v>
      </c>
      <c r="BV53" t="s">
        <v>3597</v>
      </c>
      <c r="BW53" t="s">
        <v>397</v>
      </c>
      <c r="BX53" t="s">
        <v>8244</v>
      </c>
      <c r="BY53" t="s">
        <v>952</v>
      </c>
      <c r="BZ53" t="s">
        <v>8245</v>
      </c>
      <c r="CA53" t="s">
        <v>335</v>
      </c>
      <c r="CB53" t="s">
        <v>8246</v>
      </c>
      <c r="CC53" t="s">
        <v>476</v>
      </c>
      <c r="CD53" t="s">
        <v>8247</v>
      </c>
      <c r="CE53" t="s">
        <v>696</v>
      </c>
      <c r="CF53" t="s">
        <v>8248</v>
      </c>
      <c r="CG53" t="s">
        <v>274</v>
      </c>
      <c r="CH53" t="s">
        <v>5801</v>
      </c>
      <c r="CI53" t="s">
        <v>397</v>
      </c>
      <c r="CJ53" t="s">
        <v>8249</v>
      </c>
      <c r="CK53" t="s">
        <v>698</v>
      </c>
      <c r="CL53" t="s">
        <v>2167</v>
      </c>
      <c r="CM53" t="s">
        <v>351</v>
      </c>
      <c r="CN53" t="s">
        <v>8250</v>
      </c>
      <c r="CO53" t="s">
        <v>395</v>
      </c>
      <c r="CP53" t="s">
        <v>8251</v>
      </c>
      <c r="CQ53" t="s">
        <v>339</v>
      </c>
      <c r="CR53" t="s">
        <v>8252</v>
      </c>
      <c r="CS53" t="s">
        <v>473</v>
      </c>
      <c r="CT53" t="s">
        <v>8253</v>
      </c>
      <c r="CU53" t="s">
        <v>335</v>
      </c>
      <c r="CV53" t="s">
        <v>3351</v>
      </c>
      <c r="CW53" t="s">
        <v>274</v>
      </c>
      <c r="CX53" t="s">
        <v>8254</v>
      </c>
      <c r="CY53" t="s">
        <v>335</v>
      </c>
      <c r="CZ53" t="s">
        <v>7362</v>
      </c>
      <c r="DA53" t="s">
        <v>473</v>
      </c>
      <c r="DB53" t="s">
        <v>8255</v>
      </c>
      <c r="DC53" t="s">
        <v>242</v>
      </c>
      <c r="DD53" t="s">
        <v>2165</v>
      </c>
      <c r="DF53" t="s">
        <v>8256</v>
      </c>
      <c r="DG53" t="s">
        <v>242</v>
      </c>
      <c r="DH53" t="s">
        <v>7594</v>
      </c>
    </row>
    <row r="54" spans="1:112" x14ac:dyDescent="0.35">
      <c r="A54" t="s">
        <v>6369</v>
      </c>
      <c r="B54" t="s">
        <v>8257</v>
      </c>
      <c r="C54" t="s">
        <v>6371</v>
      </c>
      <c r="D54" t="s">
        <v>2173</v>
      </c>
      <c r="E54" t="s">
        <v>6373</v>
      </c>
      <c r="F54" t="s">
        <v>8258</v>
      </c>
      <c r="G54" t="s">
        <v>28</v>
      </c>
      <c r="H54" t="s">
        <v>8259</v>
      </c>
      <c r="I54" t="s">
        <v>6387</v>
      </c>
      <c r="J54" t="s">
        <v>8260</v>
      </c>
      <c r="L54" t="s">
        <v>8261</v>
      </c>
      <c r="M54" t="s">
        <v>18</v>
      </c>
      <c r="N54" t="s">
        <v>8262</v>
      </c>
      <c r="O54" t="s">
        <v>16</v>
      </c>
      <c r="P54" t="s">
        <v>8263</v>
      </c>
      <c r="Q54" t="s">
        <v>28</v>
      </c>
      <c r="R54" t="s">
        <v>2291</v>
      </c>
      <c r="S54" t="s">
        <v>6532</v>
      </c>
      <c r="T54" t="s">
        <v>8264</v>
      </c>
      <c r="U54" t="s">
        <v>242</v>
      </c>
      <c r="V54" t="s">
        <v>243</v>
      </c>
      <c r="W54" t="s">
        <v>242</v>
      </c>
      <c r="X54" t="s">
        <v>243</v>
      </c>
      <c r="Y54" t="s">
        <v>242</v>
      </c>
      <c r="Z54" t="s">
        <v>243</v>
      </c>
      <c r="AA54" t="s">
        <v>242</v>
      </c>
      <c r="AB54" t="s">
        <v>243</v>
      </c>
      <c r="AC54" t="s">
        <v>242</v>
      </c>
      <c r="AD54" t="s">
        <v>243</v>
      </c>
      <c r="AE54" t="s">
        <v>242</v>
      </c>
      <c r="AF54" t="s">
        <v>243</v>
      </c>
      <c r="AG54" t="s">
        <v>242</v>
      </c>
      <c r="AH54" t="s">
        <v>243</v>
      </c>
      <c r="AI54" t="s">
        <v>242</v>
      </c>
      <c r="AJ54" t="s">
        <v>243</v>
      </c>
      <c r="AK54" t="s">
        <v>242</v>
      </c>
      <c r="AL54" t="s">
        <v>243</v>
      </c>
      <c r="AM54" t="s">
        <v>242</v>
      </c>
      <c r="AN54" t="s">
        <v>243</v>
      </c>
      <c r="AO54" t="s">
        <v>242</v>
      </c>
      <c r="AP54" t="s">
        <v>243</v>
      </c>
      <c r="AQ54" t="s">
        <v>242</v>
      </c>
      <c r="AR54" t="s">
        <v>243</v>
      </c>
      <c r="AS54" t="s">
        <v>242</v>
      </c>
      <c r="AT54" t="s">
        <v>244</v>
      </c>
      <c r="AU54" t="s">
        <v>8265</v>
      </c>
      <c r="AV54" t="s">
        <v>8266</v>
      </c>
      <c r="AW54" t="s">
        <v>6400</v>
      </c>
      <c r="AX54" t="s">
        <v>5814</v>
      </c>
      <c r="AY54" t="s">
        <v>6401</v>
      </c>
      <c r="AZ54" t="s">
        <v>8267</v>
      </c>
      <c r="BA54" t="s">
        <v>242</v>
      </c>
      <c r="BB54" t="s">
        <v>8268</v>
      </c>
      <c r="BC54" t="s">
        <v>421</v>
      </c>
      <c r="BD54" t="s">
        <v>3213</v>
      </c>
      <c r="BE54" t="s">
        <v>476</v>
      </c>
      <c r="BF54" t="s">
        <v>8269</v>
      </c>
      <c r="BG54" t="s">
        <v>351</v>
      </c>
      <c r="BH54" t="s">
        <v>8270</v>
      </c>
      <c r="BI54" t="s">
        <v>295</v>
      </c>
      <c r="BJ54" t="s">
        <v>4749</v>
      </c>
      <c r="BK54" t="s">
        <v>779</v>
      </c>
      <c r="BL54" t="s">
        <v>7480</v>
      </c>
      <c r="BM54" t="s">
        <v>337</v>
      </c>
      <c r="BN54" t="s">
        <v>8271</v>
      </c>
      <c r="BO54" t="s">
        <v>356</v>
      </c>
      <c r="BP54" t="s">
        <v>8272</v>
      </c>
      <c r="BQ54" t="s">
        <v>337</v>
      </c>
      <c r="BR54" t="s">
        <v>7479</v>
      </c>
      <c r="BS54" t="s">
        <v>287</v>
      </c>
      <c r="BT54" t="s">
        <v>8273</v>
      </c>
      <c r="BU54" t="s">
        <v>479</v>
      </c>
      <c r="BV54" t="s">
        <v>4978</v>
      </c>
      <c r="BW54" t="s">
        <v>339</v>
      </c>
      <c r="BX54" t="s">
        <v>8274</v>
      </c>
      <c r="BY54" t="s">
        <v>1131</v>
      </c>
      <c r="BZ54" t="s">
        <v>8275</v>
      </c>
      <c r="CA54" t="s">
        <v>348</v>
      </c>
      <c r="CB54" t="s">
        <v>8276</v>
      </c>
      <c r="CC54" t="s">
        <v>451</v>
      </c>
      <c r="CD54" t="s">
        <v>8277</v>
      </c>
      <c r="CE54" t="s">
        <v>528</v>
      </c>
      <c r="CF54" t="s">
        <v>6005</v>
      </c>
      <c r="CG54" t="s">
        <v>1131</v>
      </c>
      <c r="CH54" t="s">
        <v>8278</v>
      </c>
      <c r="CI54" t="s">
        <v>356</v>
      </c>
      <c r="CJ54" t="s">
        <v>8279</v>
      </c>
      <c r="CK54" t="s">
        <v>411</v>
      </c>
      <c r="CL54" t="s">
        <v>1763</v>
      </c>
      <c r="CM54" t="s">
        <v>287</v>
      </c>
      <c r="CN54" t="s">
        <v>4517</v>
      </c>
      <c r="CO54" t="s">
        <v>254</v>
      </c>
      <c r="CP54" t="s">
        <v>8280</v>
      </c>
      <c r="CQ54" t="s">
        <v>595</v>
      </c>
      <c r="CR54" t="s">
        <v>8281</v>
      </c>
      <c r="CS54" t="s">
        <v>688</v>
      </c>
      <c r="CT54" t="s">
        <v>8282</v>
      </c>
      <c r="CU54" t="s">
        <v>416</v>
      </c>
      <c r="CV54" t="s">
        <v>8283</v>
      </c>
      <c r="CW54" t="s">
        <v>698</v>
      </c>
      <c r="CX54" t="s">
        <v>3378</v>
      </c>
      <c r="CY54" t="s">
        <v>335</v>
      </c>
      <c r="CZ54" t="s">
        <v>5471</v>
      </c>
      <c r="DA54" t="s">
        <v>698</v>
      </c>
      <c r="DB54" t="s">
        <v>1098</v>
      </c>
      <c r="DC54" t="s">
        <v>242</v>
      </c>
      <c r="DD54" t="s">
        <v>8284</v>
      </c>
      <c r="DF54" t="s">
        <v>8285</v>
      </c>
      <c r="DG54" t="s">
        <v>242</v>
      </c>
      <c r="DH54" t="s">
        <v>8286</v>
      </c>
    </row>
    <row r="55" spans="1:112" x14ac:dyDescent="0.35">
      <c r="A55" t="s">
        <v>6369</v>
      </c>
      <c r="B55" t="s">
        <v>8287</v>
      </c>
      <c r="C55" t="s">
        <v>6371</v>
      </c>
      <c r="D55" t="s">
        <v>8288</v>
      </c>
      <c r="E55" t="s">
        <v>6373</v>
      </c>
      <c r="F55" t="s">
        <v>8289</v>
      </c>
      <c r="G55" t="s">
        <v>28</v>
      </c>
      <c r="H55" t="s">
        <v>8290</v>
      </c>
      <c r="I55" t="s">
        <v>6387</v>
      </c>
      <c r="J55" t="s">
        <v>8291</v>
      </c>
      <c r="L55" t="s">
        <v>5927</v>
      </c>
      <c r="M55" t="s">
        <v>18</v>
      </c>
      <c r="N55" t="s">
        <v>8292</v>
      </c>
      <c r="O55" t="s">
        <v>17</v>
      </c>
      <c r="P55" t="s">
        <v>8293</v>
      </c>
      <c r="Q55" t="s">
        <v>28</v>
      </c>
      <c r="R55" t="s">
        <v>5727</v>
      </c>
      <c r="S55" t="s">
        <v>6391</v>
      </c>
      <c r="T55" t="s">
        <v>8294</v>
      </c>
      <c r="U55" t="s">
        <v>29</v>
      </c>
      <c r="V55" t="s">
        <v>8295</v>
      </c>
      <c r="W55" t="s">
        <v>29</v>
      </c>
      <c r="X55" t="s">
        <v>359</v>
      </c>
      <c r="Y55" t="s">
        <v>242</v>
      </c>
      <c r="Z55" t="s">
        <v>243</v>
      </c>
      <c r="AA55" t="s">
        <v>33</v>
      </c>
      <c r="AB55" t="s">
        <v>244</v>
      </c>
      <c r="AC55" t="s">
        <v>6438</v>
      </c>
      <c r="AD55" t="s">
        <v>4117</v>
      </c>
      <c r="AE55" t="s">
        <v>6440</v>
      </c>
      <c r="AF55" t="s">
        <v>8296</v>
      </c>
      <c r="AG55" t="s">
        <v>28</v>
      </c>
      <c r="AH55" t="s">
        <v>8297</v>
      </c>
      <c r="AI55" t="s">
        <v>6494</v>
      </c>
      <c r="AJ55" t="s">
        <v>8298</v>
      </c>
      <c r="AK55" t="s">
        <v>8299</v>
      </c>
      <c r="AL55" t="s">
        <v>8300</v>
      </c>
      <c r="AM55" t="s">
        <v>8301</v>
      </c>
      <c r="AN55" t="s">
        <v>8302</v>
      </c>
      <c r="AO55" t="s">
        <v>4254</v>
      </c>
      <c r="AP55" t="s">
        <v>8303</v>
      </c>
      <c r="AQ55" t="s">
        <v>32</v>
      </c>
      <c r="AR55" t="s">
        <v>8232</v>
      </c>
      <c r="AS55" t="s">
        <v>242</v>
      </c>
      <c r="AT55" t="s">
        <v>8304</v>
      </c>
      <c r="AU55" t="s">
        <v>6398</v>
      </c>
      <c r="AV55" t="s">
        <v>8305</v>
      </c>
      <c r="AW55" t="s">
        <v>6400</v>
      </c>
      <c r="AX55" t="s">
        <v>8306</v>
      </c>
      <c r="AY55" t="s">
        <v>6401</v>
      </c>
      <c r="AZ55" t="s">
        <v>8307</v>
      </c>
      <c r="BA55" t="s">
        <v>242</v>
      </c>
      <c r="BB55" t="s">
        <v>8308</v>
      </c>
      <c r="BC55" t="s">
        <v>360</v>
      </c>
      <c r="BD55" t="s">
        <v>686</v>
      </c>
      <c r="BE55" t="s">
        <v>254</v>
      </c>
      <c r="BF55" t="s">
        <v>8309</v>
      </c>
      <c r="BG55" t="s">
        <v>360</v>
      </c>
      <c r="BH55" t="s">
        <v>8310</v>
      </c>
      <c r="BI55" t="s">
        <v>254</v>
      </c>
      <c r="BJ55" t="s">
        <v>8311</v>
      </c>
      <c r="BK55" t="s">
        <v>287</v>
      </c>
      <c r="BL55" t="s">
        <v>8312</v>
      </c>
      <c r="BM55" t="s">
        <v>271</v>
      </c>
      <c r="BN55" t="s">
        <v>8313</v>
      </c>
      <c r="BO55" t="s">
        <v>397</v>
      </c>
      <c r="BP55" t="s">
        <v>4692</v>
      </c>
      <c r="BQ55" t="s">
        <v>271</v>
      </c>
      <c r="BR55" t="s">
        <v>8314</v>
      </c>
      <c r="BS55" t="s">
        <v>351</v>
      </c>
      <c r="BT55" t="s">
        <v>5269</v>
      </c>
      <c r="BU55" t="s">
        <v>532</v>
      </c>
      <c r="BV55" t="s">
        <v>8315</v>
      </c>
      <c r="BW55" t="s">
        <v>339</v>
      </c>
      <c r="BX55" t="s">
        <v>8316</v>
      </c>
      <c r="BY55" t="s">
        <v>575</v>
      </c>
      <c r="BZ55" t="s">
        <v>8317</v>
      </c>
      <c r="CA55" t="s">
        <v>752</v>
      </c>
      <c r="CB55" t="s">
        <v>8318</v>
      </c>
      <c r="CC55" t="s">
        <v>575</v>
      </c>
      <c r="CD55" t="s">
        <v>8319</v>
      </c>
      <c r="CE55" t="s">
        <v>752</v>
      </c>
      <c r="CF55" t="s">
        <v>8320</v>
      </c>
      <c r="CG55" t="s">
        <v>532</v>
      </c>
      <c r="CH55" t="s">
        <v>8321</v>
      </c>
      <c r="CI55" t="s">
        <v>287</v>
      </c>
      <c r="CJ55" t="s">
        <v>8322</v>
      </c>
      <c r="CK55" t="s">
        <v>261</v>
      </c>
      <c r="CL55" t="s">
        <v>6088</v>
      </c>
      <c r="CM55" t="s">
        <v>900</v>
      </c>
      <c r="CN55" t="s">
        <v>8323</v>
      </c>
      <c r="CO55" t="s">
        <v>575</v>
      </c>
      <c r="CP55" t="s">
        <v>8324</v>
      </c>
      <c r="CQ55" t="s">
        <v>900</v>
      </c>
      <c r="CR55" t="s">
        <v>8325</v>
      </c>
      <c r="CS55" t="s">
        <v>414</v>
      </c>
      <c r="CT55" t="s">
        <v>8326</v>
      </c>
      <c r="CU55" t="s">
        <v>287</v>
      </c>
      <c r="CV55" t="s">
        <v>2705</v>
      </c>
      <c r="CW55" t="s">
        <v>542</v>
      </c>
      <c r="CX55" t="s">
        <v>3325</v>
      </c>
      <c r="CY55" t="s">
        <v>287</v>
      </c>
      <c r="CZ55" t="s">
        <v>8327</v>
      </c>
      <c r="DA55" t="s">
        <v>408</v>
      </c>
      <c r="DB55" t="s">
        <v>6230</v>
      </c>
      <c r="DC55" t="s">
        <v>242</v>
      </c>
      <c r="DD55" t="s">
        <v>4617</v>
      </c>
      <c r="DF55" t="s">
        <v>3651</v>
      </c>
      <c r="DG55" t="s">
        <v>242</v>
      </c>
      <c r="DH55" t="s">
        <v>8328</v>
      </c>
    </row>
    <row r="56" spans="1:112" x14ac:dyDescent="0.35">
      <c r="A56" t="s">
        <v>6369</v>
      </c>
      <c r="B56" t="s">
        <v>8329</v>
      </c>
      <c r="C56" t="s">
        <v>6371</v>
      </c>
      <c r="D56" t="s">
        <v>8330</v>
      </c>
      <c r="E56" t="s">
        <v>6373</v>
      </c>
      <c r="F56" t="s">
        <v>8331</v>
      </c>
      <c r="G56" t="s">
        <v>28</v>
      </c>
      <c r="H56" t="s">
        <v>6623</v>
      </c>
      <c r="I56" t="s">
        <v>6387</v>
      </c>
      <c r="J56" t="s">
        <v>8332</v>
      </c>
      <c r="L56" t="s">
        <v>8333</v>
      </c>
      <c r="M56" t="s">
        <v>18</v>
      </c>
      <c r="N56" t="s">
        <v>8334</v>
      </c>
      <c r="O56" t="s">
        <v>17</v>
      </c>
      <c r="P56" t="s">
        <v>8335</v>
      </c>
      <c r="Q56" t="s">
        <v>28</v>
      </c>
      <c r="R56" t="s">
        <v>8336</v>
      </c>
      <c r="S56" t="s">
        <v>6391</v>
      </c>
      <c r="T56" t="s">
        <v>8291</v>
      </c>
      <c r="U56" t="s">
        <v>29</v>
      </c>
      <c r="V56" t="s">
        <v>7685</v>
      </c>
      <c r="W56" t="s">
        <v>29</v>
      </c>
      <c r="X56" t="s">
        <v>8337</v>
      </c>
      <c r="Y56" t="s">
        <v>242</v>
      </c>
      <c r="Z56" t="s">
        <v>243</v>
      </c>
      <c r="AA56" t="s">
        <v>33</v>
      </c>
      <c r="AB56" t="s">
        <v>244</v>
      </c>
      <c r="AC56" t="s">
        <v>7076</v>
      </c>
      <c r="AD56" t="s">
        <v>5815</v>
      </c>
      <c r="AE56" t="s">
        <v>6440</v>
      </c>
      <c r="AF56" t="s">
        <v>8338</v>
      </c>
      <c r="AG56" t="s">
        <v>28</v>
      </c>
      <c r="AH56" t="s">
        <v>8339</v>
      </c>
      <c r="AI56" t="s">
        <v>6494</v>
      </c>
      <c r="AJ56" t="s">
        <v>8340</v>
      </c>
      <c r="AK56" t="s">
        <v>8341</v>
      </c>
      <c r="AL56" t="s">
        <v>8342</v>
      </c>
      <c r="AM56" t="s">
        <v>8343</v>
      </c>
      <c r="AN56" t="s">
        <v>8344</v>
      </c>
      <c r="AO56" t="s">
        <v>4254</v>
      </c>
      <c r="AP56" t="s">
        <v>8345</v>
      </c>
      <c r="AQ56" t="s">
        <v>32</v>
      </c>
      <c r="AR56" t="s">
        <v>8346</v>
      </c>
      <c r="AS56" t="s">
        <v>242</v>
      </c>
      <c r="AT56" t="s">
        <v>7593</v>
      </c>
      <c r="AU56" t="s">
        <v>8347</v>
      </c>
      <c r="AV56" t="s">
        <v>8348</v>
      </c>
      <c r="AW56" t="s">
        <v>6400</v>
      </c>
      <c r="AX56" t="s">
        <v>4384</v>
      </c>
      <c r="AY56" t="s">
        <v>6401</v>
      </c>
      <c r="AZ56" t="s">
        <v>8349</v>
      </c>
      <c r="BA56" t="s">
        <v>242</v>
      </c>
      <c r="BB56" t="s">
        <v>8350</v>
      </c>
      <c r="BC56" t="s">
        <v>542</v>
      </c>
      <c r="BD56" t="s">
        <v>8351</v>
      </c>
      <c r="BE56" t="s">
        <v>271</v>
      </c>
      <c r="BF56" t="s">
        <v>8352</v>
      </c>
      <c r="BG56" t="s">
        <v>538</v>
      </c>
      <c r="BH56" t="s">
        <v>2024</v>
      </c>
      <c r="BI56" t="s">
        <v>467</v>
      </c>
      <c r="BJ56" t="s">
        <v>8353</v>
      </c>
      <c r="BK56" t="s">
        <v>538</v>
      </c>
      <c r="BL56" t="s">
        <v>8354</v>
      </c>
      <c r="BM56" t="s">
        <v>414</v>
      </c>
      <c r="BN56" t="s">
        <v>8355</v>
      </c>
      <c r="BO56" t="s">
        <v>397</v>
      </c>
      <c r="BP56" t="s">
        <v>8356</v>
      </c>
      <c r="BQ56" t="s">
        <v>365</v>
      </c>
      <c r="BR56" t="s">
        <v>944</v>
      </c>
      <c r="BS56" t="s">
        <v>595</v>
      </c>
      <c r="BT56" t="s">
        <v>8357</v>
      </c>
      <c r="BU56" t="s">
        <v>421</v>
      </c>
      <c r="BV56" t="s">
        <v>8358</v>
      </c>
      <c r="BW56" t="s">
        <v>342</v>
      </c>
      <c r="BX56" t="s">
        <v>8359</v>
      </c>
      <c r="BY56" t="s">
        <v>595</v>
      </c>
      <c r="BZ56" t="s">
        <v>8360</v>
      </c>
      <c r="CA56" t="s">
        <v>339</v>
      </c>
      <c r="CB56" t="s">
        <v>8361</v>
      </c>
      <c r="CC56" t="s">
        <v>287</v>
      </c>
      <c r="CD56" t="s">
        <v>8362</v>
      </c>
      <c r="CE56" t="s">
        <v>528</v>
      </c>
      <c r="CF56" t="s">
        <v>1104</v>
      </c>
      <c r="CG56" t="s">
        <v>416</v>
      </c>
      <c r="CH56" t="s">
        <v>8363</v>
      </c>
      <c r="CI56" t="s">
        <v>528</v>
      </c>
      <c r="CJ56" t="s">
        <v>4118</v>
      </c>
      <c r="CK56" t="s">
        <v>356</v>
      </c>
      <c r="CL56" t="s">
        <v>6126</v>
      </c>
      <c r="CM56" t="s">
        <v>528</v>
      </c>
      <c r="CN56" t="s">
        <v>4099</v>
      </c>
      <c r="CO56" t="s">
        <v>416</v>
      </c>
      <c r="CP56" t="s">
        <v>2407</v>
      </c>
      <c r="CQ56" t="s">
        <v>469</v>
      </c>
      <c r="CR56" t="s">
        <v>8364</v>
      </c>
      <c r="CS56" t="s">
        <v>399</v>
      </c>
      <c r="CT56" t="s">
        <v>8365</v>
      </c>
      <c r="CU56" t="s">
        <v>779</v>
      </c>
      <c r="CV56" t="s">
        <v>756</v>
      </c>
      <c r="CW56" t="s">
        <v>360</v>
      </c>
      <c r="CX56" t="s">
        <v>5364</v>
      </c>
      <c r="CY56" t="s">
        <v>416</v>
      </c>
      <c r="CZ56" t="s">
        <v>3808</v>
      </c>
      <c r="DA56" t="s">
        <v>752</v>
      </c>
      <c r="DB56" t="s">
        <v>8366</v>
      </c>
      <c r="DC56" t="s">
        <v>242</v>
      </c>
      <c r="DD56" t="s">
        <v>8367</v>
      </c>
      <c r="DF56" t="s">
        <v>871</v>
      </c>
      <c r="DG56" t="s">
        <v>242</v>
      </c>
      <c r="DH56" t="s">
        <v>8368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63F2-559A-4A14-9E73-A01050D7DA16}">
  <dimension ref="A1:M10"/>
  <sheetViews>
    <sheetView workbookViewId="0">
      <selection activeCell="E21" sqref="E21"/>
    </sheetView>
  </sheetViews>
  <sheetFormatPr defaultRowHeight="14.5" x14ac:dyDescent="0.35"/>
  <sheetData>
    <row r="1" spans="1:13" x14ac:dyDescent="0.35">
      <c r="A1" s="70" t="s">
        <v>0</v>
      </c>
      <c r="B1" s="70" t="s">
        <v>1</v>
      </c>
      <c r="C1" s="70" t="s">
        <v>2</v>
      </c>
      <c r="D1" s="70" t="s">
        <v>3</v>
      </c>
      <c r="E1" s="70" t="s">
        <v>4</v>
      </c>
      <c r="F1" s="70" t="s">
        <v>5</v>
      </c>
      <c r="G1" s="70" t="s">
        <v>6</v>
      </c>
      <c r="H1" s="70" t="s">
        <v>7</v>
      </c>
      <c r="I1" s="70" t="s">
        <v>8</v>
      </c>
      <c r="J1" s="70" t="s">
        <v>9</v>
      </c>
      <c r="K1" s="70" t="s">
        <v>10</v>
      </c>
      <c r="L1" s="70" t="s">
        <v>11</v>
      </c>
      <c r="M1" s="71" t="s">
        <v>12</v>
      </c>
    </row>
    <row r="2" spans="1:13" x14ac:dyDescent="0.35">
      <c r="A2" s="1">
        <v>0</v>
      </c>
      <c r="B2" s="1">
        <v>0.5</v>
      </c>
      <c r="C2" s="1">
        <v>0.5</v>
      </c>
      <c r="D2" s="1">
        <v>0.5</v>
      </c>
      <c r="E2" s="1">
        <v>1</v>
      </c>
      <c r="F2" s="1">
        <v>0.5</v>
      </c>
      <c r="G2" s="1">
        <v>1</v>
      </c>
      <c r="H2" s="1">
        <v>0.5</v>
      </c>
      <c r="I2" s="1">
        <v>0.5</v>
      </c>
      <c r="J2" s="1">
        <v>0.5</v>
      </c>
      <c r="K2" s="1">
        <v>0.5</v>
      </c>
      <c r="L2" s="1">
        <v>0</v>
      </c>
      <c r="M2" s="69">
        <v>0</v>
      </c>
    </row>
    <row r="3" spans="1:13" x14ac:dyDescent="0.35">
      <c r="A3" s="12">
        <v>0.31999999999999995</v>
      </c>
      <c r="B3" s="12">
        <v>0.31999999999999995</v>
      </c>
      <c r="C3" s="12">
        <v>0.33999999999999997</v>
      </c>
      <c r="D3" s="12">
        <v>0.45</v>
      </c>
      <c r="E3" s="12">
        <v>0.52</v>
      </c>
      <c r="F3" s="12">
        <v>0.52</v>
      </c>
      <c r="G3" s="12">
        <v>0.48</v>
      </c>
      <c r="H3" s="12">
        <v>0.61</v>
      </c>
      <c r="I3" s="12">
        <v>0.5</v>
      </c>
      <c r="J3" s="12">
        <v>0.33</v>
      </c>
      <c r="K3" s="12">
        <v>0.47</v>
      </c>
      <c r="L3" s="12">
        <v>0.14000000000000001</v>
      </c>
      <c r="M3" s="72">
        <v>0.41</v>
      </c>
    </row>
    <row r="4" spans="1:13" x14ac:dyDescent="0.35">
      <c r="A4" s="12">
        <v>0.36</v>
      </c>
      <c r="B4" s="12">
        <v>7.0000000000000062E-2</v>
      </c>
      <c r="C4" s="12">
        <v>2.0000000000000018E-2</v>
      </c>
      <c r="D4" s="12">
        <v>5.0000000000000044E-2</v>
      </c>
      <c r="E4" s="12">
        <v>0.13</v>
      </c>
      <c r="F4" s="12">
        <v>0.13</v>
      </c>
      <c r="G4" s="12">
        <v>9.9999999999999978E-2</v>
      </c>
      <c r="H4" s="12">
        <v>0.18999999999999995</v>
      </c>
      <c r="I4" s="12">
        <v>7.999999999999996E-2</v>
      </c>
      <c r="J4" s="12">
        <v>0.22999999999999998</v>
      </c>
      <c r="K4" s="12">
        <v>0.15000000000000002</v>
      </c>
      <c r="L4" s="12">
        <v>2.0000000000000018E-2</v>
      </c>
      <c r="M4" s="72">
        <v>5.9999999999999942E-2</v>
      </c>
    </row>
    <row r="5" spans="1:13" x14ac:dyDescent="0.35">
      <c r="A5" s="12">
        <v>0.36</v>
      </c>
      <c r="B5" s="12">
        <v>0.35</v>
      </c>
      <c r="C5" s="12">
        <v>0.26</v>
      </c>
      <c r="D5" s="12">
        <v>0.34000000000000008</v>
      </c>
      <c r="E5" s="12">
        <v>0.33000000000000007</v>
      </c>
      <c r="F5" s="12">
        <v>0.31000000000000005</v>
      </c>
      <c r="G5" s="12">
        <v>0.25</v>
      </c>
      <c r="H5" s="12">
        <v>0.39</v>
      </c>
      <c r="I5" s="12">
        <v>0.35</v>
      </c>
      <c r="J5" s="12">
        <v>0.25</v>
      </c>
      <c r="K5" s="12">
        <v>0.27</v>
      </c>
      <c r="L5" s="12">
        <v>0.25</v>
      </c>
      <c r="M5" s="72">
        <v>0.14999999999999991</v>
      </c>
    </row>
    <row r="6" spans="1:13" x14ac:dyDescent="0.35">
      <c r="A6" s="12">
        <v>0.32999999999999996</v>
      </c>
      <c r="B6" s="12">
        <v>0.18000000000000005</v>
      </c>
      <c r="C6" s="12">
        <v>0.20000000000000007</v>
      </c>
      <c r="D6" s="12">
        <v>0.18999999999999995</v>
      </c>
      <c r="E6" s="12">
        <v>0.22000000000000003</v>
      </c>
      <c r="F6" s="12">
        <v>0.28999999999999998</v>
      </c>
      <c r="G6" s="12">
        <v>0.27</v>
      </c>
      <c r="H6" s="12">
        <v>0.26</v>
      </c>
      <c r="I6" s="12">
        <v>0.16999999999999998</v>
      </c>
      <c r="J6" s="12">
        <v>0.16000000000000003</v>
      </c>
      <c r="K6" s="12">
        <v>0.31</v>
      </c>
      <c r="L6" s="12">
        <v>0.21999999999999997</v>
      </c>
      <c r="M6" s="72">
        <v>0.19999999999999996</v>
      </c>
    </row>
    <row r="7" spans="1:13" x14ac:dyDescent="0.35">
      <c r="A7" s="43">
        <v>0.36</v>
      </c>
      <c r="B7" s="43">
        <v>0.4</v>
      </c>
      <c r="C7" s="43">
        <v>0.29000000000000004</v>
      </c>
      <c r="D7" s="43">
        <v>0.36</v>
      </c>
      <c r="E7" s="43">
        <v>0.31000000000000005</v>
      </c>
      <c r="F7" s="43">
        <v>0.31999999999999995</v>
      </c>
      <c r="G7" s="43">
        <v>0.47</v>
      </c>
      <c r="H7" s="43">
        <v>0.43</v>
      </c>
      <c r="I7" s="43">
        <v>0.41000000000000003</v>
      </c>
      <c r="J7" s="43">
        <v>0.18000000000000005</v>
      </c>
      <c r="K7" s="43">
        <v>0.21999999999999997</v>
      </c>
      <c r="L7" s="43">
        <v>0.22999999999999998</v>
      </c>
      <c r="M7" s="74">
        <v>6.0000000000000053E-2</v>
      </c>
    </row>
    <row r="8" spans="1:13" x14ac:dyDescent="0.35">
      <c r="A8" s="43">
        <v>0.25</v>
      </c>
      <c r="B8" s="43">
        <v>0.20999999999999996</v>
      </c>
      <c r="C8" s="43">
        <v>0.25</v>
      </c>
      <c r="D8" s="43">
        <v>0.3</v>
      </c>
      <c r="E8" s="43">
        <v>0.32</v>
      </c>
      <c r="F8" s="43">
        <v>0.41999999999999993</v>
      </c>
      <c r="G8" s="43">
        <v>0.34</v>
      </c>
      <c r="H8" s="43">
        <v>0.36000000000000004</v>
      </c>
      <c r="I8" s="43">
        <v>0.33</v>
      </c>
      <c r="J8" s="43">
        <v>0.35000000000000003</v>
      </c>
      <c r="K8" s="43">
        <v>0.28999999999999998</v>
      </c>
      <c r="L8" s="43">
        <v>0.18</v>
      </c>
      <c r="M8" s="74">
        <v>0.39</v>
      </c>
    </row>
    <row r="9" spans="1:13" x14ac:dyDescent="0.35">
      <c r="A9" s="75">
        <v>0.4</v>
      </c>
      <c r="B9" s="75">
        <v>0.38999999999999996</v>
      </c>
      <c r="C9" s="75">
        <v>0.41</v>
      </c>
      <c r="D9" s="75">
        <v>0.39</v>
      </c>
      <c r="E9" s="75">
        <v>0.36</v>
      </c>
      <c r="F9" s="75">
        <v>0.35</v>
      </c>
      <c r="G9" s="75">
        <v>0.28000000000000003</v>
      </c>
      <c r="H9" s="75">
        <v>0.23000000000000004</v>
      </c>
      <c r="I9" s="75">
        <v>0.24</v>
      </c>
      <c r="J9" s="75">
        <v>0.10000000000000003</v>
      </c>
      <c r="K9" s="75">
        <v>0.15000000000000002</v>
      </c>
      <c r="L9" s="75">
        <v>1.0000000000000009E-2</v>
      </c>
      <c r="M9" s="76">
        <v>6.9999999999999951E-2</v>
      </c>
    </row>
    <row r="10" spans="1:13" x14ac:dyDescent="0.35">
      <c r="A10">
        <f>AVERAGE(A2:A9)</f>
        <v>0.29749999999999999</v>
      </c>
      <c r="B10">
        <f t="shared" ref="B10:M10" si="0">AVERAGE(B2:B9)</f>
        <v>0.30249999999999999</v>
      </c>
      <c r="C10">
        <f t="shared" si="0"/>
        <v>0.28375000000000006</v>
      </c>
      <c r="D10">
        <f t="shared" si="0"/>
        <v>0.32250000000000001</v>
      </c>
      <c r="E10">
        <f t="shared" si="0"/>
        <v>0.39874999999999999</v>
      </c>
      <c r="F10">
        <f t="shared" si="0"/>
        <v>0.35499999999999998</v>
      </c>
      <c r="G10">
        <f t="shared" si="0"/>
        <v>0.39875000000000005</v>
      </c>
      <c r="H10">
        <f t="shared" si="0"/>
        <v>0.37124999999999997</v>
      </c>
      <c r="I10">
        <f t="shared" si="0"/>
        <v>0.32250000000000001</v>
      </c>
      <c r="J10">
        <f t="shared" si="0"/>
        <v>0.26250000000000007</v>
      </c>
      <c r="K10">
        <f t="shared" si="0"/>
        <v>0.29499999999999998</v>
      </c>
      <c r="L10">
        <f t="shared" si="0"/>
        <v>0.13125000000000001</v>
      </c>
      <c r="M10">
        <f t="shared" si="0"/>
        <v>0.16749999999999998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E685-9701-43FB-A954-E0A1893F9DB7}">
  <dimension ref="A1:G15"/>
  <sheetViews>
    <sheetView workbookViewId="0">
      <selection activeCell="E17" sqref="E17"/>
    </sheetView>
  </sheetViews>
  <sheetFormatPr defaultRowHeight="14.5" x14ac:dyDescent="0.35"/>
  <sheetData>
    <row r="1" spans="1:7" x14ac:dyDescent="0.35">
      <c r="A1" s="9" t="s">
        <v>17</v>
      </c>
      <c r="B1" s="9" t="s">
        <v>16</v>
      </c>
      <c r="C1" s="9" t="s">
        <v>9191</v>
      </c>
    </row>
    <row r="2" spans="1:7" x14ac:dyDescent="0.35">
      <c r="A2">
        <v>0.30043478260869561</v>
      </c>
      <c r="B2">
        <v>0.29749999999999999</v>
      </c>
      <c r="C2" s="70" t="s">
        <v>0</v>
      </c>
      <c r="E2" t="s">
        <v>47</v>
      </c>
    </row>
    <row r="3" spans="1:7" ht="15" thickBot="1" x14ac:dyDescent="0.4">
      <c r="A3">
        <v>0.28913043478260875</v>
      </c>
      <c r="B3">
        <v>0.30249999999999999</v>
      </c>
      <c r="C3" s="70" t="s">
        <v>1</v>
      </c>
    </row>
    <row r="4" spans="1:7" x14ac:dyDescent="0.35">
      <c r="A4">
        <v>0.28326086956521745</v>
      </c>
      <c r="B4">
        <v>0.28375000000000006</v>
      </c>
      <c r="C4" s="70" t="s">
        <v>2</v>
      </c>
      <c r="E4" s="6"/>
      <c r="F4" s="6" t="s">
        <v>9189</v>
      </c>
      <c r="G4" s="6" t="s">
        <v>9190</v>
      </c>
    </row>
    <row r="5" spans="1:7" x14ac:dyDescent="0.35">
      <c r="A5">
        <v>0.26760869565217382</v>
      </c>
      <c r="B5">
        <v>0.32250000000000001</v>
      </c>
      <c r="C5" s="70" t="s">
        <v>3</v>
      </c>
      <c r="E5" s="4" t="s">
        <v>48</v>
      </c>
      <c r="F5" s="4">
        <v>0.24531772575250835</v>
      </c>
      <c r="G5" s="4">
        <v>0.30067307692307693</v>
      </c>
    </row>
    <row r="6" spans="1:7" x14ac:dyDescent="0.35">
      <c r="A6">
        <v>0.25434782608695655</v>
      </c>
      <c r="B6">
        <v>0.39874999999999999</v>
      </c>
      <c r="C6" s="70" t="s">
        <v>4</v>
      </c>
      <c r="E6" s="4" t="s">
        <v>49</v>
      </c>
      <c r="F6" s="4">
        <v>2.0108744122921871E-3</v>
      </c>
      <c r="G6" s="4">
        <v>6.3626602564102464E-3</v>
      </c>
    </row>
    <row r="7" spans="1:7" x14ac:dyDescent="0.35">
      <c r="A7">
        <v>0.27695652173913043</v>
      </c>
      <c r="B7">
        <v>0.35499999999999998</v>
      </c>
      <c r="C7" s="70" t="s">
        <v>5</v>
      </c>
      <c r="E7" s="4" t="s">
        <v>50</v>
      </c>
      <c r="F7" s="4">
        <v>13</v>
      </c>
      <c r="G7" s="4">
        <v>13</v>
      </c>
    </row>
    <row r="8" spans="1:7" x14ac:dyDescent="0.35">
      <c r="A8">
        <v>0.26499999999999996</v>
      </c>
      <c r="B8">
        <v>0.39875000000000005</v>
      </c>
      <c r="C8" s="70" t="s">
        <v>6</v>
      </c>
      <c r="E8" s="4" t="s">
        <v>51</v>
      </c>
      <c r="F8" s="4">
        <v>4.1867673343512169E-3</v>
      </c>
      <c r="G8" s="4"/>
    </row>
    <row r="9" spans="1:7" x14ac:dyDescent="0.35">
      <c r="A9">
        <v>0.23108695652173913</v>
      </c>
      <c r="B9">
        <v>0.37124999999999997</v>
      </c>
      <c r="C9" s="70" t="s">
        <v>7</v>
      </c>
      <c r="E9" s="4" t="s">
        <v>52</v>
      </c>
      <c r="F9" s="4">
        <v>0</v>
      </c>
      <c r="G9" s="4"/>
    </row>
    <row r="10" spans="1:7" x14ac:dyDescent="0.35">
      <c r="A10">
        <v>0.26326086956521744</v>
      </c>
      <c r="B10">
        <v>0.32250000000000001</v>
      </c>
      <c r="C10" s="70" t="s">
        <v>8</v>
      </c>
      <c r="E10" s="4" t="s">
        <v>53</v>
      </c>
      <c r="F10" s="4">
        <v>24</v>
      </c>
      <c r="G10" s="4"/>
    </row>
    <row r="11" spans="1:7" x14ac:dyDescent="0.35">
      <c r="A11">
        <v>0.22565217391304337</v>
      </c>
      <c r="B11">
        <v>0.26250000000000007</v>
      </c>
      <c r="C11" s="70" t="s">
        <v>9</v>
      </c>
      <c r="E11" s="4" t="s">
        <v>54</v>
      </c>
      <c r="F11" s="4">
        <v>-2.1811065151110447</v>
      </c>
      <c r="G11" s="4"/>
    </row>
    <row r="12" spans="1:7" x14ac:dyDescent="0.35">
      <c r="A12">
        <v>0.20065217391304349</v>
      </c>
      <c r="B12">
        <v>0.29499999999999998</v>
      </c>
      <c r="C12" s="70" t="s">
        <v>10</v>
      </c>
      <c r="E12" s="4" t="s">
        <v>55</v>
      </c>
      <c r="F12" s="4">
        <v>1.960265185397975E-2</v>
      </c>
      <c r="G12" s="4"/>
    </row>
    <row r="13" spans="1:7" x14ac:dyDescent="0.35">
      <c r="A13">
        <v>0.17673913043478262</v>
      </c>
      <c r="B13">
        <v>0.13125000000000001</v>
      </c>
      <c r="C13" s="70" t="s">
        <v>11</v>
      </c>
      <c r="E13" s="4" t="s">
        <v>56</v>
      </c>
      <c r="F13" s="4">
        <v>1.7108820799094284</v>
      </c>
      <c r="G13" s="4"/>
    </row>
    <row r="14" spans="1:7" x14ac:dyDescent="0.35">
      <c r="A14">
        <v>0.15500000000000003</v>
      </c>
      <c r="B14">
        <v>0.16749999999999998</v>
      </c>
      <c r="C14" s="71" t="s">
        <v>12</v>
      </c>
      <c r="E14" s="4" t="s">
        <v>57</v>
      </c>
      <c r="F14" s="77">
        <v>3.92053037079595E-2</v>
      </c>
      <c r="G14" s="4"/>
    </row>
    <row r="15" spans="1:7" ht="15" thickBot="1" x14ac:dyDescent="0.4">
      <c r="E15" s="5" t="s">
        <v>58</v>
      </c>
      <c r="F15" s="5">
        <v>2.0638985616280254</v>
      </c>
      <c r="G15"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B2F-DD91-4234-84CC-0BA7DB6B09D2}">
  <dimension ref="A1:M25"/>
  <sheetViews>
    <sheetView topLeftCell="A16" workbookViewId="0">
      <selection activeCell="G2" sqref="G2:G23"/>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23">
        <v>0.55000000000000004</v>
      </c>
      <c r="B2" s="23">
        <v>0.42000000000000004</v>
      </c>
      <c r="C2" s="23">
        <v>0.55999999999999994</v>
      </c>
      <c r="D2" s="23">
        <v>0.53999999999999992</v>
      </c>
      <c r="E2" s="23">
        <v>0.55999999999999994</v>
      </c>
      <c r="F2" s="23">
        <v>0.54999999999999993</v>
      </c>
      <c r="G2" s="23">
        <v>0.66999999999999993</v>
      </c>
      <c r="H2" s="23">
        <v>0.57999999999999996</v>
      </c>
      <c r="I2" s="23">
        <v>0.55000000000000004</v>
      </c>
      <c r="J2" s="23">
        <v>0.44</v>
      </c>
      <c r="K2" s="23">
        <v>0.32999999999999996</v>
      </c>
      <c r="L2" s="23">
        <v>0.38</v>
      </c>
      <c r="M2" s="23">
        <v>0</v>
      </c>
    </row>
    <row r="3" spans="1:13" x14ac:dyDescent="0.35">
      <c r="A3" s="12">
        <v>0.49000000000000005</v>
      </c>
      <c r="B3" s="12">
        <v>0.28000000000000003</v>
      </c>
      <c r="C3" s="12">
        <v>0.19999999999999996</v>
      </c>
      <c r="D3" s="12">
        <v>0.31999999999999995</v>
      </c>
      <c r="E3" s="12">
        <v>0.48000000000000004</v>
      </c>
      <c r="F3" s="12">
        <v>0.26999999999999996</v>
      </c>
      <c r="G3" s="12">
        <v>0.49</v>
      </c>
      <c r="H3" s="12">
        <v>0.16000000000000003</v>
      </c>
      <c r="I3" s="12">
        <v>0.37999999999999995</v>
      </c>
      <c r="J3" s="12">
        <v>0.10999999999999999</v>
      </c>
      <c r="K3" s="12">
        <v>0.31999999999999995</v>
      </c>
      <c r="L3" s="12">
        <v>0.17999999999999994</v>
      </c>
      <c r="M3" s="12">
        <v>0.12</v>
      </c>
    </row>
    <row r="4" spans="1:13" x14ac:dyDescent="0.35">
      <c r="A4" s="23">
        <v>0.22999999999999998</v>
      </c>
      <c r="B4" s="23">
        <v>0.37000000000000005</v>
      </c>
      <c r="C4" s="23">
        <v>0.32999999999999996</v>
      </c>
      <c r="D4" s="23">
        <v>0.36000000000000004</v>
      </c>
      <c r="E4" s="23">
        <v>0.39000000000000007</v>
      </c>
      <c r="F4" s="23">
        <v>0.41000000000000003</v>
      </c>
      <c r="G4" s="23">
        <v>0.37</v>
      </c>
      <c r="H4" s="23">
        <v>0.26</v>
      </c>
      <c r="I4" s="23">
        <v>0.31000000000000005</v>
      </c>
      <c r="J4" s="23">
        <v>0.30000000000000004</v>
      </c>
      <c r="K4" s="23">
        <v>0.31999999999999995</v>
      </c>
      <c r="L4" s="23">
        <v>0.15000000000000002</v>
      </c>
      <c r="M4" s="23">
        <v>0.19000000000000006</v>
      </c>
    </row>
    <row r="5" spans="1:13" x14ac:dyDescent="0.35">
      <c r="A5" s="12">
        <v>0.32000000000000006</v>
      </c>
      <c r="B5" s="12">
        <v>0.41</v>
      </c>
      <c r="C5" s="12">
        <v>0.44000000000000006</v>
      </c>
      <c r="D5" s="12">
        <v>0.56000000000000005</v>
      </c>
      <c r="E5" s="12">
        <v>0.48</v>
      </c>
      <c r="F5" s="12">
        <v>0.52</v>
      </c>
      <c r="G5" s="12">
        <v>0.43999999999999995</v>
      </c>
      <c r="H5" s="12">
        <v>0.37000000000000005</v>
      </c>
      <c r="I5" s="12">
        <v>0.32</v>
      </c>
      <c r="J5" s="12">
        <v>0.39</v>
      </c>
      <c r="K5" s="12">
        <v>0.27</v>
      </c>
      <c r="L5" s="12">
        <v>0.25</v>
      </c>
      <c r="M5" s="12">
        <v>0.20999999999999996</v>
      </c>
    </row>
    <row r="6" spans="1:13" x14ac:dyDescent="0.35">
      <c r="A6" s="23">
        <v>0.12</v>
      </c>
      <c r="B6" s="23">
        <v>6.9999999999999951E-2</v>
      </c>
      <c r="C6" s="23">
        <v>0.16999999999999998</v>
      </c>
      <c r="D6" s="23">
        <v>0.19000000000000006</v>
      </c>
      <c r="E6" s="23">
        <v>3.999999999999998E-2</v>
      </c>
      <c r="F6" s="23">
        <v>0.13</v>
      </c>
      <c r="G6" s="23">
        <v>0.15000000000000002</v>
      </c>
      <c r="H6" s="23">
        <v>0.16999999999999998</v>
      </c>
      <c r="I6" s="23">
        <v>0.11999999999999997</v>
      </c>
      <c r="J6" s="23">
        <v>3.0000000000000027E-2</v>
      </c>
      <c r="K6" s="23">
        <v>0.12</v>
      </c>
      <c r="L6" s="23">
        <v>0.15000000000000008</v>
      </c>
      <c r="M6" s="23">
        <v>8.9999999999999969E-2</v>
      </c>
    </row>
    <row r="7" spans="1:13" x14ac:dyDescent="0.35">
      <c r="A7" s="12">
        <v>0.20999999999999996</v>
      </c>
      <c r="B7" s="12">
        <v>0.34</v>
      </c>
      <c r="C7" s="12">
        <v>0.32</v>
      </c>
      <c r="D7" s="12">
        <v>0.34</v>
      </c>
      <c r="E7" s="12">
        <v>0.36000000000000004</v>
      </c>
      <c r="F7" s="12">
        <v>0.3</v>
      </c>
      <c r="G7" s="12">
        <v>0.4</v>
      </c>
      <c r="H7" s="12">
        <v>0.27</v>
      </c>
      <c r="I7" s="12">
        <v>0.20999999999999996</v>
      </c>
      <c r="J7" s="12">
        <v>0.17000000000000004</v>
      </c>
      <c r="K7" s="12">
        <v>0.24</v>
      </c>
      <c r="L7" s="12">
        <v>0.25</v>
      </c>
      <c r="M7" s="12">
        <v>0.24999999999999994</v>
      </c>
    </row>
    <row r="8" spans="1:13" x14ac:dyDescent="0.35">
      <c r="A8" s="23">
        <v>0.25</v>
      </c>
      <c r="B8" s="23">
        <v>0.29000000000000004</v>
      </c>
      <c r="C8" s="23">
        <v>0.39</v>
      </c>
      <c r="D8" s="23">
        <v>0.38</v>
      </c>
      <c r="E8" s="23">
        <v>0.44999999999999996</v>
      </c>
      <c r="F8" s="23">
        <v>0.33000000000000007</v>
      </c>
      <c r="G8" s="23">
        <v>0.29999999999999993</v>
      </c>
      <c r="H8" s="23">
        <v>0.33999999999999997</v>
      </c>
      <c r="I8" s="23">
        <v>0.4</v>
      </c>
      <c r="J8" s="23">
        <v>0.35</v>
      </c>
      <c r="K8" s="23">
        <v>0.31000000000000005</v>
      </c>
      <c r="L8" s="23">
        <v>0.19999999999999996</v>
      </c>
      <c r="M8" s="23">
        <v>0.26</v>
      </c>
    </row>
    <row r="9" spans="1:13" x14ac:dyDescent="0.35">
      <c r="A9" s="12">
        <v>0.47</v>
      </c>
      <c r="B9" s="12">
        <v>0.54</v>
      </c>
      <c r="C9" s="12">
        <v>0.57000000000000006</v>
      </c>
      <c r="D9" s="12">
        <v>0.6</v>
      </c>
      <c r="E9" s="12">
        <v>0.52</v>
      </c>
      <c r="F9" s="12">
        <v>0.45000000000000007</v>
      </c>
      <c r="G9" s="12">
        <v>0.62999999999999989</v>
      </c>
      <c r="H9" s="12">
        <v>0.47</v>
      </c>
      <c r="I9" s="12">
        <v>0.59</v>
      </c>
      <c r="J9" s="12">
        <v>0.44</v>
      </c>
      <c r="K9" s="12">
        <v>0.42999999999999994</v>
      </c>
      <c r="L9" s="12">
        <v>0.32</v>
      </c>
      <c r="M9" s="12">
        <v>0.33</v>
      </c>
    </row>
    <row r="10" spans="1:13" x14ac:dyDescent="0.35">
      <c r="A10" s="23">
        <v>0.15000000000000002</v>
      </c>
      <c r="B10" s="23">
        <v>0.20999999999999996</v>
      </c>
      <c r="C10" s="23">
        <v>0.31999999999999995</v>
      </c>
      <c r="D10" s="23">
        <v>0.24</v>
      </c>
      <c r="E10" s="23">
        <v>0.18</v>
      </c>
      <c r="F10" s="23">
        <v>0.15999999999999998</v>
      </c>
      <c r="G10" s="23">
        <v>0.16000000000000003</v>
      </c>
      <c r="H10" s="23">
        <v>0.13</v>
      </c>
      <c r="I10" s="23">
        <v>0.20999999999999996</v>
      </c>
      <c r="J10" s="23">
        <v>0.17000000000000004</v>
      </c>
      <c r="K10" s="23">
        <v>0.16000000000000003</v>
      </c>
      <c r="L10" s="23">
        <v>0.20999999999999996</v>
      </c>
      <c r="M10" s="23">
        <v>0.18</v>
      </c>
    </row>
    <row r="11" spans="1:13" x14ac:dyDescent="0.35">
      <c r="A11" s="12">
        <v>0.71</v>
      </c>
      <c r="B11" s="12">
        <v>0.69</v>
      </c>
      <c r="C11" s="12">
        <v>0.73</v>
      </c>
      <c r="D11" s="12">
        <v>0.7</v>
      </c>
      <c r="E11" s="12">
        <v>0.75</v>
      </c>
      <c r="F11" s="12">
        <v>0.76</v>
      </c>
      <c r="G11" s="12">
        <v>0.67</v>
      </c>
      <c r="H11" s="12">
        <v>0.71</v>
      </c>
      <c r="I11" s="12">
        <v>0.68</v>
      </c>
      <c r="J11" s="12">
        <v>0.64</v>
      </c>
      <c r="K11" s="12">
        <v>0.71000000000000008</v>
      </c>
      <c r="L11" s="12">
        <v>0.68</v>
      </c>
      <c r="M11" s="12">
        <v>0.67</v>
      </c>
    </row>
    <row r="12" spans="1:13" x14ac:dyDescent="0.35">
      <c r="A12" s="23">
        <v>0.31000000000000005</v>
      </c>
      <c r="B12" s="23">
        <v>0.38999999999999996</v>
      </c>
      <c r="C12" s="23">
        <v>0.45000000000000007</v>
      </c>
      <c r="D12" s="23">
        <v>0.28999999999999998</v>
      </c>
      <c r="E12" s="23">
        <v>0.42000000000000004</v>
      </c>
      <c r="F12" s="23">
        <v>0.48000000000000004</v>
      </c>
      <c r="G12" s="23">
        <v>0.44</v>
      </c>
      <c r="H12" s="23">
        <v>0.4</v>
      </c>
      <c r="I12" s="23">
        <v>0.40999999999999992</v>
      </c>
      <c r="J12" s="23">
        <v>0.33</v>
      </c>
      <c r="K12" s="23">
        <v>0.3</v>
      </c>
      <c r="L12" s="23">
        <v>0.22000000000000003</v>
      </c>
      <c r="M12" s="23">
        <v>0.16000000000000003</v>
      </c>
    </row>
    <row r="13" spans="1:13" x14ac:dyDescent="0.35">
      <c r="A13" s="12">
        <v>0.43000000000000005</v>
      </c>
      <c r="B13" s="12">
        <v>0.43999999999999995</v>
      </c>
      <c r="C13" s="12">
        <v>0.35</v>
      </c>
      <c r="D13" s="12">
        <v>0.26</v>
      </c>
      <c r="E13" s="12">
        <v>0.26</v>
      </c>
      <c r="F13" s="12">
        <v>0.27</v>
      </c>
      <c r="G13" s="12">
        <v>0.32999999999999996</v>
      </c>
      <c r="H13" s="12">
        <v>0.28999999999999998</v>
      </c>
      <c r="I13" s="12">
        <v>0.25</v>
      </c>
      <c r="J13" s="12">
        <v>0.16999999999999998</v>
      </c>
      <c r="K13" s="12">
        <v>6.9999999999999951E-2</v>
      </c>
      <c r="L13" s="12">
        <v>4.0000000000000036E-2</v>
      </c>
      <c r="M13" s="12">
        <v>4.0000000000000036E-2</v>
      </c>
    </row>
    <row r="14" spans="1:13" x14ac:dyDescent="0.35">
      <c r="A14" s="23">
        <v>0.17000000000000004</v>
      </c>
      <c r="B14" s="23">
        <v>0.4</v>
      </c>
      <c r="C14" s="23">
        <v>0.38999999999999996</v>
      </c>
      <c r="D14" s="23">
        <v>0.39</v>
      </c>
      <c r="E14" s="23">
        <v>0.42</v>
      </c>
      <c r="F14" s="23">
        <v>0.37999999999999995</v>
      </c>
      <c r="G14" s="23">
        <v>0.45000000000000007</v>
      </c>
      <c r="H14" s="23">
        <v>0.42</v>
      </c>
      <c r="I14" s="23">
        <v>0.38</v>
      </c>
      <c r="J14" s="23">
        <v>0.32</v>
      </c>
      <c r="K14" s="23">
        <v>0.36000000000000004</v>
      </c>
      <c r="L14" s="23">
        <v>0.17000000000000004</v>
      </c>
      <c r="M14" s="23">
        <v>0.15000000000000002</v>
      </c>
    </row>
    <row r="15" spans="1:13" x14ac:dyDescent="0.35">
      <c r="A15" s="12">
        <v>0.35</v>
      </c>
      <c r="B15" s="12">
        <v>0.44999999999999996</v>
      </c>
      <c r="C15" s="12">
        <v>0.54999999999999993</v>
      </c>
      <c r="D15" s="12">
        <v>0.5</v>
      </c>
      <c r="E15" s="12">
        <v>0.55000000000000004</v>
      </c>
      <c r="F15" s="12">
        <v>0.49000000000000005</v>
      </c>
      <c r="G15" s="12">
        <v>0.44</v>
      </c>
      <c r="H15" s="12">
        <v>0.41</v>
      </c>
      <c r="I15" s="12">
        <v>0.53</v>
      </c>
      <c r="J15" s="12">
        <v>0.41000000000000003</v>
      </c>
      <c r="K15" s="12">
        <v>0.47</v>
      </c>
      <c r="L15" s="12">
        <v>0.39</v>
      </c>
      <c r="M15" s="12">
        <v>0.26999999999999996</v>
      </c>
    </row>
    <row r="16" spans="1:13" x14ac:dyDescent="0.35">
      <c r="A16" s="23">
        <v>0.12</v>
      </c>
      <c r="B16" s="23">
        <v>0.15000000000000002</v>
      </c>
      <c r="C16" s="23">
        <v>0.20999999999999996</v>
      </c>
      <c r="D16" s="23">
        <v>0.22999999999999998</v>
      </c>
      <c r="E16" s="23">
        <v>0.16000000000000003</v>
      </c>
      <c r="F16" s="23">
        <v>0.13</v>
      </c>
      <c r="G16" s="23">
        <v>0.19000000000000006</v>
      </c>
      <c r="H16" s="23">
        <v>0.20999999999999996</v>
      </c>
      <c r="I16" s="23">
        <v>0.19000000000000006</v>
      </c>
      <c r="J16" s="23">
        <v>0.17000000000000004</v>
      </c>
      <c r="K16" s="23">
        <v>0.14000000000000001</v>
      </c>
      <c r="L16" s="23">
        <v>0.12</v>
      </c>
      <c r="M16" s="23">
        <v>0</v>
      </c>
    </row>
    <row r="17" spans="1:13" x14ac:dyDescent="0.35">
      <c r="A17" s="12">
        <v>0.14999999999999991</v>
      </c>
      <c r="B17" s="12">
        <v>8.0000000000000071E-2</v>
      </c>
      <c r="C17" s="12">
        <v>0.13</v>
      </c>
      <c r="D17" s="12">
        <v>0.14000000000000001</v>
      </c>
      <c r="E17" s="12">
        <v>0.14000000000000001</v>
      </c>
      <c r="F17" s="12">
        <v>0.12999999999999989</v>
      </c>
      <c r="G17" s="12">
        <v>0.19</v>
      </c>
      <c r="H17" s="12">
        <v>0.20000000000000007</v>
      </c>
      <c r="I17" s="12">
        <v>8.0000000000000016E-2</v>
      </c>
      <c r="J17" s="12">
        <v>0.12999999999999995</v>
      </c>
      <c r="K17" s="12">
        <v>0.11000000000000004</v>
      </c>
      <c r="L17" s="12">
        <v>8.0000000000000016E-2</v>
      </c>
      <c r="M17" s="12">
        <v>0</v>
      </c>
    </row>
    <row r="18" spans="1:13" x14ac:dyDescent="0.35">
      <c r="A18" s="23">
        <v>7.0000000000000007E-2</v>
      </c>
      <c r="B18" s="23">
        <v>0.16000000000000003</v>
      </c>
      <c r="C18" s="23">
        <v>7.999999999999996E-2</v>
      </c>
      <c r="D18" s="23">
        <v>0.10999999999999999</v>
      </c>
      <c r="E18" s="23">
        <v>9.0000000000000024E-2</v>
      </c>
      <c r="F18" s="23">
        <v>9.0000000000000024E-2</v>
      </c>
      <c r="G18" s="23">
        <v>0.14000000000000001</v>
      </c>
      <c r="H18" s="23">
        <v>7.0000000000000007E-2</v>
      </c>
      <c r="I18" s="23">
        <v>0.10000000000000003</v>
      </c>
      <c r="J18" s="23">
        <v>9.0000000000000024E-2</v>
      </c>
      <c r="K18" s="23">
        <v>0.10000000000000003</v>
      </c>
      <c r="L18" s="23">
        <v>7.999999999999996E-2</v>
      </c>
      <c r="M18" s="23">
        <v>0.14000000000000001</v>
      </c>
    </row>
    <row r="19" spans="1:13" x14ac:dyDescent="0.35">
      <c r="A19" s="12">
        <v>0.41000000000000003</v>
      </c>
      <c r="B19" s="12">
        <v>0.54</v>
      </c>
      <c r="C19" s="12">
        <v>0.44</v>
      </c>
      <c r="D19" s="12">
        <v>0.64</v>
      </c>
      <c r="E19" s="12">
        <v>0.56000000000000005</v>
      </c>
      <c r="F19" s="12">
        <v>0.55000000000000004</v>
      </c>
      <c r="G19" s="12">
        <v>0.59</v>
      </c>
      <c r="H19" s="12">
        <v>0.67</v>
      </c>
      <c r="I19" s="12">
        <v>0.63</v>
      </c>
      <c r="J19" s="12">
        <v>0.51</v>
      </c>
      <c r="K19" s="12">
        <v>0.38</v>
      </c>
      <c r="L19" s="12">
        <v>0.48</v>
      </c>
      <c r="M19" s="12">
        <v>0.41</v>
      </c>
    </row>
    <row r="20" spans="1:13" x14ac:dyDescent="0.35">
      <c r="A20" s="23">
        <v>0.59</v>
      </c>
      <c r="B20" s="23">
        <v>0.52</v>
      </c>
      <c r="C20" s="23">
        <v>0.57000000000000006</v>
      </c>
      <c r="D20" s="23">
        <v>0.49</v>
      </c>
      <c r="E20" s="23">
        <v>0.53</v>
      </c>
      <c r="F20" s="23">
        <v>0.51</v>
      </c>
      <c r="G20" s="23">
        <v>0.44999999999999996</v>
      </c>
      <c r="H20" s="23">
        <v>0.44999999999999996</v>
      </c>
      <c r="I20" s="23">
        <v>0.38</v>
      </c>
      <c r="J20" s="23">
        <v>0.34000000000000008</v>
      </c>
      <c r="K20" s="23">
        <v>0.42999999999999994</v>
      </c>
      <c r="L20" s="23">
        <v>0.36999999999999994</v>
      </c>
      <c r="M20" s="23">
        <v>0.27</v>
      </c>
    </row>
    <row r="21" spans="1:13" x14ac:dyDescent="0.35">
      <c r="A21" s="12">
        <v>9.9999999999999978E-2</v>
      </c>
      <c r="B21" s="12">
        <v>0.24999999999999994</v>
      </c>
      <c r="C21" s="12">
        <v>0.43</v>
      </c>
      <c r="D21" s="12">
        <v>0.25</v>
      </c>
      <c r="E21" s="12">
        <v>0.24999999999999994</v>
      </c>
      <c r="F21" s="12">
        <v>0.19000000000000006</v>
      </c>
      <c r="G21" s="12">
        <v>0.34</v>
      </c>
      <c r="H21" s="12">
        <v>0.26999999999999996</v>
      </c>
      <c r="I21" s="12">
        <v>0.28000000000000003</v>
      </c>
      <c r="J21" s="12">
        <v>0.22</v>
      </c>
      <c r="K21" s="12">
        <v>0.24000000000000005</v>
      </c>
      <c r="L21" s="12">
        <v>9.9999999999999978E-2</v>
      </c>
      <c r="M21" s="12">
        <v>9.9999999999999978E-2</v>
      </c>
    </row>
    <row r="22" spans="1:13" x14ac:dyDescent="0.35">
      <c r="A22" s="23">
        <v>0.22999999999999998</v>
      </c>
      <c r="B22" s="23">
        <v>0.25999999999999995</v>
      </c>
      <c r="C22" s="23">
        <v>0.21000000000000002</v>
      </c>
      <c r="D22" s="23">
        <v>0.25</v>
      </c>
      <c r="E22" s="23">
        <v>0.25999999999999995</v>
      </c>
      <c r="F22" s="23">
        <v>0.25999999999999995</v>
      </c>
      <c r="G22" s="23">
        <v>0.23999999999999994</v>
      </c>
      <c r="H22" s="23">
        <v>0.24999999999999994</v>
      </c>
      <c r="I22" s="23">
        <v>0.27</v>
      </c>
      <c r="J22" s="23">
        <v>0.21000000000000002</v>
      </c>
      <c r="K22" s="23">
        <v>0.18999999999999995</v>
      </c>
      <c r="L22" s="23">
        <v>0.22999999999999998</v>
      </c>
      <c r="M22" s="23">
        <v>0.11999999999999994</v>
      </c>
    </row>
    <row r="23" spans="1:13" x14ac:dyDescent="0.35">
      <c r="A23" s="13">
        <v>0.42000000000000004</v>
      </c>
      <c r="B23" s="13">
        <v>0.5</v>
      </c>
      <c r="C23" s="13">
        <v>0.32</v>
      </c>
      <c r="D23" s="13">
        <v>0.20000000000000007</v>
      </c>
      <c r="E23" s="13">
        <v>0.15999999999999998</v>
      </c>
      <c r="F23" s="13">
        <v>0.19</v>
      </c>
      <c r="G23" s="13">
        <v>0.52</v>
      </c>
      <c r="H23" s="13">
        <v>0.26</v>
      </c>
      <c r="I23" s="13">
        <v>0.27</v>
      </c>
      <c r="J23" s="13">
        <v>0.38</v>
      </c>
      <c r="K23" s="13">
        <v>0.19</v>
      </c>
      <c r="L23" s="13">
        <v>0.18</v>
      </c>
      <c r="M23" s="13">
        <v>0.15000000000000002</v>
      </c>
    </row>
    <row r="24" spans="1:13" x14ac:dyDescent="0.35">
      <c r="A24" s="13">
        <f>AVERAGE(Table23[100])</f>
        <v>0.31136363636363634</v>
      </c>
      <c r="B24" s="13">
        <f>SUBTOTAL(101,Table23[200])</f>
        <v>0.35272727272727272</v>
      </c>
      <c r="C24" s="13">
        <f>SUBTOTAL(101,Table23[400])</f>
        <v>0.37090909090909085</v>
      </c>
      <c r="D24" s="13">
        <f>SUBTOTAL(101,Table23[500])</f>
        <v>0.36272727272727273</v>
      </c>
      <c r="E24" s="13">
        <f>SUBTOTAL(101,Table23[800])</f>
        <v>0.36409090909090902</v>
      </c>
      <c r="F24" s="13">
        <f>SUBTOTAL(101,Table23[1000])</f>
        <v>0.3431818181818182</v>
      </c>
      <c r="G24" s="13">
        <f>SUBTOTAL(101,Table23[2000])</f>
        <v>0.39090909090909087</v>
      </c>
      <c r="H24" s="13">
        <f>SUBTOTAL(101,Table23[3000])</f>
        <v>0.33454545454545453</v>
      </c>
      <c r="I24" s="13">
        <f>SUBTOTAL(101,Table23[4000])</f>
        <v>0.34272727272727271</v>
      </c>
      <c r="J24" s="13">
        <f>SUBTOTAL(101,Table23[6000])</f>
        <v>0.28727272727272724</v>
      </c>
      <c r="K24" s="13">
        <f>SUBTOTAL(101,Table23[8000])</f>
        <v>0.28136363636363632</v>
      </c>
      <c r="L24" s="13">
        <f>SUBTOTAL(101,Table23[10000])</f>
        <v>0.23772727272727276</v>
      </c>
      <c r="M24" s="13">
        <f>SUBTOTAL(101,Table23[12000])</f>
        <v>0.18681818181818183</v>
      </c>
    </row>
    <row r="25" spans="1:13" s="11" customFormat="1" x14ac:dyDescent="0.35">
      <c r="A25" s="11">
        <f>STDEV(Table23[100])/(SQRT(COUNT(Table23[100])))</f>
        <v>3.788965212163431E-2</v>
      </c>
      <c r="B25" s="11">
        <f>STDEV(Table23[200])/(SQRT(COUNT(Table23[200])))</f>
        <v>3.4309400843295056E-2</v>
      </c>
      <c r="C25" s="11">
        <f>STDEV(Table23[400])/(SQRT(COUNT(Table23[400])))</f>
        <v>3.5124448453768303E-2</v>
      </c>
      <c r="D25" s="11">
        <f>STDEV(Table23[500])/(SQRT(COUNT(Table23[500])))</f>
        <v>3.6020567826898782E-2</v>
      </c>
      <c r="E25" s="11">
        <f>STDEV(Table23[800])/(SQRT(COUNT(Table23[800])))</f>
        <v>3.9900629224546846E-2</v>
      </c>
      <c r="F25" s="11">
        <f>STDEV(Table23[1000])/(SQRT(COUNT(Table23[1000])))</f>
        <v>3.8265343602987598E-2</v>
      </c>
      <c r="G25" s="11">
        <f>STDEV(Table23[2000])/(SQRT(COUNT(Table23[2000])))</f>
        <v>3.5620104074052888E-2</v>
      </c>
      <c r="H25" s="11">
        <f>STDEV(Table23[3000])/(SQRT(COUNT(Table23[3000])))</f>
        <v>3.5903473723625456E-2</v>
      </c>
      <c r="I25" s="11">
        <f>STDEV(Table23[4000])/(SQRT(COUNT(Table23[4000])))</f>
        <v>3.6284003715409303E-2</v>
      </c>
      <c r="J25" s="11">
        <f>STDEV(Table23[6000])/(SQRT(COUNT(Table23[6000])))</f>
        <v>3.2614645066380572E-2</v>
      </c>
      <c r="K25" s="11">
        <f>STDEV(Table23[8000])/(SQRT(COUNT(Table23[8000])))</f>
        <v>3.2026067943813435E-2</v>
      </c>
      <c r="L25" s="11">
        <f>STDEV(Table23[10000])/(SQRT(COUNT(Table23[10000])))</f>
        <v>3.2003326519345086E-2</v>
      </c>
      <c r="M25" s="11">
        <f>STDEV(Table23[12000])/(SQRT(COUNT(Table23[12000])))</f>
        <v>3.240962368189252E-2</v>
      </c>
    </row>
  </sheetData>
  <phoneticPr fontId="6"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21A-2BE9-4EE4-8C72-7E2B196AF125}">
  <dimension ref="A1:M36"/>
  <sheetViews>
    <sheetView topLeftCell="A19" workbookViewId="0">
      <selection activeCell="G2" sqref="G2:G34"/>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2">
        <v>0.48000000000000004</v>
      </c>
      <c r="B2" s="12">
        <v>0.51</v>
      </c>
      <c r="C2" s="12">
        <v>0.49</v>
      </c>
      <c r="D2" s="12">
        <v>0.33999999999999997</v>
      </c>
      <c r="E2" s="12">
        <v>0.39</v>
      </c>
      <c r="F2" s="12">
        <v>0.37000000000000005</v>
      </c>
      <c r="G2" s="12">
        <v>0.47</v>
      </c>
      <c r="H2" s="12">
        <v>0.43000000000000005</v>
      </c>
      <c r="I2" s="12">
        <v>0.26999999999999996</v>
      </c>
      <c r="J2" s="12">
        <v>0.3</v>
      </c>
      <c r="K2" s="12">
        <v>0.31</v>
      </c>
      <c r="L2" s="12">
        <v>0.27</v>
      </c>
      <c r="M2" s="12">
        <v>0.20999999999999996</v>
      </c>
    </row>
    <row r="3" spans="1:13" x14ac:dyDescent="0.35">
      <c r="A3" s="12">
        <v>0.21999999999999997</v>
      </c>
      <c r="B3" s="12">
        <v>0.27</v>
      </c>
      <c r="C3" s="12">
        <v>0.22999999999999998</v>
      </c>
      <c r="D3" s="12">
        <v>0.19999999999999996</v>
      </c>
      <c r="E3" s="12">
        <v>0.23000000000000004</v>
      </c>
      <c r="F3" s="12">
        <v>0.36</v>
      </c>
      <c r="G3" s="12">
        <v>0.38</v>
      </c>
      <c r="H3" s="12">
        <v>0.28000000000000003</v>
      </c>
      <c r="I3" s="12">
        <v>0.26999999999999996</v>
      </c>
      <c r="J3" s="12">
        <v>0.11000000000000004</v>
      </c>
      <c r="K3" s="12">
        <v>0.25000000000000006</v>
      </c>
      <c r="L3" s="12">
        <v>0.15000000000000002</v>
      </c>
      <c r="M3" s="12">
        <v>0.10999999999999999</v>
      </c>
    </row>
    <row r="4" spans="1:13" x14ac:dyDescent="0.35">
      <c r="A4" s="12">
        <v>0.52</v>
      </c>
      <c r="B4" s="12">
        <v>0.36000000000000004</v>
      </c>
      <c r="C4" s="12">
        <v>0.24000000000000005</v>
      </c>
      <c r="D4" s="12">
        <v>0.25</v>
      </c>
      <c r="E4" s="12">
        <v>0.18</v>
      </c>
      <c r="F4" s="12">
        <v>0.13</v>
      </c>
      <c r="G4" s="12">
        <v>2.0000000000000018E-2</v>
      </c>
      <c r="H4" s="12">
        <v>0.12000000000000002</v>
      </c>
      <c r="I4" s="12">
        <v>0.12999999999999998</v>
      </c>
      <c r="J4" s="12">
        <v>8.9999999999999969E-2</v>
      </c>
      <c r="K4" s="12">
        <v>9.0000000000000024E-2</v>
      </c>
      <c r="L4" s="12">
        <v>7.0000000000000007E-2</v>
      </c>
      <c r="M4" s="12">
        <v>0.18000000000000005</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0.27</v>
      </c>
      <c r="B8" s="12">
        <v>0.20999999999999996</v>
      </c>
      <c r="C8" s="12">
        <v>0.25000000000000006</v>
      </c>
      <c r="D8" s="12">
        <v>0.18999999999999995</v>
      </c>
      <c r="E8" s="12">
        <v>0.14000000000000007</v>
      </c>
      <c r="F8" s="12">
        <v>0.17999999999999994</v>
      </c>
      <c r="G8" s="12">
        <v>0.19999999999999996</v>
      </c>
      <c r="H8" s="12">
        <v>0.15000000000000002</v>
      </c>
      <c r="I8" s="12">
        <v>0.18</v>
      </c>
      <c r="J8" s="12">
        <v>8.0000000000000016E-2</v>
      </c>
      <c r="K8" s="12">
        <v>0.10000000000000003</v>
      </c>
      <c r="L8" s="12">
        <v>8.0000000000000071E-2</v>
      </c>
      <c r="M8" s="12">
        <v>8.9999999999999969E-2</v>
      </c>
    </row>
    <row r="9" spans="1:13" x14ac:dyDescent="0.35">
      <c r="A9" s="12">
        <v>0.27999999999999992</v>
      </c>
      <c r="B9" s="12">
        <v>0.16999999999999993</v>
      </c>
      <c r="C9" s="12">
        <v>0.14999999999999991</v>
      </c>
      <c r="D9" s="12">
        <v>0.21999999999999997</v>
      </c>
      <c r="E9" s="12">
        <v>0.27</v>
      </c>
      <c r="F9" s="12">
        <v>0.15000000000000002</v>
      </c>
      <c r="G9" s="12">
        <v>0.14999999999999991</v>
      </c>
      <c r="H9" s="12">
        <v>0.10999999999999999</v>
      </c>
      <c r="I9" s="12">
        <v>0.17999999999999994</v>
      </c>
      <c r="J9" s="12">
        <v>0.22999999999999998</v>
      </c>
      <c r="K9" s="12">
        <v>0.19000000000000006</v>
      </c>
      <c r="L9" s="12">
        <v>6.0000000000000053E-2</v>
      </c>
      <c r="M9" s="12">
        <v>0</v>
      </c>
    </row>
    <row r="10" spans="1:13" x14ac:dyDescent="0.35">
      <c r="A10" s="12">
        <v>0.28000000000000003</v>
      </c>
      <c r="B10" s="12">
        <v>0.28999999999999992</v>
      </c>
      <c r="C10" s="12">
        <v>0.36</v>
      </c>
      <c r="D10" s="12">
        <v>0.42000000000000004</v>
      </c>
      <c r="E10" s="12">
        <v>0.41000000000000003</v>
      </c>
      <c r="F10" s="12">
        <v>0.32</v>
      </c>
      <c r="G10" s="12">
        <v>0.35</v>
      </c>
      <c r="H10" s="12">
        <v>0.21999999999999997</v>
      </c>
      <c r="I10" s="12">
        <v>0.37</v>
      </c>
      <c r="J10" s="12">
        <v>0.35000000000000003</v>
      </c>
      <c r="K10" s="12">
        <v>0.24</v>
      </c>
      <c r="L10" s="12">
        <v>0.31000000000000005</v>
      </c>
      <c r="M10" s="12">
        <v>3.0000000000000027E-2</v>
      </c>
    </row>
    <row r="11" spans="1:13" x14ac:dyDescent="0.35">
      <c r="A11" s="12">
        <v>0.22999999999999998</v>
      </c>
      <c r="B11" s="12">
        <v>4.0000000000000036E-2</v>
      </c>
      <c r="C11" s="12">
        <v>7.0000000000000062E-2</v>
      </c>
      <c r="D11" s="12">
        <v>0</v>
      </c>
      <c r="E11" s="12">
        <v>8.0000000000000071E-2</v>
      </c>
      <c r="F11" s="12">
        <v>9.0000000000000024E-2</v>
      </c>
      <c r="G11" s="12">
        <v>8.0000000000000016E-2</v>
      </c>
      <c r="H11" s="12">
        <v>4.9999999999999989E-2</v>
      </c>
      <c r="I11" s="12">
        <v>0.12</v>
      </c>
      <c r="J11" s="12">
        <v>9.9999999999999534E-3</v>
      </c>
      <c r="K11" s="12">
        <v>7.999999999999996E-2</v>
      </c>
      <c r="L11" s="12">
        <v>6.0000000000000053E-2</v>
      </c>
      <c r="M11" s="12">
        <v>5.9999999999999942E-2</v>
      </c>
    </row>
    <row r="12" spans="1:13" x14ac:dyDescent="0.35">
      <c r="A12" s="12">
        <v>0.37</v>
      </c>
      <c r="B12" s="12">
        <v>0.36000000000000004</v>
      </c>
      <c r="C12" s="12">
        <v>0.21000000000000002</v>
      </c>
      <c r="D12" s="12">
        <v>0.2</v>
      </c>
      <c r="E12" s="12">
        <v>0.14000000000000007</v>
      </c>
      <c r="F12" s="12">
        <v>0.15000000000000002</v>
      </c>
      <c r="G12" s="12">
        <v>0.16999999999999998</v>
      </c>
      <c r="H12" s="12">
        <v>0.21999999999999997</v>
      </c>
      <c r="I12" s="12">
        <v>0.24</v>
      </c>
      <c r="J12" s="12">
        <v>0.2</v>
      </c>
      <c r="K12" s="12">
        <v>0.25999999999999995</v>
      </c>
      <c r="L12" s="12">
        <v>0.33000000000000007</v>
      </c>
      <c r="M12" s="12">
        <v>0.19999999999999996</v>
      </c>
    </row>
    <row r="13" spans="1:13" x14ac:dyDescent="0.35">
      <c r="A13" s="12">
        <v>0.27</v>
      </c>
      <c r="B13" s="12">
        <v>0.35000000000000003</v>
      </c>
      <c r="C13" s="12">
        <v>0.33999999999999997</v>
      </c>
      <c r="D13" s="12">
        <v>0.34999999999999992</v>
      </c>
      <c r="E13" s="12">
        <v>0.35</v>
      </c>
      <c r="F13" s="12">
        <v>0.38</v>
      </c>
      <c r="G13" s="12">
        <v>0.36</v>
      </c>
      <c r="H13" s="12">
        <v>0.45</v>
      </c>
      <c r="I13" s="12">
        <v>0.47</v>
      </c>
      <c r="J13" s="12">
        <v>0.45999999999999996</v>
      </c>
      <c r="K13" s="12">
        <v>0.4</v>
      </c>
      <c r="L13" s="12">
        <v>0.44999999999999996</v>
      </c>
      <c r="M13" s="12">
        <v>0.47</v>
      </c>
    </row>
    <row r="14" spans="1:13" x14ac:dyDescent="0.35">
      <c r="A14" s="12">
        <v>0.31999999999999995</v>
      </c>
      <c r="B14" s="12">
        <v>0.31999999999999995</v>
      </c>
      <c r="C14" s="12">
        <v>0.33999999999999997</v>
      </c>
      <c r="D14" s="12">
        <v>0.45</v>
      </c>
      <c r="E14" s="12">
        <v>0.52</v>
      </c>
      <c r="F14" s="12">
        <v>0.52</v>
      </c>
      <c r="G14" s="12">
        <v>0.48</v>
      </c>
      <c r="H14" s="12">
        <v>0.61</v>
      </c>
      <c r="I14" s="12">
        <v>0.5</v>
      </c>
      <c r="J14" s="12">
        <v>0.33</v>
      </c>
      <c r="K14" s="12">
        <v>0.47</v>
      </c>
      <c r="L14" s="12">
        <v>0.14000000000000001</v>
      </c>
      <c r="M14" s="12">
        <v>0.41</v>
      </c>
    </row>
    <row r="15" spans="1:13" x14ac:dyDescent="0.35">
      <c r="A15" s="12">
        <v>0.20999999999999996</v>
      </c>
      <c r="B15" s="12">
        <v>0.16999999999999998</v>
      </c>
      <c r="C15" s="12">
        <v>0.23999999999999994</v>
      </c>
      <c r="D15" s="12">
        <v>0.27999999999999997</v>
      </c>
      <c r="E15" s="12">
        <v>0.17000000000000004</v>
      </c>
      <c r="F15" s="12">
        <v>0.21999999999999997</v>
      </c>
      <c r="G15" s="12">
        <v>7.0000000000000007E-2</v>
      </c>
      <c r="H15" s="12">
        <v>0.22999999999999998</v>
      </c>
      <c r="I15" s="12">
        <v>0.21</v>
      </c>
      <c r="J15" s="12">
        <v>0.16</v>
      </c>
      <c r="K15" s="12">
        <v>0.24999999999999997</v>
      </c>
      <c r="L15" s="12">
        <v>0.10999999999999999</v>
      </c>
      <c r="M15" s="12">
        <v>0.06</v>
      </c>
    </row>
    <row r="16" spans="1:13" x14ac:dyDescent="0.35">
      <c r="A16" s="23">
        <v>0.13</v>
      </c>
      <c r="B16" s="23">
        <v>0.22999999999999998</v>
      </c>
      <c r="C16" s="23">
        <v>0.12</v>
      </c>
      <c r="D16" s="23">
        <v>0.17999999999999994</v>
      </c>
      <c r="E16" s="23">
        <v>0.14000000000000001</v>
      </c>
      <c r="F16" s="23">
        <v>0.28999999999999998</v>
      </c>
      <c r="G16" s="23">
        <v>0.38</v>
      </c>
      <c r="H16" s="23">
        <v>0.25</v>
      </c>
      <c r="I16" s="23">
        <v>0.15000000000000002</v>
      </c>
      <c r="J16" s="23">
        <v>0.19</v>
      </c>
      <c r="K16" s="23">
        <v>0.10999999999999999</v>
      </c>
      <c r="L16" s="23">
        <v>0.20999999999999996</v>
      </c>
      <c r="M16" s="23">
        <v>0.19999999999999996</v>
      </c>
    </row>
    <row r="17" spans="1:13" x14ac:dyDescent="0.35">
      <c r="A17" s="12">
        <v>0.18999999999999995</v>
      </c>
      <c r="B17" s="12">
        <v>7.999999999999996E-2</v>
      </c>
      <c r="C17" s="12">
        <v>0.17000000000000004</v>
      </c>
      <c r="D17" s="12">
        <v>0.15000000000000002</v>
      </c>
      <c r="E17" s="12">
        <v>0.20999999999999996</v>
      </c>
      <c r="F17" s="12">
        <v>0.15000000000000002</v>
      </c>
      <c r="G17" s="12">
        <v>0.13</v>
      </c>
      <c r="H17" s="12">
        <v>2.9999999999999971E-2</v>
      </c>
      <c r="I17" s="12">
        <v>5.0000000000000017E-2</v>
      </c>
      <c r="J17" s="12">
        <v>3.999999999999998E-2</v>
      </c>
      <c r="K17" s="12">
        <v>8.0000000000000016E-2</v>
      </c>
      <c r="L17" s="12">
        <v>9.0000000000000024E-2</v>
      </c>
      <c r="M17" s="12">
        <v>3.0000000000000027E-2</v>
      </c>
    </row>
    <row r="18" spans="1:13" x14ac:dyDescent="0.35">
      <c r="A18" s="23">
        <v>9.9999999999999978E-2</v>
      </c>
      <c r="B18" s="23">
        <v>0.12000000000000005</v>
      </c>
      <c r="C18" s="23">
        <v>0.10999999999999999</v>
      </c>
      <c r="D18" s="23">
        <v>9.9999999999999978E-2</v>
      </c>
      <c r="E18" s="23">
        <v>0.14000000000000001</v>
      </c>
      <c r="F18" s="23">
        <v>0.13</v>
      </c>
      <c r="G18" s="23">
        <v>0.12</v>
      </c>
      <c r="H18" s="23">
        <v>8.0000000000000016E-2</v>
      </c>
      <c r="I18" s="23">
        <v>8.0000000000000016E-2</v>
      </c>
      <c r="J18" s="23">
        <v>0.13</v>
      </c>
      <c r="K18" s="23">
        <v>9.9999999999999978E-2</v>
      </c>
      <c r="L18" s="23">
        <v>3.999999999999998E-2</v>
      </c>
      <c r="M18" s="23">
        <v>0.11000000000000004</v>
      </c>
    </row>
    <row r="19" spans="1:13" x14ac:dyDescent="0.35">
      <c r="A19" s="12">
        <v>0.24</v>
      </c>
      <c r="B19" s="12">
        <v>0.26</v>
      </c>
      <c r="C19" s="12">
        <v>0.26999999999999996</v>
      </c>
      <c r="D19" s="12">
        <v>0.33999999999999997</v>
      </c>
      <c r="E19" s="12">
        <v>0.21000000000000002</v>
      </c>
      <c r="F19" s="12">
        <v>0.14000000000000001</v>
      </c>
      <c r="G19" s="12">
        <v>0.19</v>
      </c>
      <c r="H19" s="12">
        <v>0.16000000000000003</v>
      </c>
      <c r="I19" s="12">
        <v>0.16999999999999998</v>
      </c>
      <c r="J19" s="12">
        <v>0.15999999999999998</v>
      </c>
      <c r="K19" s="12">
        <v>0.19</v>
      </c>
      <c r="L19" s="12">
        <v>0.16999999999999993</v>
      </c>
      <c r="M19" s="12">
        <v>4.0000000000000036E-2</v>
      </c>
    </row>
    <row r="20" spans="1:13" x14ac:dyDescent="0.35">
      <c r="A20" s="12">
        <v>3.0000000000000027E-2</v>
      </c>
      <c r="B20" s="12">
        <v>0.16000000000000003</v>
      </c>
      <c r="C20" s="12">
        <v>0.14000000000000001</v>
      </c>
      <c r="D20" s="12">
        <v>0.19000000000000006</v>
      </c>
      <c r="E20" s="12">
        <v>0.22999999999999993</v>
      </c>
      <c r="F20" s="12">
        <v>0.11000000000000004</v>
      </c>
      <c r="G20" s="12">
        <v>8.0000000000000016E-2</v>
      </c>
      <c r="H20" s="12">
        <v>4.9999999999999989E-2</v>
      </c>
      <c r="I20" s="12">
        <v>9.0000000000000024E-2</v>
      </c>
      <c r="J20" s="12">
        <v>1.0000000000000009E-2</v>
      </c>
      <c r="K20" s="12">
        <v>4.9999999999999933E-2</v>
      </c>
      <c r="L20" s="12">
        <v>0</v>
      </c>
      <c r="M20" s="12">
        <v>0</v>
      </c>
    </row>
    <row r="21" spans="1:13" x14ac:dyDescent="0.35">
      <c r="A21" s="12">
        <v>0.63</v>
      </c>
      <c r="B21" s="12">
        <v>0.25</v>
      </c>
      <c r="C21" s="12">
        <v>5.9999999999999942E-2</v>
      </c>
      <c r="D21" s="12">
        <v>7.999999999999996E-2</v>
      </c>
      <c r="E21" s="12">
        <v>0.26000000000000006</v>
      </c>
      <c r="F21" s="12">
        <v>0.7</v>
      </c>
      <c r="G21" s="12">
        <v>0.41999999999999993</v>
      </c>
      <c r="H21" s="12">
        <v>0.39</v>
      </c>
      <c r="I21" s="12">
        <v>0.45999999999999996</v>
      </c>
      <c r="J21" s="12">
        <v>0.39</v>
      </c>
      <c r="K21" s="12">
        <v>0.37999999999999995</v>
      </c>
      <c r="L21" s="12">
        <v>0.37</v>
      </c>
      <c r="M21" s="12">
        <v>0.33000000000000007</v>
      </c>
    </row>
    <row r="22" spans="1:13" x14ac:dyDescent="0.35">
      <c r="A22" s="12">
        <v>0.36</v>
      </c>
      <c r="B22" s="12">
        <v>7.0000000000000062E-2</v>
      </c>
      <c r="C22" s="12">
        <v>2.0000000000000018E-2</v>
      </c>
      <c r="D22" s="12">
        <v>5.0000000000000044E-2</v>
      </c>
      <c r="E22" s="12">
        <v>0.13</v>
      </c>
      <c r="F22" s="12">
        <v>0.13</v>
      </c>
      <c r="G22" s="12">
        <v>9.9999999999999978E-2</v>
      </c>
      <c r="H22" s="12">
        <v>0.18999999999999995</v>
      </c>
      <c r="I22" s="12">
        <v>7.999999999999996E-2</v>
      </c>
      <c r="J22" s="12">
        <v>0.22999999999999998</v>
      </c>
      <c r="K22" s="12">
        <v>0.15000000000000002</v>
      </c>
      <c r="L22" s="12">
        <v>2.0000000000000018E-2</v>
      </c>
      <c r="M22" s="12">
        <v>5.9999999999999942E-2</v>
      </c>
    </row>
    <row r="23" spans="1:13" x14ac:dyDescent="0.35">
      <c r="A23" s="12">
        <v>0.12</v>
      </c>
      <c r="B23" s="12">
        <v>0.4</v>
      </c>
      <c r="C23" s="12">
        <v>0.47</v>
      </c>
      <c r="D23" s="12">
        <v>0.44</v>
      </c>
      <c r="E23" s="12">
        <v>0.25999999999999995</v>
      </c>
      <c r="F23" s="12">
        <v>0.3</v>
      </c>
      <c r="G23" s="12">
        <v>0.27999999999999997</v>
      </c>
      <c r="H23" s="12">
        <v>0.38999999999999996</v>
      </c>
      <c r="I23" s="12">
        <v>0.32000000000000006</v>
      </c>
      <c r="J23" s="12">
        <v>0.37</v>
      </c>
      <c r="K23" s="12">
        <v>0.35</v>
      </c>
      <c r="L23" s="12">
        <v>0.48000000000000004</v>
      </c>
      <c r="M23" s="12">
        <v>0.4</v>
      </c>
    </row>
    <row r="24" spans="1:13" x14ac:dyDescent="0.35">
      <c r="A24" s="23">
        <v>0.19000000000000006</v>
      </c>
      <c r="B24" s="23">
        <v>0.16999999999999998</v>
      </c>
      <c r="C24" s="23">
        <v>0.19</v>
      </c>
      <c r="D24" s="23">
        <v>0.18</v>
      </c>
      <c r="E24" s="23">
        <v>0.16999999999999998</v>
      </c>
      <c r="F24" s="23">
        <v>0.15999999999999998</v>
      </c>
      <c r="G24" s="23">
        <v>0.22</v>
      </c>
      <c r="H24" s="23">
        <v>0.28000000000000003</v>
      </c>
      <c r="I24" s="23">
        <v>0.29000000000000004</v>
      </c>
      <c r="J24" s="23">
        <v>0.27</v>
      </c>
      <c r="K24" s="23">
        <v>0.22999999999999998</v>
      </c>
      <c r="L24" s="23">
        <v>0.29000000000000004</v>
      </c>
      <c r="M24" s="23">
        <v>0.27</v>
      </c>
    </row>
    <row r="25" spans="1:13" x14ac:dyDescent="0.35">
      <c r="A25" s="12">
        <v>0.36</v>
      </c>
      <c r="B25" s="12">
        <v>0.3</v>
      </c>
      <c r="C25" s="12">
        <v>0.21999999999999997</v>
      </c>
      <c r="D25" s="12">
        <v>0.34</v>
      </c>
      <c r="E25" s="12">
        <v>0.32</v>
      </c>
      <c r="F25" s="12">
        <v>0.3</v>
      </c>
      <c r="G25" s="12">
        <v>0.28999999999999998</v>
      </c>
      <c r="H25" s="12">
        <v>0.10999999999999999</v>
      </c>
      <c r="I25" s="12">
        <v>0.28999999999999998</v>
      </c>
      <c r="J25" s="12">
        <v>0.27000000000000007</v>
      </c>
      <c r="K25" s="12">
        <v>0.25000000000000006</v>
      </c>
      <c r="L25" s="12">
        <v>0.24999999999999994</v>
      </c>
      <c r="M25" s="12">
        <v>0.19000000000000006</v>
      </c>
    </row>
    <row r="26" spans="1:13" x14ac:dyDescent="0.35">
      <c r="A26" s="23">
        <v>0.21999999999999997</v>
      </c>
      <c r="B26" s="23">
        <v>2.0000000000000018E-2</v>
      </c>
      <c r="C26" s="23">
        <v>0.13</v>
      </c>
      <c r="D26" s="23">
        <v>0.1100000000000001</v>
      </c>
      <c r="E26" s="23">
        <v>5.0000000000000044E-2</v>
      </c>
      <c r="F26" s="23">
        <v>0.17999999999999994</v>
      </c>
      <c r="G26" s="23">
        <v>9.9999999999999978E-2</v>
      </c>
      <c r="H26" s="23">
        <v>0.16999999999999998</v>
      </c>
      <c r="I26" s="23">
        <v>0.34</v>
      </c>
      <c r="J26" s="23">
        <v>0.31999999999999995</v>
      </c>
      <c r="K26" s="23">
        <v>0.32</v>
      </c>
      <c r="L26" s="23">
        <v>3.0000000000000027E-2</v>
      </c>
      <c r="M26" s="23">
        <v>2.0000000000000018E-2</v>
      </c>
    </row>
    <row r="27" spans="1:13" x14ac:dyDescent="0.35">
      <c r="A27" s="12">
        <v>8.9999999999999969E-2</v>
      </c>
      <c r="B27" s="12">
        <v>0.13</v>
      </c>
      <c r="C27" s="12">
        <v>0.19</v>
      </c>
      <c r="D27" s="12">
        <v>0.24</v>
      </c>
      <c r="E27" s="12">
        <v>0.17000000000000004</v>
      </c>
      <c r="F27" s="12">
        <v>0.12000000000000005</v>
      </c>
      <c r="G27" s="12">
        <v>0.25</v>
      </c>
      <c r="H27" s="12">
        <v>0.26</v>
      </c>
      <c r="I27" s="12">
        <v>0.12999999999999995</v>
      </c>
      <c r="J27" s="12">
        <v>0.17000000000000004</v>
      </c>
      <c r="K27" s="12">
        <v>0.19</v>
      </c>
      <c r="L27" s="12">
        <v>0.14999999999999991</v>
      </c>
      <c r="M27" s="12">
        <v>3.9999999999999925E-2</v>
      </c>
    </row>
    <row r="28" spans="1:13" x14ac:dyDescent="0.35">
      <c r="A28" s="12">
        <v>0.36</v>
      </c>
      <c r="B28" s="12">
        <v>0.35</v>
      </c>
      <c r="C28" s="12">
        <v>0.26</v>
      </c>
      <c r="D28" s="12">
        <v>0.34000000000000008</v>
      </c>
      <c r="E28" s="12">
        <v>0.33000000000000007</v>
      </c>
      <c r="F28" s="12">
        <v>0.31000000000000005</v>
      </c>
      <c r="G28" s="12">
        <v>0.25</v>
      </c>
      <c r="H28" s="12">
        <v>0.39</v>
      </c>
      <c r="I28" s="12">
        <v>0.35</v>
      </c>
      <c r="J28" s="12">
        <v>0.25</v>
      </c>
      <c r="K28" s="12">
        <v>0.27</v>
      </c>
      <c r="L28" s="12">
        <v>0.25</v>
      </c>
      <c r="M28" s="12">
        <v>0.14999999999999991</v>
      </c>
    </row>
    <row r="29" spans="1:13" x14ac:dyDescent="0.35">
      <c r="A29" s="12">
        <v>0.32999999999999996</v>
      </c>
      <c r="B29" s="12">
        <v>0.18000000000000005</v>
      </c>
      <c r="C29" s="12">
        <v>0.20000000000000007</v>
      </c>
      <c r="D29" s="12">
        <v>0.18999999999999995</v>
      </c>
      <c r="E29" s="12">
        <v>0.22000000000000003</v>
      </c>
      <c r="F29" s="12">
        <v>0.28999999999999998</v>
      </c>
      <c r="G29" s="12">
        <v>0.27</v>
      </c>
      <c r="H29" s="12">
        <v>0.26</v>
      </c>
      <c r="I29" s="12">
        <v>0.16999999999999998</v>
      </c>
      <c r="J29" s="12">
        <v>0.16000000000000003</v>
      </c>
      <c r="K29" s="12">
        <v>0.31</v>
      </c>
      <c r="L29" s="12">
        <v>0.21999999999999997</v>
      </c>
      <c r="M29" s="12">
        <v>0.19999999999999996</v>
      </c>
    </row>
    <row r="30" spans="1:13" x14ac:dyDescent="0.35">
      <c r="A30" s="23">
        <v>0.46000000000000008</v>
      </c>
      <c r="B30" s="23">
        <v>0.27</v>
      </c>
      <c r="C30" s="23">
        <v>0.21999999999999997</v>
      </c>
      <c r="D30" s="23">
        <v>0.25999999999999995</v>
      </c>
      <c r="E30" s="23">
        <v>0.19999999999999996</v>
      </c>
      <c r="F30" s="23">
        <v>0.27</v>
      </c>
      <c r="G30" s="23">
        <v>0.17</v>
      </c>
      <c r="H30" s="23">
        <v>0.21999999999999997</v>
      </c>
      <c r="I30" s="23">
        <v>6.9999999999999979E-2</v>
      </c>
      <c r="J30" s="23">
        <v>7.0000000000000007E-2</v>
      </c>
      <c r="K30" s="23">
        <v>9.9999999999999978E-2</v>
      </c>
      <c r="L30" s="23">
        <v>0.17</v>
      </c>
      <c r="M30" s="23">
        <v>5.0000000000000044E-2</v>
      </c>
    </row>
    <row r="31" spans="1:13" x14ac:dyDescent="0.35">
      <c r="A31" s="12">
        <v>0.4</v>
      </c>
      <c r="B31" s="12">
        <v>0.45999999999999996</v>
      </c>
      <c r="C31" s="12">
        <v>0.35000000000000003</v>
      </c>
      <c r="D31" s="12">
        <v>0.4</v>
      </c>
      <c r="E31" s="12">
        <v>0.29000000000000004</v>
      </c>
      <c r="F31" s="12">
        <v>0.32999999999999996</v>
      </c>
      <c r="G31" s="12">
        <v>0.32999999999999996</v>
      </c>
      <c r="H31" s="12">
        <v>0.32999999999999996</v>
      </c>
      <c r="I31" s="12">
        <v>0.35</v>
      </c>
      <c r="J31" s="12">
        <v>0.28999999999999998</v>
      </c>
      <c r="K31" s="12">
        <v>0.27</v>
      </c>
      <c r="L31" s="12">
        <v>0.22999999999999998</v>
      </c>
      <c r="M31" s="12">
        <v>0.16999999999999993</v>
      </c>
    </row>
    <row r="32" spans="1:13" x14ac:dyDescent="0.35">
      <c r="A32" s="23">
        <v>9.000000000000008E-2</v>
      </c>
      <c r="B32" s="23">
        <v>0.21999999999999997</v>
      </c>
      <c r="C32" s="23">
        <v>0.14000000000000001</v>
      </c>
      <c r="D32" s="23">
        <v>0.24</v>
      </c>
      <c r="E32" s="23">
        <v>0.10999999999999999</v>
      </c>
      <c r="F32" s="23">
        <v>9.9999999999999978E-2</v>
      </c>
      <c r="G32" s="23">
        <v>0.21</v>
      </c>
      <c r="H32" s="23">
        <v>0.12</v>
      </c>
      <c r="I32" s="23">
        <v>8.0000000000000016E-2</v>
      </c>
      <c r="J32" s="23">
        <v>0.16000000000000003</v>
      </c>
      <c r="K32" s="23">
        <v>0.06</v>
      </c>
      <c r="L32" s="23">
        <v>0.11000000000000004</v>
      </c>
      <c r="M32" s="23">
        <v>8.9999999999999969E-2</v>
      </c>
    </row>
    <row r="33" spans="1:13" x14ac:dyDescent="0.35">
      <c r="A33" s="12">
        <v>0.15000000000000002</v>
      </c>
      <c r="B33" s="12">
        <v>0.29000000000000004</v>
      </c>
      <c r="C33" s="12">
        <v>0.15000000000000002</v>
      </c>
      <c r="D33" s="12">
        <v>0.19</v>
      </c>
      <c r="E33" s="12">
        <v>0.16000000000000003</v>
      </c>
      <c r="F33" s="12">
        <v>0.23000000000000004</v>
      </c>
      <c r="G33" s="12">
        <v>3.999999999999998E-2</v>
      </c>
      <c r="H33" s="12">
        <v>1.0000000000000009E-2</v>
      </c>
      <c r="I33" s="12">
        <v>0.14000000000000001</v>
      </c>
      <c r="J33" s="12">
        <v>9.9999999999999978E-2</v>
      </c>
      <c r="K33" s="12">
        <v>0.15999999999999998</v>
      </c>
      <c r="L33" s="12">
        <v>4.0000000000000036E-2</v>
      </c>
      <c r="M33" s="12">
        <v>0.13</v>
      </c>
    </row>
    <row r="34" spans="1:13" x14ac:dyDescent="0.35">
      <c r="A34" s="13">
        <v>0.39</v>
      </c>
      <c r="B34" s="13">
        <v>0.66999999999999993</v>
      </c>
      <c r="C34" s="13">
        <v>0.28999999999999998</v>
      </c>
      <c r="D34" s="13">
        <v>0.19</v>
      </c>
      <c r="E34" s="13">
        <v>8.0000000000000016E-2</v>
      </c>
      <c r="F34" s="13">
        <v>0.11000000000000004</v>
      </c>
      <c r="G34" s="13">
        <v>8.0000000000000071E-2</v>
      </c>
      <c r="H34" s="13">
        <v>1.9999999999999962E-2</v>
      </c>
      <c r="I34" s="13">
        <v>6.9999999999999951E-2</v>
      </c>
      <c r="J34" s="13">
        <v>1.0000000000000009E-2</v>
      </c>
      <c r="K34" s="13">
        <v>0</v>
      </c>
      <c r="L34" s="13">
        <v>1.0000000000000009E-2</v>
      </c>
      <c r="M34" s="13">
        <v>9.9999999999998979E-3</v>
      </c>
    </row>
    <row r="35" spans="1:13" x14ac:dyDescent="0.35">
      <c r="A35" s="13">
        <f>AVERAGE(Table24[100])</f>
        <v>0.27121212121212124</v>
      </c>
      <c r="B35" s="13">
        <f>SUBTOTAL(101,Table24[200])</f>
        <v>0.26151515151515148</v>
      </c>
      <c r="C35" s="13">
        <f>SUBTOTAL(101,Table24[400])</f>
        <v>0.23545454545454542</v>
      </c>
      <c r="D35" s="13">
        <f>SUBTOTAL(101,Table24[500])</f>
        <v>0.23939393939393946</v>
      </c>
      <c r="E35" s="13">
        <f>SUBTOTAL(101,Table24[800])</f>
        <v>0.22757575757575757</v>
      </c>
      <c r="F35" s="13">
        <f>SUBTOTAL(101,Table24[1000])</f>
        <v>0.24181818181818179</v>
      </c>
      <c r="G35" s="13">
        <f>SUBTOTAL(101,Table24[2000])</f>
        <v>0.22181818181818178</v>
      </c>
      <c r="H35" s="13">
        <f>SUBTOTAL(101,Table24[3000])</f>
        <v>0.21484848484848479</v>
      </c>
      <c r="I35" s="13">
        <f>SUBTOTAL(101,Table24[4000])</f>
        <v>0.21848484848484845</v>
      </c>
      <c r="J35" s="13">
        <f>SUBTOTAL(101,Table24[6000])</f>
        <v>0.19121212121212122</v>
      </c>
      <c r="K35" s="13">
        <f>SUBTOTAL(101,Table24[8000])</f>
        <v>0.20454545454545459</v>
      </c>
      <c r="L35" s="13">
        <f>SUBTOTAL(101,Table24[10000])</f>
        <v>0.16727272727272727</v>
      </c>
      <c r="M35" s="13">
        <f>SUBTOTAL(101,Table24[12000])</f>
        <v>0.14757575757575758</v>
      </c>
    </row>
    <row r="36" spans="1:13" s="11" customFormat="1" x14ac:dyDescent="0.35">
      <c r="A36" s="11">
        <f>STDEV(Table24[100])/(SQRT(COUNT(Table24[100])))</f>
        <v>2.555726478493775E-2</v>
      </c>
      <c r="B36" s="11">
        <f>STDEV(Table24[200])/(SQRT(COUNT(Table24[200])))</f>
        <v>2.4526273837586716E-2</v>
      </c>
      <c r="C36" s="11">
        <f>STDEV(Table24[400])/(SQRT(COUNT(Table24[400])))</f>
        <v>2.0245140218811495E-2</v>
      </c>
      <c r="D36" s="11">
        <f>STDEV(Table24[500])/(SQRT(COUNT(Table24[500])))</f>
        <v>1.9261652287697349E-2</v>
      </c>
      <c r="E36" s="11">
        <f>STDEV(Table24[800])/(SQRT(COUNT(Table24[800])))</f>
        <v>1.9143746026772213E-2</v>
      </c>
      <c r="F36" s="11">
        <f>STDEV(Table24[1000])/(SQRT(COUNT(Table24[1000])))</f>
        <v>2.3185902789287081E-2</v>
      </c>
      <c r="G36" s="11">
        <f>STDEV(Table24[2000])/(SQRT(COUNT(Table24[2000])))</f>
        <v>2.2042720855187645E-2</v>
      </c>
      <c r="H36" s="11">
        <f>STDEV(Table24[3000])/(SQRT(COUNT(Table24[3000])))</f>
        <v>2.4297404510195089E-2</v>
      </c>
      <c r="I36" s="11">
        <f>STDEV(Table24[4000])/(SQRT(COUNT(Table24[4000])))</f>
        <v>2.1633663145282714E-2</v>
      </c>
      <c r="J36" s="11">
        <f>STDEV(Table24[6000])/(SQRT(COUNT(Table24[6000])))</f>
        <v>2.0605225027621868E-2</v>
      </c>
      <c r="K36" s="11">
        <f>STDEV(Table24[8000])/(SQRT(COUNT(Table24[8000])))</f>
        <v>1.9496944734867825E-2</v>
      </c>
      <c r="L36" s="11">
        <f>STDEV(Table24[10000])/(SQRT(COUNT(Table24[10000])))</f>
        <v>2.1878074360899471E-2</v>
      </c>
      <c r="M36" s="11">
        <f>STDEV(Table24[12000])/(SQRT(COUNT(Table24[12000])))</f>
        <v>2.1337965449248323E-2</v>
      </c>
    </row>
  </sheetData>
  <phoneticPr fontId="6"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A386-3FCF-481C-A449-4E313CD29EF7}">
  <dimension ref="A1:G33"/>
  <sheetViews>
    <sheetView topLeftCell="A4" workbookViewId="0">
      <selection activeCell="F18" sqref="F18"/>
    </sheetView>
  </sheetViews>
  <sheetFormatPr defaultRowHeight="14.5" x14ac:dyDescent="0.35"/>
  <cols>
    <col min="1" max="1" width="8.81640625" customWidth="1"/>
    <col min="2" max="2" width="7.453125" customWidth="1"/>
  </cols>
  <sheetData>
    <row r="1" spans="1:7" x14ac:dyDescent="0.35">
      <c r="G1" s="9" t="s">
        <v>113</v>
      </c>
    </row>
    <row r="4" spans="1:7" x14ac:dyDescent="0.35">
      <c r="A4" t="s">
        <v>9196</v>
      </c>
      <c r="B4" t="s">
        <v>9197</v>
      </c>
      <c r="D4" t="s">
        <v>47</v>
      </c>
    </row>
    <row r="5" spans="1:7" ht="15" thickBot="1" x14ac:dyDescent="0.4">
      <c r="A5" s="38">
        <f>AVERAGE(Table23[100])</f>
        <v>0.31136363636363634</v>
      </c>
      <c r="B5" s="38">
        <f>AVERAGE(Table24[100])</f>
        <v>0.27121212121212124</v>
      </c>
    </row>
    <row r="6" spans="1:7" x14ac:dyDescent="0.35">
      <c r="A6" s="39">
        <f>SUBTOTAL(101,Table23[200])</f>
        <v>0.35272727272727272</v>
      </c>
      <c r="B6" s="39">
        <f>SUBTOTAL(101,Table24[200])</f>
        <v>0.26151515151515148</v>
      </c>
      <c r="D6" s="6"/>
      <c r="E6" t="s">
        <v>9196</v>
      </c>
      <c r="F6" t="s">
        <v>9197</v>
      </c>
    </row>
    <row r="7" spans="1:7" x14ac:dyDescent="0.35">
      <c r="A7" s="39">
        <f>SUBTOTAL(101,Table23[400])</f>
        <v>0.37090909090909085</v>
      </c>
      <c r="B7" s="39">
        <f>SUBTOTAL(101,Table24[400])</f>
        <v>0.23545454545454542</v>
      </c>
      <c r="D7" s="4" t="s">
        <v>48</v>
      </c>
      <c r="E7" s="4">
        <v>0.32048951048951047</v>
      </c>
      <c r="F7" s="4">
        <v>0.21867132867132869</v>
      </c>
    </row>
    <row r="8" spans="1:7" x14ac:dyDescent="0.35">
      <c r="A8" s="39">
        <f>SUBTOTAL(101,Table23[500])</f>
        <v>0.36272727272727273</v>
      </c>
      <c r="B8" s="39">
        <f>SUBTOTAL(101,Table24[500])</f>
        <v>0.23939393939393946</v>
      </c>
      <c r="D8" s="4" t="s">
        <v>49</v>
      </c>
      <c r="E8" s="4">
        <v>3.4056288408561008E-3</v>
      </c>
      <c r="F8" s="4">
        <v>1.2163994254903072E-3</v>
      </c>
    </row>
    <row r="9" spans="1:7" x14ac:dyDescent="0.35">
      <c r="A9" s="39">
        <f>SUBTOTAL(101,Table23[800])</f>
        <v>0.36409090909090902</v>
      </c>
      <c r="B9" s="39">
        <f>SUBTOTAL(101,Table24[800])</f>
        <v>0.22757575757575757</v>
      </c>
      <c r="D9" s="4" t="s">
        <v>50</v>
      </c>
      <c r="E9" s="4">
        <v>13</v>
      </c>
      <c r="F9" s="4">
        <v>13</v>
      </c>
    </row>
    <row r="10" spans="1:7" x14ac:dyDescent="0.35">
      <c r="A10" s="39">
        <f>SUBTOTAL(101,Table23[1000])</f>
        <v>0.3431818181818182</v>
      </c>
      <c r="B10" s="39">
        <f>SUBTOTAL(101,Table24[1000])</f>
        <v>0.24181818181818179</v>
      </c>
      <c r="D10" s="4" t="s">
        <v>51</v>
      </c>
      <c r="E10" s="4">
        <v>2.3110141331732039E-3</v>
      </c>
      <c r="F10" s="4"/>
    </row>
    <row r="11" spans="1:7" x14ac:dyDescent="0.35">
      <c r="A11" s="39">
        <f>SUBTOTAL(101,Table23[2000])</f>
        <v>0.39090909090909087</v>
      </c>
      <c r="B11" s="39">
        <f>SUBTOTAL(101,Table24[2000])</f>
        <v>0.22181818181818178</v>
      </c>
      <c r="D11" s="4" t="s">
        <v>52</v>
      </c>
      <c r="E11" s="4">
        <v>0</v>
      </c>
      <c r="F11" s="4"/>
    </row>
    <row r="12" spans="1:7" x14ac:dyDescent="0.35">
      <c r="A12" s="39">
        <f>SUBTOTAL(101,Table23[3000])</f>
        <v>0.33454545454545453</v>
      </c>
      <c r="B12" s="39">
        <f>SUBTOTAL(101,Table24[3000])</f>
        <v>0.21484848484848479</v>
      </c>
      <c r="D12" s="4" t="s">
        <v>53</v>
      </c>
      <c r="E12" s="4">
        <v>24</v>
      </c>
      <c r="F12" s="4"/>
    </row>
    <row r="13" spans="1:7" x14ac:dyDescent="0.35">
      <c r="A13" s="39">
        <f>SUBTOTAL(101,Table23[4000])</f>
        <v>0.34272727272727271</v>
      </c>
      <c r="B13" s="39">
        <f>SUBTOTAL(101,Table24[4000])</f>
        <v>0.21848484848484845</v>
      </c>
      <c r="D13" s="4" t="s">
        <v>54</v>
      </c>
      <c r="E13" s="4">
        <v>5.3998378050055402</v>
      </c>
      <c r="F13" s="4"/>
    </row>
    <row r="14" spans="1:7" x14ac:dyDescent="0.35">
      <c r="A14" s="39">
        <f>SUBTOTAL(101,Table23[6000])</f>
        <v>0.28727272727272724</v>
      </c>
      <c r="B14" s="39">
        <f>SUBTOTAL(101,Table24[6000])</f>
        <v>0.19121212121212122</v>
      </c>
      <c r="D14" s="4" t="s">
        <v>55</v>
      </c>
      <c r="E14" s="7">
        <v>7.577167469638959E-6</v>
      </c>
      <c r="F14" s="4"/>
    </row>
    <row r="15" spans="1:7" x14ac:dyDescent="0.35">
      <c r="A15" s="39">
        <f>SUBTOTAL(101,Table23[8000])</f>
        <v>0.28136363636363632</v>
      </c>
      <c r="B15" s="39">
        <f>SUBTOTAL(101,Table24[8000])</f>
        <v>0.20454545454545459</v>
      </c>
      <c r="D15" s="4" t="s">
        <v>56</v>
      </c>
      <c r="E15" s="4">
        <v>1.7108820799094284</v>
      </c>
      <c r="F15" s="4"/>
    </row>
    <row r="16" spans="1:7" x14ac:dyDescent="0.35">
      <c r="A16" s="39">
        <f>SUBTOTAL(101,Table23[10000])</f>
        <v>0.23772727272727276</v>
      </c>
      <c r="B16" s="39">
        <f>SUBTOTAL(101,Table24[10000])</f>
        <v>0.16727272727272727</v>
      </c>
      <c r="D16" s="4" t="s">
        <v>57</v>
      </c>
      <c r="E16" s="4">
        <v>1.5154334939277918E-5</v>
      </c>
      <c r="F16" s="4"/>
    </row>
    <row r="17" spans="1:6" ht="15" thickBot="1" x14ac:dyDescent="0.4">
      <c r="A17" s="40">
        <f>SUBTOTAL(101,Table23[12000])</f>
        <v>0.18681818181818183</v>
      </c>
      <c r="B17" s="40">
        <f>SUBTOTAL(101,Table24[12000])</f>
        <v>0.14757575757575758</v>
      </c>
      <c r="D17" s="5" t="s">
        <v>58</v>
      </c>
      <c r="E17" s="5">
        <v>2.0638985616280254</v>
      </c>
      <c r="F17" s="5"/>
    </row>
    <row r="20" spans="1:6" x14ac:dyDescent="0.35">
      <c r="A20" t="s">
        <v>9199</v>
      </c>
      <c r="B20" t="s">
        <v>9198</v>
      </c>
    </row>
    <row r="21" spans="1:6" x14ac:dyDescent="0.35">
      <c r="A21" s="11">
        <f>STDEV(Table23[100])/(SQRT(COUNT(Table23[100])))</f>
        <v>3.788965212163431E-2</v>
      </c>
      <c r="B21" s="11">
        <f>STDEV(Table24[100])/(SQRT(COUNT(Table24[100])))</f>
        <v>2.555726478493775E-2</v>
      </c>
    </row>
    <row r="22" spans="1:6" x14ac:dyDescent="0.35">
      <c r="A22" s="11">
        <f>STDEV(Table23[200])/(SQRT(COUNT(Table23[200])))</f>
        <v>3.4309400843295056E-2</v>
      </c>
      <c r="B22" s="11">
        <f>STDEV(Table24[200])/(SQRT(COUNT(Table24[200])))</f>
        <v>2.4526273837586716E-2</v>
      </c>
    </row>
    <row r="23" spans="1:6" x14ac:dyDescent="0.35">
      <c r="A23" s="11">
        <f>STDEV(Table23[400])/(SQRT(COUNT(Table23[400])))</f>
        <v>3.5124448453768303E-2</v>
      </c>
      <c r="B23" s="11">
        <f>STDEV(Table24[400])/(SQRT(COUNT(Table24[400])))</f>
        <v>2.0245140218811495E-2</v>
      </c>
    </row>
    <row r="24" spans="1:6" x14ac:dyDescent="0.35">
      <c r="A24" s="11">
        <f>STDEV(Table23[500])/(SQRT(COUNT(Table23[500])))</f>
        <v>3.6020567826898782E-2</v>
      </c>
      <c r="B24" s="11">
        <f>STDEV(Table24[500])/(SQRT(COUNT(Table24[500])))</f>
        <v>1.9261652287697349E-2</v>
      </c>
    </row>
    <row r="25" spans="1:6" x14ac:dyDescent="0.35">
      <c r="A25" s="11">
        <f>STDEV(Table23[800])/(SQRT(COUNT(Table23[800])))</f>
        <v>3.9900629224546846E-2</v>
      </c>
      <c r="B25" s="11">
        <f>STDEV(Table24[800])/(SQRT(COUNT(Table24[800])))</f>
        <v>1.9143746026772213E-2</v>
      </c>
    </row>
    <row r="26" spans="1:6" x14ac:dyDescent="0.35">
      <c r="A26" s="11">
        <f>STDEV(Table23[1000])/(SQRT(COUNT(Table23[1000])))</f>
        <v>3.8265343602987598E-2</v>
      </c>
      <c r="B26" s="11">
        <f>STDEV(Table24[1000])/(SQRT(COUNT(Table24[1000])))</f>
        <v>2.3185902789287081E-2</v>
      </c>
    </row>
    <row r="27" spans="1:6" x14ac:dyDescent="0.35">
      <c r="A27" s="11">
        <f>STDEV(Table23[2000])/(SQRT(COUNT(Table23[2000])))</f>
        <v>3.5620104074052888E-2</v>
      </c>
      <c r="B27" s="11">
        <f>STDEV(Table24[2000])/(SQRT(COUNT(Table24[2000])))</f>
        <v>2.2042720855187645E-2</v>
      </c>
    </row>
    <row r="28" spans="1:6" x14ac:dyDescent="0.35">
      <c r="A28" s="11">
        <f>STDEV(Table23[3000])/(SQRT(COUNT(Table23[3000])))</f>
        <v>3.5903473723625456E-2</v>
      </c>
      <c r="B28" s="11">
        <f>STDEV(Table24[3000])/(SQRT(COUNT(Table24[3000])))</f>
        <v>2.4297404510195089E-2</v>
      </c>
    </row>
    <row r="29" spans="1:6" x14ac:dyDescent="0.35">
      <c r="A29" s="11">
        <f>STDEV(Table23[4000])/(SQRT(COUNT(Table23[4000])))</f>
        <v>3.6284003715409303E-2</v>
      </c>
      <c r="B29" s="11">
        <f>STDEV(Table24[4000])/(SQRT(COUNT(Table24[4000])))</f>
        <v>2.1633663145282714E-2</v>
      </c>
    </row>
    <row r="30" spans="1:6" x14ac:dyDescent="0.35">
      <c r="A30" s="11">
        <f>STDEV(Table23[6000])/(SQRT(COUNT(Table23[6000])))</f>
        <v>3.2614645066380572E-2</v>
      </c>
      <c r="B30" s="11">
        <f>STDEV(Table24[6000])/(SQRT(COUNT(Table24[6000])))</f>
        <v>2.0605225027621868E-2</v>
      </c>
    </row>
    <row r="31" spans="1:6" x14ac:dyDescent="0.35">
      <c r="A31" s="11">
        <f>STDEV(Table23[8000])/(SQRT(COUNT(Table23[8000])))</f>
        <v>3.2026067943813435E-2</v>
      </c>
      <c r="B31" s="11">
        <f>STDEV(Table24[8000])/(SQRT(COUNT(Table24[8000])))</f>
        <v>1.9496944734867825E-2</v>
      </c>
    </row>
    <row r="32" spans="1:6" x14ac:dyDescent="0.35">
      <c r="A32" s="11">
        <f>STDEV(Table23[10000])/(SQRT(COUNT(Table23[10000])))</f>
        <v>3.2003326519345086E-2</v>
      </c>
      <c r="B32" s="11">
        <f>STDEV(Table24[10000])/(SQRT(COUNT(Table24[10000])))</f>
        <v>2.1878074360899471E-2</v>
      </c>
    </row>
    <row r="33" spans="1:2" x14ac:dyDescent="0.35">
      <c r="A33" s="11">
        <f>STDEV(Table23[12000])/(SQRT(COUNT(Table23[12000])))</f>
        <v>3.240962368189252E-2</v>
      </c>
      <c r="B33" s="11">
        <f>STDEV(Table24[12000])/(SQRT(COUNT(Table24[12000])))</f>
        <v>2.1337965449248323E-2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D817-83DF-4D9F-88AA-9BF3113DDA7D}">
  <dimension ref="A1:O11"/>
  <sheetViews>
    <sheetView workbookViewId="0">
      <selection activeCell="I2" sqref="I2:I11"/>
    </sheetView>
  </sheetViews>
  <sheetFormatPr defaultRowHeight="14.5" x14ac:dyDescent="0.35"/>
  <cols>
    <col min="1" max="1" width="27" customWidth="1"/>
    <col min="2" max="2" width="21.453125" customWidth="1"/>
  </cols>
  <sheetData>
    <row r="1" spans="1:15" x14ac:dyDescent="0.35">
      <c r="A1" s="44" t="s">
        <v>13</v>
      </c>
      <c r="B1" s="44" t="s">
        <v>14</v>
      </c>
      <c r="C1" s="44" t="s">
        <v>0</v>
      </c>
      <c r="D1" s="44" t="s">
        <v>1</v>
      </c>
      <c r="E1" s="44" t="s">
        <v>2</v>
      </c>
      <c r="F1" s="44" t="s">
        <v>3</v>
      </c>
      <c r="G1" s="44" t="s">
        <v>4</v>
      </c>
      <c r="H1" s="44" t="s">
        <v>5</v>
      </c>
      <c r="I1" s="44" t="s">
        <v>6</v>
      </c>
      <c r="J1" s="44" t="s">
        <v>7</v>
      </c>
      <c r="K1" s="44" t="s">
        <v>8</v>
      </c>
      <c r="L1" s="44" t="s">
        <v>9</v>
      </c>
      <c r="M1" s="44" t="s">
        <v>10</v>
      </c>
      <c r="N1" s="44" t="s">
        <v>11</v>
      </c>
      <c r="O1" s="45" t="s">
        <v>12</v>
      </c>
    </row>
    <row r="2" spans="1:15" x14ac:dyDescent="0.35">
      <c r="A2" s="46" t="s">
        <v>20</v>
      </c>
      <c r="B2" s="46" t="s">
        <v>8386</v>
      </c>
      <c r="C2" s="46">
        <v>0.15000000000000002</v>
      </c>
      <c r="D2" s="46">
        <v>0.15000000000000002</v>
      </c>
      <c r="E2" s="46">
        <v>0.16999999999999993</v>
      </c>
      <c r="F2" s="46">
        <v>0.16000000000000003</v>
      </c>
      <c r="G2" s="46">
        <v>0.23000000000000004</v>
      </c>
      <c r="H2" s="46">
        <v>0.20999999999999996</v>
      </c>
      <c r="I2" s="46">
        <v>0.21000000000000002</v>
      </c>
      <c r="J2" s="46">
        <v>0.26</v>
      </c>
      <c r="K2" s="46">
        <v>0.19999999999999996</v>
      </c>
      <c r="L2" s="46">
        <v>0.19</v>
      </c>
      <c r="M2" s="46">
        <v>0.25</v>
      </c>
      <c r="N2" s="46">
        <v>0.16000000000000003</v>
      </c>
      <c r="O2" s="45">
        <v>0.16000000000000003</v>
      </c>
    </row>
    <row r="3" spans="1:15" x14ac:dyDescent="0.35">
      <c r="A3" s="46" t="s">
        <v>20</v>
      </c>
      <c r="B3" s="46" t="s">
        <v>8386</v>
      </c>
      <c r="C3" s="46">
        <v>0.22000000000000003</v>
      </c>
      <c r="D3" s="46">
        <v>0.39999999999999997</v>
      </c>
      <c r="E3" s="46">
        <v>0.35000000000000003</v>
      </c>
      <c r="F3" s="46">
        <v>0.38</v>
      </c>
      <c r="G3" s="46">
        <v>0.34000000000000008</v>
      </c>
      <c r="H3" s="46">
        <v>0.41000000000000003</v>
      </c>
      <c r="I3" s="46">
        <v>0.55000000000000004</v>
      </c>
      <c r="J3" s="46">
        <v>0.28000000000000003</v>
      </c>
      <c r="K3" s="46">
        <v>0.35</v>
      </c>
      <c r="L3" s="46">
        <v>0.36</v>
      </c>
      <c r="M3" s="46">
        <v>0.31</v>
      </c>
      <c r="N3" s="46">
        <v>0.31000000000000005</v>
      </c>
      <c r="O3" s="45">
        <v>0.44000000000000006</v>
      </c>
    </row>
    <row r="4" spans="1:15" x14ac:dyDescent="0.35">
      <c r="A4" s="46" t="s">
        <v>18</v>
      </c>
      <c r="B4" s="46" t="s">
        <v>8386</v>
      </c>
      <c r="C4" s="46">
        <v>0.32999999999999996</v>
      </c>
      <c r="D4" s="46">
        <v>0.59000000000000008</v>
      </c>
      <c r="E4" s="46">
        <v>0.69</v>
      </c>
      <c r="F4" s="46">
        <v>0.68</v>
      </c>
      <c r="G4" s="46">
        <v>0.74</v>
      </c>
      <c r="H4" s="46">
        <v>0.76</v>
      </c>
      <c r="I4" s="46">
        <v>0.88</v>
      </c>
      <c r="J4" s="46">
        <v>0.85</v>
      </c>
      <c r="K4" s="46">
        <v>0.81</v>
      </c>
      <c r="L4" s="46">
        <v>0.79</v>
      </c>
      <c r="M4" s="46">
        <v>0.77</v>
      </c>
      <c r="N4" s="46">
        <v>0.6</v>
      </c>
      <c r="O4" s="45">
        <v>0.51</v>
      </c>
    </row>
    <row r="5" spans="1:15" x14ac:dyDescent="0.35">
      <c r="A5" s="46" t="s">
        <v>18</v>
      </c>
      <c r="B5" s="46" t="s">
        <v>8386</v>
      </c>
      <c r="C5" s="46">
        <v>2.0000000000000018E-2</v>
      </c>
      <c r="D5" s="46">
        <v>0.33999999999999997</v>
      </c>
      <c r="E5" s="46">
        <v>0.39</v>
      </c>
      <c r="F5" s="46">
        <v>0.59</v>
      </c>
      <c r="G5" s="46">
        <v>0.56999999999999995</v>
      </c>
      <c r="H5" s="46">
        <v>0.56000000000000005</v>
      </c>
      <c r="I5" s="46">
        <v>0.59000000000000008</v>
      </c>
      <c r="J5" s="46">
        <v>0.60000000000000009</v>
      </c>
      <c r="K5" s="46">
        <v>0.45</v>
      </c>
      <c r="L5" s="46">
        <v>0.46000000000000008</v>
      </c>
      <c r="M5" s="46">
        <v>0.44999999999999996</v>
      </c>
      <c r="N5" s="46">
        <v>0.52</v>
      </c>
      <c r="O5" s="45">
        <v>0.44999999999999996</v>
      </c>
    </row>
    <row r="6" spans="1:15" x14ac:dyDescent="0.35">
      <c r="A6" s="46" t="s">
        <v>18</v>
      </c>
      <c r="B6" s="46" t="s">
        <v>8386</v>
      </c>
      <c r="C6" s="46">
        <v>0.25</v>
      </c>
      <c r="D6" s="46">
        <v>0.24999999999999994</v>
      </c>
      <c r="E6" s="46">
        <v>0.16000000000000003</v>
      </c>
      <c r="F6" s="46">
        <v>0.16000000000000003</v>
      </c>
      <c r="G6" s="46">
        <v>0.19</v>
      </c>
      <c r="H6" s="46">
        <v>0.26</v>
      </c>
      <c r="I6" s="46">
        <v>0.24</v>
      </c>
      <c r="J6" s="46">
        <v>0.22000000000000003</v>
      </c>
      <c r="K6" s="46">
        <v>0.24000000000000005</v>
      </c>
      <c r="L6" s="46">
        <v>0.16999999999999998</v>
      </c>
      <c r="M6" s="46">
        <v>0.21000000000000008</v>
      </c>
      <c r="N6" s="46">
        <v>0.17000000000000004</v>
      </c>
      <c r="O6" s="45">
        <v>0.16000000000000003</v>
      </c>
    </row>
    <row r="7" spans="1:15" x14ac:dyDescent="0.35">
      <c r="A7" s="46" t="s">
        <v>20</v>
      </c>
      <c r="B7" s="46" t="s">
        <v>8386</v>
      </c>
      <c r="C7" s="46">
        <v>8.9999999999999969E-2</v>
      </c>
      <c r="D7" s="46">
        <v>0.12</v>
      </c>
      <c r="E7" s="46">
        <v>0.10000000000000003</v>
      </c>
      <c r="F7" s="46">
        <v>0.10999999999999999</v>
      </c>
      <c r="G7" s="46">
        <v>0.16000000000000003</v>
      </c>
      <c r="H7" s="46">
        <v>0.16000000000000003</v>
      </c>
      <c r="I7" s="46">
        <v>4.0000000000000036E-2</v>
      </c>
      <c r="J7" s="46">
        <v>0.19000000000000003</v>
      </c>
      <c r="K7" s="46">
        <v>0.15000000000000002</v>
      </c>
      <c r="L7" s="46">
        <v>0.12</v>
      </c>
      <c r="M7" s="46">
        <v>0.14000000000000001</v>
      </c>
      <c r="N7" s="46">
        <v>0.10999999999999999</v>
      </c>
      <c r="O7" s="45">
        <v>3.999999999999998E-2</v>
      </c>
    </row>
    <row r="8" spans="1:15" x14ac:dyDescent="0.35">
      <c r="A8" s="46" t="s">
        <v>18</v>
      </c>
      <c r="B8" s="46" t="s">
        <v>8386</v>
      </c>
      <c r="C8" s="46">
        <v>0.30000000000000004</v>
      </c>
      <c r="D8" s="46">
        <v>0.20000000000000007</v>
      </c>
      <c r="E8" s="46">
        <v>0.36999999999999994</v>
      </c>
      <c r="F8" s="46">
        <v>0.26</v>
      </c>
      <c r="G8" s="46">
        <v>0.27999999999999997</v>
      </c>
      <c r="H8" s="46">
        <v>0.19000000000000006</v>
      </c>
      <c r="I8" s="46">
        <v>0.31</v>
      </c>
      <c r="J8" s="46">
        <v>0.25</v>
      </c>
      <c r="K8" s="46">
        <v>0.19000000000000006</v>
      </c>
      <c r="L8" s="46">
        <v>0.21999999999999997</v>
      </c>
      <c r="M8" s="46">
        <v>0.20999999999999996</v>
      </c>
      <c r="N8" s="46">
        <v>0.16999999999999998</v>
      </c>
      <c r="O8" s="45">
        <v>0.15999999999999998</v>
      </c>
    </row>
    <row r="9" spans="1:15" x14ac:dyDescent="0.35">
      <c r="A9" s="46" t="s">
        <v>20</v>
      </c>
      <c r="B9" s="46" t="s">
        <v>8386</v>
      </c>
      <c r="C9" s="46">
        <v>0.12</v>
      </c>
      <c r="D9" s="46">
        <v>0.17000000000000004</v>
      </c>
      <c r="E9" s="46">
        <v>0.15999999999999992</v>
      </c>
      <c r="F9" s="46">
        <v>0.13</v>
      </c>
      <c r="G9" s="46">
        <v>0.15000000000000002</v>
      </c>
      <c r="H9" s="46">
        <v>0.17999999999999994</v>
      </c>
      <c r="I9" s="46">
        <v>0.17000000000000004</v>
      </c>
      <c r="J9" s="46">
        <v>0.13</v>
      </c>
      <c r="K9" s="46">
        <v>0.12</v>
      </c>
      <c r="L9" s="46">
        <v>0.16999999999999993</v>
      </c>
      <c r="M9" s="46">
        <v>0.12</v>
      </c>
      <c r="N9" s="46">
        <v>0.14000000000000001</v>
      </c>
      <c r="O9" s="45">
        <v>0.13</v>
      </c>
    </row>
    <row r="10" spans="1:15" x14ac:dyDescent="0.35">
      <c r="A10" s="46" t="s">
        <v>20</v>
      </c>
      <c r="B10" s="46" t="s">
        <v>8386</v>
      </c>
      <c r="C10" s="46">
        <v>8.9999999999999969E-2</v>
      </c>
      <c r="D10" s="46">
        <v>0.21999999999999997</v>
      </c>
      <c r="E10" s="46">
        <v>0.26</v>
      </c>
      <c r="F10" s="46">
        <v>0.25</v>
      </c>
      <c r="G10" s="46">
        <v>0.22999999999999998</v>
      </c>
      <c r="H10" s="46">
        <v>0.24999999999999994</v>
      </c>
      <c r="I10" s="46">
        <v>0.32</v>
      </c>
      <c r="J10" s="46">
        <v>0.26000000000000006</v>
      </c>
      <c r="K10" s="46">
        <v>0.26999999999999996</v>
      </c>
      <c r="L10" s="46">
        <v>0.20999999999999996</v>
      </c>
      <c r="M10" s="46">
        <v>0.15000000000000002</v>
      </c>
      <c r="N10" s="46">
        <v>0.12</v>
      </c>
      <c r="O10" s="45">
        <v>0.15999999999999992</v>
      </c>
    </row>
    <row r="11" spans="1:15" x14ac:dyDescent="0.35">
      <c r="A11" s="46" t="s">
        <v>18</v>
      </c>
      <c r="B11" s="46" t="s">
        <v>8386</v>
      </c>
      <c r="C11" s="46">
        <v>0.19000000000000006</v>
      </c>
      <c r="D11" s="46">
        <v>0.26</v>
      </c>
      <c r="E11" s="46">
        <v>0.44000000000000006</v>
      </c>
      <c r="F11" s="46">
        <v>0.37999999999999995</v>
      </c>
      <c r="G11" s="46">
        <v>0.3</v>
      </c>
      <c r="H11" s="46">
        <v>0.40000000000000008</v>
      </c>
      <c r="I11" s="46">
        <v>0.3</v>
      </c>
      <c r="J11" s="46">
        <v>0.31</v>
      </c>
      <c r="K11" s="46">
        <v>0.2</v>
      </c>
      <c r="L11" s="46">
        <v>0.24</v>
      </c>
      <c r="M11" s="46">
        <v>0.18</v>
      </c>
      <c r="N11" s="46">
        <v>8.9999999999999969E-2</v>
      </c>
      <c r="O11" s="45">
        <v>5.9999999999999942E-2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C6C-9405-4AC9-A82D-095E6C9CF5D8}">
  <dimension ref="A1:U6"/>
  <sheetViews>
    <sheetView workbookViewId="0">
      <selection activeCell="I2" sqref="I2:I11"/>
    </sheetView>
  </sheetViews>
  <sheetFormatPr defaultRowHeight="14.5" x14ac:dyDescent="0.35"/>
  <cols>
    <col min="1" max="1" width="16.36328125" customWidth="1"/>
    <col min="2" max="2" width="12.54296875" customWidth="1"/>
    <col min="3" max="3" width="9.81640625" customWidth="1"/>
    <col min="4" max="4" width="16.08984375" customWidth="1"/>
    <col min="5" max="5" width="13.90625" customWidth="1"/>
    <col min="6" max="6" width="16.1796875" customWidth="1"/>
    <col min="7" max="7" width="35.1796875" customWidth="1"/>
    <col min="8" max="8" width="101.54296875" bestFit="1" customWidth="1"/>
    <col min="9" max="18" width="4.81640625" bestFit="1" customWidth="1"/>
    <col min="19" max="20" width="5.81640625" bestFit="1" customWidth="1"/>
  </cols>
  <sheetData>
    <row r="1" spans="1:21" x14ac:dyDescent="0.35">
      <c r="A1" s="48" t="s">
        <v>13</v>
      </c>
      <c r="B1" s="48" t="s">
        <v>14</v>
      </c>
      <c r="C1" s="48" t="s">
        <v>22</v>
      </c>
      <c r="D1" s="48" t="s">
        <v>23</v>
      </c>
      <c r="E1" s="42" t="s">
        <v>24</v>
      </c>
      <c r="F1" s="48" t="s">
        <v>25</v>
      </c>
      <c r="G1" s="48" t="s">
        <v>26</v>
      </c>
      <c r="H1" s="48" t="s">
        <v>27</v>
      </c>
      <c r="I1" s="48">
        <v>100</v>
      </c>
      <c r="J1" s="48" t="s">
        <v>1</v>
      </c>
      <c r="K1" s="48" t="s">
        <v>2</v>
      </c>
      <c r="L1" s="48" t="s">
        <v>3</v>
      </c>
      <c r="M1" s="48" t="s">
        <v>4</v>
      </c>
      <c r="N1" s="48" t="s">
        <v>5</v>
      </c>
      <c r="O1" s="48" t="s">
        <v>6</v>
      </c>
      <c r="P1" s="48" t="s">
        <v>7</v>
      </c>
      <c r="Q1" s="48" t="s">
        <v>8</v>
      </c>
      <c r="R1" s="48" t="s">
        <v>9</v>
      </c>
      <c r="S1" s="48" t="s">
        <v>10</v>
      </c>
      <c r="T1" s="48" t="s">
        <v>11</v>
      </c>
      <c r="U1" s="48" t="s">
        <v>12</v>
      </c>
    </row>
    <row r="2" spans="1:21" x14ac:dyDescent="0.35">
      <c r="A2" s="43" t="s">
        <v>18</v>
      </c>
      <c r="B2" s="43" t="s">
        <v>8928</v>
      </c>
      <c r="C2" s="43" t="s">
        <v>29</v>
      </c>
      <c r="D2" s="43" t="s">
        <v>29</v>
      </c>
      <c r="E2" s="50" t="s">
        <v>29</v>
      </c>
      <c r="F2" s="43" t="s">
        <v>30</v>
      </c>
      <c r="G2" s="43" t="s">
        <v>5116</v>
      </c>
      <c r="H2" s="43" t="s">
        <v>35</v>
      </c>
      <c r="I2" s="43">
        <v>0.36</v>
      </c>
      <c r="J2" s="43">
        <v>0.4</v>
      </c>
      <c r="K2" s="43">
        <v>0.29000000000000004</v>
      </c>
      <c r="L2" s="43">
        <v>0.36</v>
      </c>
      <c r="M2" s="43">
        <v>0.31000000000000005</v>
      </c>
      <c r="N2" s="43">
        <v>0.31999999999999995</v>
      </c>
      <c r="O2" s="43">
        <v>0.47</v>
      </c>
      <c r="P2" s="43">
        <v>0.43</v>
      </c>
      <c r="Q2" s="43">
        <v>0.41000000000000003</v>
      </c>
      <c r="R2" s="43">
        <v>0.18000000000000005</v>
      </c>
      <c r="S2" s="43">
        <v>0.21999999999999997</v>
      </c>
      <c r="T2" s="43">
        <v>0.22999999999999998</v>
      </c>
      <c r="U2" s="43">
        <v>6.0000000000000053E-2</v>
      </c>
    </row>
    <row r="3" spans="1:21" x14ac:dyDescent="0.35">
      <c r="A3" s="43" t="s">
        <v>20</v>
      </c>
      <c r="B3" s="43" t="s">
        <v>8928</v>
      </c>
      <c r="C3" s="43" t="s">
        <v>29</v>
      </c>
      <c r="D3" s="43" t="s">
        <v>29</v>
      </c>
      <c r="E3" s="43" t="s">
        <v>29</v>
      </c>
      <c r="F3" s="43" t="s">
        <v>30</v>
      </c>
      <c r="G3" s="43" t="s">
        <v>825</v>
      </c>
      <c r="H3" s="43" t="s">
        <v>32</v>
      </c>
      <c r="I3" s="43">
        <v>0.25</v>
      </c>
      <c r="J3" s="43">
        <v>0.20999999999999996</v>
      </c>
      <c r="K3" s="43">
        <v>0.25</v>
      </c>
      <c r="L3" s="43">
        <v>0.3</v>
      </c>
      <c r="M3" s="43">
        <v>0.32</v>
      </c>
      <c r="N3" s="43">
        <v>0.41999999999999993</v>
      </c>
      <c r="O3" s="43">
        <v>0.34</v>
      </c>
      <c r="P3" s="43">
        <v>0.36000000000000004</v>
      </c>
      <c r="Q3" s="43">
        <v>0.33</v>
      </c>
      <c r="R3" s="43">
        <v>0.35000000000000003</v>
      </c>
      <c r="S3" s="43">
        <v>0.28999999999999998</v>
      </c>
      <c r="T3" s="43">
        <v>0.18</v>
      </c>
      <c r="U3" s="43">
        <v>0.39</v>
      </c>
    </row>
    <row r="4" spans="1:21" x14ac:dyDescent="0.35">
      <c r="A4" s="49" t="s">
        <v>18</v>
      </c>
      <c r="B4" s="49" t="s">
        <v>8928</v>
      </c>
      <c r="C4" s="49" t="s">
        <v>28</v>
      </c>
      <c r="D4" s="49" t="s">
        <v>28</v>
      </c>
      <c r="E4" s="47" t="s">
        <v>29</v>
      </c>
      <c r="F4" s="43" t="s">
        <v>30</v>
      </c>
      <c r="G4" s="49" t="s">
        <v>1442</v>
      </c>
      <c r="H4" s="49" t="s">
        <v>32</v>
      </c>
      <c r="I4" s="49">
        <v>0.4</v>
      </c>
      <c r="J4" s="49">
        <v>0.38999999999999996</v>
      </c>
      <c r="K4" s="49">
        <v>0.41</v>
      </c>
      <c r="L4" s="49">
        <v>0.39</v>
      </c>
      <c r="M4" s="49">
        <v>0.36</v>
      </c>
      <c r="N4" s="49">
        <v>0.35</v>
      </c>
      <c r="O4" s="49">
        <v>0.28000000000000003</v>
      </c>
      <c r="P4" s="49">
        <v>0.23000000000000004</v>
      </c>
      <c r="Q4" s="49">
        <v>0.24</v>
      </c>
      <c r="R4" s="49">
        <v>0.10000000000000003</v>
      </c>
      <c r="S4" s="49">
        <v>0.15000000000000002</v>
      </c>
      <c r="T4" s="49">
        <v>1.0000000000000009E-2</v>
      </c>
      <c r="U4" s="49">
        <v>6.9999999999999951E-2</v>
      </c>
    </row>
    <row r="5" spans="1:21" x14ac:dyDescent="0.35">
      <c r="E5" s="47"/>
    </row>
    <row r="6" spans="1:21" x14ac:dyDescent="0.35">
      <c r="E6" s="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B0F4-1D3B-4DA3-84FD-33E4CCBEFE13}">
  <dimension ref="A1:M30"/>
  <sheetViews>
    <sheetView workbookViewId="0">
      <selection activeCell="H21" sqref="H21"/>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
        <v>0.43999999999999995</v>
      </c>
      <c r="B2" s="1">
        <v>0.28000000000000003</v>
      </c>
      <c r="C2" s="1">
        <v>0.38000000000000006</v>
      </c>
      <c r="D2" s="1">
        <v>0.37</v>
      </c>
      <c r="E2" s="1">
        <v>0.35</v>
      </c>
      <c r="F2" s="1">
        <v>0.33999999999999997</v>
      </c>
      <c r="G2" s="1">
        <v>0.23000000000000009</v>
      </c>
      <c r="H2" s="1">
        <v>0.19999999999999996</v>
      </c>
      <c r="I2" s="1">
        <v>0.24</v>
      </c>
      <c r="J2" s="1">
        <v>0.15000000000000002</v>
      </c>
      <c r="K2" s="1">
        <v>0.16000000000000003</v>
      </c>
      <c r="L2" s="1">
        <v>0</v>
      </c>
      <c r="M2" s="1">
        <v>0</v>
      </c>
    </row>
    <row r="3" spans="1:13" x14ac:dyDescent="0.35">
      <c r="A3" s="2">
        <v>0.5</v>
      </c>
      <c r="B3" s="2">
        <v>0.41000000000000003</v>
      </c>
      <c r="C3" s="2">
        <v>0.45999999999999996</v>
      </c>
      <c r="D3" s="2">
        <v>0.51</v>
      </c>
      <c r="E3" s="2">
        <v>0.44999999999999996</v>
      </c>
      <c r="F3" s="2">
        <v>0.41000000000000003</v>
      </c>
      <c r="G3" s="2">
        <v>0.39</v>
      </c>
      <c r="H3" s="2">
        <v>0.43000000000000005</v>
      </c>
      <c r="I3" s="2">
        <v>0.44</v>
      </c>
      <c r="J3" s="2">
        <v>0.47</v>
      </c>
      <c r="K3" s="2">
        <v>0.43000000000000005</v>
      </c>
      <c r="L3" s="2">
        <v>0.21000000000000008</v>
      </c>
      <c r="M3" s="2">
        <v>0</v>
      </c>
    </row>
    <row r="4" spans="1:13" x14ac:dyDescent="0.35">
      <c r="A4" s="1">
        <v>0.39</v>
      </c>
      <c r="B4" s="1">
        <v>0.47</v>
      </c>
      <c r="C4" s="1">
        <v>0.49999999999999994</v>
      </c>
      <c r="D4" s="1">
        <v>0.51</v>
      </c>
      <c r="E4" s="1">
        <v>0.49000000000000005</v>
      </c>
      <c r="F4" s="1">
        <v>0.45</v>
      </c>
      <c r="G4" s="1">
        <v>0.47000000000000003</v>
      </c>
      <c r="H4" s="1">
        <v>0.38</v>
      </c>
      <c r="I4" s="1">
        <v>0.42</v>
      </c>
      <c r="J4" s="1">
        <v>0.46</v>
      </c>
      <c r="K4" s="1">
        <v>0.41000000000000003</v>
      </c>
      <c r="L4" s="1">
        <v>0.34000000000000008</v>
      </c>
      <c r="M4" s="1">
        <v>0.42</v>
      </c>
    </row>
    <row r="5" spans="1:13" x14ac:dyDescent="0.35">
      <c r="A5" s="2">
        <v>0.15999999999999992</v>
      </c>
      <c r="B5" s="2">
        <v>0.12</v>
      </c>
      <c r="C5" s="2">
        <v>0.24</v>
      </c>
      <c r="D5" s="2">
        <v>0.2599999999999999</v>
      </c>
      <c r="E5" s="2">
        <v>0.32</v>
      </c>
      <c r="F5" s="2">
        <v>0.3</v>
      </c>
      <c r="G5" s="2">
        <v>0.36000000000000004</v>
      </c>
      <c r="H5" s="2">
        <v>0.35000000000000003</v>
      </c>
      <c r="I5" s="2">
        <v>0.32999999999999996</v>
      </c>
      <c r="J5" s="2">
        <v>0.25</v>
      </c>
      <c r="K5" s="2">
        <v>0.33</v>
      </c>
      <c r="L5" s="2">
        <v>0.16999999999999993</v>
      </c>
      <c r="M5" s="2">
        <v>0.18000000000000005</v>
      </c>
    </row>
    <row r="6" spans="1:13" x14ac:dyDescent="0.35">
      <c r="A6" s="1">
        <v>0.16000000000000003</v>
      </c>
      <c r="B6" s="1">
        <v>0.13</v>
      </c>
      <c r="C6" s="1">
        <v>0.1399999999999999</v>
      </c>
      <c r="D6" s="1">
        <v>0.15000000000000002</v>
      </c>
      <c r="E6" s="1">
        <v>0.19</v>
      </c>
      <c r="F6" s="1">
        <v>0.18</v>
      </c>
      <c r="G6" s="1">
        <v>0.22000000000000003</v>
      </c>
      <c r="H6" s="1">
        <v>0.16999999999999998</v>
      </c>
      <c r="I6" s="1">
        <v>0.13</v>
      </c>
      <c r="J6" s="1">
        <v>0.14999999999999997</v>
      </c>
      <c r="K6" s="1">
        <v>0.10999999999999993</v>
      </c>
      <c r="L6" s="1">
        <v>7.0000000000000062E-2</v>
      </c>
      <c r="M6" s="1">
        <v>6.9999999999999951E-2</v>
      </c>
    </row>
    <row r="7" spans="1:13" x14ac:dyDescent="0.35">
      <c r="A7" s="2">
        <v>0.49</v>
      </c>
      <c r="B7" s="2">
        <v>0.5</v>
      </c>
      <c r="C7" s="2">
        <v>0.53</v>
      </c>
      <c r="D7" s="2">
        <v>0.43999999999999995</v>
      </c>
      <c r="E7" s="2">
        <v>0.22999999999999998</v>
      </c>
      <c r="F7" s="2">
        <v>0.10000000000000009</v>
      </c>
      <c r="G7" s="2">
        <v>0.27999999999999992</v>
      </c>
      <c r="H7" s="2">
        <v>0.35</v>
      </c>
      <c r="I7" s="2">
        <v>0.57000000000000006</v>
      </c>
      <c r="J7" s="2">
        <v>0.58000000000000007</v>
      </c>
      <c r="K7" s="2">
        <v>0.53</v>
      </c>
      <c r="L7" s="2">
        <v>0.22000000000000008</v>
      </c>
      <c r="M7" s="2">
        <v>0.29999999999999993</v>
      </c>
    </row>
    <row r="8" spans="1:13" x14ac:dyDescent="0.35">
      <c r="A8" s="1">
        <v>0.37</v>
      </c>
      <c r="B8" s="1">
        <v>0.43000000000000005</v>
      </c>
      <c r="C8" s="1">
        <v>0.56000000000000005</v>
      </c>
      <c r="D8" s="1">
        <v>0.54</v>
      </c>
      <c r="E8" s="1">
        <v>0.55000000000000004</v>
      </c>
      <c r="F8" s="1">
        <v>0.56000000000000005</v>
      </c>
      <c r="G8" s="1">
        <v>0.47</v>
      </c>
      <c r="H8" s="1">
        <v>0.93</v>
      </c>
      <c r="I8" s="1">
        <v>0.83000000000000007</v>
      </c>
      <c r="J8" s="1">
        <v>0.51</v>
      </c>
      <c r="K8" s="1">
        <v>0.47000000000000003</v>
      </c>
      <c r="L8" s="1">
        <v>0.41000000000000003</v>
      </c>
      <c r="M8" s="1">
        <v>0.47000000000000003</v>
      </c>
    </row>
    <row r="9" spans="1:13" x14ac:dyDescent="0.35">
      <c r="A9" s="2">
        <v>0.53</v>
      </c>
      <c r="B9" s="2">
        <v>0.43000000000000005</v>
      </c>
      <c r="C9" s="2">
        <v>0.41999999999999993</v>
      </c>
      <c r="D9" s="2">
        <v>0.43999999999999995</v>
      </c>
      <c r="E9" s="2">
        <v>0.36000000000000004</v>
      </c>
      <c r="F9" s="2">
        <v>0.39</v>
      </c>
      <c r="G9" s="2">
        <v>0.33000000000000007</v>
      </c>
      <c r="H9" s="2">
        <v>0.4</v>
      </c>
      <c r="I9" s="2">
        <v>0.38</v>
      </c>
      <c r="J9" s="2">
        <v>0.36</v>
      </c>
      <c r="K9" s="2">
        <v>0.26999999999999996</v>
      </c>
      <c r="L9" s="2">
        <v>0.2</v>
      </c>
      <c r="M9" s="2">
        <v>0.24999999999999994</v>
      </c>
    </row>
    <row r="10" spans="1:13" x14ac:dyDescent="0.35">
      <c r="A10" s="1">
        <v>0.51</v>
      </c>
      <c r="B10" s="1">
        <v>0.51</v>
      </c>
      <c r="C10" s="1">
        <v>0.61</v>
      </c>
      <c r="D10" s="1">
        <v>0.64</v>
      </c>
      <c r="E10" s="1">
        <v>0.63</v>
      </c>
      <c r="F10" s="1">
        <v>0.51</v>
      </c>
      <c r="G10" s="1">
        <v>0.6100000000000001</v>
      </c>
      <c r="H10" s="1">
        <v>0.56000000000000005</v>
      </c>
      <c r="I10" s="1">
        <v>0.59</v>
      </c>
      <c r="J10" s="1">
        <v>0.52</v>
      </c>
      <c r="K10" s="1">
        <v>0.5</v>
      </c>
      <c r="L10" s="1">
        <v>0.45000000000000007</v>
      </c>
      <c r="M10" s="1">
        <v>0.51</v>
      </c>
    </row>
    <row r="11" spans="1:13" x14ac:dyDescent="0.35">
      <c r="A11" s="2">
        <v>0.32999999999999996</v>
      </c>
      <c r="B11" s="2">
        <v>0.28000000000000003</v>
      </c>
      <c r="C11" s="2">
        <v>0.25999999999999995</v>
      </c>
      <c r="D11" s="2">
        <v>0.21000000000000002</v>
      </c>
      <c r="E11" s="2">
        <v>0.26</v>
      </c>
      <c r="F11" s="2">
        <v>0.31000000000000005</v>
      </c>
      <c r="G11" s="2">
        <v>0.27</v>
      </c>
      <c r="H11" s="2">
        <v>0.19999999999999998</v>
      </c>
      <c r="I11" s="2">
        <v>0.27</v>
      </c>
      <c r="J11" s="2">
        <v>0.26</v>
      </c>
      <c r="K11" s="2">
        <v>0.16</v>
      </c>
      <c r="L11" s="2">
        <v>0.24000000000000002</v>
      </c>
      <c r="M11" s="2">
        <v>9.9999999999999978E-2</v>
      </c>
    </row>
    <row r="12" spans="1:13" x14ac:dyDescent="0.35">
      <c r="A12" s="1">
        <v>0.38</v>
      </c>
      <c r="B12" s="1">
        <v>0.45999999999999996</v>
      </c>
      <c r="C12" s="1">
        <v>0.51</v>
      </c>
      <c r="D12" s="1">
        <v>0.58000000000000007</v>
      </c>
      <c r="E12" s="1">
        <v>0.53</v>
      </c>
      <c r="F12" s="1">
        <v>0.37</v>
      </c>
      <c r="G12" s="1">
        <v>0.30999999999999994</v>
      </c>
      <c r="H12" s="1">
        <v>0.36000000000000004</v>
      </c>
      <c r="I12" s="1">
        <v>0.37</v>
      </c>
      <c r="J12" s="1">
        <v>0.27000000000000007</v>
      </c>
      <c r="K12" s="1">
        <v>0.24</v>
      </c>
      <c r="L12" s="1">
        <v>0.21000000000000008</v>
      </c>
      <c r="M12" s="1">
        <v>0.22999999999999998</v>
      </c>
    </row>
    <row r="13" spans="1:13" x14ac:dyDescent="0.35">
      <c r="A13" s="2">
        <v>0.32000000000000006</v>
      </c>
      <c r="B13" s="2">
        <v>0.38</v>
      </c>
      <c r="C13" s="2">
        <v>0.47</v>
      </c>
      <c r="D13" s="2">
        <v>0.44999999999999996</v>
      </c>
      <c r="E13" s="2">
        <v>0.43</v>
      </c>
      <c r="F13" s="2">
        <v>0.43999999999999995</v>
      </c>
      <c r="G13" s="2">
        <v>0.46</v>
      </c>
      <c r="H13" s="2">
        <v>0.51</v>
      </c>
      <c r="I13" s="2">
        <v>0.52</v>
      </c>
      <c r="J13" s="2">
        <v>0.51</v>
      </c>
      <c r="K13" s="2">
        <v>0.51</v>
      </c>
      <c r="L13" s="2">
        <v>0.42999999999999994</v>
      </c>
      <c r="M13" s="2">
        <v>0.26999999999999996</v>
      </c>
    </row>
    <row r="14" spans="1:13" x14ac:dyDescent="0.35">
      <c r="A14" s="1">
        <v>0.26</v>
      </c>
      <c r="B14" s="1">
        <v>0.6399999999999999</v>
      </c>
      <c r="C14" s="1">
        <v>0.65</v>
      </c>
      <c r="D14" s="1">
        <v>0.60000000000000009</v>
      </c>
      <c r="E14" s="1">
        <v>0.54999999999999993</v>
      </c>
      <c r="F14" s="1">
        <v>0.51</v>
      </c>
      <c r="G14" s="1">
        <v>0.64999999999999991</v>
      </c>
      <c r="H14" s="1">
        <v>0.49</v>
      </c>
      <c r="I14" s="1">
        <v>0.80999999999999994</v>
      </c>
      <c r="J14" s="1">
        <v>0.35</v>
      </c>
      <c r="K14" s="1">
        <v>0.53</v>
      </c>
      <c r="L14" s="1">
        <v>0.32999999999999996</v>
      </c>
      <c r="M14" s="1">
        <v>0.27999999999999997</v>
      </c>
    </row>
    <row r="15" spans="1:13" x14ac:dyDescent="0.35">
      <c r="A15" s="2">
        <v>0.29999999999999993</v>
      </c>
      <c r="B15" s="2">
        <v>0.51</v>
      </c>
      <c r="C15" s="2">
        <v>0.64</v>
      </c>
      <c r="D15" s="2">
        <v>0.60000000000000009</v>
      </c>
      <c r="E15" s="2">
        <v>0.54999999999999993</v>
      </c>
      <c r="F15" s="2">
        <v>0.56000000000000005</v>
      </c>
      <c r="G15" s="2">
        <v>0.69000000000000006</v>
      </c>
      <c r="H15" s="2">
        <v>0.64</v>
      </c>
      <c r="I15" s="2">
        <v>0.62</v>
      </c>
      <c r="J15" s="2">
        <v>0.61</v>
      </c>
      <c r="K15" s="2">
        <v>0.54</v>
      </c>
      <c r="L15" s="2">
        <v>0.65</v>
      </c>
      <c r="M15" s="2">
        <v>0.62</v>
      </c>
    </row>
    <row r="16" spans="1:13" x14ac:dyDescent="0.35">
      <c r="A16" s="1">
        <v>0.18000000000000005</v>
      </c>
      <c r="B16" s="1">
        <v>0.18000000000000005</v>
      </c>
      <c r="C16" s="1">
        <v>0.26999999999999991</v>
      </c>
      <c r="D16" s="1">
        <v>0.37</v>
      </c>
      <c r="E16" s="1">
        <v>0.21999999999999997</v>
      </c>
      <c r="F16" s="1">
        <v>0.35</v>
      </c>
      <c r="G16" s="1">
        <v>0.46</v>
      </c>
      <c r="H16" s="1">
        <v>0.39</v>
      </c>
      <c r="I16" s="1">
        <v>0.36000000000000004</v>
      </c>
      <c r="J16" s="1">
        <v>0.32</v>
      </c>
      <c r="K16" s="1">
        <v>0.28999999999999998</v>
      </c>
      <c r="L16" s="1">
        <v>0.38999999999999996</v>
      </c>
      <c r="M16" s="1">
        <v>0.38000000000000006</v>
      </c>
    </row>
    <row r="17" spans="1:13" x14ac:dyDescent="0.35">
      <c r="A17" s="2">
        <v>0.19000000000000006</v>
      </c>
      <c r="B17" s="2">
        <v>0.27</v>
      </c>
      <c r="C17" s="2">
        <v>0.32999999999999996</v>
      </c>
      <c r="D17" s="2">
        <v>0.44999999999999996</v>
      </c>
      <c r="E17" s="2">
        <v>0.56999999999999995</v>
      </c>
      <c r="F17" s="2">
        <v>0.53</v>
      </c>
      <c r="G17" s="2">
        <v>0.46</v>
      </c>
      <c r="H17" s="2">
        <v>0.57999999999999996</v>
      </c>
      <c r="I17" s="2">
        <v>0.39</v>
      </c>
      <c r="J17" s="2">
        <v>0.46</v>
      </c>
      <c r="K17" s="2">
        <v>0.37000000000000005</v>
      </c>
      <c r="L17" s="2">
        <v>0.41</v>
      </c>
      <c r="M17" s="2">
        <v>0.25000000000000006</v>
      </c>
    </row>
    <row r="18" spans="1:13" x14ac:dyDescent="0.35">
      <c r="A18" s="16">
        <v>0.49</v>
      </c>
      <c r="B18" s="16">
        <v>0.69</v>
      </c>
      <c r="C18" s="16">
        <v>0.47000000000000003</v>
      </c>
      <c r="D18" s="16">
        <v>0.54</v>
      </c>
      <c r="E18" s="16">
        <v>0.56000000000000005</v>
      </c>
      <c r="F18" s="16">
        <v>0.59000000000000008</v>
      </c>
      <c r="G18" s="16">
        <v>0.57999999999999996</v>
      </c>
      <c r="H18" s="16">
        <v>0.58000000000000007</v>
      </c>
      <c r="I18" s="16">
        <v>0.5</v>
      </c>
      <c r="J18" s="16">
        <v>0.44000000000000006</v>
      </c>
      <c r="K18" s="16">
        <v>0.52</v>
      </c>
      <c r="L18" s="16">
        <v>0.42</v>
      </c>
      <c r="M18" s="16">
        <v>0.35000000000000003</v>
      </c>
    </row>
    <row r="19" spans="1:13" x14ac:dyDescent="0.35">
      <c r="A19" s="46">
        <v>0.15000000000000002</v>
      </c>
      <c r="B19" s="46">
        <v>0.15000000000000002</v>
      </c>
      <c r="C19" s="46">
        <v>0.16999999999999993</v>
      </c>
      <c r="D19" s="46">
        <v>0.16000000000000003</v>
      </c>
      <c r="E19" s="46">
        <v>0.23000000000000004</v>
      </c>
      <c r="F19" s="46">
        <v>0.20999999999999996</v>
      </c>
      <c r="G19" s="46">
        <v>0.21000000000000002</v>
      </c>
      <c r="H19" s="46">
        <v>0.26</v>
      </c>
      <c r="I19" s="46">
        <v>0.19999999999999996</v>
      </c>
      <c r="J19" s="46">
        <v>0.19</v>
      </c>
      <c r="K19" s="46">
        <v>0.25</v>
      </c>
      <c r="L19" s="46">
        <v>0.16000000000000003</v>
      </c>
      <c r="M19" s="45">
        <v>0.16000000000000003</v>
      </c>
    </row>
    <row r="20" spans="1:13" s="11" customFormat="1" x14ac:dyDescent="0.35">
      <c r="A20" s="46">
        <v>0.22000000000000003</v>
      </c>
      <c r="B20" s="46">
        <v>0.39999999999999997</v>
      </c>
      <c r="C20" s="46">
        <v>0.35000000000000003</v>
      </c>
      <c r="D20" s="46">
        <v>0.38</v>
      </c>
      <c r="E20" s="46">
        <v>0.34000000000000008</v>
      </c>
      <c r="F20" s="46">
        <v>0.41000000000000003</v>
      </c>
      <c r="G20" s="46">
        <v>0.55000000000000004</v>
      </c>
      <c r="H20" s="46">
        <v>0.28000000000000003</v>
      </c>
      <c r="I20" s="46">
        <v>0.35</v>
      </c>
      <c r="J20" s="46">
        <v>0.36</v>
      </c>
      <c r="K20" s="46">
        <v>0.31</v>
      </c>
      <c r="L20" s="46">
        <v>0.31000000000000005</v>
      </c>
      <c r="M20" s="45">
        <v>0.44000000000000006</v>
      </c>
    </row>
    <row r="21" spans="1:13" x14ac:dyDescent="0.35">
      <c r="A21" s="46">
        <v>0.32999999999999996</v>
      </c>
      <c r="B21" s="46">
        <v>0.59000000000000008</v>
      </c>
      <c r="C21" s="46">
        <v>0.69</v>
      </c>
      <c r="D21" s="46">
        <v>0.68</v>
      </c>
      <c r="E21" s="46">
        <v>0.74</v>
      </c>
      <c r="F21" s="46">
        <v>0.76</v>
      </c>
      <c r="G21" s="46">
        <v>0.88</v>
      </c>
      <c r="H21" s="46">
        <v>0.85</v>
      </c>
      <c r="I21" s="46">
        <v>0.81</v>
      </c>
      <c r="J21" s="46">
        <v>0.79</v>
      </c>
      <c r="K21" s="46">
        <v>0.77</v>
      </c>
      <c r="L21" s="46">
        <v>0.6</v>
      </c>
      <c r="M21" s="45">
        <v>0.51</v>
      </c>
    </row>
    <row r="22" spans="1:13" x14ac:dyDescent="0.35">
      <c r="A22" s="46">
        <v>2.0000000000000018E-2</v>
      </c>
      <c r="B22" s="46">
        <v>0.33999999999999997</v>
      </c>
      <c r="C22" s="46">
        <v>0.39</v>
      </c>
      <c r="D22" s="46">
        <v>0.59</v>
      </c>
      <c r="E22" s="46">
        <v>0.56999999999999995</v>
      </c>
      <c r="F22" s="46">
        <v>0.56000000000000005</v>
      </c>
      <c r="G22" s="46">
        <v>0.59000000000000008</v>
      </c>
      <c r="H22" s="46">
        <v>0.60000000000000009</v>
      </c>
      <c r="I22" s="46">
        <v>0.45</v>
      </c>
      <c r="J22" s="46">
        <v>0.46000000000000008</v>
      </c>
      <c r="K22" s="46">
        <v>0.44999999999999996</v>
      </c>
      <c r="L22" s="46">
        <v>0.52</v>
      </c>
      <c r="M22" s="45">
        <v>0.44999999999999996</v>
      </c>
    </row>
    <row r="23" spans="1:13" x14ac:dyDescent="0.35">
      <c r="A23" s="46">
        <v>0.25</v>
      </c>
      <c r="B23" s="46">
        <v>0.24999999999999994</v>
      </c>
      <c r="C23" s="46">
        <v>0.16000000000000003</v>
      </c>
      <c r="D23" s="46">
        <v>0.16000000000000003</v>
      </c>
      <c r="E23" s="46">
        <v>0.19</v>
      </c>
      <c r="F23" s="46">
        <v>0.26</v>
      </c>
      <c r="G23" s="46">
        <v>0.24</v>
      </c>
      <c r="H23" s="46">
        <v>0.22000000000000003</v>
      </c>
      <c r="I23" s="46">
        <v>0.24000000000000005</v>
      </c>
      <c r="J23" s="46">
        <v>0.16999999999999998</v>
      </c>
      <c r="K23" s="46">
        <v>0.21000000000000008</v>
      </c>
      <c r="L23" s="46">
        <v>0.17000000000000004</v>
      </c>
      <c r="M23" s="45">
        <v>0.16000000000000003</v>
      </c>
    </row>
    <row r="24" spans="1:13" x14ac:dyDescent="0.35">
      <c r="A24" s="46">
        <v>8.9999999999999969E-2</v>
      </c>
      <c r="B24" s="46">
        <v>0.12</v>
      </c>
      <c r="C24" s="46">
        <v>0.10000000000000003</v>
      </c>
      <c r="D24" s="46">
        <v>0.10999999999999999</v>
      </c>
      <c r="E24" s="46">
        <v>0.16000000000000003</v>
      </c>
      <c r="F24" s="46">
        <v>0.16000000000000003</v>
      </c>
      <c r="G24" s="46">
        <v>4.0000000000000036E-2</v>
      </c>
      <c r="H24" s="46">
        <v>0.19000000000000003</v>
      </c>
      <c r="I24" s="46">
        <v>0.15000000000000002</v>
      </c>
      <c r="J24" s="46">
        <v>0.12</v>
      </c>
      <c r="K24" s="46">
        <v>0.14000000000000001</v>
      </c>
      <c r="L24" s="46">
        <v>0.10999999999999999</v>
      </c>
      <c r="M24" s="45">
        <v>3.999999999999998E-2</v>
      </c>
    </row>
    <row r="25" spans="1:13" x14ac:dyDescent="0.35">
      <c r="A25" s="46">
        <v>0.30000000000000004</v>
      </c>
      <c r="B25" s="46">
        <v>0.20000000000000007</v>
      </c>
      <c r="C25" s="46">
        <v>0.36999999999999994</v>
      </c>
      <c r="D25" s="46">
        <v>0.26</v>
      </c>
      <c r="E25" s="46">
        <v>0.27999999999999997</v>
      </c>
      <c r="F25" s="46">
        <v>0.19000000000000006</v>
      </c>
      <c r="G25" s="46">
        <v>0.31</v>
      </c>
      <c r="H25" s="46">
        <v>0.25</v>
      </c>
      <c r="I25" s="46">
        <v>0.19000000000000006</v>
      </c>
      <c r="J25" s="46">
        <v>0.21999999999999997</v>
      </c>
      <c r="K25" s="46">
        <v>0.20999999999999996</v>
      </c>
      <c r="L25" s="46">
        <v>0.16999999999999998</v>
      </c>
      <c r="M25" s="45">
        <v>0.15999999999999998</v>
      </c>
    </row>
    <row r="26" spans="1:13" x14ac:dyDescent="0.35">
      <c r="A26" s="46">
        <v>0.12</v>
      </c>
      <c r="B26" s="46">
        <v>0.17000000000000004</v>
      </c>
      <c r="C26" s="46">
        <v>0.15999999999999992</v>
      </c>
      <c r="D26" s="46">
        <v>0.13</v>
      </c>
      <c r="E26" s="46">
        <v>0.15000000000000002</v>
      </c>
      <c r="F26" s="46">
        <v>0.17999999999999994</v>
      </c>
      <c r="G26" s="46">
        <v>0.17000000000000004</v>
      </c>
      <c r="H26" s="46">
        <v>0.13</v>
      </c>
      <c r="I26" s="46">
        <v>0.12</v>
      </c>
      <c r="J26" s="46">
        <v>0.16999999999999993</v>
      </c>
      <c r="K26" s="46">
        <v>0.12</v>
      </c>
      <c r="L26" s="46">
        <v>0.14000000000000001</v>
      </c>
      <c r="M26" s="45">
        <v>0.13</v>
      </c>
    </row>
    <row r="27" spans="1:13" x14ac:dyDescent="0.35">
      <c r="A27" s="46">
        <v>8.9999999999999969E-2</v>
      </c>
      <c r="B27" s="46">
        <v>0.21999999999999997</v>
      </c>
      <c r="C27" s="46">
        <v>0.26</v>
      </c>
      <c r="D27" s="46">
        <v>0.25</v>
      </c>
      <c r="E27" s="46">
        <v>0.22999999999999998</v>
      </c>
      <c r="F27" s="46">
        <v>0.24999999999999994</v>
      </c>
      <c r="G27" s="46">
        <v>0.32</v>
      </c>
      <c r="H27" s="46">
        <v>0.26000000000000006</v>
      </c>
      <c r="I27" s="46">
        <v>0.26999999999999996</v>
      </c>
      <c r="J27" s="46">
        <v>0.20999999999999996</v>
      </c>
      <c r="K27" s="46">
        <v>0.15000000000000002</v>
      </c>
      <c r="L27" s="46">
        <v>0.12</v>
      </c>
      <c r="M27" s="45">
        <v>0.15999999999999992</v>
      </c>
    </row>
    <row r="28" spans="1:13" x14ac:dyDescent="0.35">
      <c r="A28" s="46">
        <v>0.19000000000000006</v>
      </c>
      <c r="B28" s="46">
        <v>0.26</v>
      </c>
      <c r="C28" s="46">
        <v>0.44000000000000006</v>
      </c>
      <c r="D28" s="46">
        <v>0.37999999999999995</v>
      </c>
      <c r="E28" s="46">
        <v>0.3</v>
      </c>
      <c r="F28" s="46">
        <v>0.40000000000000008</v>
      </c>
      <c r="G28" s="46">
        <v>0.3</v>
      </c>
      <c r="H28" s="46">
        <v>0.31</v>
      </c>
      <c r="I28" s="46">
        <v>0.2</v>
      </c>
      <c r="J28" s="46">
        <v>0.24</v>
      </c>
      <c r="K28" s="46">
        <v>0.18</v>
      </c>
      <c r="L28" s="46">
        <v>8.9999999999999969E-2</v>
      </c>
      <c r="M28" s="45">
        <v>5.9999999999999942E-2</v>
      </c>
    </row>
    <row r="29" spans="1:13" x14ac:dyDescent="0.35">
      <c r="A29" s="16">
        <f>AVERAGE(Table25[100])</f>
        <v>0.28740740740740744</v>
      </c>
      <c r="B29" s="16">
        <f>SUBTOTAL(101,Table25[200])</f>
        <v>0.34777777777777774</v>
      </c>
      <c r="C29" s="16">
        <f>SUBTOTAL(101,Table25[400])</f>
        <v>0.3899999999999999</v>
      </c>
      <c r="D29" s="16">
        <f>SUBTOTAL(101,Table25[500])</f>
        <v>0.39851851851851855</v>
      </c>
      <c r="E29" s="16">
        <f>SUBTOTAL(101,Table25[800])</f>
        <v>0.38629629629629636</v>
      </c>
      <c r="F29" s="16">
        <f>SUBTOTAL(101,Table25[1000])</f>
        <v>0.38074074074074071</v>
      </c>
      <c r="G29" s="16">
        <f>SUBTOTAL(101,Table25[2000])</f>
        <v>0.40185185185185202</v>
      </c>
      <c r="H29" s="16">
        <f>SUBTOTAL(101,Table25[3000])</f>
        <v>0.40259259259259256</v>
      </c>
      <c r="I29" s="16">
        <f>SUBTOTAL(101,Table25[4000])</f>
        <v>0.39814814814814808</v>
      </c>
      <c r="J29" s="16">
        <f>SUBTOTAL(101,Table25[6000])</f>
        <v>0.35555555555555568</v>
      </c>
      <c r="K29" s="16">
        <f>SUBTOTAL(101,Table25[8000])</f>
        <v>0.33925925925925926</v>
      </c>
      <c r="L29" s="16">
        <f>SUBTOTAL(101,Table25[10000])</f>
        <v>0.27925925925925926</v>
      </c>
      <c r="M29" s="16">
        <f>SUBTOTAL(101,Table25[12000])</f>
        <v>0.25740740740740742</v>
      </c>
    </row>
    <row r="30" spans="1:13" x14ac:dyDescent="0.35">
      <c r="A30" s="11">
        <f>STDEV(Table25[100])/(SQRT(COUNT(Table25[100])))</f>
        <v>2.8140837257202369E-2</v>
      </c>
      <c r="B30" s="11">
        <f>STDEV(Table25[200])/(SQRT(COUNT(Table25[200])))</f>
        <v>3.1723221353283822E-2</v>
      </c>
      <c r="C30" s="11">
        <f>STDEV(Table25[400])/(SQRT(COUNT(Table25[400])))</f>
        <v>3.2506847843110781E-2</v>
      </c>
      <c r="D30" s="11">
        <f>STDEV(Table25[500])/(SQRT(COUNT(Table25[500])))</f>
        <v>3.3570539348754792E-2</v>
      </c>
      <c r="E30" s="11">
        <f>STDEV(Table25[800])/(SQRT(COUNT(Table25[800])))</f>
        <v>3.2208137865631904E-2</v>
      </c>
      <c r="F30" s="11">
        <f>STDEV(Table25[1000])/(SQRT(COUNT(Table25[1000])))</f>
        <v>3.0888670259599196E-2</v>
      </c>
      <c r="G30" s="11">
        <f>STDEV(Table25[2000])/(SQRT(COUNT(Table25[2000])))</f>
        <v>3.5976555507224284E-2</v>
      </c>
      <c r="H30" s="11">
        <f>STDEV(Table25[3000])/(SQRT(COUNT(Table25[3000])))</f>
        <v>3.8966683821337431E-2</v>
      </c>
      <c r="I30" s="11">
        <f>STDEV(Table25[4000])/(SQRT(COUNT(Table25[4000])))</f>
        <v>3.9523648793736994E-2</v>
      </c>
      <c r="J30" s="11">
        <f>STDEV(Table25[6000])/(SQRT(COUNT(Table25[6000])))</f>
        <v>3.267875815522827E-2</v>
      </c>
      <c r="K30" s="11">
        <f>STDEV(Table25[8000])/(SQRT(COUNT(Table25[8000])))</f>
        <v>3.2794473189453242E-2</v>
      </c>
      <c r="L30" s="11">
        <f>STDEV(Table25[10000])/(SQRT(COUNT(Table25[10000])))</f>
        <v>3.2149605439156265E-2</v>
      </c>
      <c r="M30" s="11">
        <f>STDEV(Table25[12000])/(SQRT(COUNT(Table25[12000])))</f>
        <v>3.305263260477373E-2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2B42-27D4-46DC-A153-29ABEDED5A5C}">
  <dimension ref="A1:M24"/>
  <sheetViews>
    <sheetView topLeftCell="A10" workbookViewId="0">
      <selection activeCell="H2" sqref="H2:H2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1">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2">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1">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2">
        <v>0.12000000000000005</v>
      </c>
    </row>
    <row r="8" spans="1:13" x14ac:dyDescent="0.35">
      <c r="A8" s="1">
        <v>1</v>
      </c>
      <c r="B8" s="1">
        <v>0</v>
      </c>
      <c r="C8" s="1">
        <v>0</v>
      </c>
      <c r="D8" s="1">
        <v>0</v>
      </c>
      <c r="E8" s="1">
        <v>0</v>
      </c>
      <c r="F8" s="1">
        <v>0.5</v>
      </c>
      <c r="G8" s="1">
        <v>0.5</v>
      </c>
      <c r="H8" s="1">
        <v>0</v>
      </c>
      <c r="I8" s="1">
        <v>0.5</v>
      </c>
      <c r="J8" s="1">
        <v>0.5</v>
      </c>
      <c r="K8" s="1">
        <v>0</v>
      </c>
      <c r="L8" s="1">
        <v>0</v>
      </c>
      <c r="M8" s="1">
        <v>0</v>
      </c>
    </row>
    <row r="9" spans="1:13" x14ac:dyDescent="0.35">
      <c r="A9" s="2">
        <v>5.0000000000000017E-2</v>
      </c>
      <c r="B9" s="2">
        <v>0.09</v>
      </c>
      <c r="C9" s="2">
        <v>9.9999999999999978E-2</v>
      </c>
      <c r="D9" s="2">
        <v>2.0000000000000018E-2</v>
      </c>
      <c r="E9" s="2">
        <v>4.0000000000000008E-2</v>
      </c>
      <c r="F9" s="2">
        <v>9.9999999999999978E-2</v>
      </c>
      <c r="G9" s="2">
        <v>0.12</v>
      </c>
      <c r="H9" s="2">
        <v>1.0000000000000009E-2</v>
      </c>
      <c r="I9" s="2">
        <v>0.03</v>
      </c>
      <c r="J9" s="2">
        <v>0</v>
      </c>
      <c r="K9" s="2">
        <v>3.999999999999998E-2</v>
      </c>
      <c r="L9" s="2">
        <v>1.0000000000000009E-2</v>
      </c>
      <c r="M9" s="2">
        <v>6.9999999999999951E-2</v>
      </c>
    </row>
    <row r="10" spans="1:13" x14ac:dyDescent="0.35">
      <c r="A10" s="1">
        <v>0.35000000000000003</v>
      </c>
      <c r="B10" s="1">
        <v>0.35000000000000003</v>
      </c>
      <c r="C10" s="1">
        <v>0.33</v>
      </c>
      <c r="D10" s="1">
        <v>0.4</v>
      </c>
      <c r="E10" s="1">
        <v>0.35000000000000003</v>
      </c>
      <c r="F10" s="1">
        <v>0.38</v>
      </c>
      <c r="G10" s="1">
        <v>0.33</v>
      </c>
      <c r="H10" s="1">
        <v>0.35000000000000003</v>
      </c>
      <c r="I10" s="1">
        <v>0.33</v>
      </c>
      <c r="J10" s="1">
        <v>0.15000000000000002</v>
      </c>
      <c r="K10" s="1">
        <v>0.1399999999999999</v>
      </c>
      <c r="L10" s="1">
        <v>0.56000000000000005</v>
      </c>
      <c r="M10" s="1">
        <v>0.10000000000000009</v>
      </c>
    </row>
    <row r="11" spans="1:13" x14ac:dyDescent="0.35">
      <c r="A11" s="2">
        <v>0</v>
      </c>
      <c r="B11" s="2">
        <v>0.39</v>
      </c>
      <c r="C11" s="2">
        <v>0.33999999999999997</v>
      </c>
      <c r="D11" s="2">
        <v>0.28999999999999992</v>
      </c>
      <c r="E11" s="2">
        <v>0.32999999999999996</v>
      </c>
      <c r="F11" s="2">
        <v>0.25999999999999995</v>
      </c>
      <c r="G11" s="2">
        <v>0.32999999999999996</v>
      </c>
      <c r="H11" s="2">
        <v>0.35</v>
      </c>
      <c r="I11" s="2">
        <v>0.35000000000000003</v>
      </c>
      <c r="J11" s="2">
        <v>0.14000000000000001</v>
      </c>
      <c r="K11" s="2">
        <v>0.24999999999999994</v>
      </c>
      <c r="L11" s="2">
        <v>8.0000000000000071E-2</v>
      </c>
      <c r="M11" s="2">
        <v>0.14999999999999997</v>
      </c>
    </row>
    <row r="12" spans="1:13" x14ac:dyDescent="0.35">
      <c r="A12" s="1">
        <v>0</v>
      </c>
      <c r="B12" s="1">
        <v>0</v>
      </c>
      <c r="C12" s="1">
        <v>0</v>
      </c>
      <c r="D12" s="1">
        <v>0</v>
      </c>
      <c r="E12" s="1">
        <v>0</v>
      </c>
      <c r="F12" s="1">
        <v>0.5</v>
      </c>
      <c r="G12" s="1">
        <v>0.5</v>
      </c>
      <c r="H12" s="1">
        <v>0.5</v>
      </c>
      <c r="I12" s="1">
        <v>0.5</v>
      </c>
      <c r="J12" s="1">
        <v>0.5</v>
      </c>
      <c r="K12" s="1">
        <v>0.5</v>
      </c>
      <c r="L12" s="1">
        <v>0</v>
      </c>
      <c r="M12" s="1">
        <v>0</v>
      </c>
    </row>
    <row r="13" spans="1:13" x14ac:dyDescent="0.35">
      <c r="A13" s="2">
        <v>0.19999999999999996</v>
      </c>
      <c r="B13" s="2">
        <v>5.9999999999999942E-2</v>
      </c>
      <c r="C13" s="2">
        <v>0.18000000000000005</v>
      </c>
      <c r="D13" s="2">
        <v>0.44999999999999996</v>
      </c>
      <c r="E13" s="2">
        <v>0.26</v>
      </c>
      <c r="F13" s="2">
        <v>0.36</v>
      </c>
      <c r="G13" s="2">
        <v>0.47</v>
      </c>
      <c r="H13" s="2">
        <v>0.26</v>
      </c>
      <c r="I13" s="2">
        <v>0.20999999999999996</v>
      </c>
      <c r="J13" s="2">
        <v>7.999999999999996E-2</v>
      </c>
      <c r="K13" s="2">
        <v>1.0000000000000009E-2</v>
      </c>
      <c r="L13" s="2">
        <v>0</v>
      </c>
      <c r="M13" s="2">
        <v>0</v>
      </c>
    </row>
    <row r="14" spans="1:13" x14ac:dyDescent="0.35">
      <c r="A14" s="1">
        <v>0.21000000000000002</v>
      </c>
      <c r="B14" s="1">
        <v>0.18</v>
      </c>
      <c r="C14" s="1">
        <v>4.9999999999999989E-2</v>
      </c>
      <c r="D14" s="1">
        <v>7.0000000000000007E-2</v>
      </c>
      <c r="E14" s="1">
        <v>0.12</v>
      </c>
      <c r="F14" s="1">
        <v>0.10000000000000003</v>
      </c>
      <c r="G14" s="1">
        <v>4.0000000000000008E-2</v>
      </c>
      <c r="H14" s="1">
        <v>9.9999999999999992E-2</v>
      </c>
      <c r="I14" s="1">
        <v>1.0000000000000009E-2</v>
      </c>
      <c r="J14" s="1">
        <v>0.09</v>
      </c>
      <c r="K14" s="1">
        <v>5.0000000000000044E-2</v>
      </c>
      <c r="L14" s="1">
        <v>8.0000000000000016E-2</v>
      </c>
      <c r="M14" s="1">
        <v>3.999999999999998E-2</v>
      </c>
    </row>
    <row r="15" spans="1:13" x14ac:dyDescent="0.35">
      <c r="A15" s="2">
        <v>0.13</v>
      </c>
      <c r="B15" s="2">
        <v>0.10000000000000009</v>
      </c>
      <c r="C15" s="2">
        <v>0.38</v>
      </c>
      <c r="D15" s="2">
        <v>0.25999999999999995</v>
      </c>
      <c r="E15" s="2">
        <v>0.21999999999999997</v>
      </c>
      <c r="F15" s="2">
        <v>0.10999999999999999</v>
      </c>
      <c r="G15" s="2">
        <v>0.13</v>
      </c>
      <c r="H15" s="2">
        <v>0.10000000000000003</v>
      </c>
      <c r="I15" s="2">
        <v>0.15000000000000002</v>
      </c>
      <c r="J15" s="2">
        <v>1.0000000000000009E-2</v>
      </c>
      <c r="K15" s="2">
        <v>9.9999999999999978E-2</v>
      </c>
      <c r="L15" s="2">
        <v>8.9999999999999969E-2</v>
      </c>
      <c r="M15" s="2">
        <v>0.15000000000000002</v>
      </c>
    </row>
    <row r="16" spans="1:13" x14ac:dyDescent="0.35">
      <c r="A16" s="1">
        <v>0.33000000000000007</v>
      </c>
      <c r="B16" s="1">
        <v>0.53</v>
      </c>
      <c r="C16" s="1">
        <v>0.51</v>
      </c>
      <c r="D16" s="1">
        <v>0.5</v>
      </c>
      <c r="E16" s="1">
        <v>0.57999999999999996</v>
      </c>
      <c r="F16" s="1">
        <v>0.54</v>
      </c>
      <c r="G16" s="1">
        <v>0.45</v>
      </c>
      <c r="H16" s="1">
        <v>0.36</v>
      </c>
      <c r="I16" s="1">
        <v>0.38000000000000006</v>
      </c>
      <c r="J16" s="1">
        <v>0.26000000000000006</v>
      </c>
      <c r="K16" s="1">
        <v>0.28999999999999998</v>
      </c>
      <c r="L16" s="1">
        <v>0.21000000000000008</v>
      </c>
      <c r="M16" s="1">
        <v>0.24</v>
      </c>
    </row>
    <row r="17" spans="1:13" x14ac:dyDescent="0.35">
      <c r="A17" s="2">
        <v>0.31999999999999995</v>
      </c>
      <c r="B17" s="2">
        <v>0.56000000000000005</v>
      </c>
      <c r="C17" s="2">
        <v>0.48</v>
      </c>
      <c r="D17" s="2">
        <v>0.59000000000000008</v>
      </c>
      <c r="E17" s="2">
        <v>0.45999999999999996</v>
      </c>
      <c r="F17" s="2">
        <v>0.38999999999999996</v>
      </c>
      <c r="G17" s="2">
        <v>0.28999999999999998</v>
      </c>
      <c r="H17" s="2">
        <v>0.25</v>
      </c>
      <c r="I17" s="2">
        <v>0.27</v>
      </c>
      <c r="J17" s="2">
        <v>0.24</v>
      </c>
      <c r="K17" s="2">
        <v>0.18999999999999995</v>
      </c>
      <c r="L17" s="2">
        <v>0.20999999999999996</v>
      </c>
      <c r="M17" s="2">
        <v>0.12000000000000011</v>
      </c>
    </row>
    <row r="18" spans="1:13" x14ac:dyDescent="0.35">
      <c r="A18" s="1">
        <v>0.28000000000000003</v>
      </c>
      <c r="B18" s="1">
        <v>0.26</v>
      </c>
      <c r="C18" s="1">
        <v>0.31000000000000005</v>
      </c>
      <c r="D18" s="1">
        <v>0.16999999999999998</v>
      </c>
      <c r="E18" s="1">
        <v>0.34</v>
      </c>
      <c r="F18" s="1">
        <v>0.17000000000000004</v>
      </c>
      <c r="G18" s="1">
        <v>0.22999999999999998</v>
      </c>
      <c r="H18" s="1">
        <v>0.16000000000000003</v>
      </c>
      <c r="I18" s="1">
        <v>0.31</v>
      </c>
      <c r="J18" s="1">
        <v>0.14000000000000001</v>
      </c>
      <c r="K18" s="1">
        <v>0.22999999999999998</v>
      </c>
      <c r="L18" s="1">
        <v>0.14999999999999991</v>
      </c>
      <c r="M18" s="1">
        <v>0.15000000000000002</v>
      </c>
    </row>
    <row r="19" spans="1:13" x14ac:dyDescent="0.35">
      <c r="A19" s="32">
        <v>0</v>
      </c>
      <c r="B19" s="32">
        <v>0.5</v>
      </c>
      <c r="C19" s="32">
        <v>0.5</v>
      </c>
      <c r="D19" s="32">
        <v>0.5</v>
      </c>
      <c r="E19" s="32">
        <v>1</v>
      </c>
      <c r="F19" s="32">
        <v>0.5</v>
      </c>
      <c r="G19" s="32">
        <v>1</v>
      </c>
      <c r="H19" s="32">
        <v>0.5</v>
      </c>
      <c r="I19" s="32">
        <v>0.5</v>
      </c>
      <c r="J19" s="32">
        <v>0.5</v>
      </c>
      <c r="K19" s="32">
        <v>0.5</v>
      </c>
      <c r="L19" s="32">
        <v>0</v>
      </c>
      <c r="M19" s="32">
        <v>0</v>
      </c>
    </row>
    <row r="20" spans="1:13" x14ac:dyDescent="0.35">
      <c r="A20" s="43">
        <v>0.36</v>
      </c>
      <c r="B20" s="43">
        <v>0.4</v>
      </c>
      <c r="C20" s="43">
        <v>0.29000000000000004</v>
      </c>
      <c r="D20" s="43">
        <v>0.36</v>
      </c>
      <c r="E20" s="43">
        <v>0.31000000000000005</v>
      </c>
      <c r="F20" s="43">
        <v>0.31999999999999995</v>
      </c>
      <c r="G20" s="43">
        <v>0.47</v>
      </c>
      <c r="H20" s="43">
        <v>0.43</v>
      </c>
      <c r="I20" s="43">
        <v>0.41000000000000003</v>
      </c>
      <c r="J20" s="43">
        <v>0.18000000000000005</v>
      </c>
      <c r="K20" s="43">
        <v>0.21999999999999997</v>
      </c>
      <c r="L20" s="43">
        <v>0.22999999999999998</v>
      </c>
      <c r="M20" s="43">
        <v>6.0000000000000053E-2</v>
      </c>
    </row>
    <row r="21" spans="1:13" s="11" customFormat="1" x14ac:dyDescent="0.35">
      <c r="A21" s="43">
        <v>0.25</v>
      </c>
      <c r="B21" s="43">
        <v>0.20999999999999996</v>
      </c>
      <c r="C21" s="43">
        <v>0.25</v>
      </c>
      <c r="D21" s="43">
        <v>0.3</v>
      </c>
      <c r="E21" s="43">
        <v>0.32</v>
      </c>
      <c r="F21" s="43">
        <v>0.41999999999999993</v>
      </c>
      <c r="G21" s="43">
        <v>0.34</v>
      </c>
      <c r="H21" s="43">
        <v>0.36000000000000004</v>
      </c>
      <c r="I21" s="43">
        <v>0.33</v>
      </c>
      <c r="J21" s="43">
        <v>0.35000000000000003</v>
      </c>
      <c r="K21" s="43">
        <v>0.28999999999999998</v>
      </c>
      <c r="L21" s="43">
        <v>0.18</v>
      </c>
      <c r="M21" s="43">
        <v>0.39</v>
      </c>
    </row>
    <row r="22" spans="1:13" x14ac:dyDescent="0.35">
      <c r="A22" s="49">
        <v>0.4</v>
      </c>
      <c r="B22" s="49">
        <v>0.38999999999999996</v>
      </c>
      <c r="C22" s="49">
        <v>0.41</v>
      </c>
      <c r="D22" s="49">
        <v>0.39</v>
      </c>
      <c r="E22" s="49">
        <v>0.36</v>
      </c>
      <c r="F22" s="49">
        <v>0.35</v>
      </c>
      <c r="G22" s="49">
        <v>0.28000000000000003</v>
      </c>
      <c r="H22" s="49">
        <v>0.23000000000000004</v>
      </c>
      <c r="I22" s="49">
        <v>0.24</v>
      </c>
      <c r="J22" s="49">
        <v>0.10000000000000003</v>
      </c>
      <c r="K22" s="49">
        <v>0.15000000000000002</v>
      </c>
      <c r="L22" s="49">
        <v>1.0000000000000009E-2</v>
      </c>
      <c r="M22" s="49">
        <v>6.9999999999999951E-2</v>
      </c>
    </row>
    <row r="23" spans="1:13" x14ac:dyDescent="0.35">
      <c r="A23" s="32">
        <f>AVERAGE(Table27[100])</f>
        <v>0.33000000000000007</v>
      </c>
      <c r="B23" s="32">
        <f>SUBTOTAL(101,Table27[200])</f>
        <v>0.32428571428571429</v>
      </c>
      <c r="C23" s="32">
        <f>SUBTOTAL(101,Table27[400])</f>
        <v>0.34714285714285714</v>
      </c>
      <c r="D23" s="32">
        <f>SUBTOTAL(101,Table27[500])</f>
        <v>0.31809523809523804</v>
      </c>
      <c r="E23" s="32">
        <f>SUBTOTAL(101,Table27[800])</f>
        <v>0.33904761904761904</v>
      </c>
      <c r="F23" s="32">
        <f>SUBTOTAL(101,Table27[1000])</f>
        <v>0.35190476190476189</v>
      </c>
      <c r="G23" s="32">
        <f>SUBTOTAL(101,Table27[2000])</f>
        <v>0.37952380952380949</v>
      </c>
      <c r="H23" s="32">
        <f>SUBTOTAL(101,Table27[3000])</f>
        <v>0.3000000000000001</v>
      </c>
      <c r="I23" s="32">
        <f>SUBTOTAL(101,Table27[4000])</f>
        <v>0.3409523809523809</v>
      </c>
      <c r="J23" s="32">
        <f>SUBTOTAL(101,Table27[6000])</f>
        <v>0.28095238095238084</v>
      </c>
      <c r="K23" s="32">
        <f>SUBTOTAL(101,Table27[8000])</f>
        <v>0.22380952380952376</v>
      </c>
      <c r="L23" s="32">
        <f>SUBTOTAL(101,Table27[10000])</f>
        <v>0.16523809523809527</v>
      </c>
      <c r="M23" s="32">
        <f>SUBTOTAL(101,Table27[12000])</f>
        <v>0.16428571428571428</v>
      </c>
    </row>
    <row r="24" spans="1:13" x14ac:dyDescent="0.35">
      <c r="A24" s="11">
        <f>STDEV(Table27[100])/(SQRT(COUNT(Table27[100])))</f>
        <v>6.1108802265186911E-2</v>
      </c>
      <c r="B24" s="11">
        <f>STDEV(Table27[200])/(SQRT(COUNT(Table27[200])))</f>
        <v>5.2252005787754574E-2</v>
      </c>
      <c r="C24" s="11">
        <f>STDEV(Table27[400])/(SQRT(COUNT(Table27[400])))</f>
        <v>4.8859092135995957E-2</v>
      </c>
      <c r="D24" s="11">
        <f>STDEV(Table27[500])/(SQRT(COUNT(Table27[500])))</f>
        <v>3.8715193569862562E-2</v>
      </c>
      <c r="E24" s="11">
        <f>STDEV(Table27[800])/(SQRT(COUNT(Table27[800])))</f>
        <v>4.9549901551508374E-2</v>
      </c>
      <c r="F24" s="11">
        <f>STDEV(Table27[1000])/(SQRT(COUNT(Table27[1000])))</f>
        <v>3.1157197804948512E-2</v>
      </c>
      <c r="G24" s="11">
        <f>STDEV(Table27[2000])/(SQRT(COUNT(Table27[2000])))</f>
        <v>4.3213072264217375E-2</v>
      </c>
      <c r="H24" s="11">
        <f>STDEV(Table27[3000])/(SQRT(COUNT(Table27[3000])))</f>
        <v>3.7568984168174807E-2</v>
      </c>
      <c r="I24" s="11">
        <f>STDEV(Table27[4000])/(SQRT(COUNT(Table27[4000])))</f>
        <v>4.483782821460322E-2</v>
      </c>
      <c r="J24" s="11">
        <f>STDEV(Table27[6000])/(SQRT(COUNT(Table27[6000])))</f>
        <v>4.9333195440145625E-2</v>
      </c>
      <c r="K24" s="11">
        <f>STDEV(Table27[8000])/(SQRT(COUNT(Table27[8000])))</f>
        <v>3.3419955476276186E-2</v>
      </c>
      <c r="L24" s="11">
        <f>STDEV(Table27[10000])/(SQRT(COUNT(Table27[10000])))</f>
        <v>3.4727641300479707E-2</v>
      </c>
      <c r="M24" s="11">
        <f>STDEV(Table27[12000])/(SQRT(COUNT(Table27[12000])))</f>
        <v>4.8489426577305678E-2</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0818-1BA1-4DD9-9B17-F60E0054DF2F}">
  <dimension ref="A1:F31"/>
  <sheetViews>
    <sheetView workbookViewId="0">
      <selection activeCell="A2" sqref="A2"/>
    </sheetView>
  </sheetViews>
  <sheetFormatPr defaultRowHeight="14.5" x14ac:dyDescent="0.35"/>
  <cols>
    <col min="1" max="1" width="18.1796875" bestFit="1" customWidth="1"/>
    <col min="2" max="2" width="15.54296875" bestFit="1" customWidth="1"/>
  </cols>
  <sheetData>
    <row r="1" spans="1:6" x14ac:dyDescent="0.35">
      <c r="F1" s="9" t="s">
        <v>112</v>
      </c>
    </row>
    <row r="2" spans="1:6" x14ac:dyDescent="0.35">
      <c r="A2" t="s">
        <v>9201</v>
      </c>
      <c r="B2" t="s">
        <v>9200</v>
      </c>
    </row>
    <row r="3" spans="1:6" x14ac:dyDescent="0.35">
      <c r="A3" s="57">
        <f>AVERAGE(Table25[100])</f>
        <v>0.28740740740740744</v>
      </c>
      <c r="B3" s="33">
        <f>AVERAGE(Table27[100])</f>
        <v>0.33000000000000007</v>
      </c>
      <c r="D3" t="s">
        <v>47</v>
      </c>
    </row>
    <row r="4" spans="1:6" x14ac:dyDescent="0.35">
      <c r="A4" s="58">
        <f>SUBTOTAL(101,Table25[200])</f>
        <v>0.34777777777777774</v>
      </c>
      <c r="B4" s="34">
        <f>SUBTOTAL(101,Table27[200])</f>
        <v>0.32428571428571429</v>
      </c>
    </row>
    <row r="5" spans="1:6" x14ac:dyDescent="0.35">
      <c r="A5" s="58">
        <f>SUBTOTAL(101,Table25[400])</f>
        <v>0.3899999999999999</v>
      </c>
      <c r="B5" s="34">
        <f>SUBTOTAL(101,Table27[400])</f>
        <v>0.34714285714285714</v>
      </c>
      <c r="D5" t="s">
        <v>47</v>
      </c>
    </row>
    <row r="6" spans="1:6" ht="15" thickBot="1" x14ac:dyDescent="0.4">
      <c r="A6" s="58">
        <f>SUBTOTAL(101,Table25[500])</f>
        <v>0.39851851851851855</v>
      </c>
      <c r="B6" s="34">
        <f>SUBTOTAL(101,Table27[500])</f>
        <v>0.31809523809523804</v>
      </c>
    </row>
    <row r="7" spans="1:6" x14ac:dyDescent="0.35">
      <c r="A7" s="58">
        <f>SUBTOTAL(101,Table25[800])</f>
        <v>0.38629629629629636</v>
      </c>
      <c r="B7" s="34">
        <f>SUBTOTAL(101,Table27[800])</f>
        <v>0.33904761904761904</v>
      </c>
      <c r="D7" s="6"/>
      <c r="E7" s="6" t="s">
        <v>59</v>
      </c>
      <c r="F7" s="6" t="s">
        <v>60</v>
      </c>
    </row>
    <row r="8" spans="1:6" x14ac:dyDescent="0.35">
      <c r="A8" s="58">
        <f>SUBTOTAL(101,Table25[1000])</f>
        <v>0.38074074074074071</v>
      </c>
      <c r="B8" s="34">
        <f>SUBTOTAL(101,Table27[1000])</f>
        <v>0.35190476190476189</v>
      </c>
      <c r="D8" s="4" t="s">
        <v>48</v>
      </c>
      <c r="E8" s="4">
        <v>0.35575498575498571</v>
      </c>
      <c r="F8" s="4">
        <v>0.29732600732600734</v>
      </c>
    </row>
    <row r="9" spans="1:6" x14ac:dyDescent="0.35">
      <c r="A9" s="58">
        <f>SUBTOTAL(101,Table25[2000])</f>
        <v>0.40185185185185202</v>
      </c>
      <c r="B9" s="34">
        <f>SUBTOTAL(101,Table27[2000])</f>
        <v>0.37952380952380949</v>
      </c>
      <c r="D9" s="4" t="s">
        <v>49</v>
      </c>
      <c r="E9" s="4">
        <v>2.6004484541521746E-3</v>
      </c>
      <c r="F9" s="4">
        <v>4.909468573754276E-3</v>
      </c>
    </row>
    <row r="10" spans="1:6" x14ac:dyDescent="0.35">
      <c r="A10" s="58">
        <f>SUBTOTAL(101,Table25[3000])</f>
        <v>0.40259259259259256</v>
      </c>
      <c r="B10" s="34">
        <f>SUBTOTAL(101,Table27[3000])</f>
        <v>0.3000000000000001</v>
      </c>
      <c r="D10" s="4" t="s">
        <v>50</v>
      </c>
      <c r="E10" s="4">
        <v>13</v>
      </c>
      <c r="F10" s="4">
        <v>13</v>
      </c>
    </row>
    <row r="11" spans="1:6" x14ac:dyDescent="0.35">
      <c r="A11" s="58">
        <f>SUBTOTAL(101,Table25[4000])</f>
        <v>0.39814814814814808</v>
      </c>
      <c r="B11" s="34">
        <f>SUBTOTAL(101,Table27[4000])</f>
        <v>0.3409523809523809</v>
      </c>
      <c r="D11" s="4" t="s">
        <v>51</v>
      </c>
      <c r="E11" s="4">
        <v>3.7549585139532251E-3</v>
      </c>
      <c r="F11" s="4"/>
    </row>
    <row r="12" spans="1:6" x14ac:dyDescent="0.35">
      <c r="A12" s="58">
        <f>SUBTOTAL(101,Table25[6000])</f>
        <v>0.35555555555555568</v>
      </c>
      <c r="B12" s="34">
        <f>SUBTOTAL(101,Table27[6000])</f>
        <v>0.28095238095238084</v>
      </c>
      <c r="D12" s="4" t="s">
        <v>52</v>
      </c>
      <c r="E12" s="4">
        <v>0</v>
      </c>
      <c r="F12" s="4"/>
    </row>
    <row r="13" spans="1:6" x14ac:dyDescent="0.35">
      <c r="A13" s="58">
        <f>SUBTOTAL(101,Table25[8000])</f>
        <v>0.33925925925925926</v>
      </c>
      <c r="B13" s="34">
        <f>SUBTOTAL(101,Table27[8000])</f>
        <v>0.22380952380952376</v>
      </c>
      <c r="D13" s="4" t="s">
        <v>53</v>
      </c>
      <c r="E13" s="4">
        <v>24</v>
      </c>
      <c r="F13" s="4"/>
    </row>
    <row r="14" spans="1:6" x14ac:dyDescent="0.35">
      <c r="A14" s="58">
        <f>SUBTOTAL(101,Table25[10000])</f>
        <v>0.27925925925925926</v>
      </c>
      <c r="B14" s="34">
        <f>SUBTOTAL(101,Table27[10000])</f>
        <v>0.16523809523809527</v>
      </c>
      <c r="D14" s="4" t="s">
        <v>54</v>
      </c>
      <c r="E14" s="4">
        <v>2.4309856763373698</v>
      </c>
      <c r="F14" s="4"/>
    </row>
    <row r="15" spans="1:6" x14ac:dyDescent="0.35">
      <c r="A15" s="59">
        <f>SUBTOTAL(101,Table25[12000])</f>
        <v>0.25740740740740742</v>
      </c>
      <c r="B15" s="35">
        <f>SUBTOTAL(101,Table27[12000])</f>
        <v>0.16428571428571428</v>
      </c>
      <c r="D15" s="4" t="s">
        <v>55</v>
      </c>
      <c r="E15" s="64">
        <v>1.1449107658596778E-2</v>
      </c>
      <c r="F15" s="4"/>
    </row>
    <row r="16" spans="1:6" x14ac:dyDescent="0.35">
      <c r="D16" s="4" t="s">
        <v>56</v>
      </c>
      <c r="E16" s="4">
        <v>1.7108820799094284</v>
      </c>
      <c r="F16" s="4"/>
    </row>
    <row r="17" spans="1:6" x14ac:dyDescent="0.35">
      <c r="D17" s="4" t="s">
        <v>57</v>
      </c>
      <c r="E17" s="4">
        <v>2.2898215317193556E-2</v>
      </c>
      <c r="F17" s="4"/>
    </row>
    <row r="18" spans="1:6" ht="15" thickBot="1" x14ac:dyDescent="0.4">
      <c r="A18" t="s">
        <v>8377</v>
      </c>
      <c r="B18" t="s">
        <v>8378</v>
      </c>
      <c r="D18" s="5" t="s">
        <v>58</v>
      </c>
      <c r="E18" s="5">
        <v>2.0638985616280254</v>
      </c>
      <c r="F18" s="5"/>
    </row>
    <row r="19" spans="1:6" x14ac:dyDescent="0.35">
      <c r="A19" s="11">
        <f>STDEV(Table25[100])/(SQRT(COUNT(Table25[100])))</f>
        <v>2.8140837257202369E-2</v>
      </c>
      <c r="B19" s="11">
        <f>STDEV(Table27[100])/(SQRT(COUNT(Table27[100])))</f>
        <v>6.1108802265186911E-2</v>
      </c>
    </row>
    <row r="20" spans="1:6" x14ac:dyDescent="0.35">
      <c r="A20" s="11">
        <f>STDEV(Table25[200])/(SQRT(COUNT(Table25[200])))</f>
        <v>3.1723221353283822E-2</v>
      </c>
      <c r="B20" s="11">
        <f>STDEV(Table27[200])/(SQRT(COUNT(Table27[200])))</f>
        <v>5.2252005787754574E-2</v>
      </c>
    </row>
    <row r="21" spans="1:6" x14ac:dyDescent="0.35">
      <c r="A21" s="11">
        <f>STDEV(Table25[400])/(SQRT(COUNT(Table25[400])))</f>
        <v>3.2506847843110781E-2</v>
      </c>
      <c r="B21" s="11">
        <f>STDEV(Table27[400])/(SQRT(COUNT(Table27[400])))</f>
        <v>4.8859092135995957E-2</v>
      </c>
    </row>
    <row r="22" spans="1:6" x14ac:dyDescent="0.35">
      <c r="A22" s="11">
        <f>STDEV(Table25[500])/(SQRT(COUNT(Table25[500])))</f>
        <v>3.3570539348754792E-2</v>
      </c>
      <c r="B22" s="11">
        <f>STDEV(Table27[500])/(SQRT(COUNT(Table27[500])))</f>
        <v>3.8715193569862562E-2</v>
      </c>
    </row>
    <row r="23" spans="1:6" x14ac:dyDescent="0.35">
      <c r="A23" s="11">
        <f>STDEV(Table25[800])/(SQRT(COUNT(Table25[800])))</f>
        <v>3.2208137865631904E-2</v>
      </c>
      <c r="B23" s="11">
        <f>STDEV(Table27[800])/(SQRT(COUNT(Table27[800])))</f>
        <v>4.9549901551508374E-2</v>
      </c>
    </row>
    <row r="24" spans="1:6" x14ac:dyDescent="0.35">
      <c r="A24" s="11">
        <f>STDEV(Table25[1000])/(SQRT(COUNT(Table25[1000])))</f>
        <v>3.0888670259599196E-2</v>
      </c>
      <c r="B24" s="11">
        <f>STDEV(Table27[1000])/(SQRT(COUNT(Table27[1000])))</f>
        <v>3.1157197804948512E-2</v>
      </c>
    </row>
    <row r="25" spans="1:6" x14ac:dyDescent="0.35">
      <c r="A25" s="11">
        <f>STDEV(Table25[2000])/(SQRT(COUNT(Table25[2000])))</f>
        <v>3.5976555507224284E-2</v>
      </c>
      <c r="B25" s="11">
        <f>STDEV(Table27[2000])/(SQRT(COUNT(Table27[2000])))</f>
        <v>4.3213072264217375E-2</v>
      </c>
    </row>
    <row r="26" spans="1:6" x14ac:dyDescent="0.35">
      <c r="A26" s="11">
        <f>STDEV(Table25[3000])/(SQRT(COUNT(Table25[3000])))</f>
        <v>3.8966683821337431E-2</v>
      </c>
      <c r="B26" s="11">
        <f>STDEV(Table27[3000])/(SQRT(COUNT(Table27[3000])))</f>
        <v>3.7568984168174807E-2</v>
      </c>
    </row>
    <row r="27" spans="1:6" x14ac:dyDescent="0.35">
      <c r="A27" s="11">
        <f>STDEV(Table25[4000])/(SQRT(COUNT(Table25[4000])))</f>
        <v>3.9523648793736994E-2</v>
      </c>
      <c r="B27" s="11">
        <f>STDEV(Table27[4000])/(SQRT(COUNT(Table27[4000])))</f>
        <v>4.483782821460322E-2</v>
      </c>
    </row>
    <row r="28" spans="1:6" x14ac:dyDescent="0.35">
      <c r="A28" s="11">
        <f>STDEV(Table25[6000])/(SQRT(COUNT(Table25[6000])))</f>
        <v>3.267875815522827E-2</v>
      </c>
      <c r="B28" s="11">
        <f>STDEV(Table27[6000])/(SQRT(COUNT(Table27[6000])))</f>
        <v>4.9333195440145625E-2</v>
      </c>
    </row>
    <row r="29" spans="1:6" x14ac:dyDescent="0.35">
      <c r="A29" s="11">
        <f>STDEV(Table25[8000])/(SQRT(COUNT(Table25[8000])))</f>
        <v>3.2794473189453242E-2</v>
      </c>
      <c r="B29" s="11">
        <f>STDEV(Table27[8000])/(SQRT(COUNT(Table27[8000])))</f>
        <v>3.3419955476276186E-2</v>
      </c>
    </row>
    <row r="30" spans="1:6" x14ac:dyDescent="0.35">
      <c r="A30" s="11">
        <f>STDEV(Table25[10000])/(SQRT(COUNT(Table25[10000])))</f>
        <v>3.2149605439156265E-2</v>
      </c>
      <c r="B30" s="11">
        <f>STDEV(Table27[10000])/(SQRT(COUNT(Table27[10000])))</f>
        <v>3.4727641300479707E-2</v>
      </c>
    </row>
    <row r="31" spans="1:6" x14ac:dyDescent="0.35">
      <c r="A31" s="11">
        <f>STDEV(Table25[12000])/(SQRT(COUNT(Table25[12000])))</f>
        <v>3.305263260477373E-2</v>
      </c>
      <c r="B31" s="11">
        <f>STDEV(Table27[12000])/(SQRT(COUNT(Table27[12000])))</f>
        <v>4.8489426577305678E-2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E50-218A-4186-9C0C-53285486B4EC}">
  <dimension ref="A1:DH135"/>
  <sheetViews>
    <sheetView topLeftCell="J1" zoomScaleNormal="100" workbookViewId="0">
      <selection activeCell="DF2" sqref="DF2:DF135"/>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42" bestFit="1" customWidth="1"/>
    <col min="14" max="14" width="11.54296875" bestFit="1" customWidth="1"/>
    <col min="15" max="15" width="31.7265625" bestFit="1" customWidth="1"/>
    <col min="16" max="16" width="11.54296875" bestFit="1" customWidth="1"/>
    <col min="17" max="17" width="41.1796875" bestFit="1" customWidth="1"/>
    <col min="18" max="18" width="11.54296875" bestFit="1" customWidth="1"/>
    <col min="19" max="19" width="63.453125" bestFit="1" customWidth="1"/>
    <col min="20" max="20" width="11.54296875" bestFit="1" customWidth="1"/>
    <col min="21" max="21" width="49.4531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4.08984375" bestFit="1" customWidth="1"/>
    <col min="30" max="30" width="11.54296875" bestFit="1" customWidth="1"/>
    <col min="31" max="31" width="53.36328125" bestFit="1" customWidth="1"/>
    <col min="32" max="32" width="11.54296875" bestFit="1" customWidth="1"/>
    <col min="33" max="33" width="55" bestFit="1" customWidth="1"/>
    <col min="34" max="34" width="11.54296875" bestFit="1" customWidth="1"/>
    <col min="35" max="35" width="66.08984375" bestFit="1" customWidth="1"/>
    <col min="36" max="36" width="11.54296875" bestFit="1" customWidth="1"/>
    <col min="37" max="37" width="80.7265625" bestFit="1" customWidth="1"/>
    <col min="38" max="38" width="11.54296875" bestFit="1" customWidth="1"/>
    <col min="39" max="39" width="50.363281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37" bestFit="1" customWidth="1"/>
    <col min="48" max="48" width="11.54296875" bestFit="1" customWidth="1"/>
    <col min="49" max="49" width="80.7265625" bestFit="1" customWidth="1"/>
    <col min="50" max="50" width="11.54296875" bestFit="1" customWidth="1"/>
    <col min="51" max="51" width="22.6328125" bestFit="1" customWidth="1"/>
    <col min="52" max="52" width="11.54296875" bestFit="1" customWidth="1"/>
    <col min="53" max="53" width="80.7265625" bestFit="1" customWidth="1"/>
    <col min="54" max="54" width="11.54296875" bestFit="1" customWidth="1"/>
    <col min="55" max="55" width="30.90625" bestFit="1" customWidth="1"/>
    <col min="56" max="56" width="11.54296875" bestFit="1" customWidth="1"/>
    <col min="57" max="57" width="32.1796875" bestFit="1" customWidth="1"/>
    <col min="58" max="58" width="11.54296875" bestFit="1" customWidth="1"/>
    <col min="59" max="59" width="30.90625" bestFit="1" customWidth="1"/>
    <col min="60" max="60" width="11.54296875" bestFit="1" customWidth="1"/>
    <col min="61" max="61" width="32.1796875" bestFit="1" customWidth="1"/>
    <col min="62" max="62" width="11.54296875" bestFit="1" customWidth="1"/>
    <col min="63" max="63" width="30.90625" bestFit="1" customWidth="1"/>
    <col min="64" max="64" width="11.54296875" bestFit="1" customWidth="1"/>
    <col min="65" max="65" width="32.1796875" bestFit="1" customWidth="1"/>
    <col min="66" max="66" width="11.54296875" bestFit="1" customWidth="1"/>
    <col min="67" max="67" width="30.90625" bestFit="1" customWidth="1"/>
    <col min="68" max="68" width="11.54296875" bestFit="1" customWidth="1"/>
    <col min="69" max="69" width="32.1796875" bestFit="1" customWidth="1"/>
    <col min="70" max="70" width="11.54296875" bestFit="1" customWidth="1"/>
    <col min="71" max="71" width="30.90625" bestFit="1" customWidth="1"/>
    <col min="72" max="72" width="11.54296875" bestFit="1" customWidth="1"/>
    <col min="73" max="73" width="32.1796875" bestFit="1" customWidth="1"/>
    <col min="74" max="74" width="11.54296875" bestFit="1" customWidth="1"/>
    <col min="75" max="75" width="30.90625" bestFit="1" customWidth="1"/>
    <col min="76" max="76" width="11.54296875" bestFit="1" customWidth="1"/>
    <col min="77" max="77" width="32.1796875" bestFit="1" customWidth="1"/>
    <col min="78" max="78" width="11.54296875" bestFit="1" customWidth="1"/>
    <col min="79" max="79" width="30.90625" bestFit="1" customWidth="1"/>
    <col min="80" max="80" width="11.54296875" bestFit="1" customWidth="1"/>
    <col min="81" max="81" width="32.1796875" bestFit="1" customWidth="1"/>
    <col min="82" max="82" width="11.54296875" bestFit="1" customWidth="1"/>
    <col min="83" max="83" width="30.90625" bestFit="1" customWidth="1"/>
    <col min="84" max="84" width="11.54296875" bestFit="1" customWidth="1"/>
    <col min="85" max="85" width="32.1796875" bestFit="1" customWidth="1"/>
    <col min="86" max="86" width="11.54296875" bestFit="1" customWidth="1"/>
    <col min="87" max="87" width="30.90625" bestFit="1" customWidth="1"/>
    <col min="88" max="88" width="11.54296875" bestFit="1" customWidth="1"/>
    <col min="89" max="89" width="32.1796875" bestFit="1" customWidth="1"/>
    <col min="90" max="90" width="11.54296875" bestFit="1" customWidth="1"/>
    <col min="91" max="91" width="31.90625" bestFit="1" customWidth="1"/>
    <col min="92" max="92" width="11.54296875" bestFit="1" customWidth="1"/>
    <col min="93" max="93" width="33.1796875" bestFit="1" customWidth="1"/>
    <col min="94" max="94" width="11.54296875" bestFit="1" customWidth="1"/>
    <col min="95" max="95" width="31.90625" bestFit="1" customWidth="1"/>
    <col min="96" max="96" width="11.54296875" bestFit="1" customWidth="1"/>
    <col min="97" max="97" width="33.1796875" bestFit="1" customWidth="1"/>
    <col min="98" max="98" width="11.54296875" bestFit="1" customWidth="1"/>
    <col min="99" max="99" width="31.90625" bestFit="1" customWidth="1"/>
    <col min="100" max="100" width="12.54296875" bestFit="1" customWidth="1"/>
    <col min="101" max="101" width="33.1796875" bestFit="1" customWidth="1"/>
    <col min="102" max="102" width="12.54296875" bestFit="1" customWidth="1"/>
    <col min="103" max="103" width="31.90625" bestFit="1" customWidth="1"/>
    <col min="104" max="104" width="12.54296875" bestFit="1" customWidth="1"/>
    <col min="105" max="105" width="33.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80.453125" bestFit="1" customWidth="1"/>
    <col min="112" max="112" width="12.54296875" bestFit="1" customWidth="1"/>
  </cols>
  <sheetData>
    <row r="1" spans="1:112" ht="24" customHeight="1" x14ac:dyDescent="0.35">
      <c r="A1" t="s">
        <v>115</v>
      </c>
      <c r="B1" t="s">
        <v>116</v>
      </c>
      <c r="C1" t="s">
        <v>117</v>
      </c>
      <c r="D1" t="s">
        <v>118</v>
      </c>
      <c r="E1" s="36" t="s">
        <v>119</v>
      </c>
      <c r="F1" t="s">
        <v>120</v>
      </c>
      <c r="G1" t="s">
        <v>121</v>
      </c>
      <c r="H1" t="s">
        <v>122</v>
      </c>
      <c r="I1" t="s">
        <v>123</v>
      </c>
      <c r="J1" t="s">
        <v>124</v>
      </c>
      <c r="K1" t="s">
        <v>125</v>
      </c>
      <c r="L1" t="s">
        <v>126</v>
      </c>
      <c r="M1" t="s">
        <v>127</v>
      </c>
      <c r="N1" t="s">
        <v>128</v>
      </c>
      <c r="O1" t="s">
        <v>129</v>
      </c>
      <c r="P1" t="s">
        <v>130</v>
      </c>
      <c r="Q1" t="s">
        <v>131</v>
      </c>
      <c r="R1" t="s">
        <v>132</v>
      </c>
      <c r="S1" t="s">
        <v>133</v>
      </c>
      <c r="T1" t="s">
        <v>134</v>
      </c>
      <c r="U1" t="s">
        <v>135</v>
      </c>
      <c r="V1" t="s">
        <v>136</v>
      </c>
      <c r="W1" t="s">
        <v>137</v>
      </c>
      <c r="X1" t="s">
        <v>138</v>
      </c>
      <c r="Y1" t="s">
        <v>139</v>
      </c>
      <c r="Z1" t="s">
        <v>140</v>
      </c>
      <c r="AA1" t="s">
        <v>141</v>
      </c>
      <c r="AB1" t="s">
        <v>142</v>
      </c>
      <c r="AC1" t="s">
        <v>143</v>
      </c>
      <c r="AD1" t="s">
        <v>144</v>
      </c>
      <c r="AE1" t="s">
        <v>145</v>
      </c>
      <c r="AF1" t="s">
        <v>146</v>
      </c>
      <c r="AG1" t="s">
        <v>147</v>
      </c>
      <c r="AH1" t="s">
        <v>148</v>
      </c>
      <c r="AI1" t="s">
        <v>149</v>
      </c>
      <c r="AJ1" t="s">
        <v>150</v>
      </c>
      <c r="AK1" t="s">
        <v>151</v>
      </c>
      <c r="AL1" t="s">
        <v>152</v>
      </c>
      <c r="AM1" t="s">
        <v>153</v>
      </c>
      <c r="AN1" t="s">
        <v>154</v>
      </c>
      <c r="AO1" t="s">
        <v>155</v>
      </c>
      <c r="AP1" t="s">
        <v>156</v>
      </c>
      <c r="AQ1" t="s">
        <v>157</v>
      </c>
      <c r="AR1" t="s">
        <v>158</v>
      </c>
      <c r="AS1" t="s">
        <v>159</v>
      </c>
      <c r="AT1" t="s">
        <v>160</v>
      </c>
      <c r="AU1" t="s">
        <v>161</v>
      </c>
      <c r="AV1" t="s">
        <v>162</v>
      </c>
      <c r="AW1" t="s">
        <v>163</v>
      </c>
      <c r="AX1" t="s">
        <v>164</v>
      </c>
      <c r="AY1" t="s">
        <v>165</v>
      </c>
      <c r="AZ1" t="s">
        <v>166</v>
      </c>
      <c r="BA1" s="36" t="s">
        <v>167</v>
      </c>
      <c r="BB1" t="s">
        <v>168</v>
      </c>
      <c r="BC1" t="s">
        <v>169</v>
      </c>
      <c r="BD1" t="s">
        <v>170</v>
      </c>
      <c r="BE1" t="s">
        <v>171</v>
      </c>
      <c r="BF1" t="s">
        <v>172</v>
      </c>
      <c r="BG1" t="s">
        <v>173</v>
      </c>
      <c r="BH1" t="s">
        <v>174</v>
      </c>
      <c r="BI1" t="s">
        <v>175</v>
      </c>
      <c r="BJ1" t="s">
        <v>176</v>
      </c>
      <c r="BK1" t="s">
        <v>177</v>
      </c>
      <c r="BL1" t="s">
        <v>178</v>
      </c>
      <c r="BM1" t="s">
        <v>179</v>
      </c>
      <c r="BN1" t="s">
        <v>180</v>
      </c>
      <c r="BO1" t="s">
        <v>181</v>
      </c>
      <c r="BP1" t="s">
        <v>182</v>
      </c>
      <c r="BQ1" t="s">
        <v>183</v>
      </c>
      <c r="BR1" t="s">
        <v>184</v>
      </c>
      <c r="BS1" t="s">
        <v>185</v>
      </c>
      <c r="BT1" t="s">
        <v>186</v>
      </c>
      <c r="BU1" t="s">
        <v>187</v>
      </c>
      <c r="BV1" t="s">
        <v>188</v>
      </c>
      <c r="BW1" t="s">
        <v>189</v>
      </c>
      <c r="BX1" t="s">
        <v>190</v>
      </c>
      <c r="BY1" t="s">
        <v>191</v>
      </c>
      <c r="BZ1" t="s">
        <v>192</v>
      </c>
      <c r="CA1" t="s">
        <v>193</v>
      </c>
      <c r="CB1" t="s">
        <v>194</v>
      </c>
      <c r="CC1" t="s">
        <v>195</v>
      </c>
      <c r="CD1" t="s">
        <v>196</v>
      </c>
      <c r="CE1" t="s">
        <v>197</v>
      </c>
      <c r="CF1" t="s">
        <v>198</v>
      </c>
      <c r="CG1" t="s">
        <v>199</v>
      </c>
      <c r="CH1" t="s">
        <v>200</v>
      </c>
      <c r="CI1" t="s">
        <v>201</v>
      </c>
      <c r="CJ1" t="s">
        <v>202</v>
      </c>
      <c r="CK1" t="s">
        <v>203</v>
      </c>
      <c r="CL1" t="s">
        <v>204</v>
      </c>
      <c r="CM1" t="s">
        <v>205</v>
      </c>
      <c r="CN1" t="s">
        <v>206</v>
      </c>
      <c r="CO1" t="s">
        <v>207</v>
      </c>
      <c r="CP1" t="s">
        <v>208</v>
      </c>
      <c r="CQ1" t="s">
        <v>209</v>
      </c>
      <c r="CR1" t="s">
        <v>210</v>
      </c>
      <c r="CS1" t="s">
        <v>211</v>
      </c>
      <c r="CT1" t="s">
        <v>212</v>
      </c>
      <c r="CU1" t="s">
        <v>213</v>
      </c>
      <c r="CV1" t="s">
        <v>214</v>
      </c>
      <c r="CW1" t="s">
        <v>215</v>
      </c>
      <c r="CX1" t="s">
        <v>216</v>
      </c>
      <c r="CY1" t="s">
        <v>217</v>
      </c>
      <c r="CZ1" t="s">
        <v>218</v>
      </c>
      <c r="DA1" t="s">
        <v>219</v>
      </c>
      <c r="DB1" t="s">
        <v>220</v>
      </c>
      <c r="DC1" t="s">
        <v>221</v>
      </c>
      <c r="DD1" t="s">
        <v>222</v>
      </c>
      <c r="DE1" t="s">
        <v>223</v>
      </c>
      <c r="DF1" t="s">
        <v>224</v>
      </c>
      <c r="DG1" t="s">
        <v>225</v>
      </c>
      <c r="DH1" t="s">
        <v>226</v>
      </c>
    </row>
    <row r="2" spans="1:112" x14ac:dyDescent="0.35">
      <c r="A2" t="s">
        <v>227</v>
      </c>
      <c r="B2" t="s">
        <v>228</v>
      </c>
      <c r="C2" t="s">
        <v>229</v>
      </c>
      <c r="D2" t="s">
        <v>230</v>
      </c>
      <c r="E2" t="s">
        <v>231</v>
      </c>
      <c r="F2" t="s">
        <v>232</v>
      </c>
      <c r="G2" t="s">
        <v>40</v>
      </c>
      <c r="H2" t="s">
        <v>233</v>
      </c>
      <c r="I2" t="s">
        <v>234</v>
      </c>
      <c r="J2" t="s">
        <v>235</v>
      </c>
      <c r="L2" t="s">
        <v>236</v>
      </c>
      <c r="M2" t="s">
        <v>18</v>
      </c>
      <c r="N2" t="s">
        <v>237</v>
      </c>
      <c r="O2" t="s">
        <v>19</v>
      </c>
      <c r="P2" t="s">
        <v>238</v>
      </c>
      <c r="Q2" t="s">
        <v>40</v>
      </c>
      <c r="R2" t="s">
        <v>239</v>
      </c>
      <c r="S2" t="s">
        <v>240</v>
      </c>
      <c r="T2" t="s">
        <v>241</v>
      </c>
      <c r="U2" t="s">
        <v>242</v>
      </c>
      <c r="V2" t="s">
        <v>243</v>
      </c>
      <c r="W2" t="s">
        <v>242</v>
      </c>
      <c r="X2" t="s">
        <v>243</v>
      </c>
      <c r="Y2" t="s">
        <v>242</v>
      </c>
      <c r="Z2" t="s">
        <v>243</v>
      </c>
      <c r="AA2" t="s">
        <v>242</v>
      </c>
      <c r="AB2" t="s">
        <v>243</v>
      </c>
      <c r="AC2" t="s">
        <v>242</v>
      </c>
      <c r="AD2" t="s">
        <v>243</v>
      </c>
      <c r="AE2" t="s">
        <v>242</v>
      </c>
      <c r="AF2" t="s">
        <v>243</v>
      </c>
      <c r="AG2" t="s">
        <v>242</v>
      </c>
      <c r="AH2" t="s">
        <v>243</v>
      </c>
      <c r="AI2" t="s">
        <v>242</v>
      </c>
      <c r="AJ2" t="s">
        <v>243</v>
      </c>
      <c r="AK2" t="s">
        <v>242</v>
      </c>
      <c r="AL2" t="s">
        <v>243</v>
      </c>
      <c r="AM2" t="s">
        <v>242</v>
      </c>
      <c r="AN2" t="s">
        <v>243</v>
      </c>
      <c r="AO2" t="s">
        <v>242</v>
      </c>
      <c r="AP2" t="s">
        <v>243</v>
      </c>
      <c r="AQ2" t="s">
        <v>242</v>
      </c>
      <c r="AR2" t="s">
        <v>243</v>
      </c>
      <c r="AS2" t="s">
        <v>242</v>
      </c>
      <c r="AT2" t="s">
        <v>244</v>
      </c>
      <c r="AU2" t="s">
        <v>245</v>
      </c>
      <c r="AV2" t="s">
        <v>246</v>
      </c>
      <c r="AW2" t="s">
        <v>247</v>
      </c>
      <c r="AX2" t="s">
        <v>248</v>
      </c>
      <c r="AY2" t="s">
        <v>249</v>
      </c>
      <c r="AZ2" t="s">
        <v>250</v>
      </c>
      <c r="BA2" t="s">
        <v>242</v>
      </c>
      <c r="BB2" t="s">
        <v>251</v>
      </c>
      <c r="BC2" t="s">
        <v>252</v>
      </c>
      <c r="BD2" t="s">
        <v>253</v>
      </c>
      <c r="BE2" t="s">
        <v>254</v>
      </c>
      <c r="BF2" t="s">
        <v>255</v>
      </c>
      <c r="BG2" t="s">
        <v>252</v>
      </c>
      <c r="BH2" t="s">
        <v>256</v>
      </c>
      <c r="BI2" t="s">
        <v>257</v>
      </c>
      <c r="BJ2" t="s">
        <v>258</v>
      </c>
      <c r="BK2" t="s">
        <v>259</v>
      </c>
      <c r="BL2" t="s">
        <v>260</v>
      </c>
      <c r="BM2" t="s">
        <v>261</v>
      </c>
      <c r="BN2" t="s">
        <v>262</v>
      </c>
      <c r="BO2" t="s">
        <v>263</v>
      </c>
      <c r="BP2" t="s">
        <v>264</v>
      </c>
      <c r="BQ2" t="s">
        <v>261</v>
      </c>
      <c r="BR2" t="s">
        <v>265</v>
      </c>
      <c r="BS2" t="s">
        <v>266</v>
      </c>
      <c r="BT2" t="s">
        <v>267</v>
      </c>
      <c r="BU2" t="s">
        <v>268</v>
      </c>
      <c r="BV2" t="s">
        <v>269</v>
      </c>
      <c r="BW2" t="s">
        <v>259</v>
      </c>
      <c r="BX2" t="s">
        <v>270</v>
      </c>
      <c r="BY2" t="s">
        <v>271</v>
      </c>
      <c r="BZ2" t="s">
        <v>272</v>
      </c>
      <c r="CA2" t="s">
        <v>259</v>
      </c>
      <c r="CB2" t="s">
        <v>273</v>
      </c>
      <c r="CC2" t="s">
        <v>274</v>
      </c>
      <c r="CD2" t="s">
        <v>275</v>
      </c>
      <c r="CE2" t="s">
        <v>276</v>
      </c>
      <c r="CF2" t="s">
        <v>277</v>
      </c>
      <c r="CG2" t="s">
        <v>268</v>
      </c>
      <c r="CH2" t="s">
        <v>278</v>
      </c>
      <c r="CI2" t="s">
        <v>279</v>
      </c>
      <c r="CJ2" t="s">
        <v>280</v>
      </c>
      <c r="CK2" t="s">
        <v>281</v>
      </c>
      <c r="CL2" t="s">
        <v>282</v>
      </c>
      <c r="CM2" t="s">
        <v>283</v>
      </c>
      <c r="CN2" t="s">
        <v>284</v>
      </c>
      <c r="CO2" t="s">
        <v>285</v>
      </c>
      <c r="CP2" t="s">
        <v>286</v>
      </c>
      <c r="CQ2" t="s">
        <v>287</v>
      </c>
      <c r="CR2" t="s">
        <v>288</v>
      </c>
      <c r="CS2" t="s">
        <v>289</v>
      </c>
      <c r="CT2" t="s">
        <v>290</v>
      </c>
      <c r="CU2" t="s">
        <v>291</v>
      </c>
      <c r="CV2" t="s">
        <v>292</v>
      </c>
      <c r="CW2" t="s">
        <v>293</v>
      </c>
      <c r="CX2" t="s">
        <v>294</v>
      </c>
      <c r="CY2" t="s">
        <v>295</v>
      </c>
      <c r="CZ2" t="s">
        <v>296</v>
      </c>
      <c r="DA2" t="s">
        <v>295</v>
      </c>
      <c r="DB2" t="s">
        <v>297</v>
      </c>
      <c r="DC2" t="s">
        <v>242</v>
      </c>
      <c r="DD2" t="s">
        <v>298</v>
      </c>
      <c r="DF2" t="s">
        <v>299</v>
      </c>
      <c r="DG2" t="s">
        <v>242</v>
      </c>
      <c r="DH2" t="s">
        <v>300</v>
      </c>
    </row>
    <row r="3" spans="1:112" x14ac:dyDescent="0.35">
      <c r="A3" t="s">
        <v>227</v>
      </c>
      <c r="B3" t="s">
        <v>301</v>
      </c>
      <c r="C3" t="s">
        <v>229</v>
      </c>
      <c r="D3" t="s">
        <v>302</v>
      </c>
      <c r="E3" t="s">
        <v>231</v>
      </c>
      <c r="F3" t="s">
        <v>303</v>
      </c>
      <c r="G3" t="s">
        <v>40</v>
      </c>
      <c r="H3" t="s">
        <v>304</v>
      </c>
      <c r="I3" t="s">
        <v>234</v>
      </c>
      <c r="J3" t="s">
        <v>305</v>
      </c>
      <c r="L3" t="s">
        <v>306</v>
      </c>
      <c r="M3" t="s">
        <v>18</v>
      </c>
      <c r="N3" t="s">
        <v>307</v>
      </c>
      <c r="O3" t="s">
        <v>21</v>
      </c>
      <c r="P3" t="s">
        <v>308</v>
      </c>
      <c r="Q3" t="s">
        <v>40</v>
      </c>
      <c r="R3" t="s">
        <v>309</v>
      </c>
      <c r="S3" t="s">
        <v>310</v>
      </c>
      <c r="T3" t="s">
        <v>311</v>
      </c>
      <c r="U3" t="s">
        <v>39</v>
      </c>
      <c r="V3" t="s">
        <v>312</v>
      </c>
      <c r="W3" t="s">
        <v>40</v>
      </c>
      <c r="X3" t="s">
        <v>313</v>
      </c>
      <c r="Y3" t="s">
        <v>73</v>
      </c>
      <c r="Z3" t="s">
        <v>314</v>
      </c>
      <c r="AA3" t="s">
        <v>40</v>
      </c>
      <c r="AB3" t="s">
        <v>315</v>
      </c>
      <c r="AC3" t="s">
        <v>316</v>
      </c>
      <c r="AD3" t="s">
        <v>317</v>
      </c>
      <c r="AE3" t="s">
        <v>318</v>
      </c>
      <c r="AF3" t="s">
        <v>319</v>
      </c>
      <c r="AG3" t="s">
        <v>43</v>
      </c>
      <c r="AH3" t="s">
        <v>320</v>
      </c>
      <c r="AI3" t="s">
        <v>321</v>
      </c>
      <c r="AJ3" t="s">
        <v>322</v>
      </c>
      <c r="AK3" t="s">
        <v>323</v>
      </c>
      <c r="AL3" t="s">
        <v>324</v>
      </c>
      <c r="AM3" t="s">
        <v>325</v>
      </c>
      <c r="AN3" t="s">
        <v>326</v>
      </c>
      <c r="AO3" t="s">
        <v>0</v>
      </c>
      <c r="AP3" t="s">
        <v>327</v>
      </c>
      <c r="AQ3" t="s">
        <v>41</v>
      </c>
      <c r="AR3" t="s">
        <v>328</v>
      </c>
      <c r="AS3" t="s">
        <v>242</v>
      </c>
      <c r="AT3" t="s">
        <v>329</v>
      </c>
      <c r="AU3" t="s">
        <v>330</v>
      </c>
      <c r="AV3" t="s">
        <v>331</v>
      </c>
      <c r="AW3" t="s">
        <v>247</v>
      </c>
      <c r="AX3" t="s">
        <v>332</v>
      </c>
      <c r="AY3" t="s">
        <v>249</v>
      </c>
      <c r="AZ3" t="s">
        <v>333</v>
      </c>
      <c r="BA3" t="s">
        <v>242</v>
      </c>
      <c r="BB3" t="s">
        <v>334</v>
      </c>
      <c r="BC3" t="s">
        <v>335</v>
      </c>
      <c r="BD3" t="s">
        <v>336</v>
      </c>
      <c r="BE3" t="s">
        <v>337</v>
      </c>
      <c r="BF3" t="s">
        <v>338</v>
      </c>
      <c r="BG3" t="s">
        <v>339</v>
      </c>
      <c r="BH3" t="s">
        <v>340</v>
      </c>
      <c r="BI3" t="s">
        <v>254</v>
      </c>
      <c r="BJ3" t="s">
        <v>341</v>
      </c>
      <c r="BK3" t="s">
        <v>342</v>
      </c>
      <c r="BL3" t="s">
        <v>343</v>
      </c>
      <c r="BM3" t="s">
        <v>344</v>
      </c>
      <c r="BN3" t="s">
        <v>345</v>
      </c>
      <c r="BO3" t="s">
        <v>287</v>
      </c>
      <c r="BP3" t="s">
        <v>346</v>
      </c>
      <c r="BQ3" t="s">
        <v>271</v>
      </c>
      <c r="BR3" t="s">
        <v>347</v>
      </c>
      <c r="BS3" t="s">
        <v>348</v>
      </c>
      <c r="BT3" t="s">
        <v>349</v>
      </c>
      <c r="BU3" t="s">
        <v>257</v>
      </c>
      <c r="BV3" t="s">
        <v>350</v>
      </c>
      <c r="BW3" t="s">
        <v>351</v>
      </c>
      <c r="BX3" t="s">
        <v>352</v>
      </c>
      <c r="BY3" t="s">
        <v>281</v>
      </c>
      <c r="BZ3" t="s">
        <v>353</v>
      </c>
      <c r="CA3" t="s">
        <v>252</v>
      </c>
      <c r="CB3" t="s">
        <v>354</v>
      </c>
      <c r="CC3" t="s">
        <v>268</v>
      </c>
      <c r="CD3" t="s">
        <v>355</v>
      </c>
      <c r="CE3" t="s">
        <v>356</v>
      </c>
      <c r="CF3" t="s">
        <v>357</v>
      </c>
      <c r="CG3" t="s">
        <v>358</v>
      </c>
      <c r="CH3" t="s">
        <v>359</v>
      </c>
      <c r="CI3" t="s">
        <v>360</v>
      </c>
      <c r="CJ3" t="s">
        <v>361</v>
      </c>
      <c r="CK3" t="s">
        <v>271</v>
      </c>
      <c r="CL3" t="s">
        <v>362</v>
      </c>
      <c r="CM3" t="s">
        <v>335</v>
      </c>
      <c r="CN3" t="s">
        <v>363</v>
      </c>
      <c r="CO3" t="s">
        <v>261</v>
      </c>
      <c r="CP3" t="s">
        <v>364</v>
      </c>
      <c r="CQ3" t="s">
        <v>365</v>
      </c>
      <c r="CR3" t="s">
        <v>361</v>
      </c>
      <c r="CS3" t="s">
        <v>344</v>
      </c>
      <c r="CT3" t="s">
        <v>366</v>
      </c>
      <c r="CU3" t="s">
        <v>367</v>
      </c>
      <c r="CV3" t="s">
        <v>368</v>
      </c>
      <c r="CW3" t="s">
        <v>369</v>
      </c>
      <c r="CX3" t="s">
        <v>370</v>
      </c>
      <c r="CY3" t="s">
        <v>371</v>
      </c>
      <c r="CZ3" t="s">
        <v>372</v>
      </c>
      <c r="DA3" t="s">
        <v>344</v>
      </c>
      <c r="DB3" t="s">
        <v>373</v>
      </c>
      <c r="DC3" t="s">
        <v>242</v>
      </c>
      <c r="DD3" t="s">
        <v>374</v>
      </c>
      <c r="DF3" t="s">
        <v>375</v>
      </c>
      <c r="DG3" t="s">
        <v>242</v>
      </c>
      <c r="DH3" t="s">
        <v>363</v>
      </c>
    </row>
    <row r="4" spans="1:112" x14ac:dyDescent="0.35">
      <c r="A4" t="s">
        <v>227</v>
      </c>
      <c r="B4" t="s">
        <v>376</v>
      </c>
      <c r="C4" t="s">
        <v>229</v>
      </c>
      <c r="D4" t="s">
        <v>377</v>
      </c>
      <c r="E4" t="s">
        <v>231</v>
      </c>
      <c r="F4" t="s">
        <v>378</v>
      </c>
      <c r="G4" t="s">
        <v>40</v>
      </c>
      <c r="H4" t="s">
        <v>379</v>
      </c>
      <c r="I4" t="s">
        <v>234</v>
      </c>
      <c r="J4" t="s">
        <v>380</v>
      </c>
      <c r="L4" t="s">
        <v>381</v>
      </c>
      <c r="M4" t="s">
        <v>18</v>
      </c>
      <c r="N4" t="s">
        <v>382</v>
      </c>
      <c r="O4" t="s">
        <v>19</v>
      </c>
      <c r="P4" t="s">
        <v>383</v>
      </c>
      <c r="Q4" t="s">
        <v>40</v>
      </c>
      <c r="R4" t="s">
        <v>384</v>
      </c>
      <c r="S4" t="s">
        <v>240</v>
      </c>
      <c r="T4" t="s">
        <v>385</v>
      </c>
      <c r="U4" t="s">
        <v>242</v>
      </c>
      <c r="V4" t="s">
        <v>243</v>
      </c>
      <c r="W4" t="s">
        <v>242</v>
      </c>
      <c r="X4" t="s">
        <v>243</v>
      </c>
      <c r="Y4" t="s">
        <v>242</v>
      </c>
      <c r="Z4" t="s">
        <v>243</v>
      </c>
      <c r="AA4" t="s">
        <v>242</v>
      </c>
      <c r="AB4" t="s">
        <v>243</v>
      </c>
      <c r="AC4" t="s">
        <v>242</v>
      </c>
      <c r="AD4" t="s">
        <v>243</v>
      </c>
      <c r="AE4" t="s">
        <v>242</v>
      </c>
      <c r="AF4" t="s">
        <v>243</v>
      </c>
      <c r="AG4" t="s">
        <v>242</v>
      </c>
      <c r="AH4" t="s">
        <v>243</v>
      </c>
      <c r="AI4" t="s">
        <v>242</v>
      </c>
      <c r="AJ4" t="s">
        <v>243</v>
      </c>
      <c r="AK4" t="s">
        <v>242</v>
      </c>
      <c r="AL4" t="s">
        <v>243</v>
      </c>
      <c r="AM4" t="s">
        <v>242</v>
      </c>
      <c r="AN4" t="s">
        <v>243</v>
      </c>
      <c r="AO4" t="s">
        <v>242</v>
      </c>
      <c r="AP4" t="s">
        <v>243</v>
      </c>
      <c r="AQ4" t="s">
        <v>242</v>
      </c>
      <c r="AR4" t="s">
        <v>243</v>
      </c>
      <c r="AS4" t="s">
        <v>242</v>
      </c>
      <c r="AT4" t="s">
        <v>244</v>
      </c>
      <c r="AU4" t="s">
        <v>386</v>
      </c>
      <c r="AV4" t="s">
        <v>387</v>
      </c>
      <c r="AW4" t="s">
        <v>247</v>
      </c>
      <c r="AX4" t="s">
        <v>388</v>
      </c>
      <c r="AY4" t="s">
        <v>249</v>
      </c>
      <c r="AZ4" t="s">
        <v>389</v>
      </c>
      <c r="BA4" t="s">
        <v>242</v>
      </c>
      <c r="BB4" t="s">
        <v>390</v>
      </c>
      <c r="BC4" t="s">
        <v>365</v>
      </c>
      <c r="BD4" t="s">
        <v>391</v>
      </c>
      <c r="BE4" t="s">
        <v>293</v>
      </c>
      <c r="BF4" t="s">
        <v>392</v>
      </c>
      <c r="BG4" t="s">
        <v>393</v>
      </c>
      <c r="BH4" t="s">
        <v>394</v>
      </c>
      <c r="BI4" t="s">
        <v>395</v>
      </c>
      <c r="BJ4" t="s">
        <v>396</v>
      </c>
      <c r="BK4" t="s">
        <v>397</v>
      </c>
      <c r="BL4" t="s">
        <v>398</v>
      </c>
      <c r="BM4" t="s">
        <v>399</v>
      </c>
      <c r="BN4" t="s">
        <v>400</v>
      </c>
      <c r="BO4" t="s">
        <v>401</v>
      </c>
      <c r="BP4" t="s">
        <v>402</v>
      </c>
      <c r="BQ4" t="s">
        <v>268</v>
      </c>
      <c r="BR4" t="s">
        <v>403</v>
      </c>
      <c r="BS4" t="s">
        <v>351</v>
      </c>
      <c r="BT4" t="s">
        <v>404</v>
      </c>
      <c r="BU4" t="s">
        <v>405</v>
      </c>
      <c r="BV4" t="s">
        <v>406</v>
      </c>
      <c r="BW4" t="s">
        <v>351</v>
      </c>
      <c r="BX4" t="s">
        <v>407</v>
      </c>
      <c r="BY4" t="s">
        <v>408</v>
      </c>
      <c r="BZ4" t="s">
        <v>409</v>
      </c>
      <c r="CA4" t="s">
        <v>287</v>
      </c>
      <c r="CB4" t="s">
        <v>410</v>
      </c>
      <c r="CC4" t="s">
        <v>411</v>
      </c>
      <c r="CD4" t="s">
        <v>412</v>
      </c>
      <c r="CE4" t="s">
        <v>356</v>
      </c>
      <c r="CF4" t="s">
        <v>413</v>
      </c>
      <c r="CG4" t="s">
        <v>414</v>
      </c>
      <c r="CH4" t="s">
        <v>415</v>
      </c>
      <c r="CI4" t="s">
        <v>416</v>
      </c>
      <c r="CJ4" t="s">
        <v>417</v>
      </c>
      <c r="CK4" t="s">
        <v>268</v>
      </c>
      <c r="CL4" t="s">
        <v>418</v>
      </c>
      <c r="CM4" t="s">
        <v>401</v>
      </c>
      <c r="CN4" t="s">
        <v>419</v>
      </c>
      <c r="CO4" t="s">
        <v>414</v>
      </c>
      <c r="CP4" t="s">
        <v>420</v>
      </c>
      <c r="CQ4" t="s">
        <v>421</v>
      </c>
      <c r="CR4" t="s">
        <v>422</v>
      </c>
      <c r="CS4" t="s">
        <v>271</v>
      </c>
      <c r="CT4" t="s">
        <v>423</v>
      </c>
      <c r="CU4" t="s">
        <v>424</v>
      </c>
      <c r="CV4" t="s">
        <v>425</v>
      </c>
      <c r="CW4" t="s">
        <v>271</v>
      </c>
      <c r="CX4" t="s">
        <v>426</v>
      </c>
      <c r="CY4" t="s">
        <v>427</v>
      </c>
      <c r="CZ4" t="s">
        <v>428</v>
      </c>
      <c r="DA4" t="s">
        <v>429</v>
      </c>
      <c r="DB4" t="s">
        <v>430</v>
      </c>
      <c r="DC4" t="s">
        <v>242</v>
      </c>
      <c r="DD4" t="s">
        <v>431</v>
      </c>
      <c r="DF4" t="s">
        <v>432</v>
      </c>
      <c r="DG4" t="s">
        <v>242</v>
      </c>
      <c r="DH4" t="s">
        <v>433</v>
      </c>
    </row>
    <row r="5" spans="1:112" x14ac:dyDescent="0.35">
      <c r="A5" t="s">
        <v>227</v>
      </c>
      <c r="B5" t="s">
        <v>434</v>
      </c>
      <c r="C5" t="s">
        <v>229</v>
      </c>
      <c r="D5" t="s">
        <v>435</v>
      </c>
      <c r="E5" t="s">
        <v>231</v>
      </c>
      <c r="F5" t="s">
        <v>436</v>
      </c>
      <c r="G5" t="s">
        <v>40</v>
      </c>
      <c r="H5" t="s">
        <v>437</v>
      </c>
      <c r="I5" t="s">
        <v>234</v>
      </c>
      <c r="J5" t="s">
        <v>438</v>
      </c>
      <c r="L5" t="s">
        <v>439</v>
      </c>
      <c r="M5" t="s">
        <v>18</v>
      </c>
      <c r="N5" t="s">
        <v>440</v>
      </c>
      <c r="O5" t="s">
        <v>19</v>
      </c>
      <c r="P5" t="s">
        <v>441</v>
      </c>
      <c r="Q5" t="s">
        <v>40</v>
      </c>
      <c r="R5" t="s">
        <v>442</v>
      </c>
      <c r="S5" t="s">
        <v>240</v>
      </c>
      <c r="T5" t="s">
        <v>443</v>
      </c>
      <c r="U5" t="s">
        <v>242</v>
      </c>
      <c r="V5" t="s">
        <v>243</v>
      </c>
      <c r="W5" t="s">
        <v>242</v>
      </c>
      <c r="X5" t="s">
        <v>243</v>
      </c>
      <c r="Y5" t="s">
        <v>242</v>
      </c>
      <c r="Z5" t="s">
        <v>243</v>
      </c>
      <c r="AA5" t="s">
        <v>242</v>
      </c>
      <c r="AB5" t="s">
        <v>243</v>
      </c>
      <c r="AC5" t="s">
        <v>242</v>
      </c>
      <c r="AD5" t="s">
        <v>243</v>
      </c>
      <c r="AE5" t="s">
        <v>242</v>
      </c>
      <c r="AF5" t="s">
        <v>243</v>
      </c>
      <c r="AG5" t="s">
        <v>242</v>
      </c>
      <c r="AH5" t="s">
        <v>243</v>
      </c>
      <c r="AI5" t="s">
        <v>242</v>
      </c>
      <c r="AJ5" t="s">
        <v>243</v>
      </c>
      <c r="AK5" t="s">
        <v>242</v>
      </c>
      <c r="AL5" t="s">
        <v>243</v>
      </c>
      <c r="AM5" t="s">
        <v>242</v>
      </c>
      <c r="AN5" t="s">
        <v>243</v>
      </c>
      <c r="AO5" t="s">
        <v>242</v>
      </c>
      <c r="AP5" t="s">
        <v>243</v>
      </c>
      <c r="AQ5" t="s">
        <v>242</v>
      </c>
      <c r="AR5" t="s">
        <v>243</v>
      </c>
      <c r="AS5" t="s">
        <v>242</v>
      </c>
      <c r="AT5" t="s">
        <v>244</v>
      </c>
      <c r="AU5" t="s">
        <v>444</v>
      </c>
      <c r="AV5" t="s">
        <v>445</v>
      </c>
      <c r="AW5" t="s">
        <v>247</v>
      </c>
      <c r="AX5" t="s">
        <v>446</v>
      </c>
      <c r="AY5" t="s">
        <v>249</v>
      </c>
      <c r="AZ5" t="s">
        <v>447</v>
      </c>
      <c r="BA5" t="s">
        <v>242</v>
      </c>
      <c r="BB5" t="s">
        <v>448</v>
      </c>
      <c r="BC5" t="s">
        <v>449</v>
      </c>
      <c r="BD5" t="s">
        <v>450</v>
      </c>
      <c r="BE5" t="s">
        <v>451</v>
      </c>
      <c r="BF5" t="s">
        <v>452</v>
      </c>
      <c r="BG5" t="s">
        <v>365</v>
      </c>
      <c r="BH5" t="s">
        <v>453</v>
      </c>
      <c r="BI5" t="s">
        <v>454</v>
      </c>
      <c r="BJ5" t="s">
        <v>455</v>
      </c>
      <c r="BK5" t="s">
        <v>421</v>
      </c>
      <c r="BL5" t="s">
        <v>456</v>
      </c>
      <c r="BM5" t="s">
        <v>261</v>
      </c>
      <c r="BN5" t="s">
        <v>457</v>
      </c>
      <c r="BO5" t="s">
        <v>335</v>
      </c>
      <c r="BP5" t="s">
        <v>458</v>
      </c>
      <c r="BQ5" t="s">
        <v>395</v>
      </c>
      <c r="BR5" t="s">
        <v>459</v>
      </c>
      <c r="BS5" t="s">
        <v>335</v>
      </c>
      <c r="BT5" t="s">
        <v>460</v>
      </c>
      <c r="BU5" t="s">
        <v>254</v>
      </c>
      <c r="BV5" t="s">
        <v>461</v>
      </c>
      <c r="BW5" t="s">
        <v>421</v>
      </c>
      <c r="BX5" t="s">
        <v>462</v>
      </c>
      <c r="BY5" t="s">
        <v>405</v>
      </c>
      <c r="BZ5" t="s">
        <v>463</v>
      </c>
      <c r="CA5" t="s">
        <v>421</v>
      </c>
      <c r="CB5" t="s">
        <v>464</v>
      </c>
      <c r="CC5" t="s">
        <v>344</v>
      </c>
      <c r="CD5" t="s">
        <v>465</v>
      </c>
      <c r="CE5" t="s">
        <v>421</v>
      </c>
      <c r="CF5" t="s">
        <v>466</v>
      </c>
      <c r="CG5" t="s">
        <v>467</v>
      </c>
      <c r="CH5" t="s">
        <v>468</v>
      </c>
      <c r="CI5" t="s">
        <v>469</v>
      </c>
      <c r="CJ5" t="s">
        <v>470</v>
      </c>
      <c r="CK5" t="s">
        <v>405</v>
      </c>
      <c r="CL5" t="s">
        <v>471</v>
      </c>
      <c r="CM5" t="s">
        <v>287</v>
      </c>
      <c r="CN5" t="s">
        <v>472</v>
      </c>
      <c r="CO5" t="s">
        <v>473</v>
      </c>
      <c r="CP5" t="s">
        <v>474</v>
      </c>
      <c r="CQ5" t="s">
        <v>291</v>
      </c>
      <c r="CR5" t="s">
        <v>475</v>
      </c>
      <c r="CS5" t="s">
        <v>476</v>
      </c>
      <c r="CT5" t="s">
        <v>477</v>
      </c>
      <c r="CU5" t="s">
        <v>395</v>
      </c>
      <c r="CV5" t="s">
        <v>478</v>
      </c>
      <c r="CW5" t="s">
        <v>479</v>
      </c>
      <c r="CX5" t="s">
        <v>480</v>
      </c>
      <c r="CY5" t="s">
        <v>481</v>
      </c>
      <c r="CZ5" t="s">
        <v>482</v>
      </c>
      <c r="DA5" t="s">
        <v>358</v>
      </c>
      <c r="DB5" t="s">
        <v>483</v>
      </c>
      <c r="DC5" t="s">
        <v>242</v>
      </c>
      <c r="DD5" t="s">
        <v>484</v>
      </c>
      <c r="DF5" t="s">
        <v>485</v>
      </c>
      <c r="DG5" t="s">
        <v>242</v>
      </c>
      <c r="DH5" t="s">
        <v>486</v>
      </c>
    </row>
    <row r="6" spans="1:112" x14ac:dyDescent="0.35">
      <c r="A6" t="s">
        <v>227</v>
      </c>
      <c r="B6" t="s">
        <v>487</v>
      </c>
      <c r="C6" t="s">
        <v>229</v>
      </c>
      <c r="D6" t="s">
        <v>488</v>
      </c>
      <c r="E6" t="s">
        <v>231</v>
      </c>
      <c r="F6" t="s">
        <v>489</v>
      </c>
      <c r="G6" t="s">
        <v>40</v>
      </c>
      <c r="H6" t="s">
        <v>490</v>
      </c>
      <c r="I6" t="s">
        <v>234</v>
      </c>
      <c r="J6" t="s">
        <v>491</v>
      </c>
      <c r="L6" t="s">
        <v>492</v>
      </c>
      <c r="M6" t="s">
        <v>20</v>
      </c>
      <c r="N6" t="s">
        <v>493</v>
      </c>
      <c r="O6" t="s">
        <v>21</v>
      </c>
      <c r="P6" t="s">
        <v>494</v>
      </c>
      <c r="Q6" t="s">
        <v>40</v>
      </c>
      <c r="R6" t="s">
        <v>495</v>
      </c>
      <c r="S6" t="s">
        <v>310</v>
      </c>
      <c r="T6" t="s">
        <v>496</v>
      </c>
      <c r="U6" t="s">
        <v>40</v>
      </c>
      <c r="V6" t="s">
        <v>497</v>
      </c>
      <c r="W6" t="s">
        <v>40</v>
      </c>
      <c r="X6" t="s">
        <v>498</v>
      </c>
      <c r="Y6" t="s">
        <v>74</v>
      </c>
      <c r="Z6" t="s">
        <v>499</v>
      </c>
      <c r="AA6" t="s">
        <v>40</v>
      </c>
      <c r="AB6" t="s">
        <v>500</v>
      </c>
      <c r="AC6" t="s">
        <v>316</v>
      </c>
      <c r="AD6" t="s">
        <v>501</v>
      </c>
      <c r="AE6" t="s">
        <v>502</v>
      </c>
      <c r="AF6" t="s">
        <v>503</v>
      </c>
      <c r="AG6" t="s">
        <v>40</v>
      </c>
      <c r="AH6" t="s">
        <v>504</v>
      </c>
      <c r="AI6" t="s">
        <v>505</v>
      </c>
      <c r="AJ6" t="s">
        <v>506</v>
      </c>
      <c r="AK6" t="s">
        <v>507</v>
      </c>
      <c r="AL6" t="s">
        <v>508</v>
      </c>
      <c r="AM6" t="s">
        <v>509</v>
      </c>
      <c r="AN6" t="s">
        <v>510</v>
      </c>
      <c r="AO6" t="s">
        <v>511</v>
      </c>
      <c r="AP6" t="s">
        <v>442</v>
      </c>
      <c r="AQ6" t="s">
        <v>41</v>
      </c>
      <c r="AR6" t="s">
        <v>512</v>
      </c>
      <c r="AS6" t="s">
        <v>242</v>
      </c>
      <c r="AT6" t="s">
        <v>513</v>
      </c>
      <c r="AU6" t="s">
        <v>514</v>
      </c>
      <c r="AV6" t="s">
        <v>515</v>
      </c>
      <c r="AW6" t="s">
        <v>247</v>
      </c>
      <c r="AX6" t="s">
        <v>516</v>
      </c>
      <c r="AY6" t="s">
        <v>249</v>
      </c>
      <c r="AZ6" t="s">
        <v>517</v>
      </c>
      <c r="BA6" t="s">
        <v>242</v>
      </c>
      <c r="BB6" t="s">
        <v>518</v>
      </c>
      <c r="BC6" t="s">
        <v>519</v>
      </c>
      <c r="BD6" t="s">
        <v>520</v>
      </c>
      <c r="BE6" t="s">
        <v>268</v>
      </c>
      <c r="BF6" t="s">
        <v>521</v>
      </c>
      <c r="BG6" t="s">
        <v>401</v>
      </c>
      <c r="BH6" t="s">
        <v>522</v>
      </c>
      <c r="BI6" t="s">
        <v>257</v>
      </c>
      <c r="BJ6" t="s">
        <v>523</v>
      </c>
      <c r="BK6" t="s">
        <v>367</v>
      </c>
      <c r="BL6" t="s">
        <v>524</v>
      </c>
      <c r="BM6" t="s">
        <v>271</v>
      </c>
      <c r="BN6" t="s">
        <v>525</v>
      </c>
      <c r="BO6" t="s">
        <v>421</v>
      </c>
      <c r="BP6" t="s">
        <v>526</v>
      </c>
      <c r="BQ6" t="s">
        <v>408</v>
      </c>
      <c r="BR6" t="s">
        <v>527</v>
      </c>
      <c r="BS6" t="s">
        <v>528</v>
      </c>
      <c r="BT6" t="s">
        <v>529</v>
      </c>
      <c r="BU6" t="s">
        <v>427</v>
      </c>
      <c r="BV6" t="s">
        <v>530</v>
      </c>
      <c r="BW6" t="s">
        <v>252</v>
      </c>
      <c r="BX6" t="s">
        <v>531</v>
      </c>
      <c r="BY6" t="s">
        <v>532</v>
      </c>
      <c r="BZ6" t="s">
        <v>533</v>
      </c>
      <c r="CA6" t="s">
        <v>287</v>
      </c>
      <c r="CB6" t="s">
        <v>534</v>
      </c>
      <c r="CC6" t="s">
        <v>369</v>
      </c>
      <c r="CD6" t="s">
        <v>535</v>
      </c>
      <c r="CE6" t="s">
        <v>367</v>
      </c>
      <c r="CF6" t="s">
        <v>536</v>
      </c>
      <c r="CG6" t="s">
        <v>344</v>
      </c>
      <c r="CH6" t="s">
        <v>537</v>
      </c>
      <c r="CI6" t="s">
        <v>538</v>
      </c>
      <c r="CJ6" t="s">
        <v>539</v>
      </c>
      <c r="CK6" t="s">
        <v>268</v>
      </c>
      <c r="CL6" t="s">
        <v>540</v>
      </c>
      <c r="CM6" t="s">
        <v>538</v>
      </c>
      <c r="CN6" t="s">
        <v>541</v>
      </c>
      <c r="CO6" t="s">
        <v>542</v>
      </c>
      <c r="CP6" t="s">
        <v>543</v>
      </c>
      <c r="CQ6" t="s">
        <v>360</v>
      </c>
      <c r="CR6" t="s">
        <v>544</v>
      </c>
      <c r="CS6" t="s">
        <v>281</v>
      </c>
      <c r="CT6" t="s">
        <v>545</v>
      </c>
      <c r="CU6" t="s">
        <v>399</v>
      </c>
      <c r="CV6" t="s">
        <v>546</v>
      </c>
      <c r="CW6" t="s">
        <v>268</v>
      </c>
      <c r="CX6" t="s">
        <v>547</v>
      </c>
      <c r="CY6" t="s">
        <v>408</v>
      </c>
      <c r="CZ6" t="s">
        <v>548</v>
      </c>
      <c r="DA6" t="s">
        <v>289</v>
      </c>
      <c r="DB6" t="s">
        <v>549</v>
      </c>
      <c r="DC6" t="s">
        <v>242</v>
      </c>
      <c r="DD6" t="s">
        <v>550</v>
      </c>
      <c r="DF6" t="s">
        <v>551</v>
      </c>
      <c r="DG6" t="s">
        <v>242</v>
      </c>
      <c r="DH6" t="s">
        <v>552</v>
      </c>
    </row>
    <row r="7" spans="1:112" x14ac:dyDescent="0.35">
      <c r="A7" t="s">
        <v>227</v>
      </c>
      <c r="B7" t="s">
        <v>553</v>
      </c>
      <c r="C7" t="s">
        <v>229</v>
      </c>
      <c r="D7" t="s">
        <v>554</v>
      </c>
      <c r="E7" t="s">
        <v>231</v>
      </c>
      <c r="F7" t="s">
        <v>555</v>
      </c>
      <c r="G7" t="s">
        <v>40</v>
      </c>
      <c r="H7" t="s">
        <v>556</v>
      </c>
      <c r="I7" t="s">
        <v>234</v>
      </c>
      <c r="J7" t="s">
        <v>557</v>
      </c>
      <c r="L7" t="s">
        <v>558</v>
      </c>
      <c r="M7" t="s">
        <v>18</v>
      </c>
      <c r="N7" t="s">
        <v>559</v>
      </c>
      <c r="O7" t="s">
        <v>21</v>
      </c>
      <c r="P7" t="s">
        <v>560</v>
      </c>
      <c r="Q7" t="s">
        <v>40</v>
      </c>
      <c r="R7" t="s">
        <v>561</v>
      </c>
      <c r="S7" t="s">
        <v>240</v>
      </c>
      <c r="T7" t="s">
        <v>562</v>
      </c>
      <c r="U7" t="s">
        <v>242</v>
      </c>
      <c r="V7" t="s">
        <v>243</v>
      </c>
      <c r="W7" t="s">
        <v>242</v>
      </c>
      <c r="X7" t="s">
        <v>243</v>
      </c>
      <c r="Y7" t="s">
        <v>242</v>
      </c>
      <c r="Z7" t="s">
        <v>243</v>
      </c>
      <c r="AA7" t="s">
        <v>242</v>
      </c>
      <c r="AB7" t="s">
        <v>243</v>
      </c>
      <c r="AC7" t="s">
        <v>242</v>
      </c>
      <c r="AD7" t="s">
        <v>243</v>
      </c>
      <c r="AE7" t="s">
        <v>242</v>
      </c>
      <c r="AF7" t="s">
        <v>243</v>
      </c>
      <c r="AG7" t="s">
        <v>242</v>
      </c>
      <c r="AH7" t="s">
        <v>243</v>
      </c>
      <c r="AI7" t="s">
        <v>242</v>
      </c>
      <c r="AJ7" t="s">
        <v>243</v>
      </c>
      <c r="AK7" t="s">
        <v>242</v>
      </c>
      <c r="AL7" t="s">
        <v>243</v>
      </c>
      <c r="AM7" t="s">
        <v>242</v>
      </c>
      <c r="AN7" t="s">
        <v>243</v>
      </c>
      <c r="AO7" t="s">
        <v>242</v>
      </c>
      <c r="AP7" t="s">
        <v>243</v>
      </c>
      <c r="AQ7" t="s">
        <v>242</v>
      </c>
      <c r="AR7" t="s">
        <v>243</v>
      </c>
      <c r="AS7" t="s">
        <v>242</v>
      </c>
      <c r="AT7" t="s">
        <v>244</v>
      </c>
      <c r="AU7" t="s">
        <v>563</v>
      </c>
      <c r="AV7" t="s">
        <v>564</v>
      </c>
      <c r="AW7" t="s">
        <v>247</v>
      </c>
      <c r="AX7" t="s">
        <v>565</v>
      </c>
      <c r="AY7" t="s">
        <v>249</v>
      </c>
      <c r="AZ7" t="s">
        <v>566</v>
      </c>
      <c r="BA7" t="s">
        <v>242</v>
      </c>
      <c r="BB7" t="s">
        <v>567</v>
      </c>
      <c r="BC7" t="s">
        <v>254</v>
      </c>
      <c r="BD7" t="s">
        <v>568</v>
      </c>
      <c r="BE7" t="s">
        <v>411</v>
      </c>
      <c r="BF7" t="s">
        <v>569</v>
      </c>
      <c r="BG7" t="s">
        <v>281</v>
      </c>
      <c r="BH7" t="s">
        <v>570</v>
      </c>
      <c r="BI7" t="s">
        <v>405</v>
      </c>
      <c r="BJ7" t="s">
        <v>571</v>
      </c>
      <c r="BK7" t="s">
        <v>481</v>
      </c>
      <c r="BL7" t="s">
        <v>572</v>
      </c>
      <c r="BM7" t="s">
        <v>289</v>
      </c>
      <c r="BN7" t="s">
        <v>573</v>
      </c>
      <c r="BO7" t="s">
        <v>291</v>
      </c>
      <c r="BP7" t="s">
        <v>574</v>
      </c>
      <c r="BQ7" t="s">
        <v>575</v>
      </c>
      <c r="BR7" t="s">
        <v>576</v>
      </c>
      <c r="BS7" t="s">
        <v>519</v>
      </c>
      <c r="BT7" t="s">
        <v>577</v>
      </c>
      <c r="BU7" t="s">
        <v>285</v>
      </c>
      <c r="BV7" t="s">
        <v>578</v>
      </c>
      <c r="BW7" t="s">
        <v>542</v>
      </c>
      <c r="BX7" t="s">
        <v>579</v>
      </c>
      <c r="BY7" t="s">
        <v>291</v>
      </c>
      <c r="BZ7" t="s">
        <v>580</v>
      </c>
      <c r="CA7" t="s">
        <v>397</v>
      </c>
      <c r="CB7" t="s">
        <v>581</v>
      </c>
      <c r="CC7" t="s">
        <v>469</v>
      </c>
      <c r="CD7" t="s">
        <v>582</v>
      </c>
      <c r="CE7" t="s">
        <v>583</v>
      </c>
      <c r="CF7" t="s">
        <v>584</v>
      </c>
      <c r="CG7" t="s">
        <v>585</v>
      </c>
      <c r="CH7" t="s">
        <v>586</v>
      </c>
      <c r="CI7" t="s">
        <v>252</v>
      </c>
      <c r="CJ7" t="s">
        <v>587</v>
      </c>
      <c r="CK7" t="s">
        <v>528</v>
      </c>
      <c r="CL7" t="s">
        <v>588</v>
      </c>
      <c r="CM7" t="s">
        <v>589</v>
      </c>
      <c r="CN7" t="s">
        <v>590</v>
      </c>
      <c r="CO7" t="s">
        <v>591</v>
      </c>
      <c r="CP7" t="s">
        <v>592</v>
      </c>
      <c r="CQ7" t="s">
        <v>397</v>
      </c>
      <c r="CR7" t="s">
        <v>593</v>
      </c>
      <c r="CS7" t="s">
        <v>421</v>
      </c>
      <c r="CT7" t="s">
        <v>594</v>
      </c>
      <c r="CU7" t="s">
        <v>595</v>
      </c>
      <c r="CV7" t="s">
        <v>596</v>
      </c>
      <c r="CW7" t="s">
        <v>351</v>
      </c>
      <c r="CX7" t="s">
        <v>597</v>
      </c>
      <c r="CY7" t="s">
        <v>291</v>
      </c>
      <c r="CZ7" t="s">
        <v>598</v>
      </c>
      <c r="DA7" t="s">
        <v>542</v>
      </c>
      <c r="DB7" t="s">
        <v>599</v>
      </c>
      <c r="DC7" t="s">
        <v>242</v>
      </c>
      <c r="DD7" t="s">
        <v>600</v>
      </c>
      <c r="DF7" t="s">
        <v>601</v>
      </c>
      <c r="DG7" t="s">
        <v>242</v>
      </c>
      <c r="DH7" t="s">
        <v>602</v>
      </c>
    </row>
    <row r="8" spans="1:112" x14ac:dyDescent="0.35">
      <c r="A8" t="s">
        <v>227</v>
      </c>
      <c r="B8" t="s">
        <v>603</v>
      </c>
      <c r="C8" t="s">
        <v>229</v>
      </c>
      <c r="D8" t="s">
        <v>604</v>
      </c>
      <c r="E8" t="s">
        <v>231</v>
      </c>
      <c r="F8" t="s">
        <v>605</v>
      </c>
      <c r="G8" t="s">
        <v>40</v>
      </c>
      <c r="H8" t="s">
        <v>606</v>
      </c>
      <c r="I8" t="s">
        <v>234</v>
      </c>
      <c r="J8" t="s">
        <v>607</v>
      </c>
      <c r="L8" t="s">
        <v>608</v>
      </c>
      <c r="M8" t="s">
        <v>18</v>
      </c>
      <c r="N8" t="s">
        <v>609</v>
      </c>
      <c r="O8" t="s">
        <v>21</v>
      </c>
      <c r="P8" t="s">
        <v>610</v>
      </c>
      <c r="Q8" t="s">
        <v>40</v>
      </c>
      <c r="R8" t="s">
        <v>611</v>
      </c>
      <c r="S8" t="s">
        <v>310</v>
      </c>
      <c r="T8" t="s">
        <v>612</v>
      </c>
      <c r="U8" t="s">
        <v>40</v>
      </c>
      <c r="V8" t="s">
        <v>613</v>
      </c>
      <c r="W8" t="s">
        <v>40</v>
      </c>
      <c r="X8" t="s">
        <v>614</v>
      </c>
      <c r="Y8" t="s">
        <v>615</v>
      </c>
      <c r="Z8" t="s">
        <v>616</v>
      </c>
      <c r="AA8" t="s">
        <v>40</v>
      </c>
      <c r="AB8" t="s">
        <v>617</v>
      </c>
      <c r="AC8" t="s">
        <v>316</v>
      </c>
      <c r="AD8" t="s">
        <v>618</v>
      </c>
      <c r="AE8" t="s">
        <v>502</v>
      </c>
      <c r="AF8" t="s">
        <v>619</v>
      </c>
      <c r="AG8" t="s">
        <v>40</v>
      </c>
      <c r="AH8" t="s">
        <v>620</v>
      </c>
      <c r="AI8" t="s">
        <v>621</v>
      </c>
      <c r="AJ8" t="s">
        <v>622</v>
      </c>
      <c r="AK8" t="s">
        <v>623</v>
      </c>
      <c r="AL8" t="s">
        <v>624</v>
      </c>
      <c r="AM8" t="s">
        <v>625</v>
      </c>
      <c r="AN8" t="s">
        <v>626</v>
      </c>
      <c r="AO8" t="s">
        <v>0</v>
      </c>
      <c r="AP8" t="s">
        <v>627</v>
      </c>
      <c r="AQ8" t="s">
        <v>41</v>
      </c>
      <c r="AR8" t="s">
        <v>628</v>
      </c>
      <c r="AS8" t="s">
        <v>242</v>
      </c>
      <c r="AT8" t="s">
        <v>629</v>
      </c>
      <c r="AU8" t="s">
        <v>630</v>
      </c>
      <c r="AV8" t="s">
        <v>631</v>
      </c>
      <c r="AW8" t="s">
        <v>247</v>
      </c>
      <c r="AX8" t="s">
        <v>632</v>
      </c>
      <c r="AY8" t="s">
        <v>249</v>
      </c>
      <c r="AZ8" t="s">
        <v>633</v>
      </c>
      <c r="BA8" t="s">
        <v>242</v>
      </c>
      <c r="BB8" t="s">
        <v>634</v>
      </c>
      <c r="BC8" t="s">
        <v>268</v>
      </c>
      <c r="BD8" t="s">
        <v>635</v>
      </c>
      <c r="BE8" t="s">
        <v>405</v>
      </c>
      <c r="BF8" t="s">
        <v>636</v>
      </c>
      <c r="BG8" t="s">
        <v>281</v>
      </c>
      <c r="BH8" t="s">
        <v>637</v>
      </c>
      <c r="BI8" t="s">
        <v>268</v>
      </c>
      <c r="BJ8" t="s">
        <v>638</v>
      </c>
      <c r="BK8" t="s">
        <v>575</v>
      </c>
      <c r="BL8" t="s">
        <v>639</v>
      </c>
      <c r="BM8" t="s">
        <v>481</v>
      </c>
      <c r="BN8" t="s">
        <v>640</v>
      </c>
      <c r="BO8" t="s">
        <v>449</v>
      </c>
      <c r="BP8" t="s">
        <v>641</v>
      </c>
      <c r="BQ8" t="s">
        <v>429</v>
      </c>
      <c r="BR8" t="s">
        <v>642</v>
      </c>
      <c r="BS8" t="s">
        <v>399</v>
      </c>
      <c r="BT8" t="s">
        <v>643</v>
      </c>
      <c r="BU8" t="s">
        <v>399</v>
      </c>
      <c r="BV8" t="s">
        <v>644</v>
      </c>
      <c r="BW8" t="s">
        <v>393</v>
      </c>
      <c r="BX8" t="s">
        <v>645</v>
      </c>
      <c r="BY8" t="s">
        <v>575</v>
      </c>
      <c r="BZ8" t="s">
        <v>646</v>
      </c>
      <c r="CA8" t="s">
        <v>393</v>
      </c>
      <c r="CB8" t="s">
        <v>647</v>
      </c>
      <c r="CC8" t="s">
        <v>424</v>
      </c>
      <c r="CD8" t="s">
        <v>648</v>
      </c>
      <c r="CE8" t="s">
        <v>519</v>
      </c>
      <c r="CF8" t="s">
        <v>649</v>
      </c>
      <c r="CG8" t="s">
        <v>393</v>
      </c>
      <c r="CH8" t="s">
        <v>650</v>
      </c>
      <c r="CI8" t="s">
        <v>651</v>
      </c>
      <c r="CJ8" t="s">
        <v>652</v>
      </c>
      <c r="CK8" t="s">
        <v>653</v>
      </c>
      <c r="CL8" t="s">
        <v>654</v>
      </c>
      <c r="CM8" t="s">
        <v>266</v>
      </c>
      <c r="CN8" t="s">
        <v>655</v>
      </c>
      <c r="CO8" t="s">
        <v>656</v>
      </c>
      <c r="CP8" t="s">
        <v>657</v>
      </c>
      <c r="CQ8" t="s">
        <v>651</v>
      </c>
      <c r="CR8" t="s">
        <v>658</v>
      </c>
      <c r="CS8" t="s">
        <v>659</v>
      </c>
      <c r="CT8" t="s">
        <v>660</v>
      </c>
      <c r="CU8" t="s">
        <v>263</v>
      </c>
      <c r="CV8" t="s">
        <v>661</v>
      </c>
      <c r="CW8" t="s">
        <v>259</v>
      </c>
      <c r="CX8" t="s">
        <v>662</v>
      </c>
      <c r="CY8" t="s">
        <v>348</v>
      </c>
      <c r="CZ8" t="s">
        <v>663</v>
      </c>
      <c r="DA8" t="s">
        <v>664</v>
      </c>
      <c r="DB8" t="s">
        <v>665</v>
      </c>
      <c r="DC8" t="s">
        <v>242</v>
      </c>
      <c r="DD8" t="s">
        <v>666</v>
      </c>
      <c r="DF8" t="s">
        <v>667</v>
      </c>
      <c r="DG8" t="s">
        <v>242</v>
      </c>
      <c r="DH8" t="s">
        <v>668</v>
      </c>
    </row>
    <row r="9" spans="1:112" x14ac:dyDescent="0.35">
      <c r="A9" t="s">
        <v>227</v>
      </c>
      <c r="B9" t="s">
        <v>669</v>
      </c>
      <c r="C9" t="s">
        <v>229</v>
      </c>
      <c r="D9" t="s">
        <v>670</v>
      </c>
      <c r="E9" t="s">
        <v>231</v>
      </c>
      <c r="F9" t="s">
        <v>671</v>
      </c>
      <c r="G9" t="s">
        <v>40</v>
      </c>
      <c r="H9" t="s">
        <v>672</v>
      </c>
      <c r="I9" t="s">
        <v>234</v>
      </c>
      <c r="J9" t="s">
        <v>673</v>
      </c>
      <c r="L9" t="s">
        <v>674</v>
      </c>
      <c r="M9" t="s">
        <v>20</v>
      </c>
      <c r="N9" t="s">
        <v>675</v>
      </c>
      <c r="O9" t="s">
        <v>21</v>
      </c>
      <c r="P9" t="s">
        <v>676</v>
      </c>
      <c r="Q9" t="s">
        <v>40</v>
      </c>
      <c r="R9" t="s">
        <v>677</v>
      </c>
      <c r="S9" t="s">
        <v>240</v>
      </c>
      <c r="T9" t="s">
        <v>678</v>
      </c>
      <c r="U9" t="s">
        <v>242</v>
      </c>
      <c r="V9" t="s">
        <v>243</v>
      </c>
      <c r="W9" t="s">
        <v>242</v>
      </c>
      <c r="X9" t="s">
        <v>243</v>
      </c>
      <c r="Y9" t="s">
        <v>242</v>
      </c>
      <c r="Z9" t="s">
        <v>243</v>
      </c>
      <c r="AA9" t="s">
        <v>242</v>
      </c>
      <c r="AB9" t="s">
        <v>243</v>
      </c>
      <c r="AC9" t="s">
        <v>242</v>
      </c>
      <c r="AD9" t="s">
        <v>243</v>
      </c>
      <c r="AE9" t="s">
        <v>242</v>
      </c>
      <c r="AF9" t="s">
        <v>243</v>
      </c>
      <c r="AG9" t="s">
        <v>242</v>
      </c>
      <c r="AH9" t="s">
        <v>243</v>
      </c>
      <c r="AI9" t="s">
        <v>242</v>
      </c>
      <c r="AJ9" t="s">
        <v>243</v>
      </c>
      <c r="AK9" t="s">
        <v>242</v>
      </c>
      <c r="AL9" t="s">
        <v>243</v>
      </c>
      <c r="AM9" t="s">
        <v>242</v>
      </c>
      <c r="AN9" t="s">
        <v>243</v>
      </c>
      <c r="AO9" t="s">
        <v>242</v>
      </c>
      <c r="AP9" t="s">
        <v>243</v>
      </c>
      <c r="AQ9" t="s">
        <v>242</v>
      </c>
      <c r="AR9" t="s">
        <v>243</v>
      </c>
      <c r="AS9" t="s">
        <v>242</v>
      </c>
      <c r="AT9" t="s">
        <v>244</v>
      </c>
      <c r="AU9" t="s">
        <v>679</v>
      </c>
      <c r="AV9" t="s">
        <v>680</v>
      </c>
      <c r="AW9" t="s">
        <v>247</v>
      </c>
      <c r="AX9" t="s">
        <v>681</v>
      </c>
      <c r="AY9" t="s">
        <v>249</v>
      </c>
      <c r="AZ9" t="s">
        <v>682</v>
      </c>
      <c r="BA9" t="s">
        <v>242</v>
      </c>
      <c r="BB9" t="s">
        <v>683</v>
      </c>
      <c r="BC9" t="s">
        <v>481</v>
      </c>
      <c r="BD9" t="s">
        <v>684</v>
      </c>
      <c r="BE9" t="s">
        <v>685</v>
      </c>
      <c r="BF9" t="s">
        <v>686</v>
      </c>
      <c r="BG9" t="s">
        <v>360</v>
      </c>
      <c r="BH9" t="s">
        <v>687</v>
      </c>
      <c r="BI9" t="s">
        <v>688</v>
      </c>
      <c r="BJ9" t="s">
        <v>689</v>
      </c>
      <c r="BK9" t="s">
        <v>397</v>
      </c>
      <c r="BL9" t="s">
        <v>690</v>
      </c>
      <c r="BM9" t="s">
        <v>454</v>
      </c>
      <c r="BN9" t="s">
        <v>691</v>
      </c>
      <c r="BO9" t="s">
        <v>252</v>
      </c>
      <c r="BP9" t="s">
        <v>692</v>
      </c>
      <c r="BQ9" t="s">
        <v>454</v>
      </c>
      <c r="BR9" t="s">
        <v>693</v>
      </c>
      <c r="BS9" t="s">
        <v>664</v>
      </c>
      <c r="BT9" t="s">
        <v>694</v>
      </c>
      <c r="BU9" t="s">
        <v>261</v>
      </c>
      <c r="BV9" t="s">
        <v>695</v>
      </c>
      <c r="BW9" t="s">
        <v>696</v>
      </c>
      <c r="BX9" t="s">
        <v>697</v>
      </c>
      <c r="BY9" t="s">
        <v>698</v>
      </c>
      <c r="BZ9" t="s">
        <v>699</v>
      </c>
      <c r="CA9" t="s">
        <v>591</v>
      </c>
      <c r="CB9" t="s">
        <v>700</v>
      </c>
      <c r="CC9" t="s">
        <v>261</v>
      </c>
      <c r="CD9" t="s">
        <v>701</v>
      </c>
      <c r="CE9" t="s">
        <v>351</v>
      </c>
      <c r="CF9" t="s">
        <v>702</v>
      </c>
      <c r="CG9" t="s">
        <v>281</v>
      </c>
      <c r="CH9" t="s">
        <v>703</v>
      </c>
      <c r="CI9" t="s">
        <v>351</v>
      </c>
      <c r="CJ9" t="s">
        <v>704</v>
      </c>
      <c r="CK9" t="s">
        <v>449</v>
      </c>
      <c r="CL9" t="s">
        <v>705</v>
      </c>
      <c r="CM9" t="s">
        <v>252</v>
      </c>
      <c r="CN9" t="s">
        <v>706</v>
      </c>
      <c r="CO9" t="s">
        <v>467</v>
      </c>
      <c r="CP9" t="s">
        <v>707</v>
      </c>
      <c r="CQ9" t="s">
        <v>356</v>
      </c>
      <c r="CR9" t="s">
        <v>708</v>
      </c>
      <c r="CS9" t="s">
        <v>285</v>
      </c>
      <c r="CT9" t="s">
        <v>709</v>
      </c>
      <c r="CU9" t="s">
        <v>401</v>
      </c>
      <c r="CV9" t="s">
        <v>710</v>
      </c>
      <c r="CW9" t="s">
        <v>429</v>
      </c>
      <c r="CX9" t="s">
        <v>711</v>
      </c>
      <c r="CY9" t="s">
        <v>427</v>
      </c>
      <c r="CZ9" t="s">
        <v>712</v>
      </c>
      <c r="DA9" t="s">
        <v>369</v>
      </c>
      <c r="DB9" t="s">
        <v>713</v>
      </c>
      <c r="DC9" t="s">
        <v>242</v>
      </c>
      <c r="DD9" t="s">
        <v>714</v>
      </c>
      <c r="DF9" t="s">
        <v>715</v>
      </c>
      <c r="DG9" t="s">
        <v>242</v>
      </c>
      <c r="DH9" t="s">
        <v>716</v>
      </c>
    </row>
    <row r="10" spans="1:112" x14ac:dyDescent="0.35">
      <c r="A10" t="s">
        <v>227</v>
      </c>
      <c r="B10" t="s">
        <v>717</v>
      </c>
      <c r="C10" t="s">
        <v>229</v>
      </c>
      <c r="D10" t="s">
        <v>718</v>
      </c>
      <c r="E10" t="s">
        <v>231</v>
      </c>
      <c r="F10" t="s">
        <v>719</v>
      </c>
      <c r="G10" t="s">
        <v>40</v>
      </c>
      <c r="H10" t="s">
        <v>720</v>
      </c>
      <c r="I10" t="s">
        <v>234</v>
      </c>
      <c r="J10" t="s">
        <v>721</v>
      </c>
      <c r="L10" t="s">
        <v>722</v>
      </c>
      <c r="M10" t="s">
        <v>18</v>
      </c>
      <c r="N10" t="s">
        <v>723</v>
      </c>
      <c r="O10" t="s">
        <v>19</v>
      </c>
      <c r="P10" t="s">
        <v>363</v>
      </c>
      <c r="Q10" t="s">
        <v>40</v>
      </c>
      <c r="R10" t="s">
        <v>724</v>
      </c>
      <c r="S10" t="s">
        <v>240</v>
      </c>
      <c r="T10" t="s">
        <v>725</v>
      </c>
      <c r="U10" t="s">
        <v>242</v>
      </c>
      <c r="V10" t="s">
        <v>243</v>
      </c>
      <c r="W10" t="s">
        <v>242</v>
      </c>
      <c r="X10" t="s">
        <v>243</v>
      </c>
      <c r="Y10" t="s">
        <v>242</v>
      </c>
      <c r="Z10" t="s">
        <v>243</v>
      </c>
      <c r="AA10" t="s">
        <v>242</v>
      </c>
      <c r="AB10" t="s">
        <v>243</v>
      </c>
      <c r="AC10" t="s">
        <v>242</v>
      </c>
      <c r="AD10" t="s">
        <v>243</v>
      </c>
      <c r="AE10" t="s">
        <v>242</v>
      </c>
      <c r="AF10" t="s">
        <v>243</v>
      </c>
      <c r="AG10" t="s">
        <v>242</v>
      </c>
      <c r="AH10" t="s">
        <v>243</v>
      </c>
      <c r="AI10" t="s">
        <v>242</v>
      </c>
      <c r="AJ10" t="s">
        <v>243</v>
      </c>
      <c r="AK10" t="s">
        <v>242</v>
      </c>
      <c r="AL10" t="s">
        <v>243</v>
      </c>
      <c r="AM10" t="s">
        <v>242</v>
      </c>
      <c r="AN10" t="s">
        <v>243</v>
      </c>
      <c r="AO10" t="s">
        <v>242</v>
      </c>
      <c r="AP10" t="s">
        <v>243</v>
      </c>
      <c r="AQ10" t="s">
        <v>242</v>
      </c>
      <c r="AR10" t="s">
        <v>243</v>
      </c>
      <c r="AS10" t="s">
        <v>242</v>
      </c>
      <c r="AT10" t="s">
        <v>244</v>
      </c>
      <c r="AU10" t="s">
        <v>330</v>
      </c>
      <c r="AV10" t="s">
        <v>726</v>
      </c>
      <c r="AW10" t="s">
        <v>247</v>
      </c>
      <c r="AX10" t="s">
        <v>727</v>
      </c>
      <c r="AY10" t="s">
        <v>249</v>
      </c>
      <c r="AZ10" t="s">
        <v>728</v>
      </c>
      <c r="BA10" t="s">
        <v>242</v>
      </c>
      <c r="BB10" t="s">
        <v>729</v>
      </c>
      <c r="BC10" t="s">
        <v>261</v>
      </c>
      <c r="BD10" t="s">
        <v>730</v>
      </c>
      <c r="BE10" t="s">
        <v>731</v>
      </c>
      <c r="BF10" t="s">
        <v>732</v>
      </c>
      <c r="BG10" t="s">
        <v>291</v>
      </c>
      <c r="BH10" t="s">
        <v>733</v>
      </c>
      <c r="BI10" t="s">
        <v>285</v>
      </c>
      <c r="BJ10" t="s">
        <v>734</v>
      </c>
      <c r="BK10" t="s">
        <v>365</v>
      </c>
      <c r="BL10" t="s">
        <v>735</v>
      </c>
      <c r="BM10" t="s">
        <v>532</v>
      </c>
      <c r="BN10" t="s">
        <v>736</v>
      </c>
      <c r="BO10" t="s">
        <v>397</v>
      </c>
      <c r="BP10" t="s">
        <v>737</v>
      </c>
      <c r="BQ10" t="s">
        <v>542</v>
      </c>
      <c r="BR10" t="s">
        <v>738</v>
      </c>
      <c r="BS10" t="s">
        <v>397</v>
      </c>
      <c r="BT10" t="s">
        <v>739</v>
      </c>
      <c r="BU10" t="s">
        <v>335</v>
      </c>
      <c r="BV10" t="s">
        <v>740</v>
      </c>
      <c r="BW10" t="s">
        <v>287</v>
      </c>
      <c r="BX10" t="s">
        <v>741</v>
      </c>
      <c r="BY10" t="s">
        <v>393</v>
      </c>
      <c r="BZ10" t="s">
        <v>742</v>
      </c>
      <c r="CA10" t="s">
        <v>351</v>
      </c>
      <c r="CB10" t="s">
        <v>743</v>
      </c>
      <c r="CC10" t="s">
        <v>744</v>
      </c>
      <c r="CD10" t="s">
        <v>745</v>
      </c>
      <c r="CE10" t="s">
        <v>696</v>
      </c>
      <c r="CF10" t="s">
        <v>746</v>
      </c>
      <c r="CG10" t="s">
        <v>335</v>
      </c>
      <c r="CH10" t="s">
        <v>747</v>
      </c>
      <c r="CI10" t="s">
        <v>664</v>
      </c>
      <c r="CJ10" t="s">
        <v>748</v>
      </c>
      <c r="CK10" t="s">
        <v>356</v>
      </c>
      <c r="CL10" t="s">
        <v>749</v>
      </c>
      <c r="CM10" t="s">
        <v>252</v>
      </c>
      <c r="CN10" t="s">
        <v>750</v>
      </c>
      <c r="CO10" t="s">
        <v>348</v>
      </c>
      <c r="CP10" t="s">
        <v>751</v>
      </c>
      <c r="CQ10" t="s">
        <v>752</v>
      </c>
      <c r="CR10" t="s">
        <v>753</v>
      </c>
      <c r="CS10" t="s">
        <v>414</v>
      </c>
      <c r="CT10" t="s">
        <v>754</v>
      </c>
      <c r="CU10" t="s">
        <v>335</v>
      </c>
      <c r="CV10" t="s">
        <v>755</v>
      </c>
      <c r="CW10" t="s">
        <v>542</v>
      </c>
      <c r="CX10" t="s">
        <v>756</v>
      </c>
      <c r="CY10" t="s">
        <v>449</v>
      </c>
      <c r="CZ10" t="s">
        <v>757</v>
      </c>
      <c r="DA10" t="s">
        <v>268</v>
      </c>
      <c r="DB10" t="s">
        <v>758</v>
      </c>
      <c r="DC10" t="s">
        <v>242</v>
      </c>
      <c r="DD10" t="s">
        <v>759</v>
      </c>
      <c r="DF10" t="s">
        <v>760</v>
      </c>
      <c r="DG10" t="s">
        <v>242</v>
      </c>
      <c r="DH10" t="s">
        <v>761</v>
      </c>
    </row>
    <row r="11" spans="1:112" x14ac:dyDescent="0.35">
      <c r="A11" t="s">
        <v>227</v>
      </c>
      <c r="B11" t="s">
        <v>762</v>
      </c>
      <c r="C11" t="s">
        <v>229</v>
      </c>
      <c r="D11" t="s">
        <v>607</v>
      </c>
      <c r="E11" t="s">
        <v>231</v>
      </c>
      <c r="F11" t="s">
        <v>763</v>
      </c>
      <c r="G11" t="s">
        <v>40</v>
      </c>
      <c r="H11" t="s">
        <v>764</v>
      </c>
      <c r="I11" t="s">
        <v>234</v>
      </c>
      <c r="J11" t="s">
        <v>765</v>
      </c>
      <c r="L11" t="s">
        <v>766</v>
      </c>
      <c r="M11" t="s">
        <v>18</v>
      </c>
      <c r="N11" t="s">
        <v>767</v>
      </c>
      <c r="O11" t="s">
        <v>19</v>
      </c>
      <c r="P11" t="s">
        <v>768</v>
      </c>
      <c r="Q11" t="s">
        <v>40</v>
      </c>
      <c r="R11" t="s">
        <v>769</v>
      </c>
      <c r="S11" t="s">
        <v>240</v>
      </c>
      <c r="T11" t="s">
        <v>770</v>
      </c>
      <c r="U11" t="s">
        <v>242</v>
      </c>
      <c r="V11" t="s">
        <v>243</v>
      </c>
      <c r="W11" t="s">
        <v>242</v>
      </c>
      <c r="X11" t="s">
        <v>243</v>
      </c>
      <c r="Y11" t="s">
        <v>242</v>
      </c>
      <c r="Z11" t="s">
        <v>243</v>
      </c>
      <c r="AA11" t="s">
        <v>242</v>
      </c>
      <c r="AB11" t="s">
        <v>243</v>
      </c>
      <c r="AC11" t="s">
        <v>242</v>
      </c>
      <c r="AD11" t="s">
        <v>243</v>
      </c>
      <c r="AE11" t="s">
        <v>242</v>
      </c>
      <c r="AF11" t="s">
        <v>243</v>
      </c>
      <c r="AG11" t="s">
        <v>242</v>
      </c>
      <c r="AH11" t="s">
        <v>243</v>
      </c>
      <c r="AI11" t="s">
        <v>242</v>
      </c>
      <c r="AJ11" t="s">
        <v>243</v>
      </c>
      <c r="AK11" t="s">
        <v>242</v>
      </c>
      <c r="AL11" t="s">
        <v>243</v>
      </c>
      <c r="AM11" t="s">
        <v>242</v>
      </c>
      <c r="AN11" t="s">
        <v>243</v>
      </c>
      <c r="AO11" t="s">
        <v>242</v>
      </c>
      <c r="AP11" t="s">
        <v>243</v>
      </c>
      <c r="AQ11" t="s">
        <v>242</v>
      </c>
      <c r="AR11" t="s">
        <v>243</v>
      </c>
      <c r="AS11" t="s">
        <v>242</v>
      </c>
      <c r="AT11" t="s">
        <v>244</v>
      </c>
      <c r="AU11" t="s">
        <v>330</v>
      </c>
      <c r="AV11" t="s">
        <v>771</v>
      </c>
      <c r="AW11" t="s">
        <v>247</v>
      </c>
      <c r="AX11" t="s">
        <v>772</v>
      </c>
      <c r="AY11" t="s">
        <v>249</v>
      </c>
      <c r="AZ11" t="s">
        <v>773</v>
      </c>
      <c r="BA11" t="s">
        <v>242</v>
      </c>
      <c r="BB11" t="s">
        <v>774</v>
      </c>
      <c r="BC11" t="s">
        <v>532</v>
      </c>
      <c r="BD11" t="s">
        <v>775</v>
      </c>
      <c r="BE11" t="s">
        <v>274</v>
      </c>
      <c r="BF11" t="s">
        <v>776</v>
      </c>
      <c r="BG11" t="s">
        <v>744</v>
      </c>
      <c r="BH11" t="s">
        <v>777</v>
      </c>
      <c r="BI11" t="s">
        <v>254</v>
      </c>
      <c r="BJ11" t="s">
        <v>778</v>
      </c>
      <c r="BK11" t="s">
        <v>779</v>
      </c>
      <c r="BL11" t="s">
        <v>780</v>
      </c>
      <c r="BM11" t="s">
        <v>369</v>
      </c>
      <c r="BN11" t="s">
        <v>781</v>
      </c>
      <c r="BO11" t="s">
        <v>595</v>
      </c>
      <c r="BP11" t="s">
        <v>782</v>
      </c>
      <c r="BQ11" t="s">
        <v>473</v>
      </c>
      <c r="BR11" t="s">
        <v>783</v>
      </c>
      <c r="BS11" t="s">
        <v>595</v>
      </c>
      <c r="BT11" t="s">
        <v>784</v>
      </c>
      <c r="BU11" t="s">
        <v>281</v>
      </c>
      <c r="BV11" t="s">
        <v>785</v>
      </c>
      <c r="BW11" t="s">
        <v>351</v>
      </c>
      <c r="BX11" t="s">
        <v>786</v>
      </c>
      <c r="BY11" t="s">
        <v>532</v>
      </c>
      <c r="BZ11" t="s">
        <v>787</v>
      </c>
      <c r="CA11" t="s">
        <v>585</v>
      </c>
      <c r="CB11" t="s">
        <v>788</v>
      </c>
      <c r="CC11" t="s">
        <v>285</v>
      </c>
      <c r="CD11" t="s">
        <v>789</v>
      </c>
      <c r="CE11" t="s">
        <v>348</v>
      </c>
      <c r="CF11" t="s">
        <v>790</v>
      </c>
      <c r="CG11" t="s">
        <v>291</v>
      </c>
      <c r="CH11" t="s">
        <v>791</v>
      </c>
      <c r="CI11" t="s">
        <v>591</v>
      </c>
      <c r="CJ11" t="s">
        <v>792</v>
      </c>
      <c r="CK11" t="s">
        <v>469</v>
      </c>
      <c r="CL11" t="s">
        <v>793</v>
      </c>
      <c r="CM11" t="s">
        <v>397</v>
      </c>
      <c r="CN11" t="s">
        <v>794</v>
      </c>
      <c r="CO11" t="s">
        <v>371</v>
      </c>
      <c r="CP11" t="s">
        <v>795</v>
      </c>
      <c r="CQ11" t="s">
        <v>287</v>
      </c>
      <c r="CR11" t="s">
        <v>796</v>
      </c>
      <c r="CS11" t="s">
        <v>575</v>
      </c>
      <c r="CT11" t="s">
        <v>797</v>
      </c>
      <c r="CU11" t="s">
        <v>752</v>
      </c>
      <c r="CV11" t="s">
        <v>798</v>
      </c>
      <c r="CW11" t="s">
        <v>467</v>
      </c>
      <c r="CX11" t="s">
        <v>799</v>
      </c>
      <c r="CY11" t="s">
        <v>365</v>
      </c>
      <c r="CZ11" t="s">
        <v>800</v>
      </c>
      <c r="DA11" t="s">
        <v>289</v>
      </c>
      <c r="DB11" t="s">
        <v>801</v>
      </c>
      <c r="DC11" t="s">
        <v>242</v>
      </c>
      <c r="DD11" t="s">
        <v>802</v>
      </c>
      <c r="DF11" t="s">
        <v>803</v>
      </c>
      <c r="DG11" t="s">
        <v>242</v>
      </c>
      <c r="DH11" t="s">
        <v>804</v>
      </c>
    </row>
    <row r="12" spans="1:112" x14ac:dyDescent="0.35">
      <c r="A12" t="s">
        <v>227</v>
      </c>
      <c r="B12" t="s">
        <v>805</v>
      </c>
      <c r="C12" t="s">
        <v>229</v>
      </c>
      <c r="D12" t="s">
        <v>806</v>
      </c>
      <c r="E12" t="s">
        <v>231</v>
      </c>
      <c r="F12" t="s">
        <v>807</v>
      </c>
      <c r="G12" t="s">
        <v>40</v>
      </c>
      <c r="H12" t="s">
        <v>808</v>
      </c>
      <c r="I12" t="s">
        <v>234</v>
      </c>
      <c r="J12" t="s">
        <v>809</v>
      </c>
      <c r="L12" t="s">
        <v>810</v>
      </c>
      <c r="M12" t="s">
        <v>15</v>
      </c>
      <c r="N12" t="s">
        <v>811</v>
      </c>
      <c r="O12" t="s">
        <v>21</v>
      </c>
      <c r="P12" t="s">
        <v>812</v>
      </c>
      <c r="Q12" t="s">
        <v>40</v>
      </c>
      <c r="R12" t="s">
        <v>813</v>
      </c>
      <c r="S12" t="s">
        <v>310</v>
      </c>
      <c r="T12" t="s">
        <v>361</v>
      </c>
      <c r="U12" t="s">
        <v>39</v>
      </c>
      <c r="V12" t="s">
        <v>814</v>
      </c>
      <c r="W12" t="s">
        <v>44</v>
      </c>
      <c r="X12" t="s">
        <v>815</v>
      </c>
      <c r="Y12" t="s">
        <v>242</v>
      </c>
      <c r="Z12" t="s">
        <v>243</v>
      </c>
      <c r="AA12" t="s">
        <v>40</v>
      </c>
      <c r="AB12" t="s">
        <v>244</v>
      </c>
      <c r="AC12" t="s">
        <v>316</v>
      </c>
      <c r="AD12" t="s">
        <v>816</v>
      </c>
      <c r="AE12" t="s">
        <v>502</v>
      </c>
      <c r="AF12" t="s">
        <v>817</v>
      </c>
      <c r="AG12" t="s">
        <v>43</v>
      </c>
      <c r="AH12" t="s">
        <v>818</v>
      </c>
      <c r="AI12" t="s">
        <v>819</v>
      </c>
      <c r="AJ12" t="s">
        <v>820</v>
      </c>
      <c r="AK12" t="s">
        <v>821</v>
      </c>
      <c r="AL12" t="s">
        <v>822</v>
      </c>
      <c r="AM12" t="s">
        <v>823</v>
      </c>
      <c r="AN12" t="s">
        <v>824</v>
      </c>
      <c r="AO12" t="s">
        <v>825</v>
      </c>
      <c r="AP12" t="s">
        <v>826</v>
      </c>
      <c r="AQ12" t="s">
        <v>41</v>
      </c>
      <c r="AR12" t="s">
        <v>827</v>
      </c>
      <c r="AS12" t="s">
        <v>242</v>
      </c>
      <c r="AT12" t="s">
        <v>828</v>
      </c>
      <c r="AU12" t="s">
        <v>829</v>
      </c>
      <c r="AV12" t="s">
        <v>830</v>
      </c>
      <c r="AW12" t="s">
        <v>247</v>
      </c>
      <c r="AX12" t="s">
        <v>831</v>
      </c>
      <c r="AY12" t="s">
        <v>249</v>
      </c>
      <c r="AZ12" t="s">
        <v>832</v>
      </c>
      <c r="BA12" t="s">
        <v>242</v>
      </c>
      <c r="BB12" t="s">
        <v>833</v>
      </c>
      <c r="BC12" t="s">
        <v>271</v>
      </c>
      <c r="BD12" t="s">
        <v>834</v>
      </c>
      <c r="BE12" t="s">
        <v>688</v>
      </c>
      <c r="BF12" t="s">
        <v>835</v>
      </c>
      <c r="BG12" t="s">
        <v>271</v>
      </c>
      <c r="BH12" t="s">
        <v>836</v>
      </c>
      <c r="BI12" t="s">
        <v>289</v>
      </c>
      <c r="BJ12" t="s">
        <v>837</v>
      </c>
      <c r="BK12" t="s">
        <v>257</v>
      </c>
      <c r="BL12" t="s">
        <v>838</v>
      </c>
      <c r="BM12" t="s">
        <v>285</v>
      </c>
      <c r="BN12" t="s">
        <v>839</v>
      </c>
      <c r="BO12" t="s">
        <v>467</v>
      </c>
      <c r="BP12" t="s">
        <v>840</v>
      </c>
      <c r="BQ12" t="s">
        <v>243</v>
      </c>
      <c r="BR12" t="s">
        <v>841</v>
      </c>
      <c r="BS12" t="s">
        <v>744</v>
      </c>
      <c r="BT12" t="s">
        <v>842</v>
      </c>
      <c r="BU12" t="s">
        <v>399</v>
      </c>
      <c r="BV12" t="s">
        <v>843</v>
      </c>
      <c r="BW12" t="s">
        <v>371</v>
      </c>
      <c r="BX12" t="s">
        <v>844</v>
      </c>
      <c r="BY12" t="s">
        <v>575</v>
      </c>
      <c r="BZ12" t="s">
        <v>845</v>
      </c>
      <c r="CA12" t="s">
        <v>427</v>
      </c>
      <c r="CB12" t="s">
        <v>846</v>
      </c>
      <c r="CC12" t="s">
        <v>414</v>
      </c>
      <c r="CD12" t="s">
        <v>847</v>
      </c>
      <c r="CE12" t="s">
        <v>360</v>
      </c>
      <c r="CF12" t="s">
        <v>848</v>
      </c>
      <c r="CG12" t="s">
        <v>752</v>
      </c>
      <c r="CH12" t="s">
        <v>849</v>
      </c>
      <c r="CI12" t="s">
        <v>401</v>
      </c>
      <c r="CJ12" t="s">
        <v>850</v>
      </c>
      <c r="CK12" t="s">
        <v>335</v>
      </c>
      <c r="CL12" t="s">
        <v>851</v>
      </c>
      <c r="CM12" t="s">
        <v>416</v>
      </c>
      <c r="CN12" t="s">
        <v>852</v>
      </c>
      <c r="CO12" t="s">
        <v>528</v>
      </c>
      <c r="CP12" t="s">
        <v>853</v>
      </c>
      <c r="CQ12" t="s">
        <v>408</v>
      </c>
      <c r="CR12" t="s">
        <v>854</v>
      </c>
      <c r="CS12" t="s">
        <v>414</v>
      </c>
      <c r="CT12" t="s">
        <v>855</v>
      </c>
      <c r="CU12" t="s">
        <v>289</v>
      </c>
      <c r="CV12" t="s">
        <v>856</v>
      </c>
      <c r="CW12" t="s">
        <v>261</v>
      </c>
      <c r="CX12" t="s">
        <v>857</v>
      </c>
      <c r="CY12" t="s">
        <v>858</v>
      </c>
      <c r="CZ12" t="s">
        <v>859</v>
      </c>
      <c r="DA12" t="s">
        <v>405</v>
      </c>
      <c r="DB12" t="s">
        <v>860</v>
      </c>
      <c r="DC12" t="s">
        <v>242</v>
      </c>
      <c r="DD12" t="s">
        <v>861</v>
      </c>
      <c r="DF12" t="s">
        <v>862</v>
      </c>
      <c r="DG12" t="s">
        <v>242</v>
      </c>
      <c r="DH12" t="s">
        <v>863</v>
      </c>
    </row>
    <row r="13" spans="1:112" x14ac:dyDescent="0.35">
      <c r="A13" t="s">
        <v>227</v>
      </c>
      <c r="B13" t="s">
        <v>864</v>
      </c>
      <c r="C13" t="s">
        <v>229</v>
      </c>
      <c r="D13" t="s">
        <v>865</v>
      </c>
      <c r="E13" t="s">
        <v>231</v>
      </c>
      <c r="F13" t="s">
        <v>866</v>
      </c>
      <c r="G13" t="s">
        <v>40</v>
      </c>
      <c r="H13" t="s">
        <v>867</v>
      </c>
      <c r="I13" t="s">
        <v>234</v>
      </c>
      <c r="J13" t="s">
        <v>868</v>
      </c>
      <c r="L13" t="s">
        <v>869</v>
      </c>
      <c r="M13" t="s">
        <v>18</v>
      </c>
      <c r="N13" t="s">
        <v>870</v>
      </c>
      <c r="O13" t="s">
        <v>19</v>
      </c>
      <c r="P13" t="s">
        <v>871</v>
      </c>
      <c r="Q13" t="s">
        <v>40</v>
      </c>
      <c r="R13" t="s">
        <v>872</v>
      </c>
      <c r="S13" t="s">
        <v>310</v>
      </c>
      <c r="T13" t="s">
        <v>873</v>
      </c>
      <c r="U13" t="s">
        <v>40</v>
      </c>
      <c r="V13" t="s">
        <v>874</v>
      </c>
      <c r="W13" t="s">
        <v>40</v>
      </c>
      <c r="X13" t="s">
        <v>875</v>
      </c>
      <c r="Y13" t="s">
        <v>876</v>
      </c>
      <c r="Z13" t="s">
        <v>877</v>
      </c>
      <c r="AA13" t="s">
        <v>40</v>
      </c>
      <c r="AB13" t="s">
        <v>878</v>
      </c>
      <c r="AC13" t="s">
        <v>316</v>
      </c>
      <c r="AD13" t="s">
        <v>879</v>
      </c>
      <c r="AE13" t="s">
        <v>502</v>
      </c>
      <c r="AF13" t="s">
        <v>880</v>
      </c>
      <c r="AG13" t="s">
        <v>40</v>
      </c>
      <c r="AH13" t="s">
        <v>881</v>
      </c>
      <c r="AI13" t="s">
        <v>621</v>
      </c>
      <c r="AJ13" t="s">
        <v>882</v>
      </c>
      <c r="AK13" t="s">
        <v>883</v>
      </c>
      <c r="AL13" t="s">
        <v>884</v>
      </c>
      <c r="AM13" t="s">
        <v>885</v>
      </c>
      <c r="AN13" t="s">
        <v>886</v>
      </c>
      <c r="AO13" t="s">
        <v>887</v>
      </c>
      <c r="AP13" t="s">
        <v>888</v>
      </c>
      <c r="AQ13" t="s">
        <v>41</v>
      </c>
      <c r="AR13" t="s">
        <v>889</v>
      </c>
      <c r="AS13" t="s">
        <v>242</v>
      </c>
      <c r="AT13" t="s">
        <v>890</v>
      </c>
      <c r="AU13" t="s">
        <v>891</v>
      </c>
      <c r="AV13" t="s">
        <v>892</v>
      </c>
      <c r="AW13" t="s">
        <v>247</v>
      </c>
      <c r="AX13" t="s">
        <v>893</v>
      </c>
      <c r="AY13" t="s">
        <v>249</v>
      </c>
      <c r="AZ13" t="s">
        <v>894</v>
      </c>
      <c r="BA13" t="s">
        <v>242</v>
      </c>
      <c r="BB13" t="s">
        <v>895</v>
      </c>
      <c r="BC13" t="s">
        <v>779</v>
      </c>
      <c r="BD13" t="s">
        <v>896</v>
      </c>
      <c r="BE13" t="s">
        <v>698</v>
      </c>
      <c r="BF13" t="s">
        <v>897</v>
      </c>
      <c r="BG13" t="s">
        <v>287</v>
      </c>
      <c r="BH13" t="s">
        <v>898</v>
      </c>
      <c r="BI13" t="s">
        <v>481</v>
      </c>
      <c r="BJ13" t="s">
        <v>899</v>
      </c>
      <c r="BK13" t="s">
        <v>900</v>
      </c>
      <c r="BL13" t="s">
        <v>901</v>
      </c>
      <c r="BM13" t="s">
        <v>532</v>
      </c>
      <c r="BN13" t="s">
        <v>902</v>
      </c>
      <c r="BO13" t="s">
        <v>348</v>
      </c>
      <c r="BP13" t="s">
        <v>903</v>
      </c>
      <c r="BQ13" t="s">
        <v>367</v>
      </c>
      <c r="BR13" t="s">
        <v>904</v>
      </c>
      <c r="BS13" t="s">
        <v>348</v>
      </c>
      <c r="BT13" t="s">
        <v>905</v>
      </c>
      <c r="BU13" t="s">
        <v>367</v>
      </c>
      <c r="BV13" t="s">
        <v>906</v>
      </c>
      <c r="BW13" t="s">
        <v>696</v>
      </c>
      <c r="BX13" t="s">
        <v>907</v>
      </c>
      <c r="BY13" t="s">
        <v>360</v>
      </c>
      <c r="BZ13" t="s">
        <v>908</v>
      </c>
      <c r="CA13" t="s">
        <v>595</v>
      </c>
      <c r="CB13" t="s">
        <v>909</v>
      </c>
      <c r="CC13" t="s">
        <v>367</v>
      </c>
      <c r="CD13" t="s">
        <v>910</v>
      </c>
      <c r="CE13" t="s">
        <v>342</v>
      </c>
      <c r="CF13" t="s">
        <v>911</v>
      </c>
      <c r="CG13" t="s">
        <v>360</v>
      </c>
      <c r="CH13" t="s">
        <v>912</v>
      </c>
      <c r="CI13" t="s">
        <v>900</v>
      </c>
      <c r="CJ13" t="s">
        <v>913</v>
      </c>
      <c r="CK13" t="s">
        <v>367</v>
      </c>
      <c r="CL13" t="s">
        <v>914</v>
      </c>
      <c r="CM13" t="s">
        <v>342</v>
      </c>
      <c r="CN13" t="s">
        <v>915</v>
      </c>
      <c r="CO13" t="s">
        <v>900</v>
      </c>
      <c r="CP13" t="s">
        <v>916</v>
      </c>
      <c r="CQ13" t="s">
        <v>401</v>
      </c>
      <c r="CR13" t="s">
        <v>917</v>
      </c>
      <c r="CS13" t="s">
        <v>421</v>
      </c>
      <c r="CT13" t="s">
        <v>918</v>
      </c>
      <c r="CU13" t="s">
        <v>528</v>
      </c>
      <c r="CV13" t="s">
        <v>919</v>
      </c>
      <c r="CW13" t="s">
        <v>744</v>
      </c>
      <c r="CX13" t="s">
        <v>920</v>
      </c>
      <c r="CY13" t="s">
        <v>421</v>
      </c>
      <c r="CZ13" t="s">
        <v>921</v>
      </c>
      <c r="DA13" t="s">
        <v>414</v>
      </c>
      <c r="DB13" t="s">
        <v>922</v>
      </c>
      <c r="DC13" t="s">
        <v>242</v>
      </c>
      <c r="DD13" t="s">
        <v>923</v>
      </c>
      <c r="DF13" t="s">
        <v>924</v>
      </c>
      <c r="DG13" t="s">
        <v>242</v>
      </c>
      <c r="DH13" t="s">
        <v>925</v>
      </c>
    </row>
    <row r="14" spans="1:112" x14ac:dyDescent="0.35">
      <c r="A14" t="s">
        <v>227</v>
      </c>
      <c r="B14" t="s">
        <v>926</v>
      </c>
      <c r="C14" t="s">
        <v>229</v>
      </c>
      <c r="D14" t="s">
        <v>927</v>
      </c>
      <c r="E14" t="s">
        <v>231</v>
      </c>
      <c r="F14" t="s">
        <v>928</v>
      </c>
      <c r="G14" t="s">
        <v>40</v>
      </c>
      <c r="H14" t="s">
        <v>929</v>
      </c>
      <c r="I14" t="s">
        <v>234</v>
      </c>
      <c r="J14" t="s">
        <v>930</v>
      </c>
      <c r="L14" t="s">
        <v>931</v>
      </c>
      <c r="M14" t="s">
        <v>18</v>
      </c>
      <c r="N14" t="s">
        <v>932</v>
      </c>
      <c r="O14" t="s">
        <v>19</v>
      </c>
      <c r="P14" t="s">
        <v>933</v>
      </c>
      <c r="Q14" t="s">
        <v>40</v>
      </c>
      <c r="R14" t="s">
        <v>934</v>
      </c>
      <c r="S14" t="s">
        <v>240</v>
      </c>
      <c r="T14" t="s">
        <v>935</v>
      </c>
      <c r="U14" t="s">
        <v>242</v>
      </c>
      <c r="V14" t="s">
        <v>243</v>
      </c>
      <c r="W14" t="s">
        <v>242</v>
      </c>
      <c r="X14" t="s">
        <v>243</v>
      </c>
      <c r="Y14" t="s">
        <v>242</v>
      </c>
      <c r="Z14" t="s">
        <v>243</v>
      </c>
      <c r="AA14" t="s">
        <v>242</v>
      </c>
      <c r="AB14" t="s">
        <v>243</v>
      </c>
      <c r="AC14" t="s">
        <v>242</v>
      </c>
      <c r="AD14" t="s">
        <v>243</v>
      </c>
      <c r="AE14" t="s">
        <v>242</v>
      </c>
      <c r="AF14" t="s">
        <v>243</v>
      </c>
      <c r="AG14" t="s">
        <v>242</v>
      </c>
      <c r="AH14" t="s">
        <v>243</v>
      </c>
      <c r="AI14" t="s">
        <v>242</v>
      </c>
      <c r="AJ14" t="s">
        <v>243</v>
      </c>
      <c r="AK14" t="s">
        <v>242</v>
      </c>
      <c r="AL14" t="s">
        <v>243</v>
      </c>
      <c r="AM14" t="s">
        <v>242</v>
      </c>
      <c r="AN14" t="s">
        <v>243</v>
      </c>
      <c r="AO14" t="s">
        <v>242</v>
      </c>
      <c r="AP14" t="s">
        <v>243</v>
      </c>
      <c r="AQ14" t="s">
        <v>242</v>
      </c>
      <c r="AR14" t="s">
        <v>243</v>
      </c>
      <c r="AS14" t="s">
        <v>242</v>
      </c>
      <c r="AT14" t="s">
        <v>244</v>
      </c>
      <c r="AU14" t="s">
        <v>936</v>
      </c>
      <c r="AV14" t="s">
        <v>937</v>
      </c>
      <c r="AW14" t="s">
        <v>247</v>
      </c>
      <c r="AX14" t="s">
        <v>938</v>
      </c>
      <c r="AY14" t="s">
        <v>249</v>
      </c>
      <c r="AZ14" t="s">
        <v>939</v>
      </c>
      <c r="BA14" t="s">
        <v>242</v>
      </c>
      <c r="BB14" t="s">
        <v>940</v>
      </c>
      <c r="BC14" t="s">
        <v>344</v>
      </c>
      <c r="BD14" t="s">
        <v>941</v>
      </c>
      <c r="BE14" t="s">
        <v>295</v>
      </c>
      <c r="BF14" t="s">
        <v>942</v>
      </c>
      <c r="BG14" t="s">
        <v>261</v>
      </c>
      <c r="BH14" t="s">
        <v>943</v>
      </c>
      <c r="BI14" t="s">
        <v>295</v>
      </c>
      <c r="BJ14" t="s">
        <v>944</v>
      </c>
      <c r="BK14" t="s">
        <v>532</v>
      </c>
      <c r="BL14" t="s">
        <v>945</v>
      </c>
      <c r="BM14" t="s">
        <v>295</v>
      </c>
      <c r="BN14" t="s">
        <v>946</v>
      </c>
      <c r="BO14" t="s">
        <v>285</v>
      </c>
      <c r="BP14" t="s">
        <v>947</v>
      </c>
      <c r="BQ14" t="s">
        <v>295</v>
      </c>
      <c r="BR14" t="s">
        <v>948</v>
      </c>
      <c r="BS14" t="s">
        <v>291</v>
      </c>
      <c r="BT14" t="s">
        <v>949</v>
      </c>
      <c r="BU14" t="s">
        <v>295</v>
      </c>
      <c r="BV14" t="s">
        <v>950</v>
      </c>
      <c r="BW14" t="s">
        <v>399</v>
      </c>
      <c r="BX14" t="s">
        <v>951</v>
      </c>
      <c r="BY14" t="s">
        <v>952</v>
      </c>
      <c r="BZ14" t="s">
        <v>953</v>
      </c>
      <c r="CA14" t="s">
        <v>427</v>
      </c>
      <c r="CB14" t="s">
        <v>938</v>
      </c>
      <c r="CC14" t="s">
        <v>731</v>
      </c>
      <c r="CD14" t="s">
        <v>954</v>
      </c>
      <c r="CE14" t="s">
        <v>401</v>
      </c>
      <c r="CF14" t="s">
        <v>955</v>
      </c>
      <c r="CG14" t="s">
        <v>369</v>
      </c>
      <c r="CH14" t="s">
        <v>956</v>
      </c>
      <c r="CI14" t="s">
        <v>752</v>
      </c>
      <c r="CJ14" t="s">
        <v>957</v>
      </c>
      <c r="CK14" t="s">
        <v>405</v>
      </c>
      <c r="CL14" t="s">
        <v>958</v>
      </c>
      <c r="CM14" t="s">
        <v>401</v>
      </c>
      <c r="CN14" t="s">
        <v>959</v>
      </c>
      <c r="CO14" t="s">
        <v>344</v>
      </c>
      <c r="CP14" t="s">
        <v>960</v>
      </c>
      <c r="CQ14" t="s">
        <v>356</v>
      </c>
      <c r="CR14" t="s">
        <v>961</v>
      </c>
      <c r="CS14" t="s">
        <v>473</v>
      </c>
      <c r="CT14" t="s">
        <v>962</v>
      </c>
      <c r="CU14" t="s">
        <v>424</v>
      </c>
      <c r="CV14" t="s">
        <v>963</v>
      </c>
      <c r="CW14" t="s">
        <v>268</v>
      </c>
      <c r="CX14" t="s">
        <v>964</v>
      </c>
      <c r="CY14" t="s">
        <v>481</v>
      </c>
      <c r="CZ14" t="s">
        <v>965</v>
      </c>
      <c r="DA14" t="s">
        <v>411</v>
      </c>
      <c r="DB14" t="s">
        <v>966</v>
      </c>
      <c r="DC14" t="s">
        <v>242</v>
      </c>
      <c r="DD14" t="s">
        <v>967</v>
      </c>
      <c r="DF14" t="s">
        <v>968</v>
      </c>
      <c r="DG14" t="s">
        <v>242</v>
      </c>
      <c r="DH14" t="s">
        <v>969</v>
      </c>
    </row>
    <row r="15" spans="1:112" x14ac:dyDescent="0.35">
      <c r="A15" t="s">
        <v>227</v>
      </c>
      <c r="B15" t="s">
        <v>970</v>
      </c>
      <c r="C15" t="s">
        <v>229</v>
      </c>
      <c r="D15" t="s">
        <v>971</v>
      </c>
      <c r="E15" t="s">
        <v>231</v>
      </c>
      <c r="F15" t="s">
        <v>972</v>
      </c>
      <c r="G15" t="s">
        <v>40</v>
      </c>
      <c r="H15" t="s">
        <v>973</v>
      </c>
      <c r="I15" t="s">
        <v>234</v>
      </c>
      <c r="J15" t="s">
        <v>974</v>
      </c>
      <c r="L15" t="s">
        <v>975</v>
      </c>
      <c r="M15" t="s">
        <v>18</v>
      </c>
      <c r="N15" t="s">
        <v>976</v>
      </c>
      <c r="O15" t="s">
        <v>19</v>
      </c>
      <c r="P15" t="s">
        <v>977</v>
      </c>
      <c r="Q15" t="s">
        <v>40</v>
      </c>
      <c r="R15" t="s">
        <v>978</v>
      </c>
      <c r="S15" t="s">
        <v>240</v>
      </c>
      <c r="T15" t="s">
        <v>979</v>
      </c>
      <c r="U15" t="s">
        <v>242</v>
      </c>
      <c r="V15" t="s">
        <v>243</v>
      </c>
      <c r="W15" t="s">
        <v>242</v>
      </c>
      <c r="X15" t="s">
        <v>243</v>
      </c>
      <c r="Y15" t="s">
        <v>242</v>
      </c>
      <c r="Z15" t="s">
        <v>243</v>
      </c>
      <c r="AA15" t="s">
        <v>242</v>
      </c>
      <c r="AB15" t="s">
        <v>243</v>
      </c>
      <c r="AC15" t="s">
        <v>242</v>
      </c>
      <c r="AD15" t="s">
        <v>243</v>
      </c>
      <c r="AE15" t="s">
        <v>242</v>
      </c>
      <c r="AF15" t="s">
        <v>243</v>
      </c>
      <c r="AG15" t="s">
        <v>242</v>
      </c>
      <c r="AH15" t="s">
        <v>243</v>
      </c>
      <c r="AI15" t="s">
        <v>242</v>
      </c>
      <c r="AJ15" t="s">
        <v>243</v>
      </c>
      <c r="AK15" t="s">
        <v>242</v>
      </c>
      <c r="AL15" t="s">
        <v>243</v>
      </c>
      <c r="AM15" t="s">
        <v>242</v>
      </c>
      <c r="AN15" t="s">
        <v>243</v>
      </c>
      <c r="AO15" t="s">
        <v>242</v>
      </c>
      <c r="AP15" t="s">
        <v>243</v>
      </c>
      <c r="AQ15" t="s">
        <v>242</v>
      </c>
      <c r="AR15" t="s">
        <v>243</v>
      </c>
      <c r="AS15" t="s">
        <v>242</v>
      </c>
      <c r="AT15" t="s">
        <v>244</v>
      </c>
      <c r="AU15" t="s">
        <v>330</v>
      </c>
      <c r="AV15" t="s">
        <v>980</v>
      </c>
      <c r="AW15" t="s">
        <v>247</v>
      </c>
      <c r="AX15" t="s">
        <v>981</v>
      </c>
      <c r="AY15" t="s">
        <v>249</v>
      </c>
      <c r="AZ15" t="s">
        <v>982</v>
      </c>
      <c r="BA15" t="s">
        <v>242</v>
      </c>
      <c r="BB15" t="s">
        <v>983</v>
      </c>
      <c r="BC15" t="s">
        <v>401</v>
      </c>
      <c r="BD15" t="s">
        <v>984</v>
      </c>
      <c r="BE15" t="s">
        <v>476</v>
      </c>
      <c r="BF15" t="s">
        <v>985</v>
      </c>
      <c r="BG15" t="s">
        <v>752</v>
      </c>
      <c r="BH15" t="s">
        <v>986</v>
      </c>
      <c r="BI15" t="s">
        <v>293</v>
      </c>
      <c r="BJ15" t="s">
        <v>987</v>
      </c>
      <c r="BK15" t="s">
        <v>595</v>
      </c>
      <c r="BL15" t="s">
        <v>988</v>
      </c>
      <c r="BM15" t="s">
        <v>337</v>
      </c>
      <c r="BN15" t="s">
        <v>989</v>
      </c>
      <c r="BO15" t="s">
        <v>342</v>
      </c>
      <c r="BP15" t="s">
        <v>990</v>
      </c>
      <c r="BQ15" t="s">
        <v>451</v>
      </c>
      <c r="BR15" t="s">
        <v>991</v>
      </c>
      <c r="BS15" t="s">
        <v>900</v>
      </c>
      <c r="BT15" t="s">
        <v>695</v>
      </c>
      <c r="BU15" t="s">
        <v>411</v>
      </c>
      <c r="BV15" t="s">
        <v>992</v>
      </c>
      <c r="BW15" t="s">
        <v>287</v>
      </c>
      <c r="BX15" t="s">
        <v>645</v>
      </c>
      <c r="BY15" t="s">
        <v>454</v>
      </c>
      <c r="BZ15" t="s">
        <v>644</v>
      </c>
      <c r="CA15" t="s">
        <v>993</v>
      </c>
      <c r="CB15" t="s">
        <v>994</v>
      </c>
      <c r="CC15" t="s">
        <v>274</v>
      </c>
      <c r="CD15" t="s">
        <v>978</v>
      </c>
      <c r="CE15" t="s">
        <v>696</v>
      </c>
      <c r="CF15" t="s">
        <v>995</v>
      </c>
      <c r="CG15" t="s">
        <v>261</v>
      </c>
      <c r="CH15" t="s">
        <v>996</v>
      </c>
      <c r="CI15" t="s">
        <v>664</v>
      </c>
      <c r="CJ15" t="s">
        <v>997</v>
      </c>
      <c r="CK15" t="s">
        <v>274</v>
      </c>
      <c r="CL15" t="s">
        <v>998</v>
      </c>
      <c r="CM15" t="s">
        <v>900</v>
      </c>
      <c r="CN15" t="s">
        <v>999</v>
      </c>
      <c r="CO15" t="s">
        <v>395</v>
      </c>
      <c r="CP15" t="s">
        <v>1000</v>
      </c>
      <c r="CQ15" t="s">
        <v>591</v>
      </c>
      <c r="CR15" t="s">
        <v>1001</v>
      </c>
      <c r="CS15" t="s">
        <v>271</v>
      </c>
      <c r="CT15" t="s">
        <v>1002</v>
      </c>
      <c r="CU15" t="s">
        <v>779</v>
      </c>
      <c r="CV15" t="s">
        <v>1003</v>
      </c>
      <c r="CW15" t="s">
        <v>369</v>
      </c>
      <c r="CX15" t="s">
        <v>1004</v>
      </c>
      <c r="CY15" t="s">
        <v>365</v>
      </c>
      <c r="CZ15" t="s">
        <v>1005</v>
      </c>
      <c r="DA15" t="s">
        <v>395</v>
      </c>
      <c r="DB15" t="s">
        <v>1006</v>
      </c>
      <c r="DC15" t="s">
        <v>242</v>
      </c>
      <c r="DD15" t="s">
        <v>756</v>
      </c>
      <c r="DF15" t="s">
        <v>1007</v>
      </c>
      <c r="DG15" t="s">
        <v>242</v>
      </c>
      <c r="DH15" t="s">
        <v>1008</v>
      </c>
    </row>
    <row r="16" spans="1:112" x14ac:dyDescent="0.35">
      <c r="A16" t="s">
        <v>227</v>
      </c>
      <c r="B16" t="s">
        <v>1009</v>
      </c>
      <c r="C16" t="s">
        <v>229</v>
      </c>
      <c r="D16" t="s">
        <v>1010</v>
      </c>
      <c r="E16" t="s">
        <v>231</v>
      </c>
      <c r="F16" t="s">
        <v>1011</v>
      </c>
      <c r="G16" t="s">
        <v>40</v>
      </c>
      <c r="H16" t="s">
        <v>1012</v>
      </c>
      <c r="I16" t="s">
        <v>234</v>
      </c>
      <c r="J16" t="s">
        <v>1013</v>
      </c>
      <c r="L16" t="s">
        <v>1014</v>
      </c>
      <c r="M16" t="s">
        <v>18</v>
      </c>
      <c r="N16" t="s">
        <v>1015</v>
      </c>
      <c r="O16" t="s">
        <v>19</v>
      </c>
      <c r="P16" t="s">
        <v>1016</v>
      </c>
      <c r="Q16" t="s">
        <v>40</v>
      </c>
      <c r="R16" t="s">
        <v>1017</v>
      </c>
      <c r="S16" t="s">
        <v>240</v>
      </c>
      <c r="T16" t="s">
        <v>1018</v>
      </c>
      <c r="U16" t="s">
        <v>242</v>
      </c>
      <c r="V16" t="s">
        <v>243</v>
      </c>
      <c r="W16" t="s">
        <v>242</v>
      </c>
      <c r="X16" t="s">
        <v>243</v>
      </c>
      <c r="Y16" t="s">
        <v>242</v>
      </c>
      <c r="Z16" t="s">
        <v>243</v>
      </c>
      <c r="AA16" t="s">
        <v>242</v>
      </c>
      <c r="AB16" t="s">
        <v>243</v>
      </c>
      <c r="AC16" t="s">
        <v>242</v>
      </c>
      <c r="AD16" t="s">
        <v>243</v>
      </c>
      <c r="AE16" t="s">
        <v>242</v>
      </c>
      <c r="AF16" t="s">
        <v>243</v>
      </c>
      <c r="AG16" t="s">
        <v>242</v>
      </c>
      <c r="AH16" t="s">
        <v>243</v>
      </c>
      <c r="AI16" t="s">
        <v>242</v>
      </c>
      <c r="AJ16" t="s">
        <v>243</v>
      </c>
      <c r="AK16" t="s">
        <v>242</v>
      </c>
      <c r="AL16" t="s">
        <v>243</v>
      </c>
      <c r="AM16" t="s">
        <v>242</v>
      </c>
      <c r="AN16" t="s">
        <v>243</v>
      </c>
      <c r="AO16" t="s">
        <v>242</v>
      </c>
      <c r="AP16" t="s">
        <v>243</v>
      </c>
      <c r="AQ16" t="s">
        <v>242</v>
      </c>
      <c r="AR16" t="s">
        <v>243</v>
      </c>
      <c r="AS16" t="s">
        <v>242</v>
      </c>
      <c r="AT16" t="s">
        <v>244</v>
      </c>
      <c r="AU16" t="s">
        <v>1019</v>
      </c>
      <c r="AV16" t="s">
        <v>1020</v>
      </c>
      <c r="AW16" t="s">
        <v>247</v>
      </c>
      <c r="AX16" t="s">
        <v>1021</v>
      </c>
      <c r="AY16" t="s">
        <v>249</v>
      </c>
      <c r="AZ16" t="s">
        <v>1022</v>
      </c>
      <c r="BA16" t="s">
        <v>242</v>
      </c>
      <c r="BB16" t="s">
        <v>1023</v>
      </c>
      <c r="BC16" t="s">
        <v>473</v>
      </c>
      <c r="BD16" t="s">
        <v>1024</v>
      </c>
      <c r="BE16" t="s">
        <v>454</v>
      </c>
      <c r="BF16" t="s">
        <v>1025</v>
      </c>
      <c r="BG16" t="s">
        <v>414</v>
      </c>
      <c r="BH16" t="s">
        <v>1026</v>
      </c>
      <c r="BI16" t="s">
        <v>268</v>
      </c>
      <c r="BJ16" t="s">
        <v>1027</v>
      </c>
      <c r="BK16" t="s">
        <v>519</v>
      </c>
      <c r="BL16" t="s">
        <v>1028</v>
      </c>
      <c r="BM16" t="s">
        <v>274</v>
      </c>
      <c r="BN16" t="s">
        <v>1029</v>
      </c>
      <c r="BO16" t="s">
        <v>519</v>
      </c>
      <c r="BP16" t="s">
        <v>1030</v>
      </c>
      <c r="BQ16" t="s">
        <v>369</v>
      </c>
      <c r="BR16" t="s">
        <v>1031</v>
      </c>
      <c r="BS16" t="s">
        <v>365</v>
      </c>
      <c r="BT16" t="s">
        <v>1032</v>
      </c>
      <c r="BU16" t="s">
        <v>285</v>
      </c>
      <c r="BV16" t="s">
        <v>1033</v>
      </c>
      <c r="BW16" t="s">
        <v>365</v>
      </c>
      <c r="BX16" t="s">
        <v>1034</v>
      </c>
      <c r="BY16" t="s">
        <v>575</v>
      </c>
      <c r="BZ16" t="s">
        <v>1035</v>
      </c>
      <c r="CA16" t="s">
        <v>356</v>
      </c>
      <c r="CB16" t="s">
        <v>1036</v>
      </c>
      <c r="CC16" t="s">
        <v>414</v>
      </c>
      <c r="CD16" t="s">
        <v>1037</v>
      </c>
      <c r="CE16" t="s">
        <v>287</v>
      </c>
      <c r="CF16" t="s">
        <v>1038</v>
      </c>
      <c r="CG16" t="s">
        <v>393</v>
      </c>
      <c r="CH16" t="s">
        <v>1039</v>
      </c>
      <c r="CI16" t="s">
        <v>287</v>
      </c>
      <c r="CJ16" t="s">
        <v>1040</v>
      </c>
      <c r="CK16" t="s">
        <v>399</v>
      </c>
      <c r="CL16" t="s">
        <v>1041</v>
      </c>
      <c r="CM16" t="s">
        <v>752</v>
      </c>
      <c r="CN16" t="s">
        <v>1042</v>
      </c>
      <c r="CO16" t="s">
        <v>542</v>
      </c>
      <c r="CP16" t="s">
        <v>1043</v>
      </c>
      <c r="CQ16" t="s">
        <v>401</v>
      </c>
      <c r="CR16" t="s">
        <v>1044</v>
      </c>
      <c r="CS16" t="s">
        <v>542</v>
      </c>
      <c r="CT16" t="s">
        <v>1045</v>
      </c>
      <c r="CU16" t="s">
        <v>287</v>
      </c>
      <c r="CV16" t="s">
        <v>1046</v>
      </c>
      <c r="CW16" t="s">
        <v>399</v>
      </c>
      <c r="CX16" t="s">
        <v>1047</v>
      </c>
      <c r="CY16" t="s">
        <v>365</v>
      </c>
      <c r="CZ16" t="s">
        <v>1048</v>
      </c>
      <c r="DA16" t="s">
        <v>285</v>
      </c>
      <c r="DB16" t="s">
        <v>1049</v>
      </c>
      <c r="DC16" t="s">
        <v>242</v>
      </c>
      <c r="DD16" t="s">
        <v>1050</v>
      </c>
      <c r="DF16" t="s">
        <v>1051</v>
      </c>
      <c r="DG16" t="s">
        <v>242</v>
      </c>
      <c r="DH16" t="s">
        <v>1052</v>
      </c>
    </row>
    <row r="17" spans="1:112" x14ac:dyDescent="0.35">
      <c r="A17" t="s">
        <v>227</v>
      </c>
      <c r="B17" t="s">
        <v>1053</v>
      </c>
      <c r="C17" t="s">
        <v>229</v>
      </c>
      <c r="D17" t="s">
        <v>1054</v>
      </c>
      <c r="E17" t="s">
        <v>231</v>
      </c>
      <c r="F17" t="s">
        <v>1055</v>
      </c>
      <c r="G17" t="s">
        <v>40</v>
      </c>
      <c r="H17" t="s">
        <v>1056</v>
      </c>
      <c r="I17" t="s">
        <v>234</v>
      </c>
      <c r="J17" t="s">
        <v>1057</v>
      </c>
      <c r="L17" t="s">
        <v>1058</v>
      </c>
      <c r="M17" t="s">
        <v>18</v>
      </c>
      <c r="N17" t="s">
        <v>1059</v>
      </c>
      <c r="O17" t="s">
        <v>19</v>
      </c>
      <c r="P17" t="s">
        <v>1060</v>
      </c>
      <c r="Q17" t="s">
        <v>40</v>
      </c>
      <c r="R17" t="s">
        <v>1061</v>
      </c>
      <c r="S17" t="s">
        <v>310</v>
      </c>
      <c r="T17" t="s">
        <v>1062</v>
      </c>
      <c r="U17" t="s">
        <v>40</v>
      </c>
      <c r="V17" t="s">
        <v>1063</v>
      </c>
      <c r="W17" t="s">
        <v>40</v>
      </c>
      <c r="X17" t="s">
        <v>1064</v>
      </c>
      <c r="Y17" t="s">
        <v>1065</v>
      </c>
      <c r="Z17" t="s">
        <v>1066</v>
      </c>
      <c r="AA17" t="s">
        <v>40</v>
      </c>
      <c r="AB17" t="s">
        <v>1067</v>
      </c>
      <c r="AC17" t="s">
        <v>316</v>
      </c>
      <c r="AD17" t="s">
        <v>1068</v>
      </c>
      <c r="AE17" t="s">
        <v>502</v>
      </c>
      <c r="AF17" t="s">
        <v>1069</v>
      </c>
      <c r="AG17" t="s">
        <v>40</v>
      </c>
      <c r="AH17" t="s">
        <v>1070</v>
      </c>
      <c r="AI17" t="s">
        <v>621</v>
      </c>
      <c r="AJ17" t="s">
        <v>1071</v>
      </c>
      <c r="AK17" t="s">
        <v>1072</v>
      </c>
      <c r="AL17" t="s">
        <v>1073</v>
      </c>
      <c r="AM17" t="s">
        <v>1074</v>
      </c>
      <c r="AN17" t="s">
        <v>1075</v>
      </c>
      <c r="AO17" t="s">
        <v>825</v>
      </c>
      <c r="AP17" t="s">
        <v>1076</v>
      </c>
      <c r="AQ17" t="s">
        <v>41</v>
      </c>
      <c r="AR17" t="s">
        <v>1077</v>
      </c>
      <c r="AS17" t="s">
        <v>242</v>
      </c>
      <c r="AT17" t="s">
        <v>1078</v>
      </c>
      <c r="AU17" t="s">
        <v>1079</v>
      </c>
      <c r="AV17" t="s">
        <v>1080</v>
      </c>
      <c r="AW17" t="s">
        <v>247</v>
      </c>
      <c r="AX17" t="s">
        <v>314</v>
      </c>
      <c r="AY17" t="s">
        <v>1081</v>
      </c>
      <c r="AZ17" t="s">
        <v>1082</v>
      </c>
      <c r="BA17" t="s">
        <v>242</v>
      </c>
      <c r="BB17" t="s">
        <v>1083</v>
      </c>
      <c r="BC17" t="s">
        <v>287</v>
      </c>
      <c r="BD17" t="s">
        <v>1084</v>
      </c>
      <c r="BE17" t="s">
        <v>858</v>
      </c>
      <c r="BF17" t="s">
        <v>1085</v>
      </c>
      <c r="BG17" t="s">
        <v>287</v>
      </c>
      <c r="BH17" t="s">
        <v>1086</v>
      </c>
      <c r="BI17" t="s">
        <v>295</v>
      </c>
      <c r="BJ17" t="s">
        <v>1087</v>
      </c>
      <c r="BK17" t="s">
        <v>342</v>
      </c>
      <c r="BL17" t="s">
        <v>1088</v>
      </c>
      <c r="BM17" t="s">
        <v>293</v>
      </c>
      <c r="BN17" t="s">
        <v>1089</v>
      </c>
      <c r="BO17" t="s">
        <v>351</v>
      </c>
      <c r="BP17" t="s">
        <v>1090</v>
      </c>
      <c r="BQ17" t="s">
        <v>1091</v>
      </c>
      <c r="BR17" t="s">
        <v>1092</v>
      </c>
      <c r="BS17" t="s">
        <v>589</v>
      </c>
      <c r="BT17" t="s">
        <v>1093</v>
      </c>
      <c r="BU17" t="s">
        <v>369</v>
      </c>
      <c r="BV17" t="s">
        <v>442</v>
      </c>
      <c r="BW17" t="s">
        <v>348</v>
      </c>
      <c r="BX17" t="s">
        <v>1094</v>
      </c>
      <c r="BY17" t="s">
        <v>731</v>
      </c>
      <c r="BZ17" t="s">
        <v>1095</v>
      </c>
      <c r="CA17" t="s">
        <v>259</v>
      </c>
      <c r="CB17" t="s">
        <v>1096</v>
      </c>
      <c r="CC17" t="s">
        <v>344</v>
      </c>
      <c r="CD17" t="s">
        <v>1097</v>
      </c>
      <c r="CE17" t="s">
        <v>252</v>
      </c>
      <c r="CF17" t="s">
        <v>1098</v>
      </c>
      <c r="CG17" t="s">
        <v>542</v>
      </c>
      <c r="CH17" t="s">
        <v>1099</v>
      </c>
      <c r="CI17" t="s">
        <v>993</v>
      </c>
      <c r="CJ17" t="s">
        <v>1100</v>
      </c>
      <c r="CK17" t="s">
        <v>532</v>
      </c>
      <c r="CL17" t="s">
        <v>1101</v>
      </c>
      <c r="CM17" t="s">
        <v>342</v>
      </c>
      <c r="CN17" t="s">
        <v>1102</v>
      </c>
      <c r="CO17" t="s">
        <v>405</v>
      </c>
      <c r="CP17" t="s">
        <v>511</v>
      </c>
      <c r="CQ17" t="s">
        <v>585</v>
      </c>
      <c r="CR17" t="s">
        <v>1103</v>
      </c>
      <c r="CS17" t="s">
        <v>542</v>
      </c>
      <c r="CT17" t="s">
        <v>1104</v>
      </c>
      <c r="CU17" t="s">
        <v>664</v>
      </c>
      <c r="CV17" t="s">
        <v>1105</v>
      </c>
      <c r="CW17" t="s">
        <v>405</v>
      </c>
      <c r="CX17" t="s">
        <v>1106</v>
      </c>
      <c r="CY17" t="s">
        <v>591</v>
      </c>
      <c r="CZ17" t="s">
        <v>1107</v>
      </c>
      <c r="DA17" t="s">
        <v>538</v>
      </c>
      <c r="DB17" t="s">
        <v>1108</v>
      </c>
      <c r="DC17" t="s">
        <v>242</v>
      </c>
      <c r="DD17" t="s">
        <v>1109</v>
      </c>
      <c r="DF17" t="s">
        <v>1110</v>
      </c>
      <c r="DG17" t="s">
        <v>242</v>
      </c>
      <c r="DH17" t="s">
        <v>1111</v>
      </c>
    </row>
    <row r="18" spans="1:112" x14ac:dyDescent="0.35">
      <c r="A18" t="s">
        <v>227</v>
      </c>
      <c r="B18" t="s">
        <v>1112</v>
      </c>
      <c r="C18" t="s">
        <v>229</v>
      </c>
      <c r="D18" t="s">
        <v>1113</v>
      </c>
      <c r="E18" t="s">
        <v>231</v>
      </c>
      <c r="F18" t="s">
        <v>1114</v>
      </c>
      <c r="G18" t="s">
        <v>40</v>
      </c>
      <c r="H18" t="s">
        <v>1115</v>
      </c>
      <c r="I18" t="s">
        <v>234</v>
      </c>
      <c r="J18" t="s">
        <v>1116</v>
      </c>
      <c r="L18" t="s">
        <v>1117</v>
      </c>
      <c r="M18" t="s">
        <v>18</v>
      </c>
      <c r="N18" t="s">
        <v>1118</v>
      </c>
      <c r="O18" t="s">
        <v>21</v>
      </c>
      <c r="P18" t="s">
        <v>1119</v>
      </c>
      <c r="Q18" t="s">
        <v>40</v>
      </c>
      <c r="R18" t="s">
        <v>1120</v>
      </c>
      <c r="S18" t="s">
        <v>240</v>
      </c>
      <c r="T18" t="s">
        <v>1121</v>
      </c>
      <c r="U18" t="s">
        <v>242</v>
      </c>
      <c r="V18" t="s">
        <v>243</v>
      </c>
      <c r="W18" t="s">
        <v>242</v>
      </c>
      <c r="X18" t="s">
        <v>243</v>
      </c>
      <c r="Y18" t="s">
        <v>242</v>
      </c>
      <c r="Z18" t="s">
        <v>243</v>
      </c>
      <c r="AA18" t="s">
        <v>242</v>
      </c>
      <c r="AB18" t="s">
        <v>243</v>
      </c>
      <c r="AC18" t="s">
        <v>242</v>
      </c>
      <c r="AD18" t="s">
        <v>243</v>
      </c>
      <c r="AE18" t="s">
        <v>242</v>
      </c>
      <c r="AF18" t="s">
        <v>243</v>
      </c>
      <c r="AG18" t="s">
        <v>242</v>
      </c>
      <c r="AH18" t="s">
        <v>243</v>
      </c>
      <c r="AI18" t="s">
        <v>242</v>
      </c>
      <c r="AJ18" t="s">
        <v>243</v>
      </c>
      <c r="AK18" t="s">
        <v>242</v>
      </c>
      <c r="AL18" t="s">
        <v>243</v>
      </c>
      <c r="AM18" t="s">
        <v>242</v>
      </c>
      <c r="AN18" t="s">
        <v>243</v>
      </c>
      <c r="AO18" t="s">
        <v>242</v>
      </c>
      <c r="AP18" t="s">
        <v>243</v>
      </c>
      <c r="AQ18" t="s">
        <v>242</v>
      </c>
      <c r="AR18" t="s">
        <v>243</v>
      </c>
      <c r="AS18" t="s">
        <v>242</v>
      </c>
      <c r="AT18" t="s">
        <v>244</v>
      </c>
      <c r="AU18" t="s">
        <v>1122</v>
      </c>
      <c r="AV18" t="s">
        <v>1123</v>
      </c>
      <c r="AW18" t="s">
        <v>247</v>
      </c>
      <c r="AX18" t="s">
        <v>1124</v>
      </c>
      <c r="AY18" t="s">
        <v>249</v>
      </c>
      <c r="AZ18" t="s">
        <v>1125</v>
      </c>
      <c r="BA18" t="s">
        <v>242</v>
      </c>
      <c r="BB18" t="s">
        <v>1126</v>
      </c>
      <c r="BC18" t="s">
        <v>664</v>
      </c>
      <c r="BD18" t="s">
        <v>1127</v>
      </c>
      <c r="BE18" t="s">
        <v>1128</v>
      </c>
      <c r="BF18" t="s">
        <v>1129</v>
      </c>
      <c r="BG18" t="s">
        <v>993</v>
      </c>
      <c r="BH18" t="s">
        <v>1130</v>
      </c>
      <c r="BI18" t="s">
        <v>1131</v>
      </c>
      <c r="BJ18" t="s">
        <v>1132</v>
      </c>
      <c r="BK18" t="s">
        <v>583</v>
      </c>
      <c r="BL18" t="s">
        <v>1133</v>
      </c>
      <c r="BM18" t="s">
        <v>293</v>
      </c>
      <c r="BN18" t="s">
        <v>1134</v>
      </c>
      <c r="BO18" t="s">
        <v>259</v>
      </c>
      <c r="BP18" t="s">
        <v>1135</v>
      </c>
      <c r="BQ18" t="s">
        <v>411</v>
      </c>
      <c r="BR18" t="s">
        <v>1136</v>
      </c>
      <c r="BS18" t="s">
        <v>1137</v>
      </c>
      <c r="BT18" t="s">
        <v>1138</v>
      </c>
      <c r="BU18" t="s">
        <v>451</v>
      </c>
      <c r="BV18" t="s">
        <v>1139</v>
      </c>
      <c r="BW18" t="s">
        <v>259</v>
      </c>
      <c r="BX18" t="s">
        <v>1140</v>
      </c>
      <c r="BY18" t="s">
        <v>685</v>
      </c>
      <c r="BZ18" t="s">
        <v>1141</v>
      </c>
      <c r="CA18" t="s">
        <v>1142</v>
      </c>
      <c r="CB18" t="s">
        <v>1143</v>
      </c>
      <c r="CC18" t="s">
        <v>344</v>
      </c>
      <c r="CD18" t="s">
        <v>1144</v>
      </c>
      <c r="CE18" t="s">
        <v>1145</v>
      </c>
      <c r="CF18" t="s">
        <v>1146</v>
      </c>
      <c r="CG18" t="s">
        <v>369</v>
      </c>
      <c r="CH18" t="s">
        <v>1147</v>
      </c>
      <c r="CI18" t="s">
        <v>1142</v>
      </c>
      <c r="CJ18" t="s">
        <v>1148</v>
      </c>
      <c r="CK18" t="s">
        <v>698</v>
      </c>
      <c r="CL18" t="s">
        <v>1149</v>
      </c>
      <c r="CM18" t="s">
        <v>1137</v>
      </c>
      <c r="CN18" t="s">
        <v>1150</v>
      </c>
      <c r="CO18" t="s">
        <v>344</v>
      </c>
      <c r="CP18" t="s">
        <v>1151</v>
      </c>
      <c r="CQ18" t="s">
        <v>653</v>
      </c>
      <c r="CR18" t="s">
        <v>1152</v>
      </c>
      <c r="CS18" t="s">
        <v>454</v>
      </c>
      <c r="CT18" t="s">
        <v>1153</v>
      </c>
      <c r="CU18" t="s">
        <v>1137</v>
      </c>
      <c r="CV18" t="s">
        <v>1154</v>
      </c>
      <c r="CW18" t="s">
        <v>405</v>
      </c>
      <c r="CX18" t="s">
        <v>1155</v>
      </c>
      <c r="CY18" t="s">
        <v>696</v>
      </c>
      <c r="CZ18" t="s">
        <v>1156</v>
      </c>
      <c r="DA18" t="s">
        <v>685</v>
      </c>
      <c r="DB18" t="s">
        <v>1157</v>
      </c>
      <c r="DC18" t="s">
        <v>242</v>
      </c>
      <c r="DD18" t="s">
        <v>1158</v>
      </c>
      <c r="DF18" t="s">
        <v>1159</v>
      </c>
      <c r="DG18" t="s">
        <v>242</v>
      </c>
      <c r="DH18" t="s">
        <v>1160</v>
      </c>
    </row>
    <row r="19" spans="1:112" x14ac:dyDescent="0.35">
      <c r="A19" t="s">
        <v>227</v>
      </c>
      <c r="B19" t="s">
        <v>1161</v>
      </c>
      <c r="C19" t="s">
        <v>229</v>
      </c>
      <c r="D19" t="s">
        <v>1162</v>
      </c>
      <c r="E19" t="s">
        <v>231</v>
      </c>
      <c r="F19" t="s">
        <v>1163</v>
      </c>
      <c r="G19" t="s">
        <v>40</v>
      </c>
      <c r="H19" t="s">
        <v>1164</v>
      </c>
      <c r="I19" t="s">
        <v>234</v>
      </c>
      <c r="J19" t="s">
        <v>1165</v>
      </c>
      <c r="L19" t="s">
        <v>1166</v>
      </c>
      <c r="M19" t="s">
        <v>15</v>
      </c>
      <c r="N19" t="s">
        <v>1167</v>
      </c>
      <c r="O19" t="s">
        <v>21</v>
      </c>
      <c r="P19" t="s">
        <v>384</v>
      </c>
      <c r="Q19" t="s">
        <v>40</v>
      </c>
      <c r="R19" t="s">
        <v>1168</v>
      </c>
      <c r="S19" t="s">
        <v>240</v>
      </c>
      <c r="T19" t="s">
        <v>1169</v>
      </c>
      <c r="U19" t="s">
        <v>242</v>
      </c>
      <c r="V19" t="s">
        <v>243</v>
      </c>
      <c r="W19" t="s">
        <v>242</v>
      </c>
      <c r="X19" t="s">
        <v>243</v>
      </c>
      <c r="Y19" t="s">
        <v>242</v>
      </c>
      <c r="Z19" t="s">
        <v>243</v>
      </c>
      <c r="AA19" t="s">
        <v>242</v>
      </c>
      <c r="AB19" t="s">
        <v>243</v>
      </c>
      <c r="AC19" t="s">
        <v>242</v>
      </c>
      <c r="AD19" t="s">
        <v>243</v>
      </c>
      <c r="AE19" t="s">
        <v>242</v>
      </c>
      <c r="AF19" t="s">
        <v>243</v>
      </c>
      <c r="AG19" t="s">
        <v>242</v>
      </c>
      <c r="AH19" t="s">
        <v>243</v>
      </c>
      <c r="AI19" t="s">
        <v>242</v>
      </c>
      <c r="AJ19" t="s">
        <v>243</v>
      </c>
      <c r="AK19" t="s">
        <v>242</v>
      </c>
      <c r="AL19" t="s">
        <v>243</v>
      </c>
      <c r="AM19" t="s">
        <v>242</v>
      </c>
      <c r="AN19" t="s">
        <v>243</v>
      </c>
      <c r="AO19" t="s">
        <v>242</v>
      </c>
      <c r="AP19" t="s">
        <v>243</v>
      </c>
      <c r="AQ19" t="s">
        <v>242</v>
      </c>
      <c r="AR19" t="s">
        <v>243</v>
      </c>
      <c r="AS19" t="s">
        <v>242</v>
      </c>
      <c r="AT19" t="s">
        <v>244</v>
      </c>
      <c r="AU19" t="s">
        <v>330</v>
      </c>
      <c r="AV19" t="s">
        <v>1170</v>
      </c>
      <c r="AW19" t="s">
        <v>247</v>
      </c>
      <c r="AX19" t="s">
        <v>1171</v>
      </c>
      <c r="AY19" t="s">
        <v>1172</v>
      </c>
      <c r="AZ19" t="s">
        <v>1173</v>
      </c>
      <c r="BA19" t="s">
        <v>242</v>
      </c>
      <c r="BB19" t="s">
        <v>1174</v>
      </c>
      <c r="BC19" t="s">
        <v>401</v>
      </c>
      <c r="BD19" t="s">
        <v>1175</v>
      </c>
      <c r="BE19" t="s">
        <v>261</v>
      </c>
      <c r="BF19" t="s">
        <v>1176</v>
      </c>
      <c r="BG19" t="s">
        <v>519</v>
      </c>
      <c r="BH19" t="s">
        <v>1177</v>
      </c>
      <c r="BI19" t="s">
        <v>408</v>
      </c>
      <c r="BJ19" t="s">
        <v>1178</v>
      </c>
      <c r="BK19" t="s">
        <v>451</v>
      </c>
      <c r="BL19" t="s">
        <v>1179</v>
      </c>
      <c r="BM19" t="s">
        <v>731</v>
      </c>
      <c r="BN19" t="s">
        <v>1180</v>
      </c>
      <c r="BO19" t="s">
        <v>268</v>
      </c>
      <c r="BP19" t="s">
        <v>1181</v>
      </c>
      <c r="BQ19" t="s">
        <v>395</v>
      </c>
      <c r="BR19" t="s">
        <v>1182</v>
      </c>
      <c r="BS19" t="s">
        <v>779</v>
      </c>
      <c r="BT19" t="s">
        <v>1183</v>
      </c>
      <c r="BU19" t="s">
        <v>752</v>
      </c>
      <c r="BV19" t="s">
        <v>1184</v>
      </c>
      <c r="BW19" t="s">
        <v>752</v>
      </c>
      <c r="BX19" t="s">
        <v>1185</v>
      </c>
      <c r="BY19" t="s">
        <v>414</v>
      </c>
      <c r="BZ19" t="s">
        <v>1186</v>
      </c>
      <c r="CA19" t="s">
        <v>744</v>
      </c>
      <c r="CB19" t="s">
        <v>1187</v>
      </c>
      <c r="CC19" t="s">
        <v>519</v>
      </c>
      <c r="CD19" t="s">
        <v>1188</v>
      </c>
      <c r="CE19" t="s">
        <v>421</v>
      </c>
      <c r="CF19" t="s">
        <v>1189</v>
      </c>
      <c r="CG19" t="s">
        <v>367</v>
      </c>
      <c r="CH19" t="s">
        <v>1190</v>
      </c>
      <c r="CI19" t="s">
        <v>287</v>
      </c>
      <c r="CJ19" t="s">
        <v>1191</v>
      </c>
      <c r="CK19" t="s">
        <v>469</v>
      </c>
      <c r="CL19" t="s">
        <v>1192</v>
      </c>
      <c r="CM19" t="s">
        <v>397</v>
      </c>
      <c r="CN19" t="s">
        <v>1193</v>
      </c>
      <c r="CO19" t="s">
        <v>393</v>
      </c>
      <c r="CP19" t="s">
        <v>1194</v>
      </c>
      <c r="CQ19" t="s">
        <v>752</v>
      </c>
      <c r="CR19" t="s">
        <v>1195</v>
      </c>
      <c r="CS19" t="s">
        <v>367</v>
      </c>
      <c r="CT19" t="s">
        <v>1196</v>
      </c>
      <c r="CU19" t="s">
        <v>416</v>
      </c>
      <c r="CV19" t="s">
        <v>1197</v>
      </c>
      <c r="CW19" t="s">
        <v>744</v>
      </c>
      <c r="CX19" t="s">
        <v>1198</v>
      </c>
      <c r="CY19" t="s">
        <v>408</v>
      </c>
      <c r="CZ19" t="s">
        <v>1199</v>
      </c>
      <c r="DA19" t="s">
        <v>481</v>
      </c>
      <c r="DB19" t="s">
        <v>1200</v>
      </c>
      <c r="DC19" t="s">
        <v>242</v>
      </c>
      <c r="DD19" t="s">
        <v>551</v>
      </c>
      <c r="DF19" t="s">
        <v>1201</v>
      </c>
      <c r="DG19" t="s">
        <v>242</v>
      </c>
      <c r="DH19" t="s">
        <v>1202</v>
      </c>
    </row>
    <row r="20" spans="1:112" x14ac:dyDescent="0.35">
      <c r="A20" t="s">
        <v>227</v>
      </c>
      <c r="B20" t="s">
        <v>1203</v>
      </c>
      <c r="C20" t="s">
        <v>229</v>
      </c>
      <c r="D20" t="s">
        <v>1204</v>
      </c>
      <c r="E20" t="s">
        <v>231</v>
      </c>
      <c r="F20" t="s">
        <v>1205</v>
      </c>
      <c r="G20" t="s">
        <v>40</v>
      </c>
      <c r="H20" t="s">
        <v>1206</v>
      </c>
      <c r="I20" t="s">
        <v>234</v>
      </c>
      <c r="J20" t="s">
        <v>1207</v>
      </c>
      <c r="L20" t="s">
        <v>1208</v>
      </c>
      <c r="M20" t="s">
        <v>18</v>
      </c>
      <c r="N20" t="s">
        <v>1209</v>
      </c>
      <c r="O20" t="s">
        <v>19</v>
      </c>
      <c r="P20" t="s">
        <v>1210</v>
      </c>
      <c r="Q20" t="s">
        <v>40</v>
      </c>
      <c r="R20" t="s">
        <v>1211</v>
      </c>
      <c r="S20" t="s">
        <v>240</v>
      </c>
      <c r="T20" t="s">
        <v>1212</v>
      </c>
      <c r="U20" t="s">
        <v>242</v>
      </c>
      <c r="V20" t="s">
        <v>243</v>
      </c>
      <c r="W20" t="s">
        <v>242</v>
      </c>
      <c r="X20" t="s">
        <v>243</v>
      </c>
      <c r="Y20" t="s">
        <v>242</v>
      </c>
      <c r="Z20" t="s">
        <v>243</v>
      </c>
      <c r="AA20" t="s">
        <v>242</v>
      </c>
      <c r="AB20" t="s">
        <v>243</v>
      </c>
      <c r="AC20" t="s">
        <v>242</v>
      </c>
      <c r="AD20" t="s">
        <v>243</v>
      </c>
      <c r="AE20" t="s">
        <v>242</v>
      </c>
      <c r="AF20" t="s">
        <v>243</v>
      </c>
      <c r="AG20" t="s">
        <v>242</v>
      </c>
      <c r="AH20" t="s">
        <v>243</v>
      </c>
      <c r="AI20" t="s">
        <v>242</v>
      </c>
      <c r="AJ20" t="s">
        <v>243</v>
      </c>
      <c r="AK20" t="s">
        <v>242</v>
      </c>
      <c r="AL20" t="s">
        <v>243</v>
      </c>
      <c r="AM20" t="s">
        <v>242</v>
      </c>
      <c r="AN20" t="s">
        <v>243</v>
      </c>
      <c r="AO20" t="s">
        <v>242</v>
      </c>
      <c r="AP20" t="s">
        <v>243</v>
      </c>
      <c r="AQ20" t="s">
        <v>242</v>
      </c>
      <c r="AR20" t="s">
        <v>243</v>
      </c>
      <c r="AS20" t="s">
        <v>242</v>
      </c>
      <c r="AT20" t="s">
        <v>244</v>
      </c>
      <c r="AU20" t="s">
        <v>1213</v>
      </c>
      <c r="AV20" t="s">
        <v>1214</v>
      </c>
      <c r="AW20" t="s">
        <v>247</v>
      </c>
      <c r="AX20" t="s">
        <v>1215</v>
      </c>
      <c r="AY20" t="s">
        <v>249</v>
      </c>
      <c r="AZ20" t="s">
        <v>768</v>
      </c>
      <c r="BA20" t="s">
        <v>242</v>
      </c>
      <c r="BB20" t="s">
        <v>1216</v>
      </c>
      <c r="BC20" t="s">
        <v>393</v>
      </c>
      <c r="BD20" t="s">
        <v>1217</v>
      </c>
      <c r="BE20" t="s">
        <v>254</v>
      </c>
      <c r="BF20" t="s">
        <v>1218</v>
      </c>
      <c r="BG20" t="s">
        <v>744</v>
      </c>
      <c r="BH20" t="s">
        <v>1219</v>
      </c>
      <c r="BI20" t="s">
        <v>411</v>
      </c>
      <c r="BJ20" t="s">
        <v>1220</v>
      </c>
      <c r="BK20" t="s">
        <v>287</v>
      </c>
      <c r="BL20" t="s">
        <v>1221</v>
      </c>
      <c r="BM20" t="s">
        <v>454</v>
      </c>
      <c r="BN20" t="s">
        <v>1222</v>
      </c>
      <c r="BO20" t="s">
        <v>538</v>
      </c>
      <c r="BP20" t="s">
        <v>1223</v>
      </c>
      <c r="BQ20" t="s">
        <v>369</v>
      </c>
      <c r="BR20" t="s">
        <v>1224</v>
      </c>
      <c r="BS20" t="s">
        <v>356</v>
      </c>
      <c r="BT20" t="s">
        <v>1225</v>
      </c>
      <c r="BU20" t="s">
        <v>395</v>
      </c>
      <c r="BV20" t="s">
        <v>1226</v>
      </c>
      <c r="BW20" t="s">
        <v>339</v>
      </c>
      <c r="BX20" t="s">
        <v>1227</v>
      </c>
      <c r="BY20" t="s">
        <v>395</v>
      </c>
      <c r="BZ20" t="s">
        <v>1228</v>
      </c>
      <c r="CA20" t="s">
        <v>351</v>
      </c>
      <c r="CB20" t="s">
        <v>1229</v>
      </c>
      <c r="CC20" t="s">
        <v>344</v>
      </c>
      <c r="CD20" t="s">
        <v>512</v>
      </c>
      <c r="CE20" t="s">
        <v>591</v>
      </c>
      <c r="CF20" t="s">
        <v>1230</v>
      </c>
      <c r="CG20" t="s">
        <v>257</v>
      </c>
      <c r="CH20" t="s">
        <v>1231</v>
      </c>
      <c r="CI20" t="s">
        <v>348</v>
      </c>
      <c r="CJ20" t="s">
        <v>1232</v>
      </c>
      <c r="CK20" t="s">
        <v>289</v>
      </c>
      <c r="CL20" t="s">
        <v>1233</v>
      </c>
      <c r="CM20" t="s">
        <v>339</v>
      </c>
      <c r="CN20" t="s">
        <v>1234</v>
      </c>
      <c r="CO20" t="s">
        <v>285</v>
      </c>
      <c r="CP20" t="s">
        <v>1235</v>
      </c>
      <c r="CQ20" t="s">
        <v>595</v>
      </c>
      <c r="CR20" t="s">
        <v>1236</v>
      </c>
      <c r="CS20" t="s">
        <v>285</v>
      </c>
      <c r="CT20" t="s">
        <v>1237</v>
      </c>
      <c r="CU20" t="s">
        <v>900</v>
      </c>
      <c r="CV20" t="s">
        <v>1238</v>
      </c>
      <c r="CW20" t="s">
        <v>291</v>
      </c>
      <c r="CX20" t="s">
        <v>1239</v>
      </c>
      <c r="CY20" t="s">
        <v>519</v>
      </c>
      <c r="CZ20" t="s">
        <v>1240</v>
      </c>
      <c r="DA20" t="s">
        <v>473</v>
      </c>
      <c r="DB20" t="s">
        <v>1241</v>
      </c>
      <c r="DC20" t="s">
        <v>242</v>
      </c>
      <c r="DD20" t="s">
        <v>1242</v>
      </c>
      <c r="DF20" t="s">
        <v>1243</v>
      </c>
      <c r="DG20" t="s">
        <v>242</v>
      </c>
      <c r="DH20" t="s">
        <v>1244</v>
      </c>
    </row>
    <row r="21" spans="1:112" x14ac:dyDescent="0.35">
      <c r="A21" t="s">
        <v>227</v>
      </c>
      <c r="B21" t="s">
        <v>1245</v>
      </c>
      <c r="C21" t="s">
        <v>229</v>
      </c>
      <c r="D21" t="s">
        <v>1246</v>
      </c>
      <c r="E21" t="s">
        <v>231</v>
      </c>
      <c r="F21" t="s">
        <v>1247</v>
      </c>
      <c r="G21" t="s">
        <v>40</v>
      </c>
      <c r="H21" t="s">
        <v>1248</v>
      </c>
      <c r="I21" t="s">
        <v>234</v>
      </c>
      <c r="J21" t="s">
        <v>1249</v>
      </c>
      <c r="L21" t="s">
        <v>1250</v>
      </c>
      <c r="M21" t="s">
        <v>18</v>
      </c>
      <c r="N21" t="s">
        <v>1251</v>
      </c>
      <c r="O21" t="s">
        <v>19</v>
      </c>
      <c r="P21" t="s">
        <v>1252</v>
      </c>
      <c r="Q21" t="s">
        <v>40</v>
      </c>
      <c r="R21" t="s">
        <v>1253</v>
      </c>
      <c r="S21" t="s">
        <v>240</v>
      </c>
      <c r="T21" t="s">
        <v>1254</v>
      </c>
      <c r="U21" t="s">
        <v>242</v>
      </c>
      <c r="V21" t="s">
        <v>243</v>
      </c>
      <c r="W21" t="s">
        <v>242</v>
      </c>
      <c r="X21" t="s">
        <v>243</v>
      </c>
      <c r="Y21" t="s">
        <v>242</v>
      </c>
      <c r="Z21" t="s">
        <v>243</v>
      </c>
      <c r="AA21" t="s">
        <v>242</v>
      </c>
      <c r="AB21" t="s">
        <v>243</v>
      </c>
      <c r="AC21" t="s">
        <v>242</v>
      </c>
      <c r="AD21" t="s">
        <v>243</v>
      </c>
      <c r="AE21" t="s">
        <v>242</v>
      </c>
      <c r="AF21" t="s">
        <v>243</v>
      </c>
      <c r="AG21" t="s">
        <v>242</v>
      </c>
      <c r="AH21" t="s">
        <v>243</v>
      </c>
      <c r="AI21" t="s">
        <v>242</v>
      </c>
      <c r="AJ21" t="s">
        <v>243</v>
      </c>
      <c r="AK21" t="s">
        <v>242</v>
      </c>
      <c r="AL21" t="s">
        <v>243</v>
      </c>
      <c r="AM21" t="s">
        <v>242</v>
      </c>
      <c r="AN21" t="s">
        <v>243</v>
      </c>
      <c r="AO21" t="s">
        <v>242</v>
      </c>
      <c r="AP21" t="s">
        <v>243</v>
      </c>
      <c r="AQ21" t="s">
        <v>242</v>
      </c>
      <c r="AR21" t="s">
        <v>243</v>
      </c>
      <c r="AS21" t="s">
        <v>242</v>
      </c>
      <c r="AT21" t="s">
        <v>244</v>
      </c>
      <c r="AU21" t="s">
        <v>1255</v>
      </c>
      <c r="AV21" t="s">
        <v>1256</v>
      </c>
      <c r="AW21" t="s">
        <v>247</v>
      </c>
      <c r="AX21" t="s">
        <v>1257</v>
      </c>
      <c r="AY21" t="s">
        <v>249</v>
      </c>
      <c r="AZ21" t="s">
        <v>1258</v>
      </c>
      <c r="BA21" t="s">
        <v>242</v>
      </c>
      <c r="BB21" t="s">
        <v>1259</v>
      </c>
      <c r="BC21" t="s">
        <v>664</v>
      </c>
      <c r="BD21" t="s">
        <v>1260</v>
      </c>
      <c r="BE21" t="s">
        <v>473</v>
      </c>
      <c r="BF21" t="s">
        <v>1261</v>
      </c>
      <c r="BG21" t="s">
        <v>591</v>
      </c>
      <c r="BH21" t="s">
        <v>1262</v>
      </c>
      <c r="BI21" t="s">
        <v>261</v>
      </c>
      <c r="BJ21" t="s">
        <v>1263</v>
      </c>
      <c r="BK21" t="s">
        <v>664</v>
      </c>
      <c r="BL21" t="s">
        <v>1264</v>
      </c>
      <c r="BM21" t="s">
        <v>408</v>
      </c>
      <c r="BN21" t="s">
        <v>1265</v>
      </c>
      <c r="BO21" t="s">
        <v>252</v>
      </c>
      <c r="BP21" t="s">
        <v>1266</v>
      </c>
      <c r="BQ21" t="s">
        <v>414</v>
      </c>
      <c r="BR21" t="s">
        <v>1267</v>
      </c>
      <c r="BS21" t="s">
        <v>664</v>
      </c>
      <c r="BT21" t="s">
        <v>1268</v>
      </c>
      <c r="BU21" t="s">
        <v>393</v>
      </c>
      <c r="BV21" t="s">
        <v>1269</v>
      </c>
      <c r="BW21" t="s">
        <v>342</v>
      </c>
      <c r="BX21" t="s">
        <v>1270</v>
      </c>
      <c r="BY21" t="s">
        <v>427</v>
      </c>
      <c r="BZ21" t="s">
        <v>1271</v>
      </c>
      <c r="CA21" t="s">
        <v>259</v>
      </c>
      <c r="CB21" t="s">
        <v>1272</v>
      </c>
      <c r="CC21" t="s">
        <v>469</v>
      </c>
      <c r="CD21" t="s">
        <v>1273</v>
      </c>
      <c r="CE21" t="s">
        <v>283</v>
      </c>
      <c r="CF21" t="s">
        <v>1274</v>
      </c>
      <c r="CG21" t="s">
        <v>367</v>
      </c>
      <c r="CH21" t="s">
        <v>1275</v>
      </c>
      <c r="CI21" t="s">
        <v>276</v>
      </c>
      <c r="CJ21" t="s">
        <v>1276</v>
      </c>
      <c r="CK21" t="s">
        <v>752</v>
      </c>
      <c r="CL21" t="s">
        <v>359</v>
      </c>
      <c r="CM21" t="s">
        <v>348</v>
      </c>
      <c r="CN21" t="s">
        <v>1277</v>
      </c>
      <c r="CO21" t="s">
        <v>538</v>
      </c>
      <c r="CP21" t="s">
        <v>1278</v>
      </c>
      <c r="CQ21" t="s">
        <v>371</v>
      </c>
      <c r="CR21" t="s">
        <v>1279</v>
      </c>
      <c r="CS21" t="s">
        <v>532</v>
      </c>
      <c r="CT21" t="s">
        <v>1280</v>
      </c>
      <c r="CU21" t="s">
        <v>285</v>
      </c>
      <c r="CV21" t="s">
        <v>1281</v>
      </c>
      <c r="CW21" t="s">
        <v>473</v>
      </c>
      <c r="CX21" t="s">
        <v>1057</v>
      </c>
      <c r="CY21" t="s">
        <v>285</v>
      </c>
      <c r="CZ21" t="s">
        <v>1282</v>
      </c>
      <c r="DA21" t="s">
        <v>473</v>
      </c>
      <c r="DB21" t="s">
        <v>1283</v>
      </c>
      <c r="DC21" t="s">
        <v>242</v>
      </c>
      <c r="DD21" t="s">
        <v>1284</v>
      </c>
      <c r="DF21" t="s">
        <v>1285</v>
      </c>
      <c r="DG21" t="s">
        <v>242</v>
      </c>
      <c r="DH21" t="s">
        <v>1286</v>
      </c>
    </row>
    <row r="22" spans="1:112" x14ac:dyDescent="0.35">
      <c r="A22" t="s">
        <v>227</v>
      </c>
      <c r="B22" t="s">
        <v>1287</v>
      </c>
      <c r="C22" t="s">
        <v>229</v>
      </c>
      <c r="D22" t="s">
        <v>1288</v>
      </c>
      <c r="E22" t="s">
        <v>231</v>
      </c>
      <c r="F22" t="s">
        <v>1289</v>
      </c>
      <c r="G22" t="s">
        <v>40</v>
      </c>
      <c r="H22" t="s">
        <v>1290</v>
      </c>
      <c r="I22" t="s">
        <v>234</v>
      </c>
      <c r="J22" t="s">
        <v>1291</v>
      </c>
      <c r="L22" t="s">
        <v>1292</v>
      </c>
      <c r="M22" t="s">
        <v>15</v>
      </c>
      <c r="N22" t="s">
        <v>1293</v>
      </c>
      <c r="O22" t="s">
        <v>19</v>
      </c>
      <c r="P22" t="s">
        <v>1294</v>
      </c>
      <c r="Q22" t="s">
        <v>40</v>
      </c>
      <c r="R22" t="s">
        <v>1295</v>
      </c>
      <c r="S22" t="s">
        <v>240</v>
      </c>
      <c r="T22" t="s">
        <v>1296</v>
      </c>
      <c r="U22" t="s">
        <v>242</v>
      </c>
      <c r="V22" t="s">
        <v>243</v>
      </c>
      <c r="W22" t="s">
        <v>242</v>
      </c>
      <c r="X22" t="s">
        <v>243</v>
      </c>
      <c r="Y22" t="s">
        <v>242</v>
      </c>
      <c r="Z22" t="s">
        <v>243</v>
      </c>
      <c r="AA22" t="s">
        <v>242</v>
      </c>
      <c r="AB22" t="s">
        <v>243</v>
      </c>
      <c r="AC22" t="s">
        <v>242</v>
      </c>
      <c r="AD22" t="s">
        <v>243</v>
      </c>
      <c r="AE22" t="s">
        <v>242</v>
      </c>
      <c r="AF22" t="s">
        <v>243</v>
      </c>
      <c r="AG22" t="s">
        <v>242</v>
      </c>
      <c r="AH22" t="s">
        <v>243</v>
      </c>
      <c r="AI22" t="s">
        <v>242</v>
      </c>
      <c r="AJ22" t="s">
        <v>243</v>
      </c>
      <c r="AK22" t="s">
        <v>242</v>
      </c>
      <c r="AL22" t="s">
        <v>243</v>
      </c>
      <c r="AM22" t="s">
        <v>242</v>
      </c>
      <c r="AN22" t="s">
        <v>243</v>
      </c>
      <c r="AO22" t="s">
        <v>242</v>
      </c>
      <c r="AP22" t="s">
        <v>243</v>
      </c>
      <c r="AQ22" t="s">
        <v>242</v>
      </c>
      <c r="AR22" t="s">
        <v>243</v>
      </c>
      <c r="AS22" t="s">
        <v>242</v>
      </c>
      <c r="AT22" t="s">
        <v>244</v>
      </c>
      <c r="AU22" t="s">
        <v>1297</v>
      </c>
      <c r="AV22" t="s">
        <v>1298</v>
      </c>
      <c r="AW22" t="s">
        <v>247</v>
      </c>
      <c r="AX22" t="s">
        <v>1299</v>
      </c>
      <c r="AY22" t="s">
        <v>249</v>
      </c>
      <c r="AZ22" t="s">
        <v>1300</v>
      </c>
      <c r="BA22" t="s">
        <v>242</v>
      </c>
      <c r="BB22" t="s">
        <v>1301</v>
      </c>
      <c r="BC22" t="s">
        <v>698</v>
      </c>
      <c r="BD22" t="s">
        <v>1302</v>
      </c>
      <c r="BE22" t="s">
        <v>293</v>
      </c>
      <c r="BF22" t="s">
        <v>1303</v>
      </c>
      <c r="BG22" t="s">
        <v>393</v>
      </c>
      <c r="BH22" t="s">
        <v>601</v>
      </c>
      <c r="BI22" t="s">
        <v>337</v>
      </c>
      <c r="BJ22" t="s">
        <v>1304</v>
      </c>
      <c r="BK22" t="s">
        <v>595</v>
      </c>
      <c r="BL22" t="s">
        <v>1305</v>
      </c>
      <c r="BM22" t="s">
        <v>261</v>
      </c>
      <c r="BN22" t="s">
        <v>1306</v>
      </c>
      <c r="BO22" t="s">
        <v>397</v>
      </c>
      <c r="BP22" t="s">
        <v>1307</v>
      </c>
      <c r="BQ22" t="s">
        <v>698</v>
      </c>
      <c r="BR22" t="s">
        <v>1308</v>
      </c>
      <c r="BS22" t="s">
        <v>335</v>
      </c>
      <c r="BT22" t="s">
        <v>1309</v>
      </c>
      <c r="BU22" t="s">
        <v>731</v>
      </c>
      <c r="BV22" t="s">
        <v>1310</v>
      </c>
      <c r="BW22" t="s">
        <v>365</v>
      </c>
      <c r="BX22" t="s">
        <v>1311</v>
      </c>
      <c r="BY22" t="s">
        <v>274</v>
      </c>
      <c r="BZ22" t="s">
        <v>1312</v>
      </c>
      <c r="CA22" t="s">
        <v>287</v>
      </c>
      <c r="CB22" t="s">
        <v>1313</v>
      </c>
      <c r="CC22" t="s">
        <v>454</v>
      </c>
      <c r="CD22" t="s">
        <v>1314</v>
      </c>
      <c r="CE22" t="s">
        <v>595</v>
      </c>
      <c r="CF22" t="s">
        <v>1315</v>
      </c>
      <c r="CG22" t="s">
        <v>369</v>
      </c>
      <c r="CH22" t="s">
        <v>1316</v>
      </c>
      <c r="CI22" t="s">
        <v>401</v>
      </c>
      <c r="CJ22" t="s">
        <v>1317</v>
      </c>
      <c r="CK22" t="s">
        <v>358</v>
      </c>
      <c r="CL22" t="s">
        <v>1318</v>
      </c>
      <c r="CM22" t="s">
        <v>744</v>
      </c>
      <c r="CN22" t="s">
        <v>1319</v>
      </c>
      <c r="CO22" t="s">
        <v>358</v>
      </c>
      <c r="CP22" t="s">
        <v>1320</v>
      </c>
      <c r="CQ22" t="s">
        <v>335</v>
      </c>
      <c r="CR22" t="s">
        <v>1321</v>
      </c>
      <c r="CS22" t="s">
        <v>395</v>
      </c>
      <c r="CT22" t="s">
        <v>574</v>
      </c>
      <c r="CU22" t="s">
        <v>285</v>
      </c>
      <c r="CV22" t="s">
        <v>1322</v>
      </c>
      <c r="CW22" t="s">
        <v>405</v>
      </c>
      <c r="CX22" t="s">
        <v>1323</v>
      </c>
      <c r="CY22" t="s">
        <v>532</v>
      </c>
      <c r="CZ22" t="s">
        <v>1324</v>
      </c>
      <c r="DA22" t="s">
        <v>698</v>
      </c>
      <c r="DB22" t="s">
        <v>1325</v>
      </c>
      <c r="DC22" t="s">
        <v>242</v>
      </c>
      <c r="DD22" t="s">
        <v>1326</v>
      </c>
      <c r="DF22" t="s">
        <v>1327</v>
      </c>
      <c r="DG22" t="s">
        <v>242</v>
      </c>
      <c r="DH22" t="s">
        <v>1328</v>
      </c>
    </row>
    <row r="23" spans="1:112" x14ac:dyDescent="0.35">
      <c r="A23" t="s">
        <v>227</v>
      </c>
      <c r="B23" t="s">
        <v>1329</v>
      </c>
      <c r="C23" t="s">
        <v>229</v>
      </c>
      <c r="D23" t="s">
        <v>1330</v>
      </c>
      <c r="E23" t="s">
        <v>231</v>
      </c>
      <c r="F23" t="s">
        <v>1331</v>
      </c>
      <c r="G23" t="s">
        <v>40</v>
      </c>
      <c r="H23" t="s">
        <v>1332</v>
      </c>
      <c r="I23" t="s">
        <v>234</v>
      </c>
      <c r="J23" t="s">
        <v>1333</v>
      </c>
      <c r="L23" t="s">
        <v>1334</v>
      </c>
      <c r="M23" t="s">
        <v>15</v>
      </c>
      <c r="N23" t="s">
        <v>1335</v>
      </c>
      <c r="O23" t="s">
        <v>21</v>
      </c>
      <c r="P23" t="s">
        <v>1336</v>
      </c>
      <c r="Q23" t="s">
        <v>1337</v>
      </c>
      <c r="R23" t="s">
        <v>1133</v>
      </c>
      <c r="S23" t="s">
        <v>310</v>
      </c>
      <c r="T23" t="s">
        <v>1338</v>
      </c>
      <c r="U23" t="s">
        <v>40</v>
      </c>
      <c r="V23" t="s">
        <v>1339</v>
      </c>
      <c r="W23" t="s">
        <v>40</v>
      </c>
      <c r="X23" t="s">
        <v>1340</v>
      </c>
      <c r="Y23" t="s">
        <v>1341</v>
      </c>
      <c r="Z23" t="s">
        <v>1342</v>
      </c>
      <c r="AA23" t="s">
        <v>40</v>
      </c>
      <c r="AB23" t="s">
        <v>1343</v>
      </c>
      <c r="AC23" t="s">
        <v>316</v>
      </c>
      <c r="AD23" t="s">
        <v>1344</v>
      </c>
      <c r="AE23" t="s">
        <v>502</v>
      </c>
      <c r="AF23" t="s">
        <v>1345</v>
      </c>
      <c r="AG23" t="s">
        <v>40</v>
      </c>
      <c r="AH23" t="s">
        <v>1346</v>
      </c>
      <c r="AI23" t="s">
        <v>621</v>
      </c>
      <c r="AJ23" t="s">
        <v>1347</v>
      </c>
      <c r="AK23" t="s">
        <v>1348</v>
      </c>
      <c r="AL23" t="s">
        <v>1349</v>
      </c>
      <c r="AM23" t="s">
        <v>1350</v>
      </c>
      <c r="AN23" t="s">
        <v>1351</v>
      </c>
      <c r="AO23" t="s">
        <v>825</v>
      </c>
      <c r="AP23" t="s">
        <v>1352</v>
      </c>
      <c r="AQ23" t="s">
        <v>46</v>
      </c>
      <c r="AR23" t="s">
        <v>1353</v>
      </c>
      <c r="AS23" t="s">
        <v>242</v>
      </c>
      <c r="AT23" t="s">
        <v>1354</v>
      </c>
      <c r="AU23" t="s">
        <v>1355</v>
      </c>
      <c r="AV23" t="s">
        <v>1356</v>
      </c>
      <c r="AW23" t="s">
        <v>247</v>
      </c>
      <c r="AX23" t="s">
        <v>1357</v>
      </c>
      <c r="AY23" t="s">
        <v>249</v>
      </c>
      <c r="AZ23" t="s">
        <v>1358</v>
      </c>
      <c r="BA23" t="s">
        <v>242</v>
      </c>
      <c r="BB23" t="s">
        <v>1359</v>
      </c>
      <c r="BC23" t="s">
        <v>1360</v>
      </c>
      <c r="BD23" t="s">
        <v>1361</v>
      </c>
      <c r="BE23" t="s">
        <v>685</v>
      </c>
      <c r="BF23" t="s">
        <v>404</v>
      </c>
      <c r="BG23" t="s">
        <v>451</v>
      </c>
      <c r="BH23" t="s">
        <v>1362</v>
      </c>
      <c r="BI23" t="s">
        <v>731</v>
      </c>
      <c r="BJ23" t="s">
        <v>1363</v>
      </c>
      <c r="BK23" t="s">
        <v>731</v>
      </c>
      <c r="BL23" t="s">
        <v>1364</v>
      </c>
      <c r="BM23" t="s">
        <v>688</v>
      </c>
      <c r="BN23" t="s">
        <v>1365</v>
      </c>
      <c r="BO23" t="s">
        <v>685</v>
      </c>
      <c r="BP23" t="s">
        <v>1366</v>
      </c>
      <c r="BQ23" t="s">
        <v>451</v>
      </c>
      <c r="BR23" t="s">
        <v>1367</v>
      </c>
      <c r="BS23" t="s">
        <v>369</v>
      </c>
      <c r="BT23" t="s">
        <v>1368</v>
      </c>
      <c r="BU23" t="s">
        <v>337</v>
      </c>
      <c r="BV23" t="s">
        <v>1369</v>
      </c>
      <c r="BW23" t="s">
        <v>731</v>
      </c>
      <c r="BX23" t="s">
        <v>1370</v>
      </c>
      <c r="BY23" t="s">
        <v>451</v>
      </c>
      <c r="BZ23" t="s">
        <v>1371</v>
      </c>
      <c r="CA23" t="s">
        <v>451</v>
      </c>
      <c r="CB23" t="s">
        <v>1372</v>
      </c>
      <c r="CC23" t="s">
        <v>688</v>
      </c>
      <c r="CD23" t="s">
        <v>1373</v>
      </c>
      <c r="CE23" t="s">
        <v>254</v>
      </c>
      <c r="CF23" t="s">
        <v>767</v>
      </c>
      <c r="CG23" t="s">
        <v>405</v>
      </c>
      <c r="CH23" t="s">
        <v>1374</v>
      </c>
      <c r="CI23" t="s">
        <v>454</v>
      </c>
      <c r="CJ23" t="s">
        <v>1375</v>
      </c>
      <c r="CK23" t="s">
        <v>731</v>
      </c>
      <c r="CL23" t="s">
        <v>607</v>
      </c>
      <c r="CM23" t="s">
        <v>395</v>
      </c>
      <c r="CN23" t="s">
        <v>1376</v>
      </c>
      <c r="CO23" t="s">
        <v>405</v>
      </c>
      <c r="CP23" t="s">
        <v>1377</v>
      </c>
      <c r="CQ23" t="s">
        <v>454</v>
      </c>
      <c r="CR23" t="s">
        <v>1378</v>
      </c>
      <c r="CS23" t="s">
        <v>454</v>
      </c>
      <c r="CT23" t="s">
        <v>1379</v>
      </c>
      <c r="CU23" t="s">
        <v>1380</v>
      </c>
      <c r="CV23" t="s">
        <v>1381</v>
      </c>
      <c r="CW23" t="s">
        <v>293</v>
      </c>
      <c r="CX23" t="s">
        <v>361</v>
      </c>
      <c r="CY23" t="s">
        <v>479</v>
      </c>
      <c r="CZ23" t="s">
        <v>1382</v>
      </c>
      <c r="DA23" t="s">
        <v>685</v>
      </c>
      <c r="DB23" t="s">
        <v>1383</v>
      </c>
      <c r="DC23" t="s">
        <v>242</v>
      </c>
      <c r="DD23" t="s">
        <v>1384</v>
      </c>
      <c r="DF23" t="s">
        <v>1385</v>
      </c>
      <c r="DG23" t="s">
        <v>242</v>
      </c>
      <c r="DH23" t="s">
        <v>1093</v>
      </c>
    </row>
    <row r="24" spans="1:112" x14ac:dyDescent="0.35">
      <c r="A24" t="s">
        <v>227</v>
      </c>
      <c r="B24" t="s">
        <v>1386</v>
      </c>
      <c r="C24" t="s">
        <v>229</v>
      </c>
      <c r="D24" t="s">
        <v>1387</v>
      </c>
      <c r="E24" t="s">
        <v>231</v>
      </c>
      <c r="F24" t="s">
        <v>1388</v>
      </c>
      <c r="G24" t="s">
        <v>40</v>
      </c>
      <c r="H24" t="s">
        <v>1389</v>
      </c>
      <c r="I24" t="s">
        <v>234</v>
      </c>
      <c r="J24" t="s">
        <v>1390</v>
      </c>
      <c r="L24" t="s">
        <v>1391</v>
      </c>
      <c r="M24" t="s">
        <v>18</v>
      </c>
      <c r="N24" t="s">
        <v>1392</v>
      </c>
      <c r="O24" t="s">
        <v>19</v>
      </c>
      <c r="P24" t="s">
        <v>1393</v>
      </c>
      <c r="Q24" t="s">
        <v>40</v>
      </c>
      <c r="R24" t="s">
        <v>1394</v>
      </c>
      <c r="S24" t="s">
        <v>240</v>
      </c>
      <c r="T24" t="s">
        <v>1395</v>
      </c>
      <c r="U24" t="s">
        <v>242</v>
      </c>
      <c r="V24" t="s">
        <v>243</v>
      </c>
      <c r="W24" t="s">
        <v>242</v>
      </c>
      <c r="X24" t="s">
        <v>243</v>
      </c>
      <c r="Y24" t="s">
        <v>242</v>
      </c>
      <c r="Z24" t="s">
        <v>243</v>
      </c>
      <c r="AA24" t="s">
        <v>242</v>
      </c>
      <c r="AB24" t="s">
        <v>243</v>
      </c>
      <c r="AC24" t="s">
        <v>242</v>
      </c>
      <c r="AD24" t="s">
        <v>243</v>
      </c>
      <c r="AE24" t="s">
        <v>242</v>
      </c>
      <c r="AF24" t="s">
        <v>243</v>
      </c>
      <c r="AG24" t="s">
        <v>242</v>
      </c>
      <c r="AH24" t="s">
        <v>243</v>
      </c>
      <c r="AI24" t="s">
        <v>242</v>
      </c>
      <c r="AJ24" t="s">
        <v>243</v>
      </c>
      <c r="AK24" t="s">
        <v>242</v>
      </c>
      <c r="AL24" t="s">
        <v>243</v>
      </c>
      <c r="AM24" t="s">
        <v>242</v>
      </c>
      <c r="AN24" t="s">
        <v>243</v>
      </c>
      <c r="AO24" t="s">
        <v>242</v>
      </c>
      <c r="AP24" t="s">
        <v>243</v>
      </c>
      <c r="AQ24" t="s">
        <v>242</v>
      </c>
      <c r="AR24" t="s">
        <v>243</v>
      </c>
      <c r="AS24" t="s">
        <v>242</v>
      </c>
      <c r="AT24" t="s">
        <v>244</v>
      </c>
      <c r="AU24" t="s">
        <v>1396</v>
      </c>
      <c r="AV24" t="s">
        <v>1397</v>
      </c>
      <c r="AW24" t="s">
        <v>247</v>
      </c>
      <c r="AX24" t="s">
        <v>1398</v>
      </c>
      <c r="AY24" t="s">
        <v>249</v>
      </c>
      <c r="AZ24" t="s">
        <v>1399</v>
      </c>
      <c r="BA24" t="s">
        <v>242</v>
      </c>
      <c r="BB24" t="s">
        <v>1400</v>
      </c>
      <c r="BC24" t="s">
        <v>429</v>
      </c>
      <c r="BD24" t="s">
        <v>1401</v>
      </c>
      <c r="BE24" t="s">
        <v>295</v>
      </c>
      <c r="BF24" t="s">
        <v>1402</v>
      </c>
      <c r="BG24" t="s">
        <v>291</v>
      </c>
      <c r="BH24" t="s">
        <v>1403</v>
      </c>
      <c r="BI24" t="s">
        <v>295</v>
      </c>
      <c r="BJ24" t="s">
        <v>1404</v>
      </c>
      <c r="BK24" t="s">
        <v>401</v>
      </c>
      <c r="BL24" t="s">
        <v>1405</v>
      </c>
      <c r="BM24" t="s">
        <v>1360</v>
      </c>
      <c r="BN24" t="s">
        <v>1406</v>
      </c>
      <c r="BO24" t="s">
        <v>335</v>
      </c>
      <c r="BP24" t="s">
        <v>1407</v>
      </c>
      <c r="BQ24" t="s">
        <v>685</v>
      </c>
      <c r="BR24" t="s">
        <v>1408</v>
      </c>
      <c r="BS24" t="s">
        <v>595</v>
      </c>
      <c r="BT24" t="s">
        <v>586</v>
      </c>
      <c r="BU24" t="s">
        <v>476</v>
      </c>
      <c r="BV24" t="s">
        <v>1409</v>
      </c>
      <c r="BW24" t="s">
        <v>351</v>
      </c>
      <c r="BX24" t="s">
        <v>1410</v>
      </c>
      <c r="BY24" t="s">
        <v>254</v>
      </c>
      <c r="BZ24" t="s">
        <v>1411</v>
      </c>
      <c r="CA24" t="s">
        <v>528</v>
      </c>
      <c r="CB24" t="s">
        <v>1412</v>
      </c>
      <c r="CC24" t="s">
        <v>369</v>
      </c>
      <c r="CD24" t="s">
        <v>1413</v>
      </c>
      <c r="CE24" t="s">
        <v>528</v>
      </c>
      <c r="CF24" t="s">
        <v>1414</v>
      </c>
      <c r="CG24" t="s">
        <v>261</v>
      </c>
      <c r="CH24" t="s">
        <v>1415</v>
      </c>
      <c r="CI24" t="s">
        <v>664</v>
      </c>
      <c r="CJ24" t="s">
        <v>1416</v>
      </c>
      <c r="CK24" t="s">
        <v>698</v>
      </c>
      <c r="CL24" t="s">
        <v>1417</v>
      </c>
      <c r="CM24" t="s">
        <v>591</v>
      </c>
      <c r="CN24" t="s">
        <v>1418</v>
      </c>
      <c r="CO24" t="s">
        <v>281</v>
      </c>
      <c r="CP24" t="s">
        <v>1419</v>
      </c>
      <c r="CQ24" t="s">
        <v>348</v>
      </c>
      <c r="CR24" t="s">
        <v>1420</v>
      </c>
      <c r="CS24" t="s">
        <v>344</v>
      </c>
      <c r="CT24" t="s">
        <v>1421</v>
      </c>
      <c r="CU24" t="s">
        <v>356</v>
      </c>
      <c r="CV24" t="s">
        <v>1422</v>
      </c>
      <c r="CW24" t="s">
        <v>369</v>
      </c>
      <c r="CX24" t="s">
        <v>1423</v>
      </c>
      <c r="CY24" t="s">
        <v>365</v>
      </c>
      <c r="CZ24" t="s">
        <v>565</v>
      </c>
      <c r="DA24" t="s">
        <v>261</v>
      </c>
      <c r="DB24" t="s">
        <v>1424</v>
      </c>
      <c r="DC24" t="s">
        <v>242</v>
      </c>
      <c r="DD24" t="s">
        <v>1425</v>
      </c>
      <c r="DF24" t="s">
        <v>1426</v>
      </c>
      <c r="DG24" t="s">
        <v>242</v>
      </c>
      <c r="DH24" t="s">
        <v>1427</v>
      </c>
    </row>
    <row r="25" spans="1:112" x14ac:dyDescent="0.35">
      <c r="A25" t="s">
        <v>227</v>
      </c>
      <c r="B25" t="s">
        <v>1428</v>
      </c>
      <c r="C25" t="s">
        <v>229</v>
      </c>
      <c r="D25" t="s">
        <v>1429</v>
      </c>
      <c r="E25" t="s">
        <v>231</v>
      </c>
      <c r="F25" t="s">
        <v>1430</v>
      </c>
      <c r="G25" t="s">
        <v>40</v>
      </c>
      <c r="H25" t="s">
        <v>1431</v>
      </c>
      <c r="I25" t="s">
        <v>234</v>
      </c>
      <c r="J25" t="s">
        <v>1432</v>
      </c>
      <c r="L25" t="s">
        <v>1433</v>
      </c>
      <c r="M25" t="s">
        <v>18</v>
      </c>
      <c r="N25" t="s">
        <v>1434</v>
      </c>
      <c r="O25" t="s">
        <v>21</v>
      </c>
      <c r="P25" t="s">
        <v>1435</v>
      </c>
      <c r="Q25" t="s">
        <v>40</v>
      </c>
      <c r="R25" t="s">
        <v>1436</v>
      </c>
      <c r="S25" t="s">
        <v>310</v>
      </c>
      <c r="T25" t="s">
        <v>1437</v>
      </c>
      <c r="U25" t="s">
        <v>40</v>
      </c>
      <c r="V25" t="s">
        <v>1438</v>
      </c>
      <c r="W25" t="s">
        <v>40</v>
      </c>
      <c r="X25" t="s">
        <v>1439</v>
      </c>
      <c r="Y25" t="s">
        <v>75</v>
      </c>
      <c r="Z25" t="s">
        <v>1440</v>
      </c>
      <c r="AA25" t="s">
        <v>43</v>
      </c>
      <c r="AB25" t="s">
        <v>1441</v>
      </c>
      <c r="AC25" t="s">
        <v>242</v>
      </c>
      <c r="AD25" t="s">
        <v>243</v>
      </c>
      <c r="AE25" t="s">
        <v>242</v>
      </c>
      <c r="AF25" t="s">
        <v>243</v>
      </c>
      <c r="AG25" t="s">
        <v>242</v>
      </c>
      <c r="AH25" t="s">
        <v>243</v>
      </c>
      <c r="AI25" t="s">
        <v>242</v>
      </c>
      <c r="AJ25" t="s">
        <v>243</v>
      </c>
      <c r="AK25" t="s">
        <v>242</v>
      </c>
      <c r="AL25" t="s">
        <v>243</v>
      </c>
      <c r="AM25" t="s">
        <v>885</v>
      </c>
      <c r="AN25" t="s">
        <v>244</v>
      </c>
      <c r="AO25" t="s">
        <v>1442</v>
      </c>
      <c r="AP25" t="s">
        <v>1443</v>
      </c>
      <c r="AQ25" t="s">
        <v>41</v>
      </c>
      <c r="AR25" t="s">
        <v>1444</v>
      </c>
      <c r="AS25" t="s">
        <v>242</v>
      </c>
      <c r="AT25" t="s">
        <v>1445</v>
      </c>
      <c r="AU25" t="s">
        <v>1446</v>
      </c>
      <c r="AV25" t="s">
        <v>1447</v>
      </c>
      <c r="AW25" t="s">
        <v>247</v>
      </c>
      <c r="AX25" t="s">
        <v>1448</v>
      </c>
      <c r="AY25" t="s">
        <v>249</v>
      </c>
      <c r="AZ25" t="s">
        <v>1449</v>
      </c>
      <c r="BA25" t="s">
        <v>242</v>
      </c>
      <c r="BB25" t="s">
        <v>1450</v>
      </c>
      <c r="BC25" t="s">
        <v>993</v>
      </c>
      <c r="BD25" t="s">
        <v>1451</v>
      </c>
      <c r="BE25" t="s">
        <v>261</v>
      </c>
      <c r="BF25" t="s">
        <v>1452</v>
      </c>
      <c r="BG25" t="s">
        <v>351</v>
      </c>
      <c r="BH25" t="s">
        <v>1453</v>
      </c>
      <c r="BI25" t="s">
        <v>257</v>
      </c>
      <c r="BJ25" t="s">
        <v>1454</v>
      </c>
      <c r="BK25" t="s">
        <v>339</v>
      </c>
      <c r="BL25" t="s">
        <v>1455</v>
      </c>
      <c r="BM25" t="s">
        <v>427</v>
      </c>
      <c r="BN25" t="s">
        <v>1456</v>
      </c>
      <c r="BO25" t="s">
        <v>993</v>
      </c>
      <c r="BP25" t="s">
        <v>1457</v>
      </c>
      <c r="BQ25" t="s">
        <v>365</v>
      </c>
      <c r="BR25" t="s">
        <v>1458</v>
      </c>
      <c r="BS25" t="s">
        <v>656</v>
      </c>
      <c r="BT25" t="s">
        <v>1459</v>
      </c>
      <c r="BU25" t="s">
        <v>528</v>
      </c>
      <c r="BV25" t="s">
        <v>1460</v>
      </c>
      <c r="BW25" t="s">
        <v>252</v>
      </c>
      <c r="BX25" t="s">
        <v>1461</v>
      </c>
      <c r="BY25" t="s">
        <v>421</v>
      </c>
      <c r="BZ25" t="s">
        <v>1462</v>
      </c>
      <c r="CA25" t="s">
        <v>696</v>
      </c>
      <c r="CB25" t="s">
        <v>1463</v>
      </c>
      <c r="CC25" t="s">
        <v>342</v>
      </c>
      <c r="CD25" t="s">
        <v>1464</v>
      </c>
      <c r="CE25" t="s">
        <v>589</v>
      </c>
      <c r="CF25" t="s">
        <v>1465</v>
      </c>
      <c r="CG25" t="s">
        <v>900</v>
      </c>
      <c r="CH25" t="s">
        <v>1466</v>
      </c>
      <c r="CI25" t="s">
        <v>263</v>
      </c>
      <c r="CJ25" t="s">
        <v>1467</v>
      </c>
      <c r="CK25" t="s">
        <v>528</v>
      </c>
      <c r="CL25" t="s">
        <v>1468</v>
      </c>
      <c r="CM25" t="s">
        <v>342</v>
      </c>
      <c r="CN25" t="s">
        <v>1469</v>
      </c>
      <c r="CO25" t="s">
        <v>356</v>
      </c>
      <c r="CP25" t="s">
        <v>1470</v>
      </c>
      <c r="CQ25" t="s">
        <v>528</v>
      </c>
      <c r="CR25" t="s">
        <v>1471</v>
      </c>
      <c r="CS25" t="s">
        <v>752</v>
      </c>
      <c r="CT25" t="s">
        <v>1472</v>
      </c>
      <c r="CU25" t="s">
        <v>421</v>
      </c>
      <c r="CV25" t="s">
        <v>1473</v>
      </c>
      <c r="CW25" t="s">
        <v>538</v>
      </c>
      <c r="CX25" t="s">
        <v>1474</v>
      </c>
      <c r="CY25" t="s">
        <v>367</v>
      </c>
      <c r="CZ25" t="s">
        <v>1475</v>
      </c>
      <c r="DA25" t="s">
        <v>429</v>
      </c>
      <c r="DB25" t="s">
        <v>1476</v>
      </c>
      <c r="DC25" t="s">
        <v>242</v>
      </c>
      <c r="DD25" t="s">
        <v>1477</v>
      </c>
      <c r="DF25" t="s">
        <v>1478</v>
      </c>
      <c r="DG25" t="s">
        <v>242</v>
      </c>
      <c r="DH25" t="s">
        <v>1479</v>
      </c>
    </row>
    <row r="26" spans="1:112" x14ac:dyDescent="0.35">
      <c r="A26" t="s">
        <v>227</v>
      </c>
      <c r="B26" t="s">
        <v>1480</v>
      </c>
      <c r="C26" t="s">
        <v>229</v>
      </c>
      <c r="D26" t="s">
        <v>1481</v>
      </c>
      <c r="E26" t="s">
        <v>231</v>
      </c>
      <c r="F26" t="s">
        <v>1482</v>
      </c>
      <c r="G26" t="s">
        <v>40</v>
      </c>
      <c r="H26" t="s">
        <v>1483</v>
      </c>
      <c r="I26" t="s">
        <v>234</v>
      </c>
      <c r="J26" t="s">
        <v>1484</v>
      </c>
      <c r="L26" t="s">
        <v>1485</v>
      </c>
      <c r="M26" t="s">
        <v>15</v>
      </c>
      <c r="N26" t="s">
        <v>1165</v>
      </c>
      <c r="O26" t="s">
        <v>21</v>
      </c>
      <c r="P26" t="s">
        <v>1486</v>
      </c>
      <c r="Q26" t="s">
        <v>40</v>
      </c>
      <c r="R26" t="s">
        <v>1487</v>
      </c>
      <c r="S26" t="s">
        <v>310</v>
      </c>
      <c r="T26" t="s">
        <v>1488</v>
      </c>
      <c r="U26" t="s">
        <v>40</v>
      </c>
      <c r="V26" t="s">
        <v>1083</v>
      </c>
      <c r="W26" t="s">
        <v>44</v>
      </c>
      <c r="X26" t="s">
        <v>1489</v>
      </c>
      <c r="Y26" t="s">
        <v>242</v>
      </c>
      <c r="Z26" t="s">
        <v>243</v>
      </c>
      <c r="AA26" t="s">
        <v>40</v>
      </c>
      <c r="AB26" t="s">
        <v>244</v>
      </c>
      <c r="AC26" t="s">
        <v>316</v>
      </c>
      <c r="AD26" t="s">
        <v>1490</v>
      </c>
      <c r="AE26" t="s">
        <v>502</v>
      </c>
      <c r="AF26" t="s">
        <v>1491</v>
      </c>
      <c r="AG26" t="s">
        <v>43</v>
      </c>
      <c r="AH26" t="s">
        <v>1492</v>
      </c>
      <c r="AI26" t="s">
        <v>621</v>
      </c>
      <c r="AJ26" t="s">
        <v>1493</v>
      </c>
      <c r="AK26" t="s">
        <v>1494</v>
      </c>
      <c r="AL26" t="s">
        <v>1495</v>
      </c>
      <c r="AM26" t="s">
        <v>1496</v>
      </c>
      <c r="AN26" t="s">
        <v>1497</v>
      </c>
      <c r="AO26" t="s">
        <v>1498</v>
      </c>
      <c r="AP26" t="s">
        <v>1499</v>
      </c>
      <c r="AQ26" t="s">
        <v>41</v>
      </c>
      <c r="AR26" t="s">
        <v>1500</v>
      </c>
      <c r="AS26" t="s">
        <v>242</v>
      </c>
      <c r="AT26" t="s">
        <v>385</v>
      </c>
      <c r="AU26" t="s">
        <v>514</v>
      </c>
      <c r="AV26" t="s">
        <v>1501</v>
      </c>
      <c r="AW26" t="s">
        <v>247</v>
      </c>
      <c r="AX26" t="s">
        <v>1502</v>
      </c>
      <c r="AY26" t="s">
        <v>249</v>
      </c>
      <c r="AZ26" t="s">
        <v>1503</v>
      </c>
      <c r="BA26" t="s">
        <v>242</v>
      </c>
      <c r="BB26" t="s">
        <v>1504</v>
      </c>
      <c r="BC26" t="s">
        <v>252</v>
      </c>
      <c r="BD26" t="s">
        <v>1505</v>
      </c>
      <c r="BE26" t="s">
        <v>295</v>
      </c>
      <c r="BF26" t="s">
        <v>1506</v>
      </c>
      <c r="BG26" t="s">
        <v>295</v>
      </c>
      <c r="BH26" t="s">
        <v>1507</v>
      </c>
      <c r="BI26" t="s">
        <v>295</v>
      </c>
      <c r="BJ26" t="s">
        <v>1508</v>
      </c>
      <c r="BK26" t="s">
        <v>295</v>
      </c>
      <c r="BL26" t="s">
        <v>1509</v>
      </c>
      <c r="BM26" t="s">
        <v>295</v>
      </c>
      <c r="BN26" t="s">
        <v>1510</v>
      </c>
      <c r="BO26" t="s">
        <v>519</v>
      </c>
      <c r="BP26" t="s">
        <v>1511</v>
      </c>
      <c r="BQ26" t="s">
        <v>243</v>
      </c>
      <c r="BR26" t="s">
        <v>1512</v>
      </c>
      <c r="BS26" t="s">
        <v>519</v>
      </c>
      <c r="BT26" t="s">
        <v>1513</v>
      </c>
      <c r="BU26" t="s">
        <v>243</v>
      </c>
      <c r="BV26" t="s">
        <v>1514</v>
      </c>
      <c r="BW26" t="s">
        <v>295</v>
      </c>
      <c r="BX26" t="s">
        <v>1515</v>
      </c>
      <c r="BY26" t="s">
        <v>295</v>
      </c>
      <c r="BZ26" t="s">
        <v>1516</v>
      </c>
      <c r="CA26" t="s">
        <v>243</v>
      </c>
      <c r="CB26" t="s">
        <v>1517</v>
      </c>
      <c r="CC26" t="s">
        <v>243</v>
      </c>
      <c r="CD26" t="s">
        <v>1518</v>
      </c>
      <c r="CE26" t="s">
        <v>519</v>
      </c>
      <c r="CF26" t="s">
        <v>1519</v>
      </c>
      <c r="CG26" t="s">
        <v>243</v>
      </c>
      <c r="CH26" t="s">
        <v>1520</v>
      </c>
      <c r="CI26" t="s">
        <v>519</v>
      </c>
      <c r="CJ26" t="s">
        <v>1521</v>
      </c>
      <c r="CK26" t="s">
        <v>243</v>
      </c>
      <c r="CL26" t="s">
        <v>1522</v>
      </c>
      <c r="CM26" t="s">
        <v>519</v>
      </c>
      <c r="CN26" t="s">
        <v>1523</v>
      </c>
      <c r="CO26" t="s">
        <v>243</v>
      </c>
      <c r="CP26" t="s">
        <v>1524</v>
      </c>
      <c r="CQ26" t="s">
        <v>519</v>
      </c>
      <c r="CR26" t="s">
        <v>1525</v>
      </c>
      <c r="CS26" t="s">
        <v>243</v>
      </c>
      <c r="CT26" t="s">
        <v>1526</v>
      </c>
      <c r="CU26" t="s">
        <v>519</v>
      </c>
      <c r="CV26" t="s">
        <v>1527</v>
      </c>
      <c r="CW26" t="s">
        <v>243</v>
      </c>
      <c r="CX26" t="s">
        <v>1528</v>
      </c>
      <c r="CY26" t="s">
        <v>519</v>
      </c>
      <c r="CZ26" t="s">
        <v>1529</v>
      </c>
      <c r="DA26" t="s">
        <v>243</v>
      </c>
      <c r="DB26" t="s">
        <v>1530</v>
      </c>
      <c r="DC26" t="s">
        <v>242</v>
      </c>
      <c r="DD26" t="s">
        <v>1531</v>
      </c>
      <c r="DF26" t="s">
        <v>1532</v>
      </c>
      <c r="DG26" t="s">
        <v>242</v>
      </c>
      <c r="DH26" t="s">
        <v>1533</v>
      </c>
    </row>
    <row r="27" spans="1:112" x14ac:dyDescent="0.35">
      <c r="A27" t="s">
        <v>227</v>
      </c>
      <c r="B27" t="s">
        <v>1534</v>
      </c>
      <c r="C27" t="s">
        <v>229</v>
      </c>
      <c r="D27" t="s">
        <v>1535</v>
      </c>
      <c r="E27" t="s">
        <v>231</v>
      </c>
      <c r="F27" t="s">
        <v>1536</v>
      </c>
      <c r="G27" t="s">
        <v>40</v>
      </c>
      <c r="H27" t="s">
        <v>1537</v>
      </c>
      <c r="I27" t="s">
        <v>234</v>
      </c>
      <c r="J27" t="s">
        <v>1538</v>
      </c>
      <c r="L27" t="s">
        <v>1539</v>
      </c>
      <c r="M27" t="s">
        <v>18</v>
      </c>
      <c r="N27" t="s">
        <v>1540</v>
      </c>
      <c r="O27" t="s">
        <v>21</v>
      </c>
      <c r="P27" t="s">
        <v>1541</v>
      </c>
      <c r="Q27" t="s">
        <v>40</v>
      </c>
      <c r="R27" t="s">
        <v>1542</v>
      </c>
      <c r="S27" t="s">
        <v>310</v>
      </c>
      <c r="T27" t="s">
        <v>1543</v>
      </c>
      <c r="U27" t="s">
        <v>40</v>
      </c>
      <c r="V27" t="s">
        <v>1544</v>
      </c>
      <c r="W27" t="s">
        <v>40</v>
      </c>
      <c r="X27" t="s">
        <v>1545</v>
      </c>
      <c r="Y27" t="s">
        <v>330</v>
      </c>
      <c r="Z27" t="s">
        <v>1546</v>
      </c>
      <c r="AA27" t="s">
        <v>40</v>
      </c>
      <c r="AB27" t="s">
        <v>1547</v>
      </c>
      <c r="AC27" t="s">
        <v>316</v>
      </c>
      <c r="AD27" t="s">
        <v>1548</v>
      </c>
      <c r="AE27" t="s">
        <v>502</v>
      </c>
      <c r="AF27" t="s">
        <v>1549</v>
      </c>
      <c r="AG27" t="s">
        <v>40</v>
      </c>
      <c r="AH27" t="s">
        <v>1550</v>
      </c>
      <c r="AI27" t="s">
        <v>621</v>
      </c>
      <c r="AJ27" t="s">
        <v>1551</v>
      </c>
      <c r="AK27" t="s">
        <v>1552</v>
      </c>
      <c r="AL27" t="s">
        <v>1553</v>
      </c>
      <c r="AM27" t="s">
        <v>823</v>
      </c>
      <c r="AN27" t="s">
        <v>1554</v>
      </c>
      <c r="AO27" t="s">
        <v>825</v>
      </c>
      <c r="AP27" t="s">
        <v>1555</v>
      </c>
      <c r="AQ27" t="s">
        <v>41</v>
      </c>
      <c r="AR27" t="s">
        <v>1556</v>
      </c>
      <c r="AS27" t="s">
        <v>242</v>
      </c>
      <c r="AT27" t="s">
        <v>1557</v>
      </c>
      <c r="AU27" t="s">
        <v>330</v>
      </c>
      <c r="AV27" t="s">
        <v>1558</v>
      </c>
      <c r="AW27" t="s">
        <v>247</v>
      </c>
      <c r="AX27" t="s">
        <v>1559</v>
      </c>
      <c r="AY27" t="s">
        <v>249</v>
      </c>
      <c r="AZ27" t="s">
        <v>1560</v>
      </c>
      <c r="BA27" t="s">
        <v>242</v>
      </c>
      <c r="BB27" t="s">
        <v>1561</v>
      </c>
      <c r="BC27" t="s">
        <v>454</v>
      </c>
      <c r="BD27" t="s">
        <v>1562</v>
      </c>
      <c r="BE27" t="s">
        <v>685</v>
      </c>
      <c r="BF27" t="s">
        <v>1563</v>
      </c>
      <c r="BG27" t="s">
        <v>532</v>
      </c>
      <c r="BH27" t="s">
        <v>1564</v>
      </c>
      <c r="BI27" t="s">
        <v>532</v>
      </c>
      <c r="BJ27" t="s">
        <v>712</v>
      </c>
      <c r="BK27" t="s">
        <v>399</v>
      </c>
      <c r="BL27" t="s">
        <v>1565</v>
      </c>
      <c r="BM27" t="s">
        <v>427</v>
      </c>
      <c r="BN27" t="s">
        <v>1566</v>
      </c>
      <c r="BO27" t="s">
        <v>575</v>
      </c>
      <c r="BP27" t="s">
        <v>1567</v>
      </c>
      <c r="BQ27" t="s">
        <v>408</v>
      </c>
      <c r="BR27" t="s">
        <v>1568</v>
      </c>
      <c r="BS27" t="s">
        <v>467</v>
      </c>
      <c r="BT27" t="s">
        <v>1569</v>
      </c>
      <c r="BU27" t="s">
        <v>542</v>
      </c>
      <c r="BV27" t="s">
        <v>1570</v>
      </c>
      <c r="BW27" t="s">
        <v>427</v>
      </c>
      <c r="BX27" t="s">
        <v>1571</v>
      </c>
      <c r="BY27" t="s">
        <v>427</v>
      </c>
      <c r="BZ27" t="s">
        <v>1572</v>
      </c>
      <c r="CA27" t="s">
        <v>291</v>
      </c>
      <c r="CB27" t="s">
        <v>1573</v>
      </c>
      <c r="CC27" t="s">
        <v>393</v>
      </c>
      <c r="CD27" t="s">
        <v>1574</v>
      </c>
      <c r="CE27" t="s">
        <v>351</v>
      </c>
      <c r="CF27" t="s">
        <v>1575</v>
      </c>
      <c r="CG27" t="s">
        <v>696</v>
      </c>
      <c r="CH27" t="s">
        <v>1576</v>
      </c>
      <c r="CI27" t="s">
        <v>351</v>
      </c>
      <c r="CJ27" t="s">
        <v>1577</v>
      </c>
      <c r="CK27" t="s">
        <v>416</v>
      </c>
      <c r="CL27" t="s">
        <v>1578</v>
      </c>
      <c r="CM27" t="s">
        <v>252</v>
      </c>
      <c r="CN27" t="s">
        <v>1579</v>
      </c>
      <c r="CO27" t="s">
        <v>342</v>
      </c>
      <c r="CP27" t="s">
        <v>1580</v>
      </c>
      <c r="CQ27" t="s">
        <v>696</v>
      </c>
      <c r="CR27" t="s">
        <v>1581</v>
      </c>
      <c r="CS27" t="s">
        <v>900</v>
      </c>
      <c r="CT27" t="s">
        <v>1582</v>
      </c>
      <c r="CU27" t="s">
        <v>287</v>
      </c>
      <c r="CV27" t="s">
        <v>1550</v>
      </c>
      <c r="CW27" t="s">
        <v>335</v>
      </c>
      <c r="CX27" t="s">
        <v>1583</v>
      </c>
      <c r="CY27" t="s">
        <v>335</v>
      </c>
      <c r="CZ27" t="s">
        <v>239</v>
      </c>
      <c r="DA27" t="s">
        <v>335</v>
      </c>
      <c r="DB27" t="s">
        <v>1584</v>
      </c>
      <c r="DC27" t="s">
        <v>242</v>
      </c>
      <c r="DD27" t="s">
        <v>1585</v>
      </c>
      <c r="DF27" t="s">
        <v>1586</v>
      </c>
      <c r="DG27" t="s">
        <v>242</v>
      </c>
      <c r="DH27" t="s">
        <v>1587</v>
      </c>
    </row>
    <row r="28" spans="1:112" x14ac:dyDescent="0.35">
      <c r="A28" t="s">
        <v>227</v>
      </c>
      <c r="B28" t="s">
        <v>1588</v>
      </c>
      <c r="C28" t="s">
        <v>229</v>
      </c>
      <c r="D28" t="s">
        <v>1589</v>
      </c>
      <c r="E28" t="s">
        <v>231</v>
      </c>
      <c r="F28" t="s">
        <v>1590</v>
      </c>
      <c r="G28" t="s">
        <v>40</v>
      </c>
      <c r="H28" t="s">
        <v>1591</v>
      </c>
      <c r="I28" t="s">
        <v>234</v>
      </c>
      <c r="J28" t="s">
        <v>1592</v>
      </c>
      <c r="L28" t="s">
        <v>915</v>
      </c>
      <c r="M28" t="s">
        <v>18</v>
      </c>
      <c r="N28" t="s">
        <v>1593</v>
      </c>
      <c r="O28" t="s">
        <v>21</v>
      </c>
      <c r="P28" t="s">
        <v>745</v>
      </c>
      <c r="Q28" t="s">
        <v>40</v>
      </c>
      <c r="R28" t="s">
        <v>1594</v>
      </c>
      <c r="S28" t="s">
        <v>310</v>
      </c>
      <c r="T28" t="s">
        <v>1595</v>
      </c>
      <c r="U28" t="s">
        <v>40</v>
      </c>
      <c r="V28" t="s">
        <v>682</v>
      </c>
      <c r="W28" t="s">
        <v>40</v>
      </c>
      <c r="X28" t="s">
        <v>1596</v>
      </c>
      <c r="Y28" t="s">
        <v>1597</v>
      </c>
      <c r="Z28" t="s">
        <v>1598</v>
      </c>
      <c r="AA28" t="s">
        <v>40</v>
      </c>
      <c r="AB28" t="s">
        <v>1271</v>
      </c>
      <c r="AC28" t="s">
        <v>316</v>
      </c>
      <c r="AD28" t="s">
        <v>1599</v>
      </c>
      <c r="AE28" t="s">
        <v>502</v>
      </c>
      <c r="AF28" t="s">
        <v>1600</v>
      </c>
      <c r="AG28" t="s">
        <v>40</v>
      </c>
      <c r="AH28" t="s">
        <v>1601</v>
      </c>
      <c r="AI28" t="s">
        <v>621</v>
      </c>
      <c r="AJ28" t="s">
        <v>1602</v>
      </c>
      <c r="AK28" t="s">
        <v>1603</v>
      </c>
      <c r="AL28" t="s">
        <v>1604</v>
      </c>
      <c r="AM28" t="s">
        <v>1605</v>
      </c>
      <c r="AN28" t="s">
        <v>1606</v>
      </c>
      <c r="AO28" t="s">
        <v>1607</v>
      </c>
      <c r="AP28" t="s">
        <v>1608</v>
      </c>
      <c r="AQ28" t="s">
        <v>41</v>
      </c>
      <c r="AR28" t="s">
        <v>1609</v>
      </c>
      <c r="AS28" t="s">
        <v>242</v>
      </c>
      <c r="AT28" t="s">
        <v>1610</v>
      </c>
      <c r="AU28" t="s">
        <v>1611</v>
      </c>
      <c r="AV28" t="s">
        <v>1612</v>
      </c>
      <c r="AW28" t="s">
        <v>247</v>
      </c>
      <c r="AX28" t="s">
        <v>1613</v>
      </c>
      <c r="AY28" t="s">
        <v>249</v>
      </c>
      <c r="AZ28" t="s">
        <v>1614</v>
      </c>
      <c r="BA28" t="s">
        <v>242</v>
      </c>
      <c r="BB28" t="s">
        <v>1615</v>
      </c>
      <c r="BC28" t="s">
        <v>411</v>
      </c>
      <c r="BD28" t="s">
        <v>1616</v>
      </c>
      <c r="BE28" t="s">
        <v>1131</v>
      </c>
      <c r="BF28" t="s">
        <v>1617</v>
      </c>
      <c r="BG28" t="s">
        <v>285</v>
      </c>
      <c r="BH28" t="s">
        <v>1618</v>
      </c>
      <c r="BI28" t="s">
        <v>473</v>
      </c>
      <c r="BJ28" t="s">
        <v>1619</v>
      </c>
      <c r="BK28" t="s">
        <v>421</v>
      </c>
      <c r="BL28" t="s">
        <v>1141</v>
      </c>
      <c r="BM28" t="s">
        <v>371</v>
      </c>
      <c r="BN28" t="s">
        <v>1620</v>
      </c>
      <c r="BO28" t="s">
        <v>291</v>
      </c>
      <c r="BP28" t="s">
        <v>1621</v>
      </c>
      <c r="BQ28" t="s">
        <v>399</v>
      </c>
      <c r="BR28" t="s">
        <v>1622</v>
      </c>
      <c r="BS28" t="s">
        <v>414</v>
      </c>
      <c r="BT28" t="s">
        <v>1623</v>
      </c>
      <c r="BU28" t="s">
        <v>532</v>
      </c>
      <c r="BV28" t="s">
        <v>1624</v>
      </c>
      <c r="BW28" t="s">
        <v>519</v>
      </c>
      <c r="BX28" t="s">
        <v>1625</v>
      </c>
      <c r="BY28" t="s">
        <v>542</v>
      </c>
      <c r="BZ28" t="s">
        <v>1626</v>
      </c>
      <c r="CA28" t="s">
        <v>779</v>
      </c>
      <c r="CB28" t="s">
        <v>1627</v>
      </c>
      <c r="CC28" t="s">
        <v>469</v>
      </c>
      <c r="CD28" t="s">
        <v>1628</v>
      </c>
      <c r="CE28" t="s">
        <v>538</v>
      </c>
      <c r="CF28" t="s">
        <v>1629</v>
      </c>
      <c r="CG28" t="s">
        <v>538</v>
      </c>
      <c r="CH28" t="s">
        <v>1630</v>
      </c>
      <c r="CI28" t="s">
        <v>542</v>
      </c>
      <c r="CJ28" t="s">
        <v>1631</v>
      </c>
      <c r="CK28" t="s">
        <v>371</v>
      </c>
      <c r="CL28" t="s">
        <v>1632</v>
      </c>
      <c r="CM28" t="s">
        <v>538</v>
      </c>
      <c r="CN28" t="s">
        <v>1633</v>
      </c>
      <c r="CO28" t="s">
        <v>360</v>
      </c>
      <c r="CP28" t="s">
        <v>1634</v>
      </c>
      <c r="CQ28" t="s">
        <v>360</v>
      </c>
      <c r="CR28" t="s">
        <v>1635</v>
      </c>
      <c r="CS28" t="s">
        <v>575</v>
      </c>
      <c r="CT28" t="s">
        <v>1636</v>
      </c>
      <c r="CU28" t="s">
        <v>358</v>
      </c>
      <c r="CV28" t="s">
        <v>1637</v>
      </c>
      <c r="CW28" t="s">
        <v>451</v>
      </c>
      <c r="CX28" t="s">
        <v>1638</v>
      </c>
      <c r="CY28" t="s">
        <v>779</v>
      </c>
      <c r="CZ28" t="s">
        <v>1639</v>
      </c>
      <c r="DA28" t="s">
        <v>424</v>
      </c>
      <c r="DB28" t="s">
        <v>1640</v>
      </c>
      <c r="DC28" t="s">
        <v>242</v>
      </c>
      <c r="DD28" t="s">
        <v>1641</v>
      </c>
      <c r="DF28" t="s">
        <v>1642</v>
      </c>
      <c r="DG28" t="s">
        <v>242</v>
      </c>
      <c r="DH28" t="s">
        <v>1643</v>
      </c>
    </row>
    <row r="29" spans="1:112" x14ac:dyDescent="0.35">
      <c r="A29" t="s">
        <v>227</v>
      </c>
      <c r="B29" t="s">
        <v>1644</v>
      </c>
      <c r="C29" t="s">
        <v>229</v>
      </c>
      <c r="D29" t="s">
        <v>1645</v>
      </c>
      <c r="E29" t="s">
        <v>231</v>
      </c>
      <c r="F29" t="s">
        <v>1646</v>
      </c>
      <c r="G29" t="s">
        <v>40</v>
      </c>
      <c r="H29" t="s">
        <v>1647</v>
      </c>
      <c r="I29" t="s">
        <v>234</v>
      </c>
      <c r="J29" t="s">
        <v>1648</v>
      </c>
      <c r="L29" t="s">
        <v>1649</v>
      </c>
      <c r="M29" t="s">
        <v>18</v>
      </c>
      <c r="N29" t="s">
        <v>1650</v>
      </c>
      <c r="O29" t="s">
        <v>21</v>
      </c>
      <c r="P29" t="s">
        <v>1651</v>
      </c>
      <c r="Q29" t="s">
        <v>40</v>
      </c>
      <c r="R29" t="s">
        <v>1652</v>
      </c>
      <c r="S29" t="s">
        <v>310</v>
      </c>
      <c r="T29" t="s">
        <v>1653</v>
      </c>
      <c r="U29" t="s">
        <v>40</v>
      </c>
      <c r="V29" t="s">
        <v>1654</v>
      </c>
      <c r="W29" t="s">
        <v>44</v>
      </c>
      <c r="X29" t="s">
        <v>1655</v>
      </c>
      <c r="Y29" t="s">
        <v>242</v>
      </c>
      <c r="Z29" t="s">
        <v>243</v>
      </c>
      <c r="AA29" t="s">
        <v>43</v>
      </c>
      <c r="AB29" t="s">
        <v>244</v>
      </c>
      <c r="AC29" t="s">
        <v>242</v>
      </c>
      <c r="AD29" t="s">
        <v>243</v>
      </c>
      <c r="AE29" t="s">
        <v>242</v>
      </c>
      <c r="AF29" t="s">
        <v>243</v>
      </c>
      <c r="AG29" t="s">
        <v>242</v>
      </c>
      <c r="AH29" t="s">
        <v>243</v>
      </c>
      <c r="AI29" t="s">
        <v>242</v>
      </c>
      <c r="AJ29" t="s">
        <v>243</v>
      </c>
      <c r="AK29" t="s">
        <v>242</v>
      </c>
      <c r="AL29" t="s">
        <v>243</v>
      </c>
      <c r="AM29" t="s">
        <v>1656</v>
      </c>
      <c r="AN29" t="s">
        <v>244</v>
      </c>
      <c r="AO29" t="s">
        <v>825</v>
      </c>
      <c r="AP29" t="s">
        <v>1657</v>
      </c>
      <c r="AQ29" t="s">
        <v>45</v>
      </c>
      <c r="AR29" t="s">
        <v>1658</v>
      </c>
      <c r="AS29" t="s">
        <v>242</v>
      </c>
      <c r="AT29" t="s">
        <v>1659</v>
      </c>
      <c r="AU29" t="s">
        <v>330</v>
      </c>
      <c r="AV29" t="s">
        <v>1660</v>
      </c>
      <c r="AW29" t="s">
        <v>247</v>
      </c>
      <c r="AX29" t="s">
        <v>1661</v>
      </c>
      <c r="AY29" t="s">
        <v>249</v>
      </c>
      <c r="AZ29" t="s">
        <v>1662</v>
      </c>
      <c r="BA29" t="s">
        <v>242</v>
      </c>
      <c r="BB29" t="s">
        <v>1663</v>
      </c>
      <c r="BC29" t="s">
        <v>429</v>
      </c>
      <c r="BD29" t="s">
        <v>1664</v>
      </c>
      <c r="BE29" t="s">
        <v>411</v>
      </c>
      <c r="BF29" t="s">
        <v>1665</v>
      </c>
      <c r="BG29" t="s">
        <v>424</v>
      </c>
      <c r="BH29" t="s">
        <v>1666</v>
      </c>
      <c r="BI29" t="s">
        <v>698</v>
      </c>
      <c r="BJ29" t="s">
        <v>1667</v>
      </c>
      <c r="BK29" t="s">
        <v>779</v>
      </c>
      <c r="BL29" t="s">
        <v>1668</v>
      </c>
      <c r="BM29" t="s">
        <v>405</v>
      </c>
      <c r="BN29" t="s">
        <v>1669</v>
      </c>
      <c r="BO29" t="s">
        <v>538</v>
      </c>
      <c r="BP29" t="s">
        <v>1670</v>
      </c>
      <c r="BQ29" t="s">
        <v>281</v>
      </c>
      <c r="BR29" t="s">
        <v>1671</v>
      </c>
      <c r="BS29" t="s">
        <v>401</v>
      </c>
      <c r="BT29" t="s">
        <v>1672</v>
      </c>
      <c r="BU29" t="s">
        <v>261</v>
      </c>
      <c r="BV29" t="s">
        <v>1673</v>
      </c>
      <c r="BW29" t="s">
        <v>401</v>
      </c>
      <c r="BX29" t="s">
        <v>1674</v>
      </c>
      <c r="BY29" t="s">
        <v>399</v>
      </c>
      <c r="BZ29" t="s">
        <v>1675</v>
      </c>
      <c r="CA29" t="s">
        <v>421</v>
      </c>
      <c r="CB29" t="s">
        <v>1676</v>
      </c>
      <c r="CC29" t="s">
        <v>424</v>
      </c>
      <c r="CD29" t="s">
        <v>1677</v>
      </c>
      <c r="CE29" t="s">
        <v>421</v>
      </c>
      <c r="CF29" t="s">
        <v>1678</v>
      </c>
      <c r="CG29" t="s">
        <v>408</v>
      </c>
      <c r="CH29" t="s">
        <v>1679</v>
      </c>
      <c r="CI29" t="s">
        <v>365</v>
      </c>
      <c r="CJ29" t="s">
        <v>1680</v>
      </c>
      <c r="CK29" t="s">
        <v>285</v>
      </c>
      <c r="CL29" t="s">
        <v>1681</v>
      </c>
      <c r="CM29" t="s">
        <v>519</v>
      </c>
      <c r="CN29" t="s">
        <v>1613</v>
      </c>
      <c r="CO29" t="s">
        <v>481</v>
      </c>
      <c r="CP29" t="s">
        <v>1682</v>
      </c>
      <c r="CQ29" t="s">
        <v>469</v>
      </c>
      <c r="CR29" t="s">
        <v>1683</v>
      </c>
      <c r="CS29" t="s">
        <v>285</v>
      </c>
      <c r="CT29" t="s">
        <v>606</v>
      </c>
      <c r="CU29" t="s">
        <v>519</v>
      </c>
      <c r="CV29" t="s">
        <v>1684</v>
      </c>
      <c r="CW29" t="s">
        <v>575</v>
      </c>
      <c r="CX29" t="s">
        <v>1685</v>
      </c>
      <c r="CY29" t="s">
        <v>414</v>
      </c>
      <c r="CZ29" t="s">
        <v>1686</v>
      </c>
      <c r="DA29" t="s">
        <v>429</v>
      </c>
      <c r="DB29" t="s">
        <v>1687</v>
      </c>
      <c r="DC29" t="s">
        <v>242</v>
      </c>
      <c r="DD29" t="s">
        <v>1688</v>
      </c>
      <c r="DF29" t="s">
        <v>1689</v>
      </c>
      <c r="DG29" t="s">
        <v>242</v>
      </c>
      <c r="DH29" t="s">
        <v>1690</v>
      </c>
    </row>
    <row r="30" spans="1:112" x14ac:dyDescent="0.35">
      <c r="A30" t="s">
        <v>227</v>
      </c>
      <c r="B30" t="s">
        <v>1691</v>
      </c>
      <c r="C30" t="s">
        <v>229</v>
      </c>
      <c r="D30" t="s">
        <v>1692</v>
      </c>
      <c r="E30" t="s">
        <v>231</v>
      </c>
      <c r="F30" t="s">
        <v>1693</v>
      </c>
      <c r="G30" t="s">
        <v>40</v>
      </c>
      <c r="H30" t="s">
        <v>1692</v>
      </c>
      <c r="I30" t="s">
        <v>234</v>
      </c>
      <c r="J30" t="s">
        <v>1694</v>
      </c>
      <c r="L30" t="s">
        <v>1695</v>
      </c>
      <c r="M30" t="s">
        <v>18</v>
      </c>
      <c r="N30" t="s">
        <v>1696</v>
      </c>
      <c r="O30" t="s">
        <v>21</v>
      </c>
      <c r="P30" t="s">
        <v>1697</v>
      </c>
      <c r="Q30" t="s">
        <v>40</v>
      </c>
      <c r="R30" t="s">
        <v>1698</v>
      </c>
      <c r="S30" t="s">
        <v>310</v>
      </c>
      <c r="T30" t="s">
        <v>1699</v>
      </c>
      <c r="U30" t="s">
        <v>39</v>
      </c>
      <c r="V30" t="s">
        <v>1700</v>
      </c>
      <c r="W30" t="s">
        <v>44</v>
      </c>
      <c r="X30" t="s">
        <v>1701</v>
      </c>
      <c r="Y30" t="s">
        <v>242</v>
      </c>
      <c r="Z30" t="s">
        <v>243</v>
      </c>
      <c r="AA30" t="s">
        <v>43</v>
      </c>
      <c r="AB30" t="s">
        <v>244</v>
      </c>
      <c r="AC30" t="s">
        <v>242</v>
      </c>
      <c r="AD30" t="s">
        <v>243</v>
      </c>
      <c r="AE30" t="s">
        <v>242</v>
      </c>
      <c r="AF30" t="s">
        <v>243</v>
      </c>
      <c r="AG30" t="s">
        <v>242</v>
      </c>
      <c r="AH30" t="s">
        <v>243</v>
      </c>
      <c r="AI30" t="s">
        <v>242</v>
      </c>
      <c r="AJ30" t="s">
        <v>243</v>
      </c>
      <c r="AK30" t="s">
        <v>242</v>
      </c>
      <c r="AL30" t="s">
        <v>243</v>
      </c>
      <c r="AM30" t="s">
        <v>1702</v>
      </c>
      <c r="AN30" t="s">
        <v>244</v>
      </c>
      <c r="AO30" t="s">
        <v>1703</v>
      </c>
      <c r="AP30" t="s">
        <v>1704</v>
      </c>
      <c r="AQ30" t="s">
        <v>41</v>
      </c>
      <c r="AR30" t="s">
        <v>1705</v>
      </c>
      <c r="AS30" t="s">
        <v>242</v>
      </c>
      <c r="AT30" t="s">
        <v>1105</v>
      </c>
      <c r="AU30" t="s">
        <v>330</v>
      </c>
      <c r="AV30" t="s">
        <v>1706</v>
      </c>
      <c r="AW30" t="s">
        <v>247</v>
      </c>
      <c r="AX30" t="s">
        <v>1707</v>
      </c>
      <c r="AY30" t="s">
        <v>1172</v>
      </c>
      <c r="AZ30" t="s">
        <v>1708</v>
      </c>
      <c r="BA30" t="s">
        <v>242</v>
      </c>
      <c r="BB30" t="s">
        <v>1709</v>
      </c>
      <c r="BC30" t="s">
        <v>427</v>
      </c>
      <c r="BD30" t="s">
        <v>1710</v>
      </c>
      <c r="BE30" t="s">
        <v>414</v>
      </c>
      <c r="BF30" t="s">
        <v>1711</v>
      </c>
      <c r="BG30" t="s">
        <v>532</v>
      </c>
      <c r="BH30" t="s">
        <v>1712</v>
      </c>
      <c r="BI30" t="s">
        <v>1360</v>
      </c>
      <c r="BJ30" t="s">
        <v>1713</v>
      </c>
      <c r="BK30" t="s">
        <v>397</v>
      </c>
      <c r="BL30" t="s">
        <v>1714</v>
      </c>
      <c r="BM30" t="s">
        <v>358</v>
      </c>
      <c r="BN30" t="s">
        <v>1715</v>
      </c>
      <c r="BO30" t="s">
        <v>528</v>
      </c>
      <c r="BP30" t="s">
        <v>1716</v>
      </c>
      <c r="BQ30" t="s">
        <v>575</v>
      </c>
      <c r="BR30" t="s">
        <v>1717</v>
      </c>
      <c r="BS30" t="s">
        <v>993</v>
      </c>
      <c r="BT30" t="s">
        <v>1718</v>
      </c>
      <c r="BU30" t="s">
        <v>688</v>
      </c>
      <c r="BV30" t="s">
        <v>1719</v>
      </c>
      <c r="BW30" t="s">
        <v>263</v>
      </c>
      <c r="BX30" t="s">
        <v>1720</v>
      </c>
      <c r="BY30" t="s">
        <v>285</v>
      </c>
      <c r="BZ30" t="s">
        <v>1721</v>
      </c>
      <c r="CA30" t="s">
        <v>585</v>
      </c>
      <c r="CB30" t="s">
        <v>1722</v>
      </c>
      <c r="CC30" t="s">
        <v>688</v>
      </c>
      <c r="CD30" t="s">
        <v>1723</v>
      </c>
      <c r="CE30" t="s">
        <v>993</v>
      </c>
      <c r="CF30" t="s">
        <v>1724</v>
      </c>
      <c r="CG30" t="s">
        <v>358</v>
      </c>
      <c r="CH30" t="s">
        <v>1725</v>
      </c>
      <c r="CI30" t="s">
        <v>283</v>
      </c>
      <c r="CJ30" t="s">
        <v>1726</v>
      </c>
      <c r="CK30" t="s">
        <v>449</v>
      </c>
      <c r="CL30" t="s">
        <v>1727</v>
      </c>
      <c r="CM30" t="s">
        <v>339</v>
      </c>
      <c r="CN30" t="s">
        <v>1728</v>
      </c>
      <c r="CO30" t="s">
        <v>473</v>
      </c>
      <c r="CP30" t="s">
        <v>953</v>
      </c>
      <c r="CQ30" t="s">
        <v>696</v>
      </c>
      <c r="CR30" t="s">
        <v>1729</v>
      </c>
      <c r="CS30" t="s">
        <v>858</v>
      </c>
      <c r="CT30" t="s">
        <v>1730</v>
      </c>
      <c r="CU30" t="s">
        <v>283</v>
      </c>
      <c r="CV30" t="s">
        <v>1731</v>
      </c>
      <c r="CW30" t="s">
        <v>369</v>
      </c>
      <c r="CX30" t="s">
        <v>1732</v>
      </c>
      <c r="CY30" t="s">
        <v>283</v>
      </c>
      <c r="CZ30" t="s">
        <v>1733</v>
      </c>
      <c r="DA30" t="s">
        <v>281</v>
      </c>
      <c r="DB30" t="s">
        <v>1734</v>
      </c>
      <c r="DC30" t="s">
        <v>242</v>
      </c>
      <c r="DD30" t="s">
        <v>1735</v>
      </c>
      <c r="DF30" t="s">
        <v>1736</v>
      </c>
      <c r="DG30" t="s">
        <v>242</v>
      </c>
      <c r="DH30" t="s">
        <v>1737</v>
      </c>
    </row>
    <row r="31" spans="1:112" x14ac:dyDescent="0.35">
      <c r="A31" t="s">
        <v>227</v>
      </c>
      <c r="B31" t="s">
        <v>1738</v>
      </c>
      <c r="C31" t="s">
        <v>229</v>
      </c>
      <c r="D31" t="s">
        <v>1739</v>
      </c>
      <c r="E31" t="s">
        <v>231</v>
      </c>
      <c r="F31" t="s">
        <v>1740</v>
      </c>
      <c r="G31" t="s">
        <v>40</v>
      </c>
      <c r="H31" t="s">
        <v>1741</v>
      </c>
      <c r="I31" t="s">
        <v>234</v>
      </c>
      <c r="J31" t="s">
        <v>1742</v>
      </c>
      <c r="L31" t="s">
        <v>1743</v>
      </c>
      <c r="M31" t="s">
        <v>15</v>
      </c>
      <c r="N31" t="s">
        <v>1744</v>
      </c>
      <c r="O31" t="s">
        <v>19</v>
      </c>
      <c r="P31" t="s">
        <v>1745</v>
      </c>
      <c r="Q31" t="s">
        <v>40</v>
      </c>
      <c r="R31" t="s">
        <v>1746</v>
      </c>
      <c r="S31" t="s">
        <v>310</v>
      </c>
      <c r="T31" t="s">
        <v>1747</v>
      </c>
      <c r="U31" t="s">
        <v>40</v>
      </c>
      <c r="V31" t="s">
        <v>1748</v>
      </c>
      <c r="W31" t="s">
        <v>40</v>
      </c>
      <c r="X31" t="s">
        <v>1749</v>
      </c>
      <c r="Y31" t="s">
        <v>1750</v>
      </c>
      <c r="Z31" t="s">
        <v>1751</v>
      </c>
      <c r="AA31" t="s">
        <v>40</v>
      </c>
      <c r="AB31" t="s">
        <v>1752</v>
      </c>
      <c r="AC31" t="s">
        <v>316</v>
      </c>
      <c r="AD31" t="s">
        <v>1753</v>
      </c>
      <c r="AE31" t="s">
        <v>502</v>
      </c>
      <c r="AF31" t="s">
        <v>1754</v>
      </c>
      <c r="AG31" t="s">
        <v>40</v>
      </c>
      <c r="AH31" t="s">
        <v>1755</v>
      </c>
      <c r="AI31" t="s">
        <v>621</v>
      </c>
      <c r="AJ31" t="s">
        <v>1756</v>
      </c>
      <c r="AK31" t="s">
        <v>1757</v>
      </c>
      <c r="AL31" t="s">
        <v>1758</v>
      </c>
      <c r="AM31" t="s">
        <v>823</v>
      </c>
      <c r="AN31" t="s">
        <v>1759</v>
      </c>
      <c r="AO31" t="s">
        <v>1760</v>
      </c>
      <c r="AP31" t="s">
        <v>1761</v>
      </c>
      <c r="AQ31" t="s">
        <v>41</v>
      </c>
      <c r="AR31" t="s">
        <v>1762</v>
      </c>
      <c r="AS31" t="s">
        <v>242</v>
      </c>
      <c r="AT31" t="s">
        <v>1763</v>
      </c>
      <c r="AU31" t="s">
        <v>1764</v>
      </c>
      <c r="AV31" t="s">
        <v>1765</v>
      </c>
      <c r="AW31" t="s">
        <v>247</v>
      </c>
      <c r="AX31" t="s">
        <v>1766</v>
      </c>
      <c r="AY31" t="s">
        <v>249</v>
      </c>
      <c r="AZ31" t="s">
        <v>1767</v>
      </c>
      <c r="BA31" t="s">
        <v>242</v>
      </c>
      <c r="BB31" t="s">
        <v>1768</v>
      </c>
      <c r="BC31" t="s">
        <v>451</v>
      </c>
      <c r="BD31" t="s">
        <v>1769</v>
      </c>
      <c r="BE31" t="s">
        <v>411</v>
      </c>
      <c r="BF31" t="s">
        <v>1770</v>
      </c>
      <c r="BG31" t="s">
        <v>351</v>
      </c>
      <c r="BH31" t="s">
        <v>1771</v>
      </c>
      <c r="BI31" t="s">
        <v>429</v>
      </c>
      <c r="BJ31" t="s">
        <v>1407</v>
      </c>
      <c r="BK31" t="s">
        <v>416</v>
      </c>
      <c r="BL31" t="s">
        <v>1772</v>
      </c>
      <c r="BM31" t="s">
        <v>257</v>
      </c>
      <c r="BN31" t="s">
        <v>1773</v>
      </c>
      <c r="BO31" t="s">
        <v>696</v>
      </c>
      <c r="BP31" t="s">
        <v>1774</v>
      </c>
      <c r="BQ31" t="s">
        <v>281</v>
      </c>
      <c r="BR31" t="s">
        <v>1775</v>
      </c>
      <c r="BS31" t="s">
        <v>589</v>
      </c>
      <c r="BT31" t="s">
        <v>1776</v>
      </c>
      <c r="BU31" t="s">
        <v>429</v>
      </c>
      <c r="BV31" t="s">
        <v>1777</v>
      </c>
      <c r="BW31" t="s">
        <v>993</v>
      </c>
      <c r="BX31" t="s">
        <v>1778</v>
      </c>
      <c r="BY31" t="s">
        <v>285</v>
      </c>
      <c r="BZ31" t="s">
        <v>1779</v>
      </c>
      <c r="CA31" t="s">
        <v>263</v>
      </c>
      <c r="CB31" t="s">
        <v>1780</v>
      </c>
      <c r="CC31" t="s">
        <v>469</v>
      </c>
      <c r="CD31" t="s">
        <v>1781</v>
      </c>
      <c r="CE31" t="s">
        <v>1137</v>
      </c>
      <c r="CF31" t="s">
        <v>1782</v>
      </c>
      <c r="CG31" t="s">
        <v>449</v>
      </c>
      <c r="CH31" t="s">
        <v>1783</v>
      </c>
      <c r="CI31" t="s">
        <v>1137</v>
      </c>
      <c r="CJ31" t="s">
        <v>1784</v>
      </c>
      <c r="CK31" t="s">
        <v>744</v>
      </c>
      <c r="CL31" t="s">
        <v>1785</v>
      </c>
      <c r="CM31" t="s">
        <v>266</v>
      </c>
      <c r="CN31" t="s">
        <v>1786</v>
      </c>
      <c r="CO31" t="s">
        <v>519</v>
      </c>
      <c r="CP31" t="s">
        <v>1787</v>
      </c>
      <c r="CQ31" t="s">
        <v>1788</v>
      </c>
      <c r="CR31" t="s">
        <v>545</v>
      </c>
      <c r="CS31" t="s">
        <v>519</v>
      </c>
      <c r="CT31" t="s">
        <v>1789</v>
      </c>
      <c r="CU31" t="s">
        <v>653</v>
      </c>
      <c r="CV31" t="s">
        <v>1790</v>
      </c>
      <c r="CW31" t="s">
        <v>469</v>
      </c>
      <c r="CX31" t="s">
        <v>1791</v>
      </c>
      <c r="CY31" t="s">
        <v>1792</v>
      </c>
      <c r="CZ31" t="s">
        <v>1793</v>
      </c>
      <c r="DA31" t="s">
        <v>365</v>
      </c>
      <c r="DB31" t="s">
        <v>1794</v>
      </c>
      <c r="DC31" t="s">
        <v>242</v>
      </c>
      <c r="DD31" t="s">
        <v>1795</v>
      </c>
      <c r="DF31" t="s">
        <v>1796</v>
      </c>
      <c r="DG31" t="s">
        <v>242</v>
      </c>
      <c r="DH31" t="s">
        <v>560</v>
      </c>
    </row>
    <row r="32" spans="1:112" x14ac:dyDescent="0.35">
      <c r="A32" t="s">
        <v>227</v>
      </c>
      <c r="B32" t="s">
        <v>1797</v>
      </c>
      <c r="C32" t="s">
        <v>229</v>
      </c>
      <c r="D32" t="s">
        <v>1199</v>
      </c>
      <c r="E32" t="s">
        <v>231</v>
      </c>
      <c r="F32" t="s">
        <v>1798</v>
      </c>
      <c r="G32" t="s">
        <v>40</v>
      </c>
      <c r="H32" t="s">
        <v>1799</v>
      </c>
      <c r="I32" t="s">
        <v>1800</v>
      </c>
      <c r="J32" t="s">
        <v>1801</v>
      </c>
      <c r="L32" t="s">
        <v>243</v>
      </c>
      <c r="M32" t="s">
        <v>242</v>
      </c>
      <c r="N32" t="s">
        <v>243</v>
      </c>
      <c r="O32" t="s">
        <v>242</v>
      </c>
      <c r="P32" t="s">
        <v>243</v>
      </c>
      <c r="Q32" t="s">
        <v>242</v>
      </c>
      <c r="R32" t="s">
        <v>243</v>
      </c>
      <c r="S32" t="s">
        <v>242</v>
      </c>
      <c r="T32" t="s">
        <v>243</v>
      </c>
      <c r="U32" t="s">
        <v>242</v>
      </c>
      <c r="V32" t="s">
        <v>243</v>
      </c>
      <c r="W32" t="s">
        <v>242</v>
      </c>
      <c r="X32" t="s">
        <v>243</v>
      </c>
      <c r="Y32" t="s">
        <v>242</v>
      </c>
      <c r="Z32" t="s">
        <v>243</v>
      </c>
      <c r="AA32" t="s">
        <v>242</v>
      </c>
      <c r="AB32" t="s">
        <v>243</v>
      </c>
      <c r="AC32" t="s">
        <v>242</v>
      </c>
      <c r="AD32" t="s">
        <v>243</v>
      </c>
      <c r="AE32" t="s">
        <v>242</v>
      </c>
      <c r="AF32" t="s">
        <v>243</v>
      </c>
      <c r="AG32" t="s">
        <v>242</v>
      </c>
      <c r="AH32" t="s">
        <v>243</v>
      </c>
      <c r="AI32" t="s">
        <v>242</v>
      </c>
      <c r="AJ32" t="s">
        <v>243</v>
      </c>
      <c r="AK32" t="s">
        <v>242</v>
      </c>
      <c r="AL32" t="s">
        <v>243</v>
      </c>
      <c r="AM32" t="s">
        <v>242</v>
      </c>
      <c r="AN32" t="s">
        <v>243</v>
      </c>
      <c r="AO32" t="s">
        <v>242</v>
      </c>
      <c r="AP32" t="s">
        <v>243</v>
      </c>
      <c r="AQ32" t="s">
        <v>242</v>
      </c>
      <c r="AR32" t="s">
        <v>243</v>
      </c>
      <c r="AS32" t="s">
        <v>242</v>
      </c>
      <c r="AT32" t="s">
        <v>243</v>
      </c>
      <c r="AU32" t="s">
        <v>242</v>
      </c>
      <c r="AV32" t="s">
        <v>243</v>
      </c>
      <c r="AW32" t="s">
        <v>242</v>
      </c>
      <c r="AX32" t="s">
        <v>243</v>
      </c>
      <c r="AY32" t="s">
        <v>242</v>
      </c>
      <c r="AZ32" t="s">
        <v>243</v>
      </c>
      <c r="BA32" t="s">
        <v>242</v>
      </c>
      <c r="BB32" t="s">
        <v>243</v>
      </c>
      <c r="BC32" t="s">
        <v>519</v>
      </c>
      <c r="BD32" t="s">
        <v>243</v>
      </c>
      <c r="BE32" t="s">
        <v>243</v>
      </c>
      <c r="BF32" t="s">
        <v>243</v>
      </c>
      <c r="BG32" t="s">
        <v>519</v>
      </c>
      <c r="BH32" t="s">
        <v>243</v>
      </c>
      <c r="BI32" t="s">
        <v>243</v>
      </c>
      <c r="BJ32" t="s">
        <v>243</v>
      </c>
      <c r="BK32" t="s">
        <v>519</v>
      </c>
      <c r="BL32" t="s">
        <v>243</v>
      </c>
      <c r="BM32" t="s">
        <v>243</v>
      </c>
      <c r="BN32" t="s">
        <v>243</v>
      </c>
      <c r="BO32" t="s">
        <v>519</v>
      </c>
      <c r="BP32" t="s">
        <v>243</v>
      </c>
      <c r="BQ32" t="s">
        <v>243</v>
      </c>
      <c r="BR32" t="s">
        <v>243</v>
      </c>
      <c r="BS32" t="s">
        <v>519</v>
      </c>
      <c r="BT32" t="s">
        <v>243</v>
      </c>
      <c r="BU32" t="s">
        <v>243</v>
      </c>
      <c r="BV32" t="s">
        <v>243</v>
      </c>
      <c r="BW32" t="s">
        <v>519</v>
      </c>
      <c r="BX32" t="s">
        <v>243</v>
      </c>
      <c r="BY32" t="s">
        <v>243</v>
      </c>
      <c r="BZ32" t="s">
        <v>243</v>
      </c>
      <c r="CA32" t="s">
        <v>519</v>
      </c>
      <c r="CB32" t="s">
        <v>243</v>
      </c>
      <c r="CC32" t="s">
        <v>243</v>
      </c>
      <c r="CD32" t="s">
        <v>243</v>
      </c>
      <c r="CE32" t="s">
        <v>519</v>
      </c>
      <c r="CF32" t="s">
        <v>243</v>
      </c>
      <c r="CG32" t="s">
        <v>243</v>
      </c>
      <c r="CH32" t="s">
        <v>243</v>
      </c>
      <c r="CI32" t="s">
        <v>519</v>
      </c>
      <c r="CJ32" t="s">
        <v>243</v>
      </c>
      <c r="CK32" t="s">
        <v>243</v>
      </c>
      <c r="CL32" t="s">
        <v>243</v>
      </c>
      <c r="CM32" t="s">
        <v>519</v>
      </c>
      <c r="CN32" t="s">
        <v>243</v>
      </c>
      <c r="CO32" t="s">
        <v>243</v>
      </c>
      <c r="CP32" t="s">
        <v>243</v>
      </c>
      <c r="CQ32" t="s">
        <v>519</v>
      </c>
      <c r="CR32" t="s">
        <v>243</v>
      </c>
      <c r="CS32" t="s">
        <v>243</v>
      </c>
      <c r="CT32" t="s">
        <v>243</v>
      </c>
      <c r="CU32" t="s">
        <v>519</v>
      </c>
      <c r="CV32" t="s">
        <v>243</v>
      </c>
      <c r="CW32" t="s">
        <v>243</v>
      </c>
      <c r="CX32" t="s">
        <v>243</v>
      </c>
      <c r="CY32" t="s">
        <v>519</v>
      </c>
      <c r="CZ32" t="s">
        <v>243</v>
      </c>
      <c r="DA32" t="s">
        <v>243</v>
      </c>
      <c r="DB32" t="s">
        <v>243</v>
      </c>
      <c r="DC32" t="s">
        <v>242</v>
      </c>
      <c r="DD32" t="s">
        <v>243</v>
      </c>
      <c r="DF32" t="s">
        <v>243</v>
      </c>
      <c r="DG32" t="s">
        <v>242</v>
      </c>
      <c r="DH32" t="s">
        <v>244</v>
      </c>
    </row>
    <row r="33" spans="1:112" x14ac:dyDescent="0.35">
      <c r="A33" t="s">
        <v>227</v>
      </c>
      <c r="B33" t="s">
        <v>1802</v>
      </c>
      <c r="C33" t="s">
        <v>229</v>
      </c>
      <c r="D33" t="s">
        <v>1803</v>
      </c>
      <c r="E33" t="s">
        <v>231</v>
      </c>
      <c r="F33" t="s">
        <v>1804</v>
      </c>
      <c r="G33" t="s">
        <v>40</v>
      </c>
      <c r="H33" t="s">
        <v>1805</v>
      </c>
      <c r="I33" t="s">
        <v>234</v>
      </c>
      <c r="J33" t="s">
        <v>1806</v>
      </c>
      <c r="L33" t="s">
        <v>1807</v>
      </c>
      <c r="M33" t="s">
        <v>15</v>
      </c>
      <c r="N33" t="s">
        <v>1156</v>
      </c>
      <c r="O33" t="s">
        <v>21</v>
      </c>
      <c r="P33" t="s">
        <v>1808</v>
      </c>
      <c r="Q33" t="s">
        <v>40</v>
      </c>
      <c r="R33" t="s">
        <v>879</v>
      </c>
      <c r="S33" t="s">
        <v>240</v>
      </c>
      <c r="T33" t="s">
        <v>1809</v>
      </c>
      <c r="U33" t="s">
        <v>242</v>
      </c>
      <c r="V33" t="s">
        <v>243</v>
      </c>
      <c r="W33" t="s">
        <v>242</v>
      </c>
      <c r="X33" t="s">
        <v>243</v>
      </c>
      <c r="Y33" t="s">
        <v>242</v>
      </c>
      <c r="Z33" t="s">
        <v>243</v>
      </c>
      <c r="AA33" t="s">
        <v>242</v>
      </c>
      <c r="AB33" t="s">
        <v>243</v>
      </c>
      <c r="AC33" t="s">
        <v>242</v>
      </c>
      <c r="AD33" t="s">
        <v>243</v>
      </c>
      <c r="AE33" t="s">
        <v>242</v>
      </c>
      <c r="AF33" t="s">
        <v>243</v>
      </c>
      <c r="AG33" t="s">
        <v>242</v>
      </c>
      <c r="AH33" t="s">
        <v>243</v>
      </c>
      <c r="AI33" t="s">
        <v>242</v>
      </c>
      <c r="AJ33" t="s">
        <v>243</v>
      </c>
      <c r="AK33" t="s">
        <v>242</v>
      </c>
      <c r="AL33" t="s">
        <v>243</v>
      </c>
      <c r="AM33" t="s">
        <v>242</v>
      </c>
      <c r="AN33" t="s">
        <v>243</v>
      </c>
      <c r="AO33" t="s">
        <v>242</v>
      </c>
      <c r="AP33" t="s">
        <v>243</v>
      </c>
      <c r="AQ33" t="s">
        <v>242</v>
      </c>
      <c r="AR33" t="s">
        <v>243</v>
      </c>
      <c r="AS33" t="s">
        <v>242</v>
      </c>
      <c r="AT33" t="s">
        <v>244</v>
      </c>
      <c r="AU33" t="s">
        <v>330</v>
      </c>
      <c r="AV33" t="s">
        <v>1810</v>
      </c>
      <c r="AW33" t="s">
        <v>247</v>
      </c>
      <c r="AX33" t="s">
        <v>1811</v>
      </c>
      <c r="AY33" t="s">
        <v>249</v>
      </c>
      <c r="AZ33" t="s">
        <v>1812</v>
      </c>
      <c r="BA33" t="s">
        <v>242</v>
      </c>
      <c r="BB33" t="s">
        <v>1813</v>
      </c>
      <c r="BC33" t="s">
        <v>451</v>
      </c>
      <c r="BD33" t="s">
        <v>1814</v>
      </c>
      <c r="BE33" t="s">
        <v>1815</v>
      </c>
      <c r="BF33" t="s">
        <v>1816</v>
      </c>
      <c r="BG33" t="s">
        <v>858</v>
      </c>
      <c r="BH33" t="s">
        <v>1817</v>
      </c>
      <c r="BI33" t="s">
        <v>1131</v>
      </c>
      <c r="BJ33" t="s">
        <v>1818</v>
      </c>
      <c r="BK33" t="s">
        <v>429</v>
      </c>
      <c r="BL33" t="s">
        <v>1819</v>
      </c>
      <c r="BM33" t="s">
        <v>451</v>
      </c>
      <c r="BN33" t="s">
        <v>1820</v>
      </c>
      <c r="BO33" t="s">
        <v>257</v>
      </c>
      <c r="BP33" t="s">
        <v>1821</v>
      </c>
      <c r="BQ33" t="s">
        <v>952</v>
      </c>
      <c r="BR33" t="s">
        <v>1822</v>
      </c>
      <c r="BS33" t="s">
        <v>261</v>
      </c>
      <c r="BT33" t="s">
        <v>1823</v>
      </c>
      <c r="BU33" t="s">
        <v>476</v>
      </c>
      <c r="BV33" t="s">
        <v>1824</v>
      </c>
      <c r="BW33" t="s">
        <v>344</v>
      </c>
      <c r="BX33" t="s">
        <v>1825</v>
      </c>
      <c r="BY33" t="s">
        <v>1131</v>
      </c>
      <c r="BZ33" t="s">
        <v>1826</v>
      </c>
      <c r="CA33" t="s">
        <v>271</v>
      </c>
      <c r="CB33" t="s">
        <v>1827</v>
      </c>
      <c r="CC33" t="s">
        <v>337</v>
      </c>
      <c r="CD33" t="s">
        <v>1828</v>
      </c>
      <c r="CE33" t="s">
        <v>429</v>
      </c>
      <c r="CF33" t="s">
        <v>1829</v>
      </c>
      <c r="CG33" t="s">
        <v>451</v>
      </c>
      <c r="CH33" t="s">
        <v>1830</v>
      </c>
      <c r="CI33" t="s">
        <v>575</v>
      </c>
      <c r="CJ33" t="s">
        <v>1831</v>
      </c>
      <c r="CK33" t="s">
        <v>405</v>
      </c>
      <c r="CL33" t="s">
        <v>1832</v>
      </c>
      <c r="CM33" t="s">
        <v>449</v>
      </c>
      <c r="CN33" t="s">
        <v>1833</v>
      </c>
      <c r="CO33" t="s">
        <v>254</v>
      </c>
      <c r="CP33" t="s">
        <v>1834</v>
      </c>
      <c r="CQ33" t="s">
        <v>261</v>
      </c>
      <c r="CR33" t="s">
        <v>1806</v>
      </c>
      <c r="CS33" t="s">
        <v>411</v>
      </c>
      <c r="CT33" t="s">
        <v>1835</v>
      </c>
      <c r="CU33" t="s">
        <v>257</v>
      </c>
      <c r="CV33" t="s">
        <v>1836</v>
      </c>
      <c r="CW33" t="s">
        <v>405</v>
      </c>
      <c r="CX33" t="s">
        <v>1837</v>
      </c>
      <c r="CY33" t="s">
        <v>685</v>
      </c>
      <c r="CZ33" t="s">
        <v>1838</v>
      </c>
      <c r="DA33" t="s">
        <v>685</v>
      </c>
      <c r="DB33" t="s">
        <v>1839</v>
      </c>
      <c r="DC33" t="s">
        <v>242</v>
      </c>
      <c r="DD33" t="s">
        <v>1840</v>
      </c>
      <c r="DF33" t="s">
        <v>1841</v>
      </c>
      <c r="DG33" t="s">
        <v>242</v>
      </c>
      <c r="DH33" t="s">
        <v>1491</v>
      </c>
    </row>
    <row r="34" spans="1:112" x14ac:dyDescent="0.35">
      <c r="A34" t="s">
        <v>227</v>
      </c>
      <c r="B34" t="s">
        <v>1842</v>
      </c>
      <c r="C34" t="s">
        <v>229</v>
      </c>
      <c r="D34" t="s">
        <v>1843</v>
      </c>
      <c r="E34" t="s">
        <v>231</v>
      </c>
      <c r="F34" t="s">
        <v>1844</v>
      </c>
      <c r="G34" t="s">
        <v>40</v>
      </c>
      <c r="H34" t="s">
        <v>1377</v>
      </c>
      <c r="I34" t="s">
        <v>234</v>
      </c>
      <c r="J34" t="s">
        <v>1845</v>
      </c>
      <c r="L34" t="s">
        <v>1846</v>
      </c>
      <c r="M34" t="s">
        <v>18</v>
      </c>
      <c r="N34" t="s">
        <v>1847</v>
      </c>
      <c r="O34" t="s">
        <v>21</v>
      </c>
      <c r="P34" t="s">
        <v>1848</v>
      </c>
      <c r="Q34" t="s">
        <v>40</v>
      </c>
      <c r="R34" t="s">
        <v>1849</v>
      </c>
      <c r="S34" t="s">
        <v>240</v>
      </c>
      <c r="T34" t="s">
        <v>1850</v>
      </c>
      <c r="U34" t="s">
        <v>242</v>
      </c>
      <c r="V34" t="s">
        <v>243</v>
      </c>
      <c r="W34" t="s">
        <v>242</v>
      </c>
      <c r="X34" t="s">
        <v>243</v>
      </c>
      <c r="Y34" t="s">
        <v>242</v>
      </c>
      <c r="Z34" t="s">
        <v>243</v>
      </c>
      <c r="AA34" t="s">
        <v>242</v>
      </c>
      <c r="AB34" t="s">
        <v>243</v>
      </c>
      <c r="AC34" t="s">
        <v>242</v>
      </c>
      <c r="AD34" t="s">
        <v>243</v>
      </c>
      <c r="AE34" t="s">
        <v>242</v>
      </c>
      <c r="AF34" t="s">
        <v>243</v>
      </c>
      <c r="AG34" t="s">
        <v>242</v>
      </c>
      <c r="AH34" t="s">
        <v>243</v>
      </c>
      <c r="AI34" t="s">
        <v>242</v>
      </c>
      <c r="AJ34" t="s">
        <v>243</v>
      </c>
      <c r="AK34" t="s">
        <v>242</v>
      </c>
      <c r="AL34" t="s">
        <v>243</v>
      </c>
      <c r="AM34" t="s">
        <v>242</v>
      </c>
      <c r="AN34" t="s">
        <v>243</v>
      </c>
      <c r="AO34" t="s">
        <v>242</v>
      </c>
      <c r="AP34" t="s">
        <v>243</v>
      </c>
      <c r="AQ34" t="s">
        <v>242</v>
      </c>
      <c r="AR34" t="s">
        <v>243</v>
      </c>
      <c r="AS34" t="s">
        <v>242</v>
      </c>
      <c r="AT34" t="s">
        <v>244</v>
      </c>
      <c r="AU34" t="s">
        <v>1851</v>
      </c>
      <c r="AV34" t="s">
        <v>1852</v>
      </c>
      <c r="AW34" t="s">
        <v>247</v>
      </c>
      <c r="AX34" t="s">
        <v>1853</v>
      </c>
      <c r="AY34" t="s">
        <v>249</v>
      </c>
      <c r="AZ34" t="s">
        <v>1854</v>
      </c>
      <c r="BA34" t="s">
        <v>242</v>
      </c>
      <c r="BB34" t="s">
        <v>1855</v>
      </c>
      <c r="BC34" t="s">
        <v>405</v>
      </c>
      <c r="BD34" t="s">
        <v>1856</v>
      </c>
      <c r="BE34" t="s">
        <v>1128</v>
      </c>
      <c r="BF34" t="s">
        <v>1857</v>
      </c>
      <c r="BG34" t="s">
        <v>858</v>
      </c>
      <c r="BH34" t="s">
        <v>1858</v>
      </c>
      <c r="BI34" t="s">
        <v>454</v>
      </c>
      <c r="BJ34" t="s">
        <v>1859</v>
      </c>
      <c r="BK34" t="s">
        <v>285</v>
      </c>
      <c r="BL34" t="s">
        <v>1860</v>
      </c>
      <c r="BM34" t="s">
        <v>344</v>
      </c>
      <c r="BN34" t="s">
        <v>1861</v>
      </c>
      <c r="BO34" t="s">
        <v>408</v>
      </c>
      <c r="BP34" t="s">
        <v>1862</v>
      </c>
      <c r="BQ34" t="s">
        <v>268</v>
      </c>
      <c r="BR34" t="s">
        <v>1863</v>
      </c>
      <c r="BS34" t="s">
        <v>399</v>
      </c>
      <c r="BT34" t="s">
        <v>1864</v>
      </c>
      <c r="BU34" t="s">
        <v>261</v>
      </c>
      <c r="BV34" t="s">
        <v>1865</v>
      </c>
      <c r="BW34" t="s">
        <v>542</v>
      </c>
      <c r="BX34" t="s">
        <v>1866</v>
      </c>
      <c r="BY34" t="s">
        <v>289</v>
      </c>
      <c r="BZ34" t="s">
        <v>1688</v>
      </c>
      <c r="CA34" t="s">
        <v>779</v>
      </c>
      <c r="CB34" t="s">
        <v>1867</v>
      </c>
      <c r="CC34" t="s">
        <v>532</v>
      </c>
      <c r="CD34" t="s">
        <v>1868</v>
      </c>
      <c r="CE34" t="s">
        <v>287</v>
      </c>
      <c r="CF34" t="s">
        <v>1869</v>
      </c>
      <c r="CG34" t="s">
        <v>542</v>
      </c>
      <c r="CH34" t="s">
        <v>1870</v>
      </c>
      <c r="CI34" t="s">
        <v>595</v>
      </c>
      <c r="CJ34" t="s">
        <v>1871</v>
      </c>
      <c r="CK34" t="s">
        <v>401</v>
      </c>
      <c r="CL34" t="s">
        <v>1872</v>
      </c>
      <c r="CM34" t="s">
        <v>416</v>
      </c>
      <c r="CN34" t="s">
        <v>1681</v>
      </c>
      <c r="CO34" t="s">
        <v>367</v>
      </c>
      <c r="CP34" t="s">
        <v>1873</v>
      </c>
      <c r="CQ34" t="s">
        <v>335</v>
      </c>
      <c r="CR34" t="s">
        <v>1874</v>
      </c>
      <c r="CS34" t="s">
        <v>424</v>
      </c>
      <c r="CT34" t="s">
        <v>1875</v>
      </c>
      <c r="CU34" t="s">
        <v>360</v>
      </c>
      <c r="CV34" t="s">
        <v>1057</v>
      </c>
      <c r="CW34" t="s">
        <v>414</v>
      </c>
      <c r="CX34" t="s">
        <v>1876</v>
      </c>
      <c r="CY34" t="s">
        <v>408</v>
      </c>
      <c r="CZ34" t="s">
        <v>1877</v>
      </c>
      <c r="DA34" t="s">
        <v>408</v>
      </c>
      <c r="DB34" t="s">
        <v>1878</v>
      </c>
      <c r="DC34" t="s">
        <v>242</v>
      </c>
      <c r="DD34" t="s">
        <v>1879</v>
      </c>
      <c r="DF34" t="s">
        <v>1880</v>
      </c>
      <c r="DG34" t="s">
        <v>242</v>
      </c>
      <c r="DH34" t="s">
        <v>1881</v>
      </c>
    </row>
    <row r="35" spans="1:112" x14ac:dyDescent="0.35">
      <c r="A35" t="s">
        <v>227</v>
      </c>
      <c r="B35" t="s">
        <v>1882</v>
      </c>
      <c r="C35" t="s">
        <v>229</v>
      </c>
      <c r="D35" t="s">
        <v>1883</v>
      </c>
      <c r="E35" t="s">
        <v>231</v>
      </c>
      <c r="F35" t="s">
        <v>1884</v>
      </c>
      <c r="G35" t="s">
        <v>40</v>
      </c>
      <c r="H35" t="s">
        <v>1885</v>
      </c>
      <c r="I35" t="s">
        <v>234</v>
      </c>
      <c r="J35" t="s">
        <v>1886</v>
      </c>
      <c r="L35" t="s">
        <v>1887</v>
      </c>
      <c r="M35" t="s">
        <v>15</v>
      </c>
      <c r="N35" t="s">
        <v>1888</v>
      </c>
      <c r="O35" t="s">
        <v>19</v>
      </c>
      <c r="P35" t="s">
        <v>1889</v>
      </c>
      <c r="Q35" t="s">
        <v>40</v>
      </c>
      <c r="R35" t="s">
        <v>1890</v>
      </c>
      <c r="S35" t="s">
        <v>240</v>
      </c>
      <c r="T35" t="s">
        <v>1891</v>
      </c>
      <c r="U35" t="s">
        <v>242</v>
      </c>
      <c r="V35" t="s">
        <v>243</v>
      </c>
      <c r="W35" t="s">
        <v>242</v>
      </c>
      <c r="X35" t="s">
        <v>243</v>
      </c>
      <c r="Y35" t="s">
        <v>242</v>
      </c>
      <c r="Z35" t="s">
        <v>243</v>
      </c>
      <c r="AA35" t="s">
        <v>242</v>
      </c>
      <c r="AB35" t="s">
        <v>243</v>
      </c>
      <c r="AC35" t="s">
        <v>242</v>
      </c>
      <c r="AD35" t="s">
        <v>243</v>
      </c>
      <c r="AE35" t="s">
        <v>242</v>
      </c>
      <c r="AF35" t="s">
        <v>243</v>
      </c>
      <c r="AG35" t="s">
        <v>242</v>
      </c>
      <c r="AH35" t="s">
        <v>243</v>
      </c>
      <c r="AI35" t="s">
        <v>242</v>
      </c>
      <c r="AJ35" t="s">
        <v>243</v>
      </c>
      <c r="AK35" t="s">
        <v>242</v>
      </c>
      <c r="AL35" t="s">
        <v>243</v>
      </c>
      <c r="AM35" t="s">
        <v>242</v>
      </c>
      <c r="AN35" t="s">
        <v>243</v>
      </c>
      <c r="AO35" t="s">
        <v>242</v>
      </c>
      <c r="AP35" t="s">
        <v>243</v>
      </c>
      <c r="AQ35" t="s">
        <v>242</v>
      </c>
      <c r="AR35" t="s">
        <v>243</v>
      </c>
      <c r="AS35" t="s">
        <v>242</v>
      </c>
      <c r="AT35" t="s">
        <v>244</v>
      </c>
      <c r="AU35" t="s">
        <v>330</v>
      </c>
      <c r="AV35" t="s">
        <v>1892</v>
      </c>
      <c r="AW35" t="s">
        <v>247</v>
      </c>
      <c r="AX35" t="s">
        <v>1893</v>
      </c>
      <c r="AY35" t="s">
        <v>249</v>
      </c>
      <c r="AZ35" t="s">
        <v>1894</v>
      </c>
      <c r="BA35" t="s">
        <v>242</v>
      </c>
      <c r="BB35" t="s">
        <v>1895</v>
      </c>
      <c r="BC35" t="s">
        <v>538</v>
      </c>
      <c r="BD35" t="s">
        <v>1896</v>
      </c>
      <c r="BE35" t="s">
        <v>424</v>
      </c>
      <c r="BF35" t="s">
        <v>1897</v>
      </c>
      <c r="BG35" t="s">
        <v>397</v>
      </c>
      <c r="BH35" t="s">
        <v>1898</v>
      </c>
      <c r="BI35" t="s">
        <v>427</v>
      </c>
      <c r="BJ35" t="s">
        <v>1899</v>
      </c>
      <c r="BK35" t="s">
        <v>900</v>
      </c>
      <c r="BL35" t="s">
        <v>1900</v>
      </c>
      <c r="BM35" t="s">
        <v>335</v>
      </c>
      <c r="BN35" t="s">
        <v>1901</v>
      </c>
      <c r="BO35" t="s">
        <v>752</v>
      </c>
      <c r="BP35" t="s">
        <v>1902</v>
      </c>
      <c r="BQ35" t="s">
        <v>519</v>
      </c>
      <c r="BR35" t="s">
        <v>1903</v>
      </c>
      <c r="BS35" t="s">
        <v>528</v>
      </c>
      <c r="BT35" t="s">
        <v>1904</v>
      </c>
      <c r="BU35" t="s">
        <v>752</v>
      </c>
      <c r="BV35" t="s">
        <v>1905</v>
      </c>
      <c r="BW35" t="s">
        <v>351</v>
      </c>
      <c r="BX35" t="s">
        <v>1906</v>
      </c>
      <c r="BY35" t="s">
        <v>401</v>
      </c>
      <c r="BZ35" t="s">
        <v>1907</v>
      </c>
      <c r="CA35" t="s">
        <v>351</v>
      </c>
      <c r="CB35" t="s">
        <v>1908</v>
      </c>
      <c r="CC35" t="s">
        <v>538</v>
      </c>
      <c r="CD35" t="s">
        <v>1909</v>
      </c>
      <c r="CE35" t="s">
        <v>351</v>
      </c>
      <c r="CF35" t="s">
        <v>1910</v>
      </c>
      <c r="CG35" t="s">
        <v>421</v>
      </c>
      <c r="CH35" t="s">
        <v>1911</v>
      </c>
      <c r="CI35" t="s">
        <v>744</v>
      </c>
      <c r="CJ35" t="s">
        <v>1912</v>
      </c>
      <c r="CK35" t="s">
        <v>542</v>
      </c>
      <c r="CL35" t="s">
        <v>1913</v>
      </c>
      <c r="CM35" t="s">
        <v>779</v>
      </c>
      <c r="CN35" t="s">
        <v>1914</v>
      </c>
      <c r="CO35" t="s">
        <v>414</v>
      </c>
      <c r="CP35" t="s">
        <v>1915</v>
      </c>
      <c r="CQ35" t="s">
        <v>335</v>
      </c>
      <c r="CR35" t="s">
        <v>1916</v>
      </c>
      <c r="CS35" t="s">
        <v>414</v>
      </c>
      <c r="CT35" t="s">
        <v>1917</v>
      </c>
      <c r="CU35" t="s">
        <v>401</v>
      </c>
      <c r="CV35" t="s">
        <v>1918</v>
      </c>
      <c r="CW35" t="s">
        <v>469</v>
      </c>
      <c r="CX35" t="s">
        <v>1919</v>
      </c>
      <c r="CY35" t="s">
        <v>469</v>
      </c>
      <c r="CZ35" t="s">
        <v>1920</v>
      </c>
      <c r="DA35" t="s">
        <v>285</v>
      </c>
      <c r="DB35" t="s">
        <v>1921</v>
      </c>
      <c r="DC35" t="s">
        <v>242</v>
      </c>
      <c r="DD35" t="s">
        <v>1922</v>
      </c>
      <c r="DF35" t="s">
        <v>1923</v>
      </c>
      <c r="DG35" t="s">
        <v>242</v>
      </c>
      <c r="DH35" t="s">
        <v>1924</v>
      </c>
    </row>
    <row r="36" spans="1:112" x14ac:dyDescent="0.35">
      <c r="A36" t="s">
        <v>227</v>
      </c>
      <c r="B36" t="s">
        <v>1925</v>
      </c>
      <c r="C36" t="s">
        <v>229</v>
      </c>
      <c r="D36" t="s">
        <v>1926</v>
      </c>
      <c r="E36" t="s">
        <v>231</v>
      </c>
      <c r="F36" t="s">
        <v>1927</v>
      </c>
      <c r="G36" t="s">
        <v>40</v>
      </c>
      <c r="H36" t="s">
        <v>1928</v>
      </c>
      <c r="I36" t="s">
        <v>234</v>
      </c>
      <c r="J36" t="s">
        <v>1929</v>
      </c>
      <c r="L36" t="s">
        <v>894</v>
      </c>
      <c r="M36" t="s">
        <v>18</v>
      </c>
      <c r="N36" t="s">
        <v>1930</v>
      </c>
      <c r="O36" t="s">
        <v>21</v>
      </c>
      <c r="P36" t="s">
        <v>1931</v>
      </c>
      <c r="Q36" t="s">
        <v>1337</v>
      </c>
      <c r="R36" t="s">
        <v>1932</v>
      </c>
      <c r="S36" t="s">
        <v>310</v>
      </c>
      <c r="T36" t="s">
        <v>1021</v>
      </c>
      <c r="U36" t="s">
        <v>40</v>
      </c>
      <c r="V36" t="s">
        <v>1933</v>
      </c>
      <c r="W36" t="s">
        <v>40</v>
      </c>
      <c r="X36" t="s">
        <v>1934</v>
      </c>
      <c r="Y36" t="s">
        <v>1935</v>
      </c>
      <c r="Z36" t="s">
        <v>1936</v>
      </c>
      <c r="AA36" t="s">
        <v>40</v>
      </c>
      <c r="AB36" t="s">
        <v>1937</v>
      </c>
      <c r="AC36" t="s">
        <v>316</v>
      </c>
      <c r="AD36" t="s">
        <v>1938</v>
      </c>
      <c r="AE36" t="s">
        <v>502</v>
      </c>
      <c r="AF36" t="s">
        <v>1939</v>
      </c>
      <c r="AG36" t="s">
        <v>40</v>
      </c>
      <c r="AH36" t="s">
        <v>1940</v>
      </c>
      <c r="AI36" t="s">
        <v>1941</v>
      </c>
      <c r="AJ36" t="s">
        <v>1942</v>
      </c>
      <c r="AK36" t="s">
        <v>1943</v>
      </c>
      <c r="AL36" t="s">
        <v>1944</v>
      </c>
      <c r="AM36" t="s">
        <v>1945</v>
      </c>
      <c r="AN36" t="s">
        <v>1946</v>
      </c>
      <c r="AO36" t="s">
        <v>1947</v>
      </c>
      <c r="AP36" t="s">
        <v>1948</v>
      </c>
      <c r="AQ36" t="s">
        <v>45</v>
      </c>
      <c r="AR36" t="s">
        <v>1949</v>
      </c>
      <c r="AS36" t="s">
        <v>242</v>
      </c>
      <c r="AT36" t="s">
        <v>1950</v>
      </c>
      <c r="AU36" t="s">
        <v>1951</v>
      </c>
      <c r="AV36" t="s">
        <v>1952</v>
      </c>
      <c r="AW36" t="s">
        <v>247</v>
      </c>
      <c r="AX36" t="s">
        <v>1953</v>
      </c>
      <c r="AY36" t="s">
        <v>249</v>
      </c>
      <c r="AZ36" t="s">
        <v>1954</v>
      </c>
      <c r="BA36" t="s">
        <v>242</v>
      </c>
      <c r="BB36" t="s">
        <v>1955</v>
      </c>
      <c r="BC36" t="s">
        <v>538</v>
      </c>
      <c r="BD36" t="s">
        <v>1956</v>
      </c>
      <c r="BE36" t="s">
        <v>358</v>
      </c>
      <c r="BF36" t="s">
        <v>1957</v>
      </c>
      <c r="BG36" t="s">
        <v>538</v>
      </c>
      <c r="BH36" t="s">
        <v>1958</v>
      </c>
      <c r="BI36" t="s">
        <v>698</v>
      </c>
      <c r="BJ36" t="s">
        <v>1959</v>
      </c>
      <c r="BK36" t="s">
        <v>421</v>
      </c>
      <c r="BL36" t="s">
        <v>1960</v>
      </c>
      <c r="BM36" t="s">
        <v>473</v>
      </c>
      <c r="BN36" t="s">
        <v>1961</v>
      </c>
      <c r="BO36" t="s">
        <v>401</v>
      </c>
      <c r="BP36" t="s">
        <v>945</v>
      </c>
      <c r="BQ36" t="s">
        <v>408</v>
      </c>
      <c r="BR36" t="s">
        <v>1962</v>
      </c>
      <c r="BS36" t="s">
        <v>342</v>
      </c>
      <c r="BT36" t="s">
        <v>1963</v>
      </c>
      <c r="BU36" t="s">
        <v>287</v>
      </c>
      <c r="BV36" t="s">
        <v>1964</v>
      </c>
      <c r="BW36" t="s">
        <v>351</v>
      </c>
      <c r="BX36" t="s">
        <v>1965</v>
      </c>
      <c r="BY36" t="s">
        <v>393</v>
      </c>
      <c r="BZ36" t="s">
        <v>1966</v>
      </c>
      <c r="CA36" t="s">
        <v>339</v>
      </c>
      <c r="CB36" t="s">
        <v>1185</v>
      </c>
      <c r="CC36" t="s">
        <v>519</v>
      </c>
      <c r="CD36" t="s">
        <v>1967</v>
      </c>
      <c r="CE36" t="s">
        <v>339</v>
      </c>
      <c r="CF36" t="s">
        <v>1968</v>
      </c>
      <c r="CG36" t="s">
        <v>360</v>
      </c>
      <c r="CH36" t="s">
        <v>1969</v>
      </c>
      <c r="CI36" t="s">
        <v>591</v>
      </c>
      <c r="CJ36" t="s">
        <v>1970</v>
      </c>
      <c r="CK36" t="s">
        <v>401</v>
      </c>
      <c r="CL36" t="s">
        <v>1971</v>
      </c>
      <c r="CM36" t="s">
        <v>339</v>
      </c>
      <c r="CN36" t="s">
        <v>1972</v>
      </c>
      <c r="CO36" t="s">
        <v>900</v>
      </c>
      <c r="CP36" t="s">
        <v>1973</v>
      </c>
      <c r="CQ36" t="s">
        <v>421</v>
      </c>
      <c r="CR36" t="s">
        <v>1974</v>
      </c>
      <c r="CS36" t="s">
        <v>538</v>
      </c>
      <c r="CT36" t="s">
        <v>1975</v>
      </c>
      <c r="CU36" t="s">
        <v>414</v>
      </c>
      <c r="CV36" t="s">
        <v>1976</v>
      </c>
      <c r="CW36" t="s">
        <v>408</v>
      </c>
      <c r="CX36" t="s">
        <v>1977</v>
      </c>
      <c r="CY36" t="s">
        <v>454</v>
      </c>
      <c r="CZ36" t="s">
        <v>1978</v>
      </c>
      <c r="DA36" t="s">
        <v>731</v>
      </c>
      <c r="DB36" t="s">
        <v>1979</v>
      </c>
      <c r="DC36" t="s">
        <v>242</v>
      </c>
      <c r="DD36" t="s">
        <v>1980</v>
      </c>
      <c r="DF36" t="s">
        <v>1981</v>
      </c>
      <c r="DG36" t="s">
        <v>242</v>
      </c>
      <c r="DH36" t="s">
        <v>1982</v>
      </c>
    </row>
    <row r="37" spans="1:112" x14ac:dyDescent="0.35">
      <c r="A37" t="s">
        <v>227</v>
      </c>
      <c r="B37" t="s">
        <v>1983</v>
      </c>
      <c r="C37" t="s">
        <v>229</v>
      </c>
      <c r="D37" t="s">
        <v>305</v>
      </c>
      <c r="E37" t="s">
        <v>231</v>
      </c>
      <c r="F37" t="s">
        <v>1984</v>
      </c>
      <c r="G37" t="s">
        <v>40</v>
      </c>
      <c r="H37" t="s">
        <v>1039</v>
      </c>
      <c r="I37" t="s">
        <v>234</v>
      </c>
      <c r="J37" t="s">
        <v>1985</v>
      </c>
      <c r="L37" t="s">
        <v>1986</v>
      </c>
      <c r="M37" t="s">
        <v>18</v>
      </c>
      <c r="N37" t="s">
        <v>1987</v>
      </c>
      <c r="O37" t="s">
        <v>21</v>
      </c>
      <c r="P37" t="s">
        <v>1168</v>
      </c>
      <c r="Q37" t="s">
        <v>40</v>
      </c>
      <c r="R37" t="s">
        <v>1988</v>
      </c>
      <c r="S37" t="s">
        <v>310</v>
      </c>
      <c r="T37" t="s">
        <v>1989</v>
      </c>
      <c r="U37" t="s">
        <v>40</v>
      </c>
      <c r="V37" t="s">
        <v>1990</v>
      </c>
      <c r="W37" t="s">
        <v>40</v>
      </c>
      <c r="X37" t="s">
        <v>1991</v>
      </c>
      <c r="Y37" t="s">
        <v>1992</v>
      </c>
      <c r="Z37" t="s">
        <v>1993</v>
      </c>
      <c r="AA37" t="s">
        <v>40</v>
      </c>
      <c r="AB37" t="s">
        <v>1994</v>
      </c>
      <c r="AC37" t="s">
        <v>316</v>
      </c>
      <c r="AD37" t="s">
        <v>1995</v>
      </c>
      <c r="AE37" t="s">
        <v>1996</v>
      </c>
      <c r="AF37" t="s">
        <v>1997</v>
      </c>
      <c r="AG37" t="s">
        <v>40</v>
      </c>
      <c r="AH37" t="s">
        <v>1998</v>
      </c>
      <c r="AI37" t="s">
        <v>1941</v>
      </c>
      <c r="AJ37" t="s">
        <v>1999</v>
      </c>
      <c r="AK37" t="s">
        <v>2000</v>
      </c>
      <c r="AL37" t="s">
        <v>2001</v>
      </c>
      <c r="AM37" t="s">
        <v>2002</v>
      </c>
      <c r="AN37" t="s">
        <v>2003</v>
      </c>
      <c r="AO37" t="s">
        <v>1498</v>
      </c>
      <c r="AP37" t="s">
        <v>2004</v>
      </c>
      <c r="AQ37" t="s">
        <v>45</v>
      </c>
      <c r="AR37" t="s">
        <v>2005</v>
      </c>
      <c r="AS37" t="s">
        <v>242</v>
      </c>
      <c r="AT37" t="s">
        <v>2006</v>
      </c>
      <c r="AU37" t="s">
        <v>2007</v>
      </c>
      <c r="AV37" t="s">
        <v>2008</v>
      </c>
      <c r="AW37" t="s">
        <v>247</v>
      </c>
      <c r="AX37" t="s">
        <v>2009</v>
      </c>
      <c r="AY37" t="s">
        <v>249</v>
      </c>
      <c r="AZ37" t="s">
        <v>2010</v>
      </c>
      <c r="BA37" t="s">
        <v>242</v>
      </c>
      <c r="BB37" t="s">
        <v>2011</v>
      </c>
      <c r="BC37" t="s">
        <v>295</v>
      </c>
      <c r="BD37" t="s">
        <v>2012</v>
      </c>
      <c r="BE37" t="s">
        <v>243</v>
      </c>
      <c r="BF37" t="s">
        <v>2013</v>
      </c>
      <c r="BG37" t="s">
        <v>519</v>
      </c>
      <c r="BH37" t="s">
        <v>2014</v>
      </c>
      <c r="BI37" t="s">
        <v>243</v>
      </c>
      <c r="BJ37" t="s">
        <v>2015</v>
      </c>
      <c r="BK37" t="s">
        <v>295</v>
      </c>
      <c r="BL37" t="s">
        <v>2016</v>
      </c>
      <c r="BM37" t="s">
        <v>243</v>
      </c>
      <c r="BN37" t="s">
        <v>2017</v>
      </c>
      <c r="BO37" t="s">
        <v>519</v>
      </c>
      <c r="BP37" t="s">
        <v>2018</v>
      </c>
      <c r="BQ37" t="s">
        <v>243</v>
      </c>
      <c r="BR37" t="s">
        <v>2019</v>
      </c>
      <c r="BS37" t="s">
        <v>519</v>
      </c>
      <c r="BT37" t="s">
        <v>2020</v>
      </c>
      <c r="BU37" t="s">
        <v>243</v>
      </c>
      <c r="BV37" t="s">
        <v>2021</v>
      </c>
      <c r="BW37" t="s">
        <v>519</v>
      </c>
      <c r="BX37" t="s">
        <v>2022</v>
      </c>
      <c r="BY37" t="s">
        <v>243</v>
      </c>
      <c r="BZ37" t="s">
        <v>2023</v>
      </c>
      <c r="CA37" t="s">
        <v>519</v>
      </c>
      <c r="CB37" t="s">
        <v>1689</v>
      </c>
      <c r="CC37" t="s">
        <v>243</v>
      </c>
      <c r="CD37" t="s">
        <v>2024</v>
      </c>
      <c r="CE37" t="s">
        <v>295</v>
      </c>
      <c r="CF37" t="s">
        <v>2025</v>
      </c>
      <c r="CG37" t="s">
        <v>243</v>
      </c>
      <c r="CH37" t="s">
        <v>2026</v>
      </c>
      <c r="CI37" t="s">
        <v>519</v>
      </c>
      <c r="CJ37" t="s">
        <v>2027</v>
      </c>
      <c r="CK37" t="s">
        <v>243</v>
      </c>
      <c r="CL37" t="s">
        <v>437</v>
      </c>
      <c r="CM37" t="s">
        <v>519</v>
      </c>
      <c r="CN37" t="s">
        <v>2028</v>
      </c>
      <c r="CO37" t="s">
        <v>243</v>
      </c>
      <c r="CP37" t="s">
        <v>2029</v>
      </c>
      <c r="CQ37" t="s">
        <v>519</v>
      </c>
      <c r="CR37" t="s">
        <v>2030</v>
      </c>
      <c r="CS37" t="s">
        <v>243</v>
      </c>
      <c r="CT37" t="s">
        <v>2031</v>
      </c>
      <c r="CU37" t="s">
        <v>519</v>
      </c>
      <c r="CV37" t="s">
        <v>2032</v>
      </c>
      <c r="CW37" t="s">
        <v>243</v>
      </c>
      <c r="CX37" t="s">
        <v>2033</v>
      </c>
      <c r="CY37" t="s">
        <v>519</v>
      </c>
      <c r="CZ37" t="s">
        <v>2034</v>
      </c>
      <c r="DA37" t="s">
        <v>243</v>
      </c>
      <c r="DB37" t="s">
        <v>2035</v>
      </c>
      <c r="DC37" t="s">
        <v>242</v>
      </c>
      <c r="DD37" t="s">
        <v>2036</v>
      </c>
      <c r="DF37" t="s">
        <v>2037</v>
      </c>
      <c r="DG37" t="s">
        <v>242</v>
      </c>
      <c r="DH37" t="s">
        <v>2038</v>
      </c>
    </row>
    <row r="38" spans="1:112" x14ac:dyDescent="0.35">
      <c r="A38" t="s">
        <v>227</v>
      </c>
      <c r="B38" t="s">
        <v>2039</v>
      </c>
      <c r="C38" t="s">
        <v>229</v>
      </c>
      <c r="D38" t="s">
        <v>2040</v>
      </c>
      <c r="E38" t="s">
        <v>231</v>
      </c>
      <c r="F38" t="s">
        <v>2041</v>
      </c>
      <c r="G38" t="s">
        <v>40</v>
      </c>
      <c r="H38" t="s">
        <v>1116</v>
      </c>
      <c r="I38" t="s">
        <v>234</v>
      </c>
      <c r="J38" t="s">
        <v>2042</v>
      </c>
      <c r="L38" t="s">
        <v>2043</v>
      </c>
      <c r="M38" t="s">
        <v>18</v>
      </c>
      <c r="N38" t="s">
        <v>2044</v>
      </c>
      <c r="O38" t="s">
        <v>19</v>
      </c>
      <c r="P38" t="s">
        <v>2045</v>
      </c>
      <c r="Q38" t="s">
        <v>40</v>
      </c>
      <c r="R38" t="s">
        <v>2046</v>
      </c>
      <c r="S38" t="s">
        <v>240</v>
      </c>
      <c r="T38" t="s">
        <v>2047</v>
      </c>
      <c r="U38" t="s">
        <v>242</v>
      </c>
      <c r="V38" t="s">
        <v>243</v>
      </c>
      <c r="W38" t="s">
        <v>242</v>
      </c>
      <c r="X38" t="s">
        <v>243</v>
      </c>
      <c r="Y38" t="s">
        <v>242</v>
      </c>
      <c r="Z38" t="s">
        <v>243</v>
      </c>
      <c r="AA38" t="s">
        <v>242</v>
      </c>
      <c r="AB38" t="s">
        <v>243</v>
      </c>
      <c r="AC38" t="s">
        <v>242</v>
      </c>
      <c r="AD38" t="s">
        <v>243</v>
      </c>
      <c r="AE38" t="s">
        <v>242</v>
      </c>
      <c r="AF38" t="s">
        <v>243</v>
      </c>
      <c r="AG38" t="s">
        <v>242</v>
      </c>
      <c r="AH38" t="s">
        <v>243</v>
      </c>
      <c r="AI38" t="s">
        <v>242</v>
      </c>
      <c r="AJ38" t="s">
        <v>243</v>
      </c>
      <c r="AK38" t="s">
        <v>242</v>
      </c>
      <c r="AL38" t="s">
        <v>243</v>
      </c>
      <c r="AM38" t="s">
        <v>242</v>
      </c>
      <c r="AN38" t="s">
        <v>243</v>
      </c>
      <c r="AO38" t="s">
        <v>242</v>
      </c>
      <c r="AP38" t="s">
        <v>243</v>
      </c>
      <c r="AQ38" t="s">
        <v>242</v>
      </c>
      <c r="AR38" t="s">
        <v>243</v>
      </c>
      <c r="AS38" t="s">
        <v>242</v>
      </c>
      <c r="AT38" t="s">
        <v>244</v>
      </c>
      <c r="AU38" t="s">
        <v>2048</v>
      </c>
      <c r="AV38" t="s">
        <v>2049</v>
      </c>
      <c r="AW38" t="s">
        <v>247</v>
      </c>
      <c r="AX38" t="s">
        <v>2050</v>
      </c>
      <c r="AY38" t="s">
        <v>249</v>
      </c>
      <c r="AZ38" t="s">
        <v>2051</v>
      </c>
      <c r="BA38" t="s">
        <v>242</v>
      </c>
      <c r="BB38" t="s">
        <v>2052</v>
      </c>
      <c r="BC38" t="s">
        <v>427</v>
      </c>
      <c r="BD38" t="s">
        <v>2053</v>
      </c>
      <c r="BE38" t="s">
        <v>538</v>
      </c>
      <c r="BF38" t="s">
        <v>2054</v>
      </c>
      <c r="BG38" t="s">
        <v>519</v>
      </c>
      <c r="BH38" t="s">
        <v>657</v>
      </c>
      <c r="BI38" t="s">
        <v>243</v>
      </c>
      <c r="BJ38" t="s">
        <v>2055</v>
      </c>
      <c r="BK38" t="s">
        <v>595</v>
      </c>
      <c r="BL38" t="s">
        <v>2056</v>
      </c>
      <c r="BM38" t="s">
        <v>369</v>
      </c>
      <c r="BN38" t="s">
        <v>2057</v>
      </c>
      <c r="BO38" t="s">
        <v>664</v>
      </c>
      <c r="BP38" t="s">
        <v>2058</v>
      </c>
      <c r="BQ38" t="s">
        <v>261</v>
      </c>
      <c r="BR38" t="s">
        <v>2059</v>
      </c>
      <c r="BS38" t="s">
        <v>589</v>
      </c>
      <c r="BT38" t="s">
        <v>1574</v>
      </c>
      <c r="BU38" t="s">
        <v>281</v>
      </c>
      <c r="BV38" t="s">
        <v>2060</v>
      </c>
      <c r="BW38" t="s">
        <v>993</v>
      </c>
      <c r="BX38" t="s">
        <v>2061</v>
      </c>
      <c r="BY38" t="s">
        <v>532</v>
      </c>
      <c r="BZ38" t="s">
        <v>2062</v>
      </c>
      <c r="CA38" t="s">
        <v>993</v>
      </c>
      <c r="CB38" t="s">
        <v>2063</v>
      </c>
      <c r="CC38" t="s">
        <v>481</v>
      </c>
      <c r="CD38" t="s">
        <v>803</v>
      </c>
      <c r="CE38" t="s">
        <v>276</v>
      </c>
      <c r="CF38" t="s">
        <v>2064</v>
      </c>
      <c r="CG38" t="s">
        <v>469</v>
      </c>
      <c r="CH38" t="s">
        <v>2065</v>
      </c>
      <c r="CI38" t="s">
        <v>342</v>
      </c>
      <c r="CJ38" t="s">
        <v>2066</v>
      </c>
      <c r="CK38" t="s">
        <v>481</v>
      </c>
      <c r="CL38" t="s">
        <v>2067</v>
      </c>
      <c r="CM38" t="s">
        <v>252</v>
      </c>
      <c r="CN38" t="s">
        <v>2068</v>
      </c>
      <c r="CO38" t="s">
        <v>285</v>
      </c>
      <c r="CP38" t="s">
        <v>2069</v>
      </c>
      <c r="CQ38" t="s">
        <v>585</v>
      </c>
      <c r="CR38" t="s">
        <v>2070</v>
      </c>
      <c r="CS38" t="s">
        <v>285</v>
      </c>
      <c r="CT38" t="s">
        <v>317</v>
      </c>
      <c r="CU38" t="s">
        <v>528</v>
      </c>
      <c r="CV38" t="s">
        <v>1126</v>
      </c>
      <c r="CW38" t="s">
        <v>424</v>
      </c>
      <c r="CX38" t="s">
        <v>2071</v>
      </c>
      <c r="CY38" t="s">
        <v>421</v>
      </c>
      <c r="CZ38" t="s">
        <v>2072</v>
      </c>
      <c r="DA38" t="s">
        <v>744</v>
      </c>
      <c r="DB38" t="s">
        <v>2073</v>
      </c>
      <c r="DC38" t="s">
        <v>242</v>
      </c>
      <c r="DD38" t="s">
        <v>2074</v>
      </c>
      <c r="DF38" t="s">
        <v>2075</v>
      </c>
      <c r="DG38" t="s">
        <v>242</v>
      </c>
      <c r="DH38" t="s">
        <v>2076</v>
      </c>
    </row>
    <row r="39" spans="1:112" x14ac:dyDescent="0.35">
      <c r="A39" t="s">
        <v>227</v>
      </c>
      <c r="B39" t="s">
        <v>2077</v>
      </c>
      <c r="C39" t="s">
        <v>229</v>
      </c>
      <c r="D39" t="s">
        <v>2078</v>
      </c>
      <c r="E39" t="s">
        <v>231</v>
      </c>
      <c r="F39" t="s">
        <v>2079</v>
      </c>
      <c r="G39" t="s">
        <v>40</v>
      </c>
      <c r="H39" t="s">
        <v>2080</v>
      </c>
      <c r="I39" t="s">
        <v>234</v>
      </c>
      <c r="J39" t="s">
        <v>2081</v>
      </c>
      <c r="L39" t="s">
        <v>2082</v>
      </c>
      <c r="M39" t="s">
        <v>18</v>
      </c>
      <c r="N39" t="s">
        <v>1478</v>
      </c>
      <c r="O39" t="s">
        <v>21</v>
      </c>
      <c r="P39" t="s">
        <v>2083</v>
      </c>
      <c r="Q39" t="s">
        <v>40</v>
      </c>
      <c r="R39" t="s">
        <v>2084</v>
      </c>
      <c r="S39" t="s">
        <v>310</v>
      </c>
      <c r="T39" t="s">
        <v>2085</v>
      </c>
      <c r="U39" t="s">
        <v>40</v>
      </c>
      <c r="V39" t="s">
        <v>2086</v>
      </c>
      <c r="W39" t="s">
        <v>40</v>
      </c>
      <c r="X39" t="s">
        <v>2087</v>
      </c>
      <c r="Y39" t="s">
        <v>2088</v>
      </c>
      <c r="Z39" t="s">
        <v>2089</v>
      </c>
      <c r="AA39" t="s">
        <v>40</v>
      </c>
      <c r="AB39" t="s">
        <v>2090</v>
      </c>
      <c r="AC39" t="s">
        <v>316</v>
      </c>
      <c r="AD39" t="s">
        <v>2091</v>
      </c>
      <c r="AE39" t="s">
        <v>318</v>
      </c>
      <c r="AF39" t="s">
        <v>2092</v>
      </c>
      <c r="AG39" t="s">
        <v>40</v>
      </c>
      <c r="AH39" t="s">
        <v>2093</v>
      </c>
      <c r="AI39" t="s">
        <v>621</v>
      </c>
      <c r="AJ39" t="s">
        <v>2094</v>
      </c>
      <c r="AK39" t="s">
        <v>2095</v>
      </c>
      <c r="AL39" t="s">
        <v>2096</v>
      </c>
      <c r="AM39" t="s">
        <v>2097</v>
      </c>
      <c r="AN39" t="s">
        <v>2098</v>
      </c>
      <c r="AO39" t="s">
        <v>825</v>
      </c>
      <c r="AP39" t="s">
        <v>2099</v>
      </c>
      <c r="AQ39" t="s">
        <v>45</v>
      </c>
      <c r="AR39" t="s">
        <v>2100</v>
      </c>
      <c r="AS39" t="s">
        <v>242</v>
      </c>
      <c r="AT39" t="s">
        <v>2101</v>
      </c>
      <c r="AU39" t="s">
        <v>2102</v>
      </c>
      <c r="AV39" t="s">
        <v>2103</v>
      </c>
      <c r="AW39" t="s">
        <v>247</v>
      </c>
      <c r="AX39" t="s">
        <v>2104</v>
      </c>
      <c r="AY39" t="s">
        <v>249</v>
      </c>
      <c r="AZ39" t="s">
        <v>2105</v>
      </c>
      <c r="BA39" t="s">
        <v>242</v>
      </c>
      <c r="BB39" t="s">
        <v>2068</v>
      </c>
      <c r="BC39" t="s">
        <v>664</v>
      </c>
      <c r="BD39" t="s">
        <v>2106</v>
      </c>
      <c r="BE39" t="s">
        <v>243</v>
      </c>
      <c r="BF39" t="s">
        <v>2107</v>
      </c>
      <c r="BG39" t="s">
        <v>1145</v>
      </c>
      <c r="BH39" t="s">
        <v>2108</v>
      </c>
      <c r="BI39" t="s">
        <v>1137</v>
      </c>
      <c r="BJ39" t="s">
        <v>2109</v>
      </c>
      <c r="BK39" t="s">
        <v>266</v>
      </c>
      <c r="BL39" t="s">
        <v>2110</v>
      </c>
      <c r="BM39" t="s">
        <v>595</v>
      </c>
      <c r="BN39" t="s">
        <v>2111</v>
      </c>
      <c r="BO39" t="s">
        <v>360</v>
      </c>
      <c r="BP39" t="s">
        <v>2112</v>
      </c>
      <c r="BQ39" t="s">
        <v>397</v>
      </c>
      <c r="BR39" t="s">
        <v>2113</v>
      </c>
      <c r="BS39" t="s">
        <v>519</v>
      </c>
      <c r="BT39" t="s">
        <v>2114</v>
      </c>
      <c r="BU39" t="s">
        <v>243</v>
      </c>
      <c r="BV39" t="s">
        <v>2115</v>
      </c>
      <c r="BW39" t="s">
        <v>519</v>
      </c>
      <c r="BX39" t="s">
        <v>2116</v>
      </c>
      <c r="BY39" t="s">
        <v>243</v>
      </c>
      <c r="BZ39" t="s">
        <v>2117</v>
      </c>
      <c r="CA39" t="s">
        <v>519</v>
      </c>
      <c r="CB39" t="s">
        <v>2118</v>
      </c>
      <c r="CC39" t="s">
        <v>243</v>
      </c>
      <c r="CD39" t="s">
        <v>2119</v>
      </c>
      <c r="CE39" t="s">
        <v>900</v>
      </c>
      <c r="CF39" t="s">
        <v>2120</v>
      </c>
      <c r="CG39" t="s">
        <v>243</v>
      </c>
      <c r="CH39" t="s">
        <v>2121</v>
      </c>
      <c r="CI39" t="s">
        <v>342</v>
      </c>
      <c r="CJ39" t="s">
        <v>1083</v>
      </c>
      <c r="CK39" t="s">
        <v>252</v>
      </c>
      <c r="CL39" t="s">
        <v>2122</v>
      </c>
      <c r="CM39" t="s">
        <v>287</v>
      </c>
      <c r="CN39" t="s">
        <v>2123</v>
      </c>
      <c r="CO39" t="s">
        <v>339</v>
      </c>
      <c r="CP39" t="s">
        <v>2124</v>
      </c>
      <c r="CQ39" t="s">
        <v>276</v>
      </c>
      <c r="CR39" t="s">
        <v>474</v>
      </c>
      <c r="CS39" t="s">
        <v>276</v>
      </c>
      <c r="CT39" t="s">
        <v>2125</v>
      </c>
      <c r="CU39" t="s">
        <v>585</v>
      </c>
      <c r="CV39" t="s">
        <v>2126</v>
      </c>
      <c r="CW39" t="s">
        <v>583</v>
      </c>
      <c r="CX39" t="s">
        <v>1926</v>
      </c>
      <c r="CY39" t="s">
        <v>1788</v>
      </c>
      <c r="CZ39" t="s">
        <v>2074</v>
      </c>
      <c r="DA39" t="s">
        <v>585</v>
      </c>
      <c r="DB39" t="s">
        <v>2127</v>
      </c>
      <c r="DC39" t="s">
        <v>242</v>
      </c>
      <c r="DD39" t="s">
        <v>2128</v>
      </c>
      <c r="DF39" t="s">
        <v>2129</v>
      </c>
      <c r="DG39" t="s">
        <v>242</v>
      </c>
      <c r="DH39" t="s">
        <v>2130</v>
      </c>
    </row>
    <row r="40" spans="1:112" x14ac:dyDescent="0.35">
      <c r="A40" t="s">
        <v>227</v>
      </c>
      <c r="B40" t="s">
        <v>2131</v>
      </c>
      <c r="C40" t="s">
        <v>229</v>
      </c>
      <c r="D40" t="s">
        <v>2132</v>
      </c>
      <c r="E40" t="s">
        <v>231</v>
      </c>
      <c r="F40" t="s">
        <v>2133</v>
      </c>
      <c r="G40" t="s">
        <v>40</v>
      </c>
      <c r="H40" t="s">
        <v>2134</v>
      </c>
      <c r="I40" t="s">
        <v>234</v>
      </c>
      <c r="J40" t="s">
        <v>2135</v>
      </c>
      <c r="L40" t="s">
        <v>1956</v>
      </c>
      <c r="M40" t="s">
        <v>18</v>
      </c>
      <c r="N40" t="s">
        <v>2136</v>
      </c>
      <c r="O40" t="s">
        <v>19</v>
      </c>
      <c r="P40" t="s">
        <v>2137</v>
      </c>
      <c r="Q40" t="s">
        <v>40</v>
      </c>
      <c r="R40" t="s">
        <v>2138</v>
      </c>
      <c r="S40" t="s">
        <v>240</v>
      </c>
      <c r="T40" t="s">
        <v>2139</v>
      </c>
      <c r="U40" t="s">
        <v>242</v>
      </c>
      <c r="V40" t="s">
        <v>243</v>
      </c>
      <c r="W40" t="s">
        <v>242</v>
      </c>
      <c r="X40" t="s">
        <v>243</v>
      </c>
      <c r="Y40" t="s">
        <v>242</v>
      </c>
      <c r="Z40" t="s">
        <v>243</v>
      </c>
      <c r="AA40" t="s">
        <v>242</v>
      </c>
      <c r="AB40" t="s">
        <v>243</v>
      </c>
      <c r="AC40" t="s">
        <v>242</v>
      </c>
      <c r="AD40" t="s">
        <v>243</v>
      </c>
      <c r="AE40" t="s">
        <v>242</v>
      </c>
      <c r="AF40" t="s">
        <v>243</v>
      </c>
      <c r="AG40" t="s">
        <v>242</v>
      </c>
      <c r="AH40" t="s">
        <v>243</v>
      </c>
      <c r="AI40" t="s">
        <v>242</v>
      </c>
      <c r="AJ40" t="s">
        <v>243</v>
      </c>
      <c r="AK40" t="s">
        <v>242</v>
      </c>
      <c r="AL40" t="s">
        <v>243</v>
      </c>
      <c r="AM40" t="s">
        <v>242</v>
      </c>
      <c r="AN40" t="s">
        <v>243</v>
      </c>
      <c r="AO40" t="s">
        <v>242</v>
      </c>
      <c r="AP40" t="s">
        <v>243</v>
      </c>
      <c r="AQ40" t="s">
        <v>242</v>
      </c>
      <c r="AR40" t="s">
        <v>243</v>
      </c>
      <c r="AS40" t="s">
        <v>242</v>
      </c>
      <c r="AT40" t="s">
        <v>244</v>
      </c>
      <c r="AU40" t="s">
        <v>2140</v>
      </c>
      <c r="AV40" t="s">
        <v>2141</v>
      </c>
      <c r="AW40" t="s">
        <v>247</v>
      </c>
      <c r="AX40" t="s">
        <v>2142</v>
      </c>
      <c r="AY40" t="s">
        <v>249</v>
      </c>
      <c r="AZ40" t="s">
        <v>2143</v>
      </c>
      <c r="BA40" t="s">
        <v>242</v>
      </c>
      <c r="BB40" t="s">
        <v>2144</v>
      </c>
      <c r="BC40" t="s">
        <v>481</v>
      </c>
      <c r="BD40" t="s">
        <v>2145</v>
      </c>
      <c r="BE40" t="s">
        <v>295</v>
      </c>
      <c r="BF40" t="s">
        <v>2146</v>
      </c>
      <c r="BG40" t="s">
        <v>744</v>
      </c>
      <c r="BH40" t="s">
        <v>2147</v>
      </c>
      <c r="BI40" t="s">
        <v>295</v>
      </c>
      <c r="BJ40" t="s">
        <v>1601</v>
      </c>
      <c r="BK40" t="s">
        <v>538</v>
      </c>
      <c r="BL40" t="s">
        <v>2148</v>
      </c>
      <c r="BM40" t="s">
        <v>337</v>
      </c>
      <c r="BN40" t="s">
        <v>2149</v>
      </c>
      <c r="BO40" t="s">
        <v>287</v>
      </c>
      <c r="BP40" t="s">
        <v>2150</v>
      </c>
      <c r="BQ40" t="s">
        <v>295</v>
      </c>
      <c r="BR40" t="s">
        <v>2151</v>
      </c>
      <c r="BS40" t="s">
        <v>900</v>
      </c>
      <c r="BT40" t="s">
        <v>2152</v>
      </c>
      <c r="BU40" t="s">
        <v>337</v>
      </c>
      <c r="BV40" t="s">
        <v>2153</v>
      </c>
      <c r="BW40" t="s">
        <v>351</v>
      </c>
      <c r="BX40" t="s">
        <v>2154</v>
      </c>
      <c r="BY40" t="s">
        <v>451</v>
      </c>
      <c r="BZ40" t="s">
        <v>2155</v>
      </c>
      <c r="CA40" t="s">
        <v>348</v>
      </c>
      <c r="CB40" t="s">
        <v>1483</v>
      </c>
      <c r="CC40" t="s">
        <v>476</v>
      </c>
      <c r="CD40" t="s">
        <v>2156</v>
      </c>
      <c r="CE40" t="s">
        <v>589</v>
      </c>
      <c r="CF40" t="s">
        <v>2157</v>
      </c>
      <c r="CG40" t="s">
        <v>1131</v>
      </c>
      <c r="CH40" t="s">
        <v>2158</v>
      </c>
      <c r="CI40" t="s">
        <v>348</v>
      </c>
      <c r="CJ40" t="s">
        <v>2159</v>
      </c>
      <c r="CK40" t="s">
        <v>685</v>
      </c>
      <c r="CL40" t="s">
        <v>2160</v>
      </c>
      <c r="CM40" t="s">
        <v>397</v>
      </c>
      <c r="CN40" t="s">
        <v>2161</v>
      </c>
      <c r="CO40" t="s">
        <v>1131</v>
      </c>
      <c r="CP40" t="s">
        <v>2162</v>
      </c>
      <c r="CQ40" t="s">
        <v>421</v>
      </c>
      <c r="CR40" t="s">
        <v>2163</v>
      </c>
      <c r="CS40" t="s">
        <v>698</v>
      </c>
      <c r="CT40" t="s">
        <v>2164</v>
      </c>
      <c r="CU40" t="s">
        <v>356</v>
      </c>
      <c r="CV40" t="s">
        <v>2165</v>
      </c>
      <c r="CW40" t="s">
        <v>731</v>
      </c>
      <c r="CX40" t="s">
        <v>2166</v>
      </c>
      <c r="CY40" t="s">
        <v>779</v>
      </c>
      <c r="CZ40" t="s">
        <v>2167</v>
      </c>
      <c r="DA40" t="s">
        <v>731</v>
      </c>
      <c r="DB40" t="s">
        <v>2168</v>
      </c>
      <c r="DC40" t="s">
        <v>242</v>
      </c>
      <c r="DD40" t="s">
        <v>2169</v>
      </c>
      <c r="DF40" t="s">
        <v>2170</v>
      </c>
      <c r="DG40" t="s">
        <v>242</v>
      </c>
      <c r="DH40" t="s">
        <v>2171</v>
      </c>
    </row>
    <row r="41" spans="1:112" x14ac:dyDescent="0.35">
      <c r="A41" t="s">
        <v>227</v>
      </c>
      <c r="B41" t="s">
        <v>2172</v>
      </c>
      <c r="C41" t="s">
        <v>229</v>
      </c>
      <c r="D41" t="s">
        <v>2173</v>
      </c>
      <c r="E41" t="s">
        <v>231</v>
      </c>
      <c r="F41" t="s">
        <v>239</v>
      </c>
      <c r="G41" t="s">
        <v>40</v>
      </c>
      <c r="H41" t="s">
        <v>2174</v>
      </c>
      <c r="I41" t="s">
        <v>234</v>
      </c>
      <c r="J41" t="s">
        <v>2175</v>
      </c>
      <c r="L41" t="s">
        <v>2176</v>
      </c>
      <c r="M41" t="s">
        <v>18</v>
      </c>
      <c r="N41" t="s">
        <v>2177</v>
      </c>
      <c r="O41" t="s">
        <v>21</v>
      </c>
      <c r="P41" t="s">
        <v>2178</v>
      </c>
      <c r="Q41" t="s">
        <v>1337</v>
      </c>
      <c r="R41" t="s">
        <v>2179</v>
      </c>
      <c r="S41" t="s">
        <v>310</v>
      </c>
      <c r="T41" t="s">
        <v>2180</v>
      </c>
      <c r="U41" t="s">
        <v>40</v>
      </c>
      <c r="V41" t="s">
        <v>1938</v>
      </c>
      <c r="W41" t="s">
        <v>40</v>
      </c>
      <c r="X41" t="s">
        <v>2181</v>
      </c>
      <c r="Y41" t="s">
        <v>89</v>
      </c>
      <c r="Z41" t="s">
        <v>2182</v>
      </c>
      <c r="AA41" t="s">
        <v>40</v>
      </c>
      <c r="AB41" t="s">
        <v>2183</v>
      </c>
      <c r="AC41" t="s">
        <v>316</v>
      </c>
      <c r="AD41" t="s">
        <v>2184</v>
      </c>
      <c r="AE41" t="s">
        <v>502</v>
      </c>
      <c r="AF41" t="s">
        <v>2185</v>
      </c>
      <c r="AG41" t="s">
        <v>40</v>
      </c>
      <c r="AH41" t="s">
        <v>2186</v>
      </c>
      <c r="AI41" t="s">
        <v>621</v>
      </c>
      <c r="AJ41" t="s">
        <v>1392</v>
      </c>
      <c r="AK41" t="s">
        <v>2187</v>
      </c>
      <c r="AL41" t="s">
        <v>2188</v>
      </c>
      <c r="AM41" t="s">
        <v>1702</v>
      </c>
      <c r="AN41" t="s">
        <v>2189</v>
      </c>
      <c r="AO41" t="s">
        <v>1442</v>
      </c>
      <c r="AP41" t="s">
        <v>1464</v>
      </c>
      <c r="AQ41" t="s">
        <v>45</v>
      </c>
      <c r="AR41" t="s">
        <v>2190</v>
      </c>
      <c r="AS41" t="s">
        <v>242</v>
      </c>
      <c r="AT41" t="s">
        <v>2191</v>
      </c>
      <c r="AU41" t="s">
        <v>2192</v>
      </c>
      <c r="AV41" t="s">
        <v>2193</v>
      </c>
      <c r="AW41" t="s">
        <v>247</v>
      </c>
      <c r="AX41" t="s">
        <v>2194</v>
      </c>
      <c r="AY41" t="s">
        <v>249</v>
      </c>
      <c r="AZ41" t="s">
        <v>2195</v>
      </c>
      <c r="BA41" t="s">
        <v>242</v>
      </c>
      <c r="BB41" t="s">
        <v>2196</v>
      </c>
      <c r="BC41" t="s">
        <v>421</v>
      </c>
      <c r="BD41" t="s">
        <v>2197</v>
      </c>
      <c r="BE41" t="s">
        <v>424</v>
      </c>
      <c r="BF41" t="s">
        <v>2198</v>
      </c>
      <c r="BG41" t="s">
        <v>900</v>
      </c>
      <c r="BH41" t="s">
        <v>2199</v>
      </c>
      <c r="BI41" t="s">
        <v>424</v>
      </c>
      <c r="BJ41" t="s">
        <v>280</v>
      </c>
      <c r="BK41" t="s">
        <v>900</v>
      </c>
      <c r="BL41" t="s">
        <v>2200</v>
      </c>
      <c r="BM41" t="s">
        <v>427</v>
      </c>
      <c r="BN41" t="s">
        <v>2201</v>
      </c>
      <c r="BO41" t="s">
        <v>900</v>
      </c>
      <c r="BP41" t="s">
        <v>2202</v>
      </c>
      <c r="BQ41" t="s">
        <v>424</v>
      </c>
      <c r="BR41" t="s">
        <v>2203</v>
      </c>
      <c r="BS41" t="s">
        <v>528</v>
      </c>
      <c r="BT41" t="s">
        <v>2204</v>
      </c>
      <c r="BU41" t="s">
        <v>414</v>
      </c>
      <c r="BV41" t="s">
        <v>2205</v>
      </c>
      <c r="BW41" t="s">
        <v>351</v>
      </c>
      <c r="BX41" t="s">
        <v>865</v>
      </c>
      <c r="BY41" t="s">
        <v>424</v>
      </c>
      <c r="BZ41" t="s">
        <v>2206</v>
      </c>
      <c r="CA41" t="s">
        <v>696</v>
      </c>
      <c r="CB41" t="s">
        <v>2207</v>
      </c>
      <c r="CC41" t="s">
        <v>538</v>
      </c>
      <c r="CD41" t="s">
        <v>2208</v>
      </c>
      <c r="CE41" t="s">
        <v>664</v>
      </c>
      <c r="CF41" t="s">
        <v>2209</v>
      </c>
      <c r="CG41" t="s">
        <v>393</v>
      </c>
      <c r="CH41" t="s">
        <v>2210</v>
      </c>
      <c r="CI41" t="s">
        <v>252</v>
      </c>
      <c r="CJ41" t="s">
        <v>2211</v>
      </c>
      <c r="CK41" t="s">
        <v>414</v>
      </c>
      <c r="CL41" t="s">
        <v>2212</v>
      </c>
      <c r="CM41" t="s">
        <v>585</v>
      </c>
      <c r="CN41" t="s">
        <v>2213</v>
      </c>
      <c r="CO41" t="s">
        <v>744</v>
      </c>
      <c r="CP41" t="s">
        <v>2214</v>
      </c>
      <c r="CQ41" t="s">
        <v>589</v>
      </c>
      <c r="CR41" t="s">
        <v>2215</v>
      </c>
      <c r="CS41" t="s">
        <v>538</v>
      </c>
      <c r="CT41" t="s">
        <v>2216</v>
      </c>
      <c r="CU41" t="s">
        <v>252</v>
      </c>
      <c r="CV41" t="s">
        <v>2217</v>
      </c>
      <c r="CW41" t="s">
        <v>295</v>
      </c>
      <c r="CX41" t="s">
        <v>2218</v>
      </c>
      <c r="CY41" t="s">
        <v>252</v>
      </c>
      <c r="CZ41" t="s">
        <v>2219</v>
      </c>
      <c r="DA41" t="s">
        <v>449</v>
      </c>
      <c r="DB41" t="s">
        <v>2220</v>
      </c>
      <c r="DC41" t="s">
        <v>242</v>
      </c>
      <c r="DD41" t="s">
        <v>2221</v>
      </c>
      <c r="DF41" t="s">
        <v>1592</v>
      </c>
      <c r="DG41" t="s">
        <v>242</v>
      </c>
      <c r="DH41" t="s">
        <v>2222</v>
      </c>
    </row>
    <row r="42" spans="1:112" x14ac:dyDescent="0.35">
      <c r="A42" t="s">
        <v>227</v>
      </c>
      <c r="B42" t="s">
        <v>2223</v>
      </c>
      <c r="C42" t="s">
        <v>229</v>
      </c>
      <c r="D42" t="s">
        <v>2224</v>
      </c>
      <c r="E42" t="s">
        <v>231</v>
      </c>
      <c r="F42" t="s">
        <v>2225</v>
      </c>
      <c r="G42" t="s">
        <v>40</v>
      </c>
      <c r="H42" t="s">
        <v>2226</v>
      </c>
      <c r="I42" t="s">
        <v>234</v>
      </c>
      <c r="J42" t="s">
        <v>1502</v>
      </c>
      <c r="L42" t="s">
        <v>2227</v>
      </c>
      <c r="M42" t="s">
        <v>15</v>
      </c>
      <c r="N42" t="s">
        <v>2228</v>
      </c>
      <c r="O42" t="s">
        <v>21</v>
      </c>
      <c r="P42" t="s">
        <v>2229</v>
      </c>
      <c r="Q42" t="s">
        <v>40</v>
      </c>
      <c r="R42" t="s">
        <v>2230</v>
      </c>
      <c r="S42" t="s">
        <v>310</v>
      </c>
      <c r="T42" t="s">
        <v>2231</v>
      </c>
      <c r="U42" t="s">
        <v>40</v>
      </c>
      <c r="V42" t="s">
        <v>2232</v>
      </c>
      <c r="W42" t="s">
        <v>40</v>
      </c>
      <c r="X42" t="s">
        <v>2233</v>
      </c>
      <c r="Y42" t="s">
        <v>76</v>
      </c>
      <c r="Z42" t="s">
        <v>2234</v>
      </c>
      <c r="AA42" t="s">
        <v>40</v>
      </c>
      <c r="AB42" t="s">
        <v>2235</v>
      </c>
      <c r="AC42" t="s">
        <v>2236</v>
      </c>
      <c r="AD42" t="s">
        <v>2237</v>
      </c>
      <c r="AE42" t="s">
        <v>502</v>
      </c>
      <c r="AF42" t="s">
        <v>2238</v>
      </c>
      <c r="AG42" t="s">
        <v>40</v>
      </c>
      <c r="AH42" t="s">
        <v>2239</v>
      </c>
      <c r="AI42" t="s">
        <v>621</v>
      </c>
      <c r="AJ42" t="s">
        <v>2240</v>
      </c>
      <c r="AK42" t="s">
        <v>2241</v>
      </c>
      <c r="AL42" t="s">
        <v>2242</v>
      </c>
      <c r="AM42" t="s">
        <v>2243</v>
      </c>
      <c r="AN42" t="s">
        <v>2244</v>
      </c>
      <c r="AO42" t="s">
        <v>0</v>
      </c>
      <c r="AP42" t="s">
        <v>2245</v>
      </c>
      <c r="AQ42" t="s">
        <v>45</v>
      </c>
      <c r="AR42" t="s">
        <v>2246</v>
      </c>
      <c r="AS42" t="s">
        <v>242</v>
      </c>
      <c r="AT42" t="s">
        <v>2247</v>
      </c>
      <c r="AU42" t="s">
        <v>330</v>
      </c>
      <c r="AV42" t="s">
        <v>2248</v>
      </c>
      <c r="AW42" t="s">
        <v>247</v>
      </c>
      <c r="AX42" t="s">
        <v>2249</v>
      </c>
      <c r="AY42" t="s">
        <v>249</v>
      </c>
      <c r="AZ42" t="s">
        <v>2250</v>
      </c>
      <c r="BA42" t="s">
        <v>242</v>
      </c>
      <c r="BB42" t="s">
        <v>2251</v>
      </c>
      <c r="BC42" t="s">
        <v>271</v>
      </c>
      <c r="BD42" t="s">
        <v>2252</v>
      </c>
      <c r="BE42" t="s">
        <v>271</v>
      </c>
      <c r="BF42" t="s">
        <v>2253</v>
      </c>
      <c r="BG42" t="s">
        <v>356</v>
      </c>
      <c r="BH42" t="s">
        <v>2254</v>
      </c>
      <c r="BI42" t="s">
        <v>481</v>
      </c>
      <c r="BJ42" t="s">
        <v>2255</v>
      </c>
      <c r="BK42" t="s">
        <v>900</v>
      </c>
      <c r="BL42" t="s">
        <v>2256</v>
      </c>
      <c r="BM42" t="s">
        <v>281</v>
      </c>
      <c r="BN42" t="s">
        <v>2257</v>
      </c>
      <c r="BO42" t="s">
        <v>779</v>
      </c>
      <c r="BP42" t="s">
        <v>2258</v>
      </c>
      <c r="BQ42" t="s">
        <v>429</v>
      </c>
      <c r="BR42" t="s">
        <v>2259</v>
      </c>
      <c r="BS42" t="s">
        <v>900</v>
      </c>
      <c r="BT42" t="s">
        <v>2260</v>
      </c>
      <c r="BU42" t="s">
        <v>427</v>
      </c>
      <c r="BV42" t="s">
        <v>2261</v>
      </c>
      <c r="BW42" t="s">
        <v>351</v>
      </c>
      <c r="BX42" t="s">
        <v>2262</v>
      </c>
      <c r="BY42" t="s">
        <v>371</v>
      </c>
      <c r="BZ42" t="s">
        <v>2263</v>
      </c>
      <c r="CA42" t="s">
        <v>342</v>
      </c>
      <c r="CB42" t="s">
        <v>2264</v>
      </c>
      <c r="CC42" t="s">
        <v>367</v>
      </c>
      <c r="CD42" t="s">
        <v>2265</v>
      </c>
      <c r="CE42" t="s">
        <v>589</v>
      </c>
      <c r="CF42" t="s">
        <v>2266</v>
      </c>
      <c r="CG42" t="s">
        <v>900</v>
      </c>
      <c r="CH42" t="s">
        <v>2267</v>
      </c>
      <c r="CI42" t="s">
        <v>585</v>
      </c>
      <c r="CJ42" t="s">
        <v>2268</v>
      </c>
      <c r="CK42" t="s">
        <v>752</v>
      </c>
      <c r="CL42" t="s">
        <v>2269</v>
      </c>
      <c r="CM42" t="s">
        <v>589</v>
      </c>
      <c r="CN42" t="s">
        <v>2270</v>
      </c>
      <c r="CO42" t="s">
        <v>528</v>
      </c>
      <c r="CP42" t="s">
        <v>2271</v>
      </c>
      <c r="CQ42" t="s">
        <v>252</v>
      </c>
      <c r="CR42" t="s">
        <v>2272</v>
      </c>
      <c r="CS42" t="s">
        <v>335</v>
      </c>
      <c r="CT42" t="s">
        <v>2273</v>
      </c>
      <c r="CU42" t="s">
        <v>291</v>
      </c>
      <c r="CV42" t="s">
        <v>2274</v>
      </c>
      <c r="CW42" t="s">
        <v>449</v>
      </c>
      <c r="CX42" t="s">
        <v>2275</v>
      </c>
      <c r="CY42" t="s">
        <v>698</v>
      </c>
      <c r="CZ42" t="s">
        <v>2276</v>
      </c>
      <c r="DA42" t="s">
        <v>2277</v>
      </c>
      <c r="DB42" t="s">
        <v>2278</v>
      </c>
      <c r="DC42" t="s">
        <v>242</v>
      </c>
      <c r="DD42" t="s">
        <v>2279</v>
      </c>
      <c r="DF42" t="s">
        <v>2280</v>
      </c>
      <c r="DG42" t="s">
        <v>242</v>
      </c>
      <c r="DH42" t="s">
        <v>2281</v>
      </c>
    </row>
    <row r="43" spans="1:112" x14ac:dyDescent="0.35">
      <c r="A43" t="s">
        <v>227</v>
      </c>
      <c r="B43" t="s">
        <v>2282</v>
      </c>
      <c r="C43" t="s">
        <v>229</v>
      </c>
      <c r="D43" t="s">
        <v>2283</v>
      </c>
      <c r="E43" t="s">
        <v>231</v>
      </c>
      <c r="F43" t="s">
        <v>1254</v>
      </c>
      <c r="G43" t="s">
        <v>40</v>
      </c>
      <c r="H43" t="s">
        <v>2284</v>
      </c>
      <c r="I43" t="s">
        <v>234</v>
      </c>
      <c r="J43" t="s">
        <v>2285</v>
      </c>
      <c r="L43" t="s">
        <v>2286</v>
      </c>
      <c r="M43" t="s">
        <v>18</v>
      </c>
      <c r="N43" t="s">
        <v>1236</v>
      </c>
      <c r="O43" t="s">
        <v>21</v>
      </c>
      <c r="P43" t="s">
        <v>2287</v>
      </c>
      <c r="Q43" t="s">
        <v>40</v>
      </c>
      <c r="R43" t="s">
        <v>2288</v>
      </c>
      <c r="S43" t="s">
        <v>310</v>
      </c>
      <c r="T43" t="s">
        <v>2289</v>
      </c>
      <c r="U43" t="s">
        <v>40</v>
      </c>
      <c r="V43" t="s">
        <v>2290</v>
      </c>
      <c r="W43" t="s">
        <v>40</v>
      </c>
      <c r="X43" t="s">
        <v>2291</v>
      </c>
      <c r="Y43" t="s">
        <v>2292</v>
      </c>
      <c r="Z43" t="s">
        <v>2293</v>
      </c>
      <c r="AA43" t="s">
        <v>40</v>
      </c>
      <c r="AB43" t="s">
        <v>2294</v>
      </c>
      <c r="AC43" t="s">
        <v>316</v>
      </c>
      <c r="AD43" t="s">
        <v>477</v>
      </c>
      <c r="AE43" t="s">
        <v>502</v>
      </c>
      <c r="AF43" t="s">
        <v>2295</v>
      </c>
      <c r="AG43" t="s">
        <v>40</v>
      </c>
      <c r="AH43" t="s">
        <v>2296</v>
      </c>
      <c r="AI43" t="s">
        <v>621</v>
      </c>
      <c r="AJ43" t="s">
        <v>1374</v>
      </c>
      <c r="AK43" t="s">
        <v>2297</v>
      </c>
      <c r="AL43" t="s">
        <v>2298</v>
      </c>
      <c r="AM43" t="s">
        <v>2299</v>
      </c>
      <c r="AN43" t="s">
        <v>2300</v>
      </c>
      <c r="AO43" t="s">
        <v>2301</v>
      </c>
      <c r="AP43" t="s">
        <v>2302</v>
      </c>
      <c r="AQ43" t="s">
        <v>41</v>
      </c>
      <c r="AR43" t="s">
        <v>2303</v>
      </c>
      <c r="AS43" t="s">
        <v>242</v>
      </c>
      <c r="AT43" t="s">
        <v>2304</v>
      </c>
      <c r="AU43" t="s">
        <v>2305</v>
      </c>
      <c r="AV43" t="s">
        <v>2306</v>
      </c>
      <c r="AW43" t="s">
        <v>247</v>
      </c>
      <c r="AX43" t="s">
        <v>2307</v>
      </c>
      <c r="AY43" t="s">
        <v>249</v>
      </c>
      <c r="AZ43" t="s">
        <v>2308</v>
      </c>
      <c r="BA43" t="s">
        <v>242</v>
      </c>
      <c r="BB43" t="s">
        <v>2309</v>
      </c>
      <c r="BC43" t="s">
        <v>395</v>
      </c>
      <c r="BD43" t="s">
        <v>2310</v>
      </c>
      <c r="BE43" t="s">
        <v>698</v>
      </c>
      <c r="BF43" t="s">
        <v>2311</v>
      </c>
      <c r="BG43" t="s">
        <v>261</v>
      </c>
      <c r="BH43" t="s">
        <v>2312</v>
      </c>
      <c r="BI43" t="s">
        <v>257</v>
      </c>
      <c r="BJ43" t="s">
        <v>2313</v>
      </c>
      <c r="BK43" t="s">
        <v>408</v>
      </c>
      <c r="BL43" t="s">
        <v>2314</v>
      </c>
      <c r="BM43" t="s">
        <v>473</v>
      </c>
      <c r="BN43" t="s">
        <v>2315</v>
      </c>
      <c r="BO43" t="s">
        <v>408</v>
      </c>
      <c r="BP43" t="s">
        <v>2316</v>
      </c>
      <c r="BQ43" t="s">
        <v>281</v>
      </c>
      <c r="BR43" t="s">
        <v>2317</v>
      </c>
      <c r="BS43" t="s">
        <v>414</v>
      </c>
      <c r="BT43" t="s">
        <v>2318</v>
      </c>
      <c r="BU43" t="s">
        <v>393</v>
      </c>
      <c r="BV43" t="s">
        <v>2319</v>
      </c>
      <c r="BW43" t="s">
        <v>469</v>
      </c>
      <c r="BX43" t="s">
        <v>2320</v>
      </c>
      <c r="BY43" t="s">
        <v>532</v>
      </c>
      <c r="BZ43" t="s">
        <v>2321</v>
      </c>
      <c r="CA43" t="s">
        <v>421</v>
      </c>
      <c r="CB43" t="s">
        <v>2322</v>
      </c>
      <c r="CC43" t="s">
        <v>744</v>
      </c>
      <c r="CD43" t="s">
        <v>2323</v>
      </c>
      <c r="CE43" t="s">
        <v>779</v>
      </c>
      <c r="CF43" t="s">
        <v>2324</v>
      </c>
      <c r="CG43" t="s">
        <v>360</v>
      </c>
      <c r="CH43" t="s">
        <v>2324</v>
      </c>
      <c r="CI43" t="s">
        <v>397</v>
      </c>
      <c r="CJ43" t="s">
        <v>2325</v>
      </c>
      <c r="CK43" t="s">
        <v>421</v>
      </c>
      <c r="CL43" t="s">
        <v>540</v>
      </c>
      <c r="CM43" t="s">
        <v>399</v>
      </c>
      <c r="CN43" t="s">
        <v>2326</v>
      </c>
      <c r="CO43" t="s">
        <v>399</v>
      </c>
      <c r="CP43" t="s">
        <v>2327</v>
      </c>
      <c r="CQ43" t="s">
        <v>257</v>
      </c>
      <c r="CR43" t="s">
        <v>2328</v>
      </c>
      <c r="CS43" t="s">
        <v>344</v>
      </c>
      <c r="CT43" t="s">
        <v>2329</v>
      </c>
      <c r="CU43" t="s">
        <v>344</v>
      </c>
      <c r="CV43" t="s">
        <v>2330</v>
      </c>
      <c r="CW43" t="s">
        <v>289</v>
      </c>
      <c r="CX43" t="s">
        <v>2331</v>
      </c>
      <c r="CY43" t="s">
        <v>268</v>
      </c>
      <c r="CZ43" t="s">
        <v>2332</v>
      </c>
      <c r="DA43" t="s">
        <v>261</v>
      </c>
      <c r="DB43" t="s">
        <v>2333</v>
      </c>
      <c r="DC43" t="s">
        <v>242</v>
      </c>
      <c r="DD43" t="s">
        <v>2334</v>
      </c>
      <c r="DF43" t="s">
        <v>2335</v>
      </c>
      <c r="DG43" t="s">
        <v>242</v>
      </c>
      <c r="DH43" t="s">
        <v>2336</v>
      </c>
    </row>
    <row r="44" spans="1:112" x14ac:dyDescent="0.35">
      <c r="A44" t="s">
        <v>227</v>
      </c>
      <c r="B44" t="s">
        <v>2337</v>
      </c>
      <c r="C44" t="s">
        <v>229</v>
      </c>
      <c r="D44" t="s">
        <v>1212</v>
      </c>
      <c r="E44" t="s">
        <v>231</v>
      </c>
      <c r="F44" t="s">
        <v>1012</v>
      </c>
      <c r="G44" t="s">
        <v>40</v>
      </c>
      <c r="H44" t="s">
        <v>2338</v>
      </c>
      <c r="I44" t="s">
        <v>234</v>
      </c>
      <c r="J44" t="s">
        <v>2339</v>
      </c>
      <c r="L44" t="s">
        <v>1927</v>
      </c>
      <c r="M44" t="s">
        <v>20</v>
      </c>
      <c r="N44" t="s">
        <v>2340</v>
      </c>
      <c r="O44" t="s">
        <v>21</v>
      </c>
      <c r="P44" t="s">
        <v>2341</v>
      </c>
      <c r="Q44" t="s">
        <v>40</v>
      </c>
      <c r="R44" t="s">
        <v>2342</v>
      </c>
      <c r="S44" t="s">
        <v>240</v>
      </c>
      <c r="T44" t="s">
        <v>2343</v>
      </c>
      <c r="U44" t="s">
        <v>242</v>
      </c>
      <c r="V44" t="s">
        <v>243</v>
      </c>
      <c r="W44" t="s">
        <v>242</v>
      </c>
      <c r="X44" t="s">
        <v>243</v>
      </c>
      <c r="Y44" t="s">
        <v>242</v>
      </c>
      <c r="Z44" t="s">
        <v>243</v>
      </c>
      <c r="AA44" t="s">
        <v>242</v>
      </c>
      <c r="AB44" t="s">
        <v>243</v>
      </c>
      <c r="AC44" t="s">
        <v>242</v>
      </c>
      <c r="AD44" t="s">
        <v>243</v>
      </c>
      <c r="AE44" t="s">
        <v>242</v>
      </c>
      <c r="AF44" t="s">
        <v>243</v>
      </c>
      <c r="AG44" t="s">
        <v>242</v>
      </c>
      <c r="AH44" t="s">
        <v>243</v>
      </c>
      <c r="AI44" t="s">
        <v>242</v>
      </c>
      <c r="AJ44" t="s">
        <v>243</v>
      </c>
      <c r="AK44" t="s">
        <v>242</v>
      </c>
      <c r="AL44" t="s">
        <v>243</v>
      </c>
      <c r="AM44" t="s">
        <v>242</v>
      </c>
      <c r="AN44" t="s">
        <v>243</v>
      </c>
      <c r="AO44" t="s">
        <v>242</v>
      </c>
      <c r="AP44" t="s">
        <v>243</v>
      </c>
      <c r="AQ44" t="s">
        <v>242</v>
      </c>
      <c r="AR44" t="s">
        <v>243</v>
      </c>
      <c r="AS44" t="s">
        <v>242</v>
      </c>
      <c r="AT44" t="s">
        <v>244</v>
      </c>
      <c r="AU44" t="s">
        <v>330</v>
      </c>
      <c r="AV44" t="s">
        <v>2344</v>
      </c>
      <c r="AW44" t="s">
        <v>247</v>
      </c>
      <c r="AX44" t="s">
        <v>1973</v>
      </c>
      <c r="AY44" t="s">
        <v>249</v>
      </c>
      <c r="AZ44" t="s">
        <v>2345</v>
      </c>
      <c r="BA44" t="s">
        <v>242</v>
      </c>
      <c r="BB44" t="s">
        <v>2346</v>
      </c>
      <c r="BC44" t="s">
        <v>698</v>
      </c>
      <c r="BD44" t="s">
        <v>2347</v>
      </c>
      <c r="BE44" t="s">
        <v>274</v>
      </c>
      <c r="BF44" t="s">
        <v>2348</v>
      </c>
      <c r="BG44" t="s">
        <v>281</v>
      </c>
      <c r="BH44" t="s">
        <v>2349</v>
      </c>
      <c r="BI44" t="s">
        <v>449</v>
      </c>
      <c r="BJ44" t="s">
        <v>981</v>
      </c>
      <c r="BK44" t="s">
        <v>285</v>
      </c>
      <c r="BL44" t="s">
        <v>2350</v>
      </c>
      <c r="BM44" t="s">
        <v>542</v>
      </c>
      <c r="BN44" t="s">
        <v>2351</v>
      </c>
      <c r="BO44" t="s">
        <v>291</v>
      </c>
      <c r="BP44" t="s">
        <v>2352</v>
      </c>
      <c r="BQ44" t="s">
        <v>538</v>
      </c>
      <c r="BR44" t="s">
        <v>2353</v>
      </c>
      <c r="BS44" t="s">
        <v>519</v>
      </c>
      <c r="BT44" t="s">
        <v>2354</v>
      </c>
      <c r="BU44" t="s">
        <v>287</v>
      </c>
      <c r="BV44" t="s">
        <v>1390</v>
      </c>
      <c r="BW44" t="s">
        <v>416</v>
      </c>
      <c r="BX44" t="s">
        <v>2355</v>
      </c>
      <c r="BY44" t="s">
        <v>752</v>
      </c>
      <c r="BZ44" t="s">
        <v>1868</v>
      </c>
      <c r="CA44" t="s">
        <v>287</v>
      </c>
      <c r="CB44" t="s">
        <v>2356</v>
      </c>
      <c r="CC44" t="s">
        <v>752</v>
      </c>
      <c r="CD44" t="s">
        <v>2357</v>
      </c>
      <c r="CE44" t="s">
        <v>900</v>
      </c>
      <c r="CF44" t="s">
        <v>2358</v>
      </c>
      <c r="CG44" t="s">
        <v>595</v>
      </c>
      <c r="CH44" t="s">
        <v>2359</v>
      </c>
      <c r="CI44" t="s">
        <v>339</v>
      </c>
      <c r="CJ44" t="s">
        <v>2360</v>
      </c>
      <c r="CK44" t="s">
        <v>342</v>
      </c>
      <c r="CL44" t="s">
        <v>2361</v>
      </c>
      <c r="CM44" t="s">
        <v>401</v>
      </c>
      <c r="CN44" t="s">
        <v>2362</v>
      </c>
      <c r="CO44" t="s">
        <v>421</v>
      </c>
      <c r="CP44" t="s">
        <v>2363</v>
      </c>
      <c r="CQ44" t="s">
        <v>414</v>
      </c>
      <c r="CR44" t="s">
        <v>2364</v>
      </c>
      <c r="CS44" t="s">
        <v>399</v>
      </c>
      <c r="CT44" t="s">
        <v>2365</v>
      </c>
      <c r="CU44" t="s">
        <v>449</v>
      </c>
      <c r="CV44" t="s">
        <v>2366</v>
      </c>
      <c r="CW44" t="s">
        <v>257</v>
      </c>
      <c r="CX44" t="s">
        <v>2367</v>
      </c>
      <c r="CY44" t="s">
        <v>399</v>
      </c>
      <c r="CZ44" t="s">
        <v>2368</v>
      </c>
      <c r="DA44" t="s">
        <v>427</v>
      </c>
      <c r="DB44" t="s">
        <v>2369</v>
      </c>
      <c r="DC44" t="s">
        <v>242</v>
      </c>
      <c r="DD44" t="s">
        <v>2370</v>
      </c>
      <c r="DF44" t="s">
        <v>2371</v>
      </c>
      <c r="DG44" t="s">
        <v>242</v>
      </c>
      <c r="DH44" t="s">
        <v>2372</v>
      </c>
    </row>
    <row r="45" spans="1:112" x14ac:dyDescent="0.35">
      <c r="A45" t="s">
        <v>227</v>
      </c>
      <c r="B45" t="s">
        <v>2373</v>
      </c>
      <c r="C45" t="s">
        <v>229</v>
      </c>
      <c r="D45" t="s">
        <v>2374</v>
      </c>
      <c r="E45" t="s">
        <v>231</v>
      </c>
      <c r="F45" t="s">
        <v>2375</v>
      </c>
      <c r="G45" t="s">
        <v>40</v>
      </c>
      <c r="H45" t="s">
        <v>2376</v>
      </c>
      <c r="I45" t="s">
        <v>234</v>
      </c>
      <c r="J45" t="s">
        <v>2377</v>
      </c>
      <c r="L45" t="s">
        <v>2378</v>
      </c>
      <c r="M45" t="s">
        <v>18</v>
      </c>
      <c r="N45" t="s">
        <v>2379</v>
      </c>
      <c r="O45" t="s">
        <v>21</v>
      </c>
      <c r="P45" t="s">
        <v>2380</v>
      </c>
      <c r="Q45" t="s">
        <v>40</v>
      </c>
      <c r="R45" t="s">
        <v>2381</v>
      </c>
      <c r="S45" t="s">
        <v>310</v>
      </c>
      <c r="T45" t="s">
        <v>2382</v>
      </c>
      <c r="U45" t="s">
        <v>40</v>
      </c>
      <c r="V45" t="s">
        <v>2124</v>
      </c>
      <c r="W45" t="s">
        <v>40</v>
      </c>
      <c r="X45" t="s">
        <v>2383</v>
      </c>
      <c r="Y45" t="s">
        <v>77</v>
      </c>
      <c r="Z45" t="s">
        <v>2384</v>
      </c>
      <c r="AA45" t="s">
        <v>40</v>
      </c>
      <c r="AB45" t="s">
        <v>2385</v>
      </c>
      <c r="AC45" t="s">
        <v>316</v>
      </c>
      <c r="AD45" t="s">
        <v>2386</v>
      </c>
      <c r="AE45" t="s">
        <v>502</v>
      </c>
      <c r="AF45" t="s">
        <v>2387</v>
      </c>
      <c r="AG45" t="s">
        <v>40</v>
      </c>
      <c r="AH45" t="s">
        <v>2307</v>
      </c>
      <c r="AI45" t="s">
        <v>2388</v>
      </c>
      <c r="AJ45" t="s">
        <v>2389</v>
      </c>
      <c r="AK45" t="s">
        <v>2390</v>
      </c>
      <c r="AL45" t="s">
        <v>2391</v>
      </c>
      <c r="AM45" t="s">
        <v>1702</v>
      </c>
      <c r="AN45" t="s">
        <v>2392</v>
      </c>
      <c r="AO45" t="s">
        <v>1760</v>
      </c>
      <c r="AP45" t="s">
        <v>2393</v>
      </c>
      <c r="AQ45" t="s">
        <v>45</v>
      </c>
      <c r="AR45" t="s">
        <v>2394</v>
      </c>
      <c r="AS45" t="s">
        <v>242</v>
      </c>
      <c r="AT45" t="s">
        <v>973</v>
      </c>
      <c r="AU45" t="s">
        <v>2395</v>
      </c>
      <c r="AV45" t="s">
        <v>2396</v>
      </c>
      <c r="AW45" t="s">
        <v>247</v>
      </c>
      <c r="AX45" t="s">
        <v>2397</v>
      </c>
      <c r="AY45" t="s">
        <v>249</v>
      </c>
      <c r="AZ45" t="s">
        <v>2398</v>
      </c>
      <c r="BA45" t="s">
        <v>242</v>
      </c>
      <c r="BB45" t="s">
        <v>2399</v>
      </c>
      <c r="BC45" t="s">
        <v>397</v>
      </c>
      <c r="BD45" t="s">
        <v>2400</v>
      </c>
      <c r="BE45" t="s">
        <v>731</v>
      </c>
      <c r="BF45" t="s">
        <v>2401</v>
      </c>
      <c r="BG45" t="s">
        <v>591</v>
      </c>
      <c r="BH45" t="s">
        <v>2402</v>
      </c>
      <c r="BI45" t="s">
        <v>369</v>
      </c>
      <c r="BJ45" t="s">
        <v>2403</v>
      </c>
      <c r="BK45" t="s">
        <v>252</v>
      </c>
      <c r="BL45" t="s">
        <v>2404</v>
      </c>
      <c r="BM45" t="s">
        <v>281</v>
      </c>
      <c r="BN45" t="s">
        <v>2405</v>
      </c>
      <c r="BO45" t="s">
        <v>585</v>
      </c>
      <c r="BP45" t="s">
        <v>2406</v>
      </c>
      <c r="BQ45" t="s">
        <v>291</v>
      </c>
      <c r="BR45" t="s">
        <v>2407</v>
      </c>
      <c r="BS45" t="s">
        <v>656</v>
      </c>
      <c r="BT45" t="s">
        <v>2408</v>
      </c>
      <c r="BU45" t="s">
        <v>542</v>
      </c>
      <c r="BV45" t="s">
        <v>2409</v>
      </c>
      <c r="BW45" t="s">
        <v>283</v>
      </c>
      <c r="BX45" t="s">
        <v>1440</v>
      </c>
      <c r="BY45" t="s">
        <v>371</v>
      </c>
      <c r="BZ45" t="s">
        <v>2410</v>
      </c>
      <c r="CA45" t="s">
        <v>279</v>
      </c>
      <c r="CB45" t="s">
        <v>2411</v>
      </c>
      <c r="CC45" t="s">
        <v>744</v>
      </c>
      <c r="CD45" t="s">
        <v>2412</v>
      </c>
      <c r="CE45" t="s">
        <v>279</v>
      </c>
      <c r="CF45" t="s">
        <v>2413</v>
      </c>
      <c r="CG45" t="s">
        <v>595</v>
      </c>
      <c r="CH45" t="s">
        <v>2414</v>
      </c>
      <c r="CI45" t="s">
        <v>259</v>
      </c>
      <c r="CJ45" t="s">
        <v>2415</v>
      </c>
      <c r="CK45" t="s">
        <v>752</v>
      </c>
      <c r="CL45" t="s">
        <v>2416</v>
      </c>
      <c r="CM45" t="s">
        <v>659</v>
      </c>
      <c r="CN45" t="s">
        <v>1092</v>
      </c>
      <c r="CO45" t="s">
        <v>348</v>
      </c>
      <c r="CP45" t="s">
        <v>2179</v>
      </c>
      <c r="CQ45" t="s">
        <v>1788</v>
      </c>
      <c r="CR45" t="s">
        <v>2417</v>
      </c>
      <c r="CS45" t="s">
        <v>900</v>
      </c>
      <c r="CT45" t="s">
        <v>2418</v>
      </c>
      <c r="CU45" t="s">
        <v>266</v>
      </c>
      <c r="CV45" t="s">
        <v>1037</v>
      </c>
      <c r="CW45" t="s">
        <v>416</v>
      </c>
      <c r="CX45" t="s">
        <v>2419</v>
      </c>
      <c r="CY45" t="s">
        <v>583</v>
      </c>
      <c r="CZ45" t="s">
        <v>2420</v>
      </c>
      <c r="DA45" t="s">
        <v>752</v>
      </c>
      <c r="DB45" t="s">
        <v>2421</v>
      </c>
      <c r="DC45" t="s">
        <v>242</v>
      </c>
      <c r="DD45" t="s">
        <v>2422</v>
      </c>
      <c r="DF45" t="s">
        <v>2423</v>
      </c>
      <c r="DG45" t="s">
        <v>242</v>
      </c>
      <c r="DH45" t="s">
        <v>2424</v>
      </c>
    </row>
    <row r="46" spans="1:112" x14ac:dyDescent="0.35">
      <c r="A46" t="s">
        <v>227</v>
      </c>
      <c r="B46" t="s">
        <v>2425</v>
      </c>
      <c r="C46" t="s">
        <v>229</v>
      </c>
      <c r="D46" t="s">
        <v>2426</v>
      </c>
      <c r="E46" t="s">
        <v>231</v>
      </c>
      <c r="F46" t="s">
        <v>2427</v>
      </c>
      <c r="G46" t="s">
        <v>40</v>
      </c>
      <c r="H46" t="s">
        <v>2428</v>
      </c>
      <c r="I46" t="s">
        <v>234</v>
      </c>
      <c r="J46" t="s">
        <v>2429</v>
      </c>
      <c r="L46" t="s">
        <v>2430</v>
      </c>
      <c r="M46" t="s">
        <v>18</v>
      </c>
      <c r="N46" t="s">
        <v>1251</v>
      </c>
      <c r="O46" t="s">
        <v>19</v>
      </c>
      <c r="P46" t="s">
        <v>2431</v>
      </c>
      <c r="Q46" t="s">
        <v>40</v>
      </c>
      <c r="R46" t="s">
        <v>2432</v>
      </c>
      <c r="S46" t="s">
        <v>240</v>
      </c>
      <c r="T46" t="s">
        <v>2433</v>
      </c>
      <c r="U46" t="s">
        <v>242</v>
      </c>
      <c r="V46" t="s">
        <v>243</v>
      </c>
      <c r="W46" t="s">
        <v>242</v>
      </c>
      <c r="X46" t="s">
        <v>243</v>
      </c>
      <c r="Y46" t="s">
        <v>242</v>
      </c>
      <c r="Z46" t="s">
        <v>243</v>
      </c>
      <c r="AA46" t="s">
        <v>242</v>
      </c>
      <c r="AB46" t="s">
        <v>243</v>
      </c>
      <c r="AC46" t="s">
        <v>242</v>
      </c>
      <c r="AD46" t="s">
        <v>243</v>
      </c>
      <c r="AE46" t="s">
        <v>242</v>
      </c>
      <c r="AF46" t="s">
        <v>243</v>
      </c>
      <c r="AG46" t="s">
        <v>242</v>
      </c>
      <c r="AH46" t="s">
        <v>243</v>
      </c>
      <c r="AI46" t="s">
        <v>242</v>
      </c>
      <c r="AJ46" t="s">
        <v>243</v>
      </c>
      <c r="AK46" t="s">
        <v>242</v>
      </c>
      <c r="AL46" t="s">
        <v>243</v>
      </c>
      <c r="AM46" t="s">
        <v>242</v>
      </c>
      <c r="AN46" t="s">
        <v>243</v>
      </c>
      <c r="AO46" t="s">
        <v>242</v>
      </c>
      <c r="AP46" t="s">
        <v>243</v>
      </c>
      <c r="AQ46" t="s">
        <v>242</v>
      </c>
      <c r="AR46" t="s">
        <v>243</v>
      </c>
      <c r="AS46" t="s">
        <v>242</v>
      </c>
      <c r="AT46" t="s">
        <v>244</v>
      </c>
      <c r="AU46" t="s">
        <v>330</v>
      </c>
      <c r="AV46" t="s">
        <v>2434</v>
      </c>
      <c r="AW46" t="s">
        <v>247</v>
      </c>
      <c r="AX46" t="s">
        <v>2435</v>
      </c>
      <c r="AY46" t="s">
        <v>249</v>
      </c>
      <c r="AZ46" t="s">
        <v>2436</v>
      </c>
      <c r="BA46" t="s">
        <v>242</v>
      </c>
      <c r="BB46" t="s">
        <v>2437</v>
      </c>
      <c r="BC46" t="s">
        <v>399</v>
      </c>
      <c r="BD46" t="s">
        <v>2438</v>
      </c>
      <c r="BE46" t="s">
        <v>295</v>
      </c>
      <c r="BF46" t="s">
        <v>2439</v>
      </c>
      <c r="BG46" t="s">
        <v>779</v>
      </c>
      <c r="BH46" t="s">
        <v>2440</v>
      </c>
      <c r="BI46" t="s">
        <v>1380</v>
      </c>
      <c r="BJ46" t="s">
        <v>2441</v>
      </c>
      <c r="BK46" t="s">
        <v>365</v>
      </c>
      <c r="BL46" t="s">
        <v>2442</v>
      </c>
      <c r="BM46" t="s">
        <v>1128</v>
      </c>
      <c r="BN46" t="s">
        <v>2443</v>
      </c>
      <c r="BO46" t="s">
        <v>538</v>
      </c>
      <c r="BP46" t="s">
        <v>2444</v>
      </c>
      <c r="BQ46" t="s">
        <v>685</v>
      </c>
      <c r="BR46" t="s">
        <v>2445</v>
      </c>
      <c r="BS46" t="s">
        <v>365</v>
      </c>
      <c r="BT46" t="s">
        <v>2446</v>
      </c>
      <c r="BU46" t="s">
        <v>685</v>
      </c>
      <c r="BV46" t="s">
        <v>2447</v>
      </c>
      <c r="BW46" t="s">
        <v>360</v>
      </c>
      <c r="BX46" t="s">
        <v>2448</v>
      </c>
      <c r="BY46" t="s">
        <v>952</v>
      </c>
      <c r="BZ46" t="s">
        <v>2200</v>
      </c>
      <c r="CA46" t="s">
        <v>287</v>
      </c>
      <c r="CB46" t="s">
        <v>2449</v>
      </c>
      <c r="CC46" t="s">
        <v>405</v>
      </c>
      <c r="CD46" t="s">
        <v>2450</v>
      </c>
      <c r="CE46" t="s">
        <v>591</v>
      </c>
      <c r="CF46" t="s">
        <v>2451</v>
      </c>
      <c r="CG46" t="s">
        <v>454</v>
      </c>
      <c r="CH46" t="s">
        <v>2452</v>
      </c>
      <c r="CI46" t="s">
        <v>595</v>
      </c>
      <c r="CJ46" t="s">
        <v>2453</v>
      </c>
      <c r="CK46" t="s">
        <v>688</v>
      </c>
      <c r="CL46" t="s">
        <v>2454</v>
      </c>
      <c r="CM46" t="s">
        <v>287</v>
      </c>
      <c r="CN46" t="s">
        <v>2455</v>
      </c>
      <c r="CO46" t="s">
        <v>688</v>
      </c>
      <c r="CP46" t="s">
        <v>2456</v>
      </c>
      <c r="CQ46" t="s">
        <v>360</v>
      </c>
      <c r="CR46" t="s">
        <v>2457</v>
      </c>
      <c r="CS46" t="s">
        <v>454</v>
      </c>
      <c r="CT46" t="s">
        <v>1960</v>
      </c>
      <c r="CU46" t="s">
        <v>519</v>
      </c>
      <c r="CV46" t="s">
        <v>2458</v>
      </c>
      <c r="CW46" t="s">
        <v>243</v>
      </c>
      <c r="CX46" t="s">
        <v>2459</v>
      </c>
      <c r="CY46" t="s">
        <v>473</v>
      </c>
      <c r="CZ46" t="s">
        <v>2460</v>
      </c>
      <c r="DA46" t="s">
        <v>479</v>
      </c>
      <c r="DB46" t="s">
        <v>2461</v>
      </c>
      <c r="DC46" t="s">
        <v>242</v>
      </c>
      <c r="DD46" t="s">
        <v>2462</v>
      </c>
      <c r="DF46" t="s">
        <v>2463</v>
      </c>
      <c r="DG46" t="s">
        <v>242</v>
      </c>
      <c r="DH46" t="s">
        <v>2464</v>
      </c>
    </row>
    <row r="47" spans="1:112" x14ac:dyDescent="0.35">
      <c r="A47" t="s">
        <v>227</v>
      </c>
      <c r="B47" t="s">
        <v>2465</v>
      </c>
      <c r="C47" t="s">
        <v>229</v>
      </c>
      <c r="D47" t="s">
        <v>2466</v>
      </c>
      <c r="E47" t="s">
        <v>231</v>
      </c>
      <c r="F47" t="s">
        <v>2467</v>
      </c>
      <c r="G47" t="s">
        <v>40</v>
      </c>
      <c r="H47" t="s">
        <v>2468</v>
      </c>
      <c r="I47" t="s">
        <v>234</v>
      </c>
      <c r="J47" t="s">
        <v>2469</v>
      </c>
      <c r="L47" t="s">
        <v>2470</v>
      </c>
      <c r="M47" t="s">
        <v>18</v>
      </c>
      <c r="N47" t="s">
        <v>2471</v>
      </c>
      <c r="O47" t="s">
        <v>21</v>
      </c>
      <c r="P47" t="s">
        <v>2472</v>
      </c>
      <c r="Q47" t="s">
        <v>40</v>
      </c>
      <c r="R47" t="s">
        <v>2473</v>
      </c>
      <c r="S47" t="s">
        <v>310</v>
      </c>
      <c r="T47" t="s">
        <v>2474</v>
      </c>
      <c r="U47" t="s">
        <v>39</v>
      </c>
      <c r="V47" t="s">
        <v>2475</v>
      </c>
      <c r="W47" t="s">
        <v>44</v>
      </c>
      <c r="X47" t="s">
        <v>2476</v>
      </c>
      <c r="Y47" t="s">
        <v>242</v>
      </c>
      <c r="Z47" t="s">
        <v>243</v>
      </c>
      <c r="AA47" t="s">
        <v>40</v>
      </c>
      <c r="AB47" t="s">
        <v>244</v>
      </c>
      <c r="AC47" t="s">
        <v>2236</v>
      </c>
      <c r="AD47" t="s">
        <v>2477</v>
      </c>
      <c r="AE47" t="s">
        <v>502</v>
      </c>
      <c r="AF47" t="s">
        <v>1569</v>
      </c>
      <c r="AG47" t="s">
        <v>40</v>
      </c>
      <c r="AH47" t="s">
        <v>2478</v>
      </c>
      <c r="AI47" t="s">
        <v>2479</v>
      </c>
      <c r="AJ47" t="s">
        <v>2480</v>
      </c>
      <c r="AK47" t="s">
        <v>2481</v>
      </c>
      <c r="AL47" t="s">
        <v>2482</v>
      </c>
      <c r="AM47" t="s">
        <v>2483</v>
      </c>
      <c r="AN47" t="s">
        <v>2484</v>
      </c>
      <c r="AO47" t="s">
        <v>2485</v>
      </c>
      <c r="AP47" t="s">
        <v>2486</v>
      </c>
      <c r="AQ47" t="s">
        <v>41</v>
      </c>
      <c r="AR47" t="s">
        <v>2487</v>
      </c>
      <c r="AS47" t="s">
        <v>242</v>
      </c>
      <c r="AT47" t="s">
        <v>2488</v>
      </c>
      <c r="AU47" t="s">
        <v>2489</v>
      </c>
      <c r="AV47" t="s">
        <v>2490</v>
      </c>
      <c r="AW47" t="s">
        <v>247</v>
      </c>
      <c r="AX47" t="s">
        <v>2491</v>
      </c>
      <c r="AY47" t="s">
        <v>249</v>
      </c>
      <c r="AZ47" t="s">
        <v>2492</v>
      </c>
      <c r="BA47" t="s">
        <v>242</v>
      </c>
      <c r="BB47" t="s">
        <v>2493</v>
      </c>
      <c r="BC47" t="s">
        <v>414</v>
      </c>
      <c r="BD47" t="s">
        <v>2494</v>
      </c>
      <c r="BE47" t="s">
        <v>369</v>
      </c>
      <c r="BF47" t="s">
        <v>2495</v>
      </c>
      <c r="BG47" t="s">
        <v>416</v>
      </c>
      <c r="BH47" t="s">
        <v>2496</v>
      </c>
      <c r="BI47" t="s">
        <v>744</v>
      </c>
      <c r="BJ47" t="s">
        <v>2497</v>
      </c>
      <c r="BK47" t="s">
        <v>287</v>
      </c>
      <c r="BL47" t="s">
        <v>2498</v>
      </c>
      <c r="BM47" t="s">
        <v>397</v>
      </c>
      <c r="BN47" t="s">
        <v>2499</v>
      </c>
      <c r="BO47" t="s">
        <v>287</v>
      </c>
      <c r="BP47" t="s">
        <v>2500</v>
      </c>
      <c r="BQ47" t="s">
        <v>356</v>
      </c>
      <c r="BR47" t="s">
        <v>2501</v>
      </c>
      <c r="BS47" t="s">
        <v>365</v>
      </c>
      <c r="BT47" t="s">
        <v>1315</v>
      </c>
      <c r="BU47" t="s">
        <v>356</v>
      </c>
      <c r="BV47" t="s">
        <v>2502</v>
      </c>
      <c r="BW47" t="s">
        <v>356</v>
      </c>
      <c r="BX47" t="s">
        <v>2503</v>
      </c>
      <c r="BY47" t="s">
        <v>351</v>
      </c>
      <c r="BZ47" t="s">
        <v>2504</v>
      </c>
      <c r="CA47" t="s">
        <v>351</v>
      </c>
      <c r="CB47" t="s">
        <v>2505</v>
      </c>
      <c r="CC47" t="s">
        <v>528</v>
      </c>
      <c r="CD47" t="s">
        <v>2506</v>
      </c>
      <c r="CE47" t="s">
        <v>342</v>
      </c>
      <c r="CF47" t="s">
        <v>2507</v>
      </c>
      <c r="CG47" t="s">
        <v>528</v>
      </c>
      <c r="CH47" t="s">
        <v>1299</v>
      </c>
      <c r="CI47" t="s">
        <v>1788</v>
      </c>
      <c r="CJ47" t="s">
        <v>2508</v>
      </c>
      <c r="CK47" t="s">
        <v>1137</v>
      </c>
      <c r="CL47" t="s">
        <v>2509</v>
      </c>
      <c r="CM47" t="s">
        <v>1788</v>
      </c>
      <c r="CN47" t="s">
        <v>2510</v>
      </c>
      <c r="CO47" t="s">
        <v>283</v>
      </c>
      <c r="CP47" t="s">
        <v>2511</v>
      </c>
      <c r="CQ47" t="s">
        <v>263</v>
      </c>
      <c r="CR47" t="s">
        <v>2512</v>
      </c>
      <c r="CS47" t="s">
        <v>266</v>
      </c>
      <c r="CT47" t="s">
        <v>2513</v>
      </c>
      <c r="CU47" t="s">
        <v>342</v>
      </c>
      <c r="CV47" t="s">
        <v>2514</v>
      </c>
      <c r="CW47" t="s">
        <v>416</v>
      </c>
      <c r="CX47" t="s">
        <v>2515</v>
      </c>
      <c r="CY47" t="s">
        <v>752</v>
      </c>
      <c r="CZ47" t="s">
        <v>2516</v>
      </c>
      <c r="DA47" t="s">
        <v>416</v>
      </c>
      <c r="DB47" t="s">
        <v>2517</v>
      </c>
      <c r="DC47" t="s">
        <v>242</v>
      </c>
      <c r="DD47" t="s">
        <v>2518</v>
      </c>
      <c r="DF47" t="s">
        <v>2519</v>
      </c>
      <c r="DG47" t="s">
        <v>242</v>
      </c>
      <c r="DH47" t="s">
        <v>477</v>
      </c>
    </row>
    <row r="48" spans="1:112" x14ac:dyDescent="0.35">
      <c r="A48" t="s">
        <v>227</v>
      </c>
      <c r="B48" t="s">
        <v>2520</v>
      </c>
      <c r="C48" t="s">
        <v>229</v>
      </c>
      <c r="D48" t="s">
        <v>2521</v>
      </c>
      <c r="E48" t="s">
        <v>231</v>
      </c>
      <c r="F48" t="s">
        <v>2522</v>
      </c>
      <c r="G48" t="s">
        <v>40</v>
      </c>
      <c r="H48" t="s">
        <v>2523</v>
      </c>
      <c r="I48" t="s">
        <v>234</v>
      </c>
      <c r="J48" t="s">
        <v>2524</v>
      </c>
      <c r="L48" t="s">
        <v>2525</v>
      </c>
      <c r="M48" t="s">
        <v>18</v>
      </c>
      <c r="N48" t="s">
        <v>2526</v>
      </c>
      <c r="O48" t="s">
        <v>21</v>
      </c>
      <c r="P48" t="s">
        <v>2527</v>
      </c>
      <c r="Q48" t="s">
        <v>40</v>
      </c>
      <c r="R48" t="s">
        <v>2528</v>
      </c>
      <c r="S48" t="s">
        <v>310</v>
      </c>
      <c r="T48" t="s">
        <v>2529</v>
      </c>
      <c r="U48" t="s">
        <v>40</v>
      </c>
      <c r="V48" t="s">
        <v>2530</v>
      </c>
      <c r="W48" t="s">
        <v>40</v>
      </c>
      <c r="X48" t="s">
        <v>2531</v>
      </c>
      <c r="Y48" t="s">
        <v>2532</v>
      </c>
      <c r="Z48" t="s">
        <v>2533</v>
      </c>
      <c r="AA48" t="s">
        <v>40</v>
      </c>
      <c r="AB48" t="s">
        <v>2534</v>
      </c>
      <c r="AC48" t="s">
        <v>316</v>
      </c>
      <c r="AD48" t="s">
        <v>2535</v>
      </c>
      <c r="AE48" t="s">
        <v>502</v>
      </c>
      <c r="AF48" t="s">
        <v>2536</v>
      </c>
      <c r="AG48" t="s">
        <v>40</v>
      </c>
      <c r="AH48" t="s">
        <v>2537</v>
      </c>
      <c r="AI48" t="s">
        <v>2388</v>
      </c>
      <c r="AJ48" t="s">
        <v>2538</v>
      </c>
      <c r="AK48" t="s">
        <v>2539</v>
      </c>
      <c r="AL48" t="s">
        <v>2540</v>
      </c>
      <c r="AM48" t="s">
        <v>1350</v>
      </c>
      <c r="AN48" t="s">
        <v>2541</v>
      </c>
      <c r="AO48" t="s">
        <v>2542</v>
      </c>
      <c r="AP48" t="s">
        <v>2543</v>
      </c>
      <c r="AQ48" t="s">
        <v>41</v>
      </c>
      <c r="AR48" t="s">
        <v>2544</v>
      </c>
      <c r="AS48" t="s">
        <v>242</v>
      </c>
      <c r="AT48" t="s">
        <v>2545</v>
      </c>
      <c r="AU48" t="s">
        <v>2546</v>
      </c>
      <c r="AV48" t="s">
        <v>2547</v>
      </c>
      <c r="AW48" t="s">
        <v>247</v>
      </c>
      <c r="AX48" t="s">
        <v>2548</v>
      </c>
      <c r="AY48" t="s">
        <v>249</v>
      </c>
      <c r="AZ48" t="s">
        <v>2549</v>
      </c>
      <c r="BA48" t="s">
        <v>242</v>
      </c>
      <c r="BB48" t="s">
        <v>2550</v>
      </c>
      <c r="BC48" t="s">
        <v>429</v>
      </c>
      <c r="BD48" t="s">
        <v>2551</v>
      </c>
      <c r="BE48" t="s">
        <v>1128</v>
      </c>
      <c r="BF48" t="s">
        <v>2552</v>
      </c>
      <c r="BG48" t="s">
        <v>408</v>
      </c>
      <c r="BH48" t="s">
        <v>2553</v>
      </c>
      <c r="BI48" t="s">
        <v>476</v>
      </c>
      <c r="BJ48" t="s">
        <v>2554</v>
      </c>
      <c r="BK48" t="s">
        <v>519</v>
      </c>
      <c r="BL48" t="s">
        <v>1964</v>
      </c>
      <c r="BM48" t="s">
        <v>858</v>
      </c>
      <c r="BN48" t="s">
        <v>2555</v>
      </c>
      <c r="BO48" t="s">
        <v>519</v>
      </c>
      <c r="BP48" t="s">
        <v>2556</v>
      </c>
      <c r="BQ48" t="s">
        <v>449</v>
      </c>
      <c r="BR48" t="s">
        <v>1919</v>
      </c>
      <c r="BS48" t="s">
        <v>519</v>
      </c>
      <c r="BT48" t="s">
        <v>2557</v>
      </c>
      <c r="BU48" t="s">
        <v>281</v>
      </c>
      <c r="BV48" t="s">
        <v>2558</v>
      </c>
      <c r="BW48" t="s">
        <v>519</v>
      </c>
      <c r="BX48" t="s">
        <v>2559</v>
      </c>
      <c r="BY48" t="s">
        <v>481</v>
      </c>
      <c r="BZ48" t="s">
        <v>2560</v>
      </c>
      <c r="CA48" t="s">
        <v>469</v>
      </c>
      <c r="CB48" t="s">
        <v>2561</v>
      </c>
      <c r="CC48" t="s">
        <v>414</v>
      </c>
      <c r="CD48" t="s">
        <v>2562</v>
      </c>
      <c r="CE48" t="s">
        <v>744</v>
      </c>
      <c r="CF48" t="s">
        <v>2563</v>
      </c>
      <c r="CG48" t="s">
        <v>291</v>
      </c>
      <c r="CH48" t="s">
        <v>2564</v>
      </c>
      <c r="CI48" t="s">
        <v>393</v>
      </c>
      <c r="CJ48" t="s">
        <v>2565</v>
      </c>
      <c r="CK48" t="s">
        <v>449</v>
      </c>
      <c r="CL48" t="s">
        <v>2566</v>
      </c>
      <c r="CM48" t="s">
        <v>399</v>
      </c>
      <c r="CN48" t="s">
        <v>2567</v>
      </c>
      <c r="CO48" t="s">
        <v>281</v>
      </c>
      <c r="CP48" t="s">
        <v>2568</v>
      </c>
      <c r="CQ48" t="s">
        <v>519</v>
      </c>
      <c r="CR48" t="s">
        <v>2569</v>
      </c>
      <c r="CS48" t="s">
        <v>429</v>
      </c>
      <c r="CT48" t="s">
        <v>2570</v>
      </c>
      <c r="CU48" t="s">
        <v>369</v>
      </c>
      <c r="CV48" t="s">
        <v>2571</v>
      </c>
      <c r="CW48" t="s">
        <v>257</v>
      </c>
      <c r="CX48" t="s">
        <v>2572</v>
      </c>
      <c r="CY48" t="s">
        <v>1131</v>
      </c>
      <c r="CZ48" t="s">
        <v>2573</v>
      </c>
      <c r="DA48" t="s">
        <v>293</v>
      </c>
      <c r="DB48" t="s">
        <v>2543</v>
      </c>
      <c r="DC48" t="s">
        <v>242</v>
      </c>
      <c r="DD48" t="s">
        <v>2574</v>
      </c>
      <c r="DF48" t="s">
        <v>2575</v>
      </c>
      <c r="DG48" t="s">
        <v>242</v>
      </c>
      <c r="DH48" t="s">
        <v>2576</v>
      </c>
    </row>
    <row r="49" spans="1:112" x14ac:dyDescent="0.35">
      <c r="A49" t="s">
        <v>227</v>
      </c>
      <c r="B49" t="s">
        <v>2577</v>
      </c>
      <c r="C49" t="s">
        <v>229</v>
      </c>
      <c r="D49" t="s">
        <v>2578</v>
      </c>
      <c r="E49" t="s">
        <v>231</v>
      </c>
      <c r="F49" t="s">
        <v>2579</v>
      </c>
      <c r="G49" t="s">
        <v>40</v>
      </c>
      <c r="H49" t="s">
        <v>2580</v>
      </c>
      <c r="I49" t="s">
        <v>234</v>
      </c>
      <c r="J49" t="s">
        <v>2581</v>
      </c>
      <c r="L49" t="s">
        <v>2582</v>
      </c>
      <c r="M49" t="s">
        <v>18</v>
      </c>
      <c r="N49" t="s">
        <v>2583</v>
      </c>
      <c r="O49" t="s">
        <v>21</v>
      </c>
      <c r="P49" t="s">
        <v>2584</v>
      </c>
      <c r="Q49" t="s">
        <v>40</v>
      </c>
      <c r="R49" t="s">
        <v>2585</v>
      </c>
      <c r="S49" t="s">
        <v>310</v>
      </c>
      <c r="T49" t="s">
        <v>2586</v>
      </c>
      <c r="U49" t="s">
        <v>40</v>
      </c>
      <c r="V49" t="s">
        <v>2587</v>
      </c>
      <c r="W49" t="s">
        <v>40</v>
      </c>
      <c r="X49" t="s">
        <v>914</v>
      </c>
      <c r="Y49" t="s">
        <v>2588</v>
      </c>
      <c r="Z49" t="s">
        <v>2589</v>
      </c>
      <c r="AA49" t="s">
        <v>40</v>
      </c>
      <c r="AB49" t="s">
        <v>2590</v>
      </c>
      <c r="AC49" t="s">
        <v>316</v>
      </c>
      <c r="AD49" t="s">
        <v>2429</v>
      </c>
      <c r="AE49" t="s">
        <v>502</v>
      </c>
      <c r="AF49" t="s">
        <v>1984</v>
      </c>
      <c r="AG49" t="s">
        <v>40</v>
      </c>
      <c r="AH49" t="s">
        <v>2591</v>
      </c>
      <c r="AI49" t="s">
        <v>621</v>
      </c>
      <c r="AJ49" t="s">
        <v>2592</v>
      </c>
      <c r="AK49" t="s">
        <v>2593</v>
      </c>
      <c r="AL49" t="s">
        <v>2594</v>
      </c>
      <c r="AM49" t="s">
        <v>2595</v>
      </c>
      <c r="AN49" t="s">
        <v>2596</v>
      </c>
      <c r="AO49" t="s">
        <v>2597</v>
      </c>
      <c r="AP49" t="s">
        <v>2598</v>
      </c>
      <c r="AQ49" t="s">
        <v>41</v>
      </c>
      <c r="AR49" t="s">
        <v>2599</v>
      </c>
      <c r="AS49" t="s">
        <v>242</v>
      </c>
      <c r="AT49" t="s">
        <v>2600</v>
      </c>
      <c r="AU49" t="s">
        <v>330</v>
      </c>
      <c r="AV49" t="s">
        <v>2601</v>
      </c>
      <c r="AW49" t="s">
        <v>247</v>
      </c>
      <c r="AX49" t="s">
        <v>2602</v>
      </c>
      <c r="AY49" t="s">
        <v>249</v>
      </c>
      <c r="AZ49" t="s">
        <v>2603</v>
      </c>
      <c r="BA49" t="s">
        <v>242</v>
      </c>
      <c r="BB49" t="s">
        <v>2604</v>
      </c>
      <c r="BC49" t="s">
        <v>261</v>
      </c>
      <c r="BD49" t="s">
        <v>2605</v>
      </c>
      <c r="BE49" t="s">
        <v>858</v>
      </c>
      <c r="BF49" t="s">
        <v>2606</v>
      </c>
      <c r="BG49" t="s">
        <v>408</v>
      </c>
      <c r="BH49" t="s">
        <v>2607</v>
      </c>
      <c r="BI49" t="s">
        <v>271</v>
      </c>
      <c r="BJ49" t="s">
        <v>2608</v>
      </c>
      <c r="BK49" t="s">
        <v>365</v>
      </c>
      <c r="BL49" t="s">
        <v>2609</v>
      </c>
      <c r="BM49" t="s">
        <v>424</v>
      </c>
      <c r="BN49" t="s">
        <v>2610</v>
      </c>
      <c r="BO49" t="s">
        <v>397</v>
      </c>
      <c r="BP49" t="s">
        <v>2611</v>
      </c>
      <c r="BQ49" t="s">
        <v>342</v>
      </c>
      <c r="BR49" t="s">
        <v>2612</v>
      </c>
      <c r="BS49" t="s">
        <v>591</v>
      </c>
      <c r="BT49" t="s">
        <v>2613</v>
      </c>
      <c r="BU49" t="s">
        <v>696</v>
      </c>
      <c r="BV49" t="s">
        <v>2614</v>
      </c>
      <c r="BW49" t="s">
        <v>659</v>
      </c>
      <c r="BX49" t="s">
        <v>2615</v>
      </c>
      <c r="BY49" t="s">
        <v>259</v>
      </c>
      <c r="BZ49" t="s">
        <v>2616</v>
      </c>
      <c r="CA49" t="s">
        <v>283</v>
      </c>
      <c r="CB49" t="s">
        <v>2617</v>
      </c>
      <c r="CC49" t="s">
        <v>591</v>
      </c>
      <c r="CD49" t="s">
        <v>2618</v>
      </c>
      <c r="CE49" t="s">
        <v>1137</v>
      </c>
      <c r="CF49" t="s">
        <v>2619</v>
      </c>
      <c r="CG49" t="s">
        <v>263</v>
      </c>
      <c r="CH49" t="s">
        <v>2620</v>
      </c>
      <c r="CI49" t="s">
        <v>279</v>
      </c>
      <c r="CJ49" t="s">
        <v>2621</v>
      </c>
      <c r="CK49" t="s">
        <v>348</v>
      </c>
      <c r="CL49" t="s">
        <v>2622</v>
      </c>
      <c r="CM49" t="s">
        <v>266</v>
      </c>
      <c r="CN49" t="s">
        <v>2623</v>
      </c>
      <c r="CO49" t="s">
        <v>585</v>
      </c>
      <c r="CP49" t="s">
        <v>2624</v>
      </c>
      <c r="CQ49" t="s">
        <v>263</v>
      </c>
      <c r="CR49" t="s">
        <v>2625</v>
      </c>
      <c r="CS49" t="s">
        <v>696</v>
      </c>
      <c r="CT49" t="s">
        <v>2626</v>
      </c>
      <c r="CU49" t="s">
        <v>266</v>
      </c>
      <c r="CV49" t="s">
        <v>2627</v>
      </c>
      <c r="CW49" t="s">
        <v>993</v>
      </c>
      <c r="CX49" t="s">
        <v>2628</v>
      </c>
      <c r="CY49" t="s">
        <v>1788</v>
      </c>
      <c r="CZ49" t="s">
        <v>2629</v>
      </c>
      <c r="DA49" t="s">
        <v>263</v>
      </c>
      <c r="DB49" t="s">
        <v>2630</v>
      </c>
      <c r="DC49" t="s">
        <v>242</v>
      </c>
      <c r="DD49" t="s">
        <v>2631</v>
      </c>
      <c r="DF49" t="s">
        <v>2632</v>
      </c>
      <c r="DG49" t="s">
        <v>242</v>
      </c>
      <c r="DH49" t="s">
        <v>2633</v>
      </c>
    </row>
    <row r="50" spans="1:112" x14ac:dyDescent="0.35">
      <c r="A50" t="s">
        <v>227</v>
      </c>
      <c r="B50" t="s">
        <v>2634</v>
      </c>
      <c r="C50" t="s">
        <v>229</v>
      </c>
      <c r="D50" t="s">
        <v>2635</v>
      </c>
      <c r="E50" t="s">
        <v>231</v>
      </c>
      <c r="F50" t="s">
        <v>2636</v>
      </c>
      <c r="G50" t="s">
        <v>40</v>
      </c>
      <c r="H50" t="s">
        <v>2637</v>
      </c>
      <c r="I50" t="s">
        <v>234</v>
      </c>
      <c r="J50" t="s">
        <v>2638</v>
      </c>
      <c r="L50" t="s">
        <v>2639</v>
      </c>
      <c r="M50" t="s">
        <v>18</v>
      </c>
      <c r="N50" t="s">
        <v>2640</v>
      </c>
      <c r="O50" t="s">
        <v>21</v>
      </c>
      <c r="P50" t="s">
        <v>2641</v>
      </c>
      <c r="Q50" t="s">
        <v>40</v>
      </c>
      <c r="R50" t="s">
        <v>2642</v>
      </c>
      <c r="S50" t="s">
        <v>310</v>
      </c>
      <c r="T50" t="s">
        <v>2643</v>
      </c>
      <c r="U50" t="s">
        <v>40</v>
      </c>
      <c r="V50" t="s">
        <v>2644</v>
      </c>
      <c r="W50" t="s">
        <v>40</v>
      </c>
      <c r="X50" t="s">
        <v>2067</v>
      </c>
      <c r="Y50" t="s">
        <v>78</v>
      </c>
      <c r="Z50" t="s">
        <v>2645</v>
      </c>
      <c r="AA50" t="s">
        <v>43</v>
      </c>
      <c r="AB50" t="s">
        <v>2646</v>
      </c>
      <c r="AC50" t="s">
        <v>242</v>
      </c>
      <c r="AD50" t="s">
        <v>243</v>
      </c>
      <c r="AE50" t="s">
        <v>242</v>
      </c>
      <c r="AF50" t="s">
        <v>243</v>
      </c>
      <c r="AG50" t="s">
        <v>242</v>
      </c>
      <c r="AH50" t="s">
        <v>243</v>
      </c>
      <c r="AI50" t="s">
        <v>242</v>
      </c>
      <c r="AJ50" t="s">
        <v>243</v>
      </c>
      <c r="AK50" t="s">
        <v>242</v>
      </c>
      <c r="AL50" t="s">
        <v>243</v>
      </c>
      <c r="AM50" t="s">
        <v>2647</v>
      </c>
      <c r="AN50" t="s">
        <v>244</v>
      </c>
      <c r="AO50" t="s">
        <v>1760</v>
      </c>
      <c r="AP50" t="s">
        <v>2648</v>
      </c>
      <c r="AQ50" t="s">
        <v>41</v>
      </c>
      <c r="AR50" t="s">
        <v>2649</v>
      </c>
      <c r="AS50" t="s">
        <v>242</v>
      </c>
      <c r="AT50" t="s">
        <v>2650</v>
      </c>
      <c r="AU50" t="s">
        <v>1611</v>
      </c>
      <c r="AV50" t="s">
        <v>2651</v>
      </c>
      <c r="AW50" t="s">
        <v>247</v>
      </c>
      <c r="AX50" t="s">
        <v>2652</v>
      </c>
      <c r="AY50" t="s">
        <v>249</v>
      </c>
      <c r="AZ50" t="s">
        <v>2653</v>
      </c>
      <c r="BA50" t="s">
        <v>242</v>
      </c>
      <c r="BB50" t="s">
        <v>2654</v>
      </c>
      <c r="BC50" t="s">
        <v>367</v>
      </c>
      <c r="BD50" t="s">
        <v>2655</v>
      </c>
      <c r="BE50" t="s">
        <v>369</v>
      </c>
      <c r="BF50" t="s">
        <v>2656</v>
      </c>
      <c r="BG50" t="s">
        <v>427</v>
      </c>
      <c r="BH50" t="s">
        <v>1910</v>
      </c>
      <c r="BI50" t="s">
        <v>369</v>
      </c>
      <c r="BJ50" t="s">
        <v>2657</v>
      </c>
      <c r="BK50" t="s">
        <v>779</v>
      </c>
      <c r="BL50" t="s">
        <v>2658</v>
      </c>
      <c r="BM50" t="s">
        <v>257</v>
      </c>
      <c r="BN50" t="s">
        <v>2659</v>
      </c>
      <c r="BO50" t="s">
        <v>752</v>
      </c>
      <c r="BP50" t="s">
        <v>2660</v>
      </c>
      <c r="BQ50" t="s">
        <v>408</v>
      </c>
      <c r="BR50" t="s">
        <v>2661</v>
      </c>
      <c r="BS50" t="s">
        <v>779</v>
      </c>
      <c r="BT50" t="s">
        <v>642</v>
      </c>
      <c r="BU50" t="s">
        <v>542</v>
      </c>
      <c r="BV50" t="s">
        <v>1294</v>
      </c>
      <c r="BW50" t="s">
        <v>752</v>
      </c>
      <c r="BX50" t="s">
        <v>2662</v>
      </c>
      <c r="BY50" t="s">
        <v>399</v>
      </c>
      <c r="BZ50" t="s">
        <v>2663</v>
      </c>
      <c r="CA50" t="s">
        <v>401</v>
      </c>
      <c r="CB50" t="s">
        <v>2664</v>
      </c>
      <c r="CC50" t="s">
        <v>575</v>
      </c>
      <c r="CD50" t="s">
        <v>2665</v>
      </c>
      <c r="CE50" t="s">
        <v>356</v>
      </c>
      <c r="CF50" t="s">
        <v>2666</v>
      </c>
      <c r="CG50" t="s">
        <v>519</v>
      </c>
      <c r="CH50" t="s">
        <v>2667</v>
      </c>
      <c r="CI50" t="s">
        <v>365</v>
      </c>
      <c r="CJ50" t="s">
        <v>2668</v>
      </c>
      <c r="CK50" t="s">
        <v>285</v>
      </c>
      <c r="CL50" t="s">
        <v>2669</v>
      </c>
      <c r="CM50" t="s">
        <v>365</v>
      </c>
      <c r="CN50" t="s">
        <v>2670</v>
      </c>
      <c r="CO50" t="s">
        <v>424</v>
      </c>
      <c r="CP50" t="s">
        <v>2671</v>
      </c>
      <c r="CQ50" t="s">
        <v>538</v>
      </c>
      <c r="CR50" t="s">
        <v>2672</v>
      </c>
      <c r="CS50" t="s">
        <v>291</v>
      </c>
      <c r="CT50" t="s">
        <v>2673</v>
      </c>
      <c r="CU50" t="s">
        <v>575</v>
      </c>
      <c r="CV50" t="s">
        <v>2674</v>
      </c>
      <c r="CW50" t="s">
        <v>281</v>
      </c>
      <c r="CX50" t="s">
        <v>1585</v>
      </c>
      <c r="CY50" t="s">
        <v>257</v>
      </c>
      <c r="CZ50" t="s">
        <v>2675</v>
      </c>
      <c r="DA50" t="s">
        <v>698</v>
      </c>
      <c r="DB50" t="s">
        <v>2676</v>
      </c>
      <c r="DC50" t="s">
        <v>242</v>
      </c>
      <c r="DD50" t="s">
        <v>2677</v>
      </c>
      <c r="DF50" t="s">
        <v>2678</v>
      </c>
      <c r="DG50" t="s">
        <v>242</v>
      </c>
      <c r="DH50" t="s">
        <v>2679</v>
      </c>
    </row>
    <row r="51" spans="1:112" x14ac:dyDescent="0.35">
      <c r="A51" t="s">
        <v>227</v>
      </c>
      <c r="B51" t="s">
        <v>2680</v>
      </c>
      <c r="C51" t="s">
        <v>229</v>
      </c>
      <c r="D51" t="s">
        <v>2681</v>
      </c>
      <c r="E51" t="s">
        <v>231</v>
      </c>
      <c r="F51" t="s">
        <v>2682</v>
      </c>
      <c r="G51" t="s">
        <v>40</v>
      </c>
      <c r="H51" t="s">
        <v>2683</v>
      </c>
      <c r="I51" t="s">
        <v>234</v>
      </c>
      <c r="J51" t="s">
        <v>2684</v>
      </c>
      <c r="L51" t="s">
        <v>2685</v>
      </c>
      <c r="M51" t="s">
        <v>18</v>
      </c>
      <c r="N51" t="s">
        <v>2686</v>
      </c>
      <c r="O51" t="s">
        <v>21</v>
      </c>
      <c r="P51" t="s">
        <v>2687</v>
      </c>
      <c r="Q51" t="s">
        <v>40</v>
      </c>
      <c r="R51" t="s">
        <v>2688</v>
      </c>
      <c r="S51" t="s">
        <v>310</v>
      </c>
      <c r="T51" t="s">
        <v>2689</v>
      </c>
      <c r="U51" t="s">
        <v>40</v>
      </c>
      <c r="V51" t="s">
        <v>2690</v>
      </c>
      <c r="W51" t="s">
        <v>40</v>
      </c>
      <c r="X51" t="s">
        <v>2691</v>
      </c>
      <c r="Y51" t="s">
        <v>2692</v>
      </c>
      <c r="Z51" t="s">
        <v>723</v>
      </c>
      <c r="AA51" t="s">
        <v>40</v>
      </c>
      <c r="AB51" t="s">
        <v>2693</v>
      </c>
      <c r="AC51" t="s">
        <v>316</v>
      </c>
      <c r="AD51" t="s">
        <v>1042</v>
      </c>
      <c r="AE51" t="s">
        <v>502</v>
      </c>
      <c r="AF51" t="s">
        <v>2694</v>
      </c>
      <c r="AG51" t="s">
        <v>43</v>
      </c>
      <c r="AH51" t="s">
        <v>2695</v>
      </c>
      <c r="AI51" t="s">
        <v>2479</v>
      </c>
      <c r="AJ51" t="s">
        <v>2696</v>
      </c>
      <c r="AK51" t="s">
        <v>2697</v>
      </c>
      <c r="AL51" t="s">
        <v>2698</v>
      </c>
      <c r="AM51" t="s">
        <v>2699</v>
      </c>
      <c r="AN51" t="s">
        <v>2700</v>
      </c>
      <c r="AO51" t="s">
        <v>1760</v>
      </c>
      <c r="AP51" t="s">
        <v>2701</v>
      </c>
      <c r="AQ51" t="s">
        <v>46</v>
      </c>
      <c r="AR51" t="s">
        <v>2702</v>
      </c>
      <c r="AS51" t="s">
        <v>242</v>
      </c>
      <c r="AT51" t="s">
        <v>2703</v>
      </c>
      <c r="AU51" t="s">
        <v>330</v>
      </c>
      <c r="AV51" t="s">
        <v>2704</v>
      </c>
      <c r="AW51" t="s">
        <v>247</v>
      </c>
      <c r="AX51" t="s">
        <v>2705</v>
      </c>
      <c r="AY51" t="s">
        <v>1172</v>
      </c>
      <c r="AZ51" t="s">
        <v>2706</v>
      </c>
      <c r="BA51" t="s">
        <v>242</v>
      </c>
      <c r="BB51" t="s">
        <v>2707</v>
      </c>
      <c r="BC51" t="s">
        <v>335</v>
      </c>
      <c r="BD51" t="s">
        <v>2708</v>
      </c>
      <c r="BE51" t="s">
        <v>519</v>
      </c>
      <c r="BF51" t="s">
        <v>2709</v>
      </c>
      <c r="BG51" t="s">
        <v>519</v>
      </c>
      <c r="BH51" t="s">
        <v>2710</v>
      </c>
      <c r="BI51" t="s">
        <v>858</v>
      </c>
      <c r="BJ51" t="s">
        <v>2711</v>
      </c>
      <c r="BK51" t="s">
        <v>449</v>
      </c>
      <c r="BL51" t="s">
        <v>2712</v>
      </c>
      <c r="BM51" t="s">
        <v>371</v>
      </c>
      <c r="BN51" t="s">
        <v>2713</v>
      </c>
      <c r="BO51" t="s">
        <v>473</v>
      </c>
      <c r="BP51" t="s">
        <v>2714</v>
      </c>
      <c r="BQ51" t="s">
        <v>532</v>
      </c>
      <c r="BR51" t="s">
        <v>2715</v>
      </c>
      <c r="BS51" t="s">
        <v>542</v>
      </c>
      <c r="BT51" t="s">
        <v>2716</v>
      </c>
      <c r="BU51" t="s">
        <v>371</v>
      </c>
      <c r="BV51" t="s">
        <v>2717</v>
      </c>
      <c r="BW51" t="s">
        <v>401</v>
      </c>
      <c r="BX51" t="s">
        <v>767</v>
      </c>
      <c r="BY51" t="s">
        <v>542</v>
      </c>
      <c r="BZ51" t="s">
        <v>2718</v>
      </c>
      <c r="CA51" t="s">
        <v>289</v>
      </c>
      <c r="CB51" t="s">
        <v>2719</v>
      </c>
      <c r="CC51" t="s">
        <v>575</v>
      </c>
      <c r="CD51" t="s">
        <v>2720</v>
      </c>
      <c r="CE51" t="s">
        <v>408</v>
      </c>
      <c r="CF51" t="s">
        <v>2721</v>
      </c>
      <c r="CG51" t="s">
        <v>519</v>
      </c>
      <c r="CH51" t="s">
        <v>2722</v>
      </c>
      <c r="CI51" t="s">
        <v>519</v>
      </c>
      <c r="CJ51" t="s">
        <v>2723</v>
      </c>
      <c r="CK51" t="s">
        <v>401</v>
      </c>
      <c r="CL51" t="s">
        <v>2724</v>
      </c>
      <c r="CM51" t="s">
        <v>481</v>
      </c>
      <c r="CN51" t="s">
        <v>2725</v>
      </c>
      <c r="CO51" t="s">
        <v>399</v>
      </c>
      <c r="CP51" t="s">
        <v>2726</v>
      </c>
      <c r="CQ51" t="s">
        <v>542</v>
      </c>
      <c r="CR51" t="s">
        <v>1464</v>
      </c>
      <c r="CS51" t="s">
        <v>449</v>
      </c>
      <c r="CT51" t="s">
        <v>2727</v>
      </c>
      <c r="CU51" t="s">
        <v>281</v>
      </c>
      <c r="CV51" t="s">
        <v>2728</v>
      </c>
      <c r="CW51" t="s">
        <v>271</v>
      </c>
      <c r="CX51" t="s">
        <v>2729</v>
      </c>
      <c r="CY51" t="s">
        <v>467</v>
      </c>
      <c r="CZ51" t="s">
        <v>2730</v>
      </c>
      <c r="DA51" t="s">
        <v>449</v>
      </c>
      <c r="DB51" t="s">
        <v>2731</v>
      </c>
      <c r="DC51" t="s">
        <v>242</v>
      </c>
      <c r="DD51" t="s">
        <v>2732</v>
      </c>
      <c r="DF51" t="s">
        <v>2733</v>
      </c>
      <c r="DG51" t="s">
        <v>242</v>
      </c>
      <c r="DH51" t="s">
        <v>2734</v>
      </c>
    </row>
    <row r="52" spans="1:112" x14ac:dyDescent="0.35">
      <c r="A52" t="s">
        <v>227</v>
      </c>
      <c r="B52" t="s">
        <v>2735</v>
      </c>
      <c r="C52" t="s">
        <v>229</v>
      </c>
      <c r="D52" t="s">
        <v>2736</v>
      </c>
      <c r="E52" t="s">
        <v>231</v>
      </c>
      <c r="F52" t="s">
        <v>2737</v>
      </c>
      <c r="G52" t="s">
        <v>40</v>
      </c>
      <c r="H52" t="s">
        <v>2071</v>
      </c>
      <c r="I52" t="s">
        <v>234</v>
      </c>
      <c r="J52" t="s">
        <v>2738</v>
      </c>
      <c r="L52" t="s">
        <v>2739</v>
      </c>
      <c r="M52" t="s">
        <v>18</v>
      </c>
      <c r="N52" t="s">
        <v>2740</v>
      </c>
      <c r="O52" t="s">
        <v>21</v>
      </c>
      <c r="P52" t="s">
        <v>2741</v>
      </c>
      <c r="Q52" t="s">
        <v>40</v>
      </c>
      <c r="R52" t="s">
        <v>2742</v>
      </c>
      <c r="S52" t="s">
        <v>240</v>
      </c>
      <c r="T52" t="s">
        <v>2743</v>
      </c>
      <c r="U52" t="s">
        <v>242</v>
      </c>
      <c r="V52" t="s">
        <v>243</v>
      </c>
      <c r="W52" t="s">
        <v>242</v>
      </c>
      <c r="X52" t="s">
        <v>243</v>
      </c>
      <c r="Y52" t="s">
        <v>242</v>
      </c>
      <c r="Z52" t="s">
        <v>243</v>
      </c>
      <c r="AA52" t="s">
        <v>242</v>
      </c>
      <c r="AB52" t="s">
        <v>243</v>
      </c>
      <c r="AC52" t="s">
        <v>242</v>
      </c>
      <c r="AD52" t="s">
        <v>243</v>
      </c>
      <c r="AE52" t="s">
        <v>242</v>
      </c>
      <c r="AF52" t="s">
        <v>243</v>
      </c>
      <c r="AG52" t="s">
        <v>242</v>
      </c>
      <c r="AH52" t="s">
        <v>243</v>
      </c>
      <c r="AI52" t="s">
        <v>242</v>
      </c>
      <c r="AJ52" t="s">
        <v>243</v>
      </c>
      <c r="AK52" t="s">
        <v>242</v>
      </c>
      <c r="AL52" t="s">
        <v>243</v>
      </c>
      <c r="AM52" t="s">
        <v>242</v>
      </c>
      <c r="AN52" t="s">
        <v>243</v>
      </c>
      <c r="AO52" t="s">
        <v>242</v>
      </c>
      <c r="AP52" t="s">
        <v>243</v>
      </c>
      <c r="AQ52" t="s">
        <v>242</v>
      </c>
      <c r="AR52" t="s">
        <v>243</v>
      </c>
      <c r="AS52" t="s">
        <v>242</v>
      </c>
      <c r="AT52" t="s">
        <v>244</v>
      </c>
      <c r="AU52" t="s">
        <v>330</v>
      </c>
      <c r="AV52" t="s">
        <v>2744</v>
      </c>
      <c r="AW52" t="s">
        <v>247</v>
      </c>
      <c r="AX52" t="s">
        <v>2745</v>
      </c>
      <c r="AY52" t="s">
        <v>249</v>
      </c>
      <c r="AZ52" t="s">
        <v>2746</v>
      </c>
      <c r="BA52" t="s">
        <v>242</v>
      </c>
      <c r="BB52" t="s">
        <v>2747</v>
      </c>
      <c r="BC52" t="s">
        <v>591</v>
      </c>
      <c r="BD52" t="s">
        <v>2748</v>
      </c>
      <c r="BE52" t="s">
        <v>451</v>
      </c>
      <c r="BF52" t="s">
        <v>2749</v>
      </c>
      <c r="BG52" t="s">
        <v>339</v>
      </c>
      <c r="BH52" t="s">
        <v>2750</v>
      </c>
      <c r="BI52" t="s">
        <v>454</v>
      </c>
      <c r="BJ52" t="s">
        <v>2437</v>
      </c>
      <c r="BK52" t="s">
        <v>585</v>
      </c>
      <c r="BL52" t="s">
        <v>2751</v>
      </c>
      <c r="BM52" t="s">
        <v>405</v>
      </c>
      <c r="BN52" t="s">
        <v>2752</v>
      </c>
      <c r="BO52" t="s">
        <v>585</v>
      </c>
      <c r="BP52" t="s">
        <v>2753</v>
      </c>
      <c r="BQ52" t="s">
        <v>261</v>
      </c>
      <c r="BR52" t="s">
        <v>2754</v>
      </c>
      <c r="BS52" t="s">
        <v>283</v>
      </c>
      <c r="BT52" t="s">
        <v>2755</v>
      </c>
      <c r="BU52" t="s">
        <v>261</v>
      </c>
      <c r="BV52" t="s">
        <v>2756</v>
      </c>
      <c r="BW52" t="s">
        <v>585</v>
      </c>
      <c r="BX52" t="s">
        <v>2757</v>
      </c>
      <c r="BY52" t="s">
        <v>858</v>
      </c>
      <c r="BZ52" t="s">
        <v>2758</v>
      </c>
      <c r="CA52" t="s">
        <v>696</v>
      </c>
      <c r="CB52" t="s">
        <v>2759</v>
      </c>
      <c r="CC52" t="s">
        <v>289</v>
      </c>
      <c r="CD52" t="s">
        <v>2760</v>
      </c>
      <c r="CE52" t="s">
        <v>342</v>
      </c>
      <c r="CF52" t="s">
        <v>2761</v>
      </c>
      <c r="CG52" t="s">
        <v>261</v>
      </c>
      <c r="CH52" t="s">
        <v>2762</v>
      </c>
      <c r="CI52" t="s">
        <v>342</v>
      </c>
      <c r="CJ52" t="s">
        <v>2763</v>
      </c>
      <c r="CK52" t="s">
        <v>467</v>
      </c>
      <c r="CL52" t="s">
        <v>2764</v>
      </c>
      <c r="CM52" t="s">
        <v>589</v>
      </c>
      <c r="CN52" t="s">
        <v>2765</v>
      </c>
      <c r="CO52" t="s">
        <v>291</v>
      </c>
      <c r="CP52" t="s">
        <v>2766</v>
      </c>
      <c r="CQ52" t="s">
        <v>276</v>
      </c>
      <c r="CR52" t="s">
        <v>2767</v>
      </c>
      <c r="CS52" t="s">
        <v>399</v>
      </c>
      <c r="CT52" t="s">
        <v>2768</v>
      </c>
      <c r="CU52" t="s">
        <v>583</v>
      </c>
      <c r="CV52" t="s">
        <v>2769</v>
      </c>
      <c r="CW52" t="s">
        <v>399</v>
      </c>
      <c r="CX52" t="s">
        <v>2770</v>
      </c>
      <c r="CY52" t="s">
        <v>342</v>
      </c>
      <c r="CZ52" t="s">
        <v>2771</v>
      </c>
      <c r="DA52" t="s">
        <v>427</v>
      </c>
      <c r="DB52" t="s">
        <v>2772</v>
      </c>
      <c r="DC52" t="s">
        <v>242</v>
      </c>
      <c r="DD52" t="s">
        <v>2773</v>
      </c>
      <c r="DF52" t="s">
        <v>2774</v>
      </c>
      <c r="DG52" t="s">
        <v>242</v>
      </c>
      <c r="DH52" t="s">
        <v>2775</v>
      </c>
    </row>
    <row r="53" spans="1:112" x14ac:dyDescent="0.35">
      <c r="A53" t="s">
        <v>227</v>
      </c>
      <c r="B53" t="s">
        <v>2776</v>
      </c>
      <c r="C53" t="s">
        <v>229</v>
      </c>
      <c r="D53" t="s">
        <v>2084</v>
      </c>
      <c r="E53" t="s">
        <v>231</v>
      </c>
      <c r="F53" t="s">
        <v>2777</v>
      </c>
      <c r="G53" t="s">
        <v>40</v>
      </c>
      <c r="H53" t="s">
        <v>2778</v>
      </c>
      <c r="I53" t="s">
        <v>234</v>
      </c>
      <c r="J53" t="s">
        <v>2779</v>
      </c>
      <c r="L53" t="s">
        <v>2780</v>
      </c>
      <c r="M53" t="s">
        <v>18</v>
      </c>
      <c r="N53" t="s">
        <v>747</v>
      </c>
      <c r="O53" t="s">
        <v>19</v>
      </c>
      <c r="P53" t="s">
        <v>2781</v>
      </c>
      <c r="Q53" t="s">
        <v>40</v>
      </c>
      <c r="R53" t="s">
        <v>2782</v>
      </c>
      <c r="S53" t="s">
        <v>240</v>
      </c>
      <c r="T53" t="s">
        <v>2783</v>
      </c>
      <c r="U53" t="s">
        <v>242</v>
      </c>
      <c r="V53" t="s">
        <v>243</v>
      </c>
      <c r="W53" t="s">
        <v>242</v>
      </c>
      <c r="X53" t="s">
        <v>243</v>
      </c>
      <c r="Y53" t="s">
        <v>242</v>
      </c>
      <c r="Z53" t="s">
        <v>243</v>
      </c>
      <c r="AA53" t="s">
        <v>242</v>
      </c>
      <c r="AB53" t="s">
        <v>243</v>
      </c>
      <c r="AC53" t="s">
        <v>242</v>
      </c>
      <c r="AD53" t="s">
        <v>243</v>
      </c>
      <c r="AE53" t="s">
        <v>242</v>
      </c>
      <c r="AF53" t="s">
        <v>243</v>
      </c>
      <c r="AG53" t="s">
        <v>242</v>
      </c>
      <c r="AH53" t="s">
        <v>243</v>
      </c>
      <c r="AI53" t="s">
        <v>242</v>
      </c>
      <c r="AJ53" t="s">
        <v>243</v>
      </c>
      <c r="AK53" t="s">
        <v>242</v>
      </c>
      <c r="AL53" t="s">
        <v>243</v>
      </c>
      <c r="AM53" t="s">
        <v>242</v>
      </c>
      <c r="AN53" t="s">
        <v>243</v>
      </c>
      <c r="AO53" t="s">
        <v>242</v>
      </c>
      <c r="AP53" t="s">
        <v>243</v>
      </c>
      <c r="AQ53" t="s">
        <v>242</v>
      </c>
      <c r="AR53" t="s">
        <v>243</v>
      </c>
      <c r="AS53" t="s">
        <v>242</v>
      </c>
      <c r="AT53" t="s">
        <v>244</v>
      </c>
      <c r="AU53" t="s">
        <v>330</v>
      </c>
      <c r="AV53" t="s">
        <v>2784</v>
      </c>
      <c r="AW53" t="s">
        <v>247</v>
      </c>
      <c r="AX53" t="s">
        <v>2785</v>
      </c>
      <c r="AY53" t="s">
        <v>249</v>
      </c>
      <c r="AZ53" t="s">
        <v>2786</v>
      </c>
      <c r="BA53" t="s">
        <v>242</v>
      </c>
      <c r="BB53" t="s">
        <v>2787</v>
      </c>
      <c r="BC53" t="s">
        <v>424</v>
      </c>
      <c r="BD53" t="s">
        <v>2788</v>
      </c>
      <c r="BE53" t="s">
        <v>285</v>
      </c>
      <c r="BF53" t="s">
        <v>2789</v>
      </c>
      <c r="BG53" t="s">
        <v>744</v>
      </c>
      <c r="BH53" t="s">
        <v>2790</v>
      </c>
      <c r="BI53" t="s">
        <v>261</v>
      </c>
      <c r="BJ53" t="s">
        <v>2791</v>
      </c>
      <c r="BK53" t="s">
        <v>351</v>
      </c>
      <c r="BL53" t="s">
        <v>2792</v>
      </c>
      <c r="BM53" t="s">
        <v>369</v>
      </c>
      <c r="BN53" t="s">
        <v>2793</v>
      </c>
      <c r="BO53" t="s">
        <v>287</v>
      </c>
      <c r="BP53" t="s">
        <v>2794</v>
      </c>
      <c r="BQ53" t="s">
        <v>532</v>
      </c>
      <c r="BR53" t="s">
        <v>2795</v>
      </c>
      <c r="BS53" t="s">
        <v>900</v>
      </c>
      <c r="BT53" t="s">
        <v>2796</v>
      </c>
      <c r="BU53" t="s">
        <v>408</v>
      </c>
      <c r="BV53" t="s">
        <v>2797</v>
      </c>
      <c r="BW53" t="s">
        <v>397</v>
      </c>
      <c r="BX53" t="s">
        <v>2798</v>
      </c>
      <c r="BY53" t="s">
        <v>542</v>
      </c>
      <c r="BZ53" t="s">
        <v>2799</v>
      </c>
      <c r="CA53" t="s">
        <v>351</v>
      </c>
      <c r="CB53" t="s">
        <v>2800</v>
      </c>
      <c r="CC53" t="s">
        <v>429</v>
      </c>
      <c r="CD53" t="s">
        <v>2801</v>
      </c>
      <c r="CE53" t="s">
        <v>595</v>
      </c>
      <c r="CF53" t="s">
        <v>2802</v>
      </c>
      <c r="CG53" t="s">
        <v>481</v>
      </c>
      <c r="CH53" t="s">
        <v>2803</v>
      </c>
      <c r="CI53" t="s">
        <v>696</v>
      </c>
      <c r="CJ53" t="s">
        <v>2804</v>
      </c>
      <c r="CK53" t="s">
        <v>424</v>
      </c>
      <c r="CL53" t="s">
        <v>2805</v>
      </c>
      <c r="CM53" t="s">
        <v>266</v>
      </c>
      <c r="CN53" t="s">
        <v>2448</v>
      </c>
      <c r="CO53" t="s">
        <v>421</v>
      </c>
      <c r="CP53" t="s">
        <v>2575</v>
      </c>
      <c r="CQ53" t="s">
        <v>528</v>
      </c>
      <c r="CR53" t="s">
        <v>2806</v>
      </c>
      <c r="CS53" t="s">
        <v>371</v>
      </c>
      <c r="CT53" t="s">
        <v>2807</v>
      </c>
      <c r="CU53" t="s">
        <v>900</v>
      </c>
      <c r="CV53" t="s">
        <v>2808</v>
      </c>
      <c r="CW53" t="s">
        <v>360</v>
      </c>
      <c r="CX53" t="s">
        <v>2809</v>
      </c>
      <c r="CY53" t="s">
        <v>900</v>
      </c>
      <c r="CZ53" t="s">
        <v>2810</v>
      </c>
      <c r="DA53" t="s">
        <v>360</v>
      </c>
      <c r="DB53" t="s">
        <v>2811</v>
      </c>
      <c r="DC53" t="s">
        <v>242</v>
      </c>
      <c r="DD53" t="s">
        <v>2812</v>
      </c>
      <c r="DF53" t="s">
        <v>2813</v>
      </c>
      <c r="DG53" t="s">
        <v>242</v>
      </c>
      <c r="DH53" t="s">
        <v>2747</v>
      </c>
    </row>
    <row r="54" spans="1:112" x14ac:dyDescent="0.35">
      <c r="A54" t="s">
        <v>227</v>
      </c>
      <c r="B54" t="s">
        <v>2814</v>
      </c>
      <c r="C54" t="s">
        <v>229</v>
      </c>
      <c r="D54" t="s">
        <v>2815</v>
      </c>
      <c r="E54" t="s">
        <v>231</v>
      </c>
      <c r="F54" t="s">
        <v>2816</v>
      </c>
      <c r="G54" t="s">
        <v>40</v>
      </c>
      <c r="H54" t="s">
        <v>590</v>
      </c>
      <c r="I54" t="s">
        <v>234</v>
      </c>
      <c r="J54" t="s">
        <v>2817</v>
      </c>
      <c r="L54" t="s">
        <v>2818</v>
      </c>
      <c r="M54" t="s">
        <v>15</v>
      </c>
      <c r="N54" t="s">
        <v>2819</v>
      </c>
      <c r="O54" t="s">
        <v>21</v>
      </c>
      <c r="P54" t="s">
        <v>2820</v>
      </c>
      <c r="Q54" t="s">
        <v>40</v>
      </c>
      <c r="R54" t="s">
        <v>2821</v>
      </c>
      <c r="S54" t="s">
        <v>310</v>
      </c>
      <c r="T54" t="s">
        <v>2822</v>
      </c>
      <c r="U54" t="s">
        <v>40</v>
      </c>
      <c r="V54" t="s">
        <v>2823</v>
      </c>
      <c r="W54" t="s">
        <v>40</v>
      </c>
      <c r="X54" t="s">
        <v>2824</v>
      </c>
      <c r="Y54" t="s">
        <v>79</v>
      </c>
      <c r="Z54" t="s">
        <v>2825</v>
      </c>
      <c r="AA54" t="s">
        <v>40</v>
      </c>
      <c r="AB54" t="s">
        <v>2826</v>
      </c>
      <c r="AC54" t="s">
        <v>316</v>
      </c>
      <c r="AD54" t="s">
        <v>2827</v>
      </c>
      <c r="AE54" t="s">
        <v>502</v>
      </c>
      <c r="AF54" t="s">
        <v>2828</v>
      </c>
      <c r="AG54" t="s">
        <v>40</v>
      </c>
      <c r="AH54" t="s">
        <v>2829</v>
      </c>
      <c r="AI54" t="s">
        <v>621</v>
      </c>
      <c r="AJ54" t="s">
        <v>2830</v>
      </c>
      <c r="AK54" t="s">
        <v>2831</v>
      </c>
      <c r="AL54" t="s">
        <v>2832</v>
      </c>
      <c r="AM54" t="s">
        <v>1605</v>
      </c>
      <c r="AN54" t="s">
        <v>2833</v>
      </c>
      <c r="AO54" t="s">
        <v>1607</v>
      </c>
      <c r="AP54" t="s">
        <v>2834</v>
      </c>
      <c r="AQ54" t="s">
        <v>41</v>
      </c>
      <c r="AR54" t="s">
        <v>2319</v>
      </c>
      <c r="AS54" t="s">
        <v>242</v>
      </c>
      <c r="AT54" t="s">
        <v>2835</v>
      </c>
      <c r="AU54" t="s">
        <v>330</v>
      </c>
      <c r="AV54" t="s">
        <v>2836</v>
      </c>
      <c r="AW54" t="s">
        <v>247</v>
      </c>
      <c r="AX54" t="s">
        <v>2837</v>
      </c>
      <c r="AY54" t="s">
        <v>249</v>
      </c>
      <c r="AZ54" t="s">
        <v>2838</v>
      </c>
      <c r="BA54" t="s">
        <v>242</v>
      </c>
      <c r="BB54" t="s">
        <v>2839</v>
      </c>
      <c r="BC54" t="s">
        <v>257</v>
      </c>
      <c r="BD54" t="s">
        <v>2840</v>
      </c>
      <c r="BE54" t="s">
        <v>1360</v>
      </c>
      <c r="BF54" t="s">
        <v>2841</v>
      </c>
      <c r="BG54" t="s">
        <v>281</v>
      </c>
      <c r="BH54" t="s">
        <v>2842</v>
      </c>
      <c r="BI54" t="s">
        <v>411</v>
      </c>
      <c r="BJ54" t="s">
        <v>2843</v>
      </c>
      <c r="BK54" t="s">
        <v>257</v>
      </c>
      <c r="BL54" t="s">
        <v>2844</v>
      </c>
      <c r="BM54" t="s">
        <v>274</v>
      </c>
      <c r="BN54" t="s">
        <v>2845</v>
      </c>
      <c r="BO54" t="s">
        <v>291</v>
      </c>
      <c r="BP54" t="s">
        <v>2846</v>
      </c>
      <c r="BQ54" t="s">
        <v>395</v>
      </c>
      <c r="BR54" t="s">
        <v>2847</v>
      </c>
      <c r="BS54" t="s">
        <v>393</v>
      </c>
      <c r="BT54" t="s">
        <v>2848</v>
      </c>
      <c r="BU54" t="s">
        <v>698</v>
      </c>
      <c r="BV54" t="s">
        <v>2849</v>
      </c>
      <c r="BW54" t="s">
        <v>427</v>
      </c>
      <c r="BX54" t="s">
        <v>2850</v>
      </c>
      <c r="BY54" t="s">
        <v>281</v>
      </c>
      <c r="BZ54" t="s">
        <v>2059</v>
      </c>
      <c r="CA54" t="s">
        <v>371</v>
      </c>
      <c r="CB54" t="s">
        <v>2851</v>
      </c>
      <c r="CC54" t="s">
        <v>289</v>
      </c>
      <c r="CD54" t="s">
        <v>1628</v>
      </c>
      <c r="CE54" t="s">
        <v>393</v>
      </c>
      <c r="CF54" t="s">
        <v>2852</v>
      </c>
      <c r="CG54" t="s">
        <v>575</v>
      </c>
      <c r="CH54" t="s">
        <v>381</v>
      </c>
      <c r="CI54" t="s">
        <v>752</v>
      </c>
      <c r="CJ54" t="s">
        <v>2853</v>
      </c>
      <c r="CK54" t="s">
        <v>399</v>
      </c>
      <c r="CL54" t="s">
        <v>2854</v>
      </c>
      <c r="CM54" t="s">
        <v>469</v>
      </c>
      <c r="CN54" t="s">
        <v>2231</v>
      </c>
      <c r="CO54" t="s">
        <v>261</v>
      </c>
      <c r="CP54" t="s">
        <v>2855</v>
      </c>
      <c r="CQ54" t="s">
        <v>408</v>
      </c>
      <c r="CR54" t="s">
        <v>2856</v>
      </c>
      <c r="CS54" t="s">
        <v>395</v>
      </c>
      <c r="CT54" t="s">
        <v>2857</v>
      </c>
      <c r="CU54" t="s">
        <v>1128</v>
      </c>
      <c r="CV54" t="s">
        <v>2858</v>
      </c>
      <c r="CW54" t="s">
        <v>295</v>
      </c>
      <c r="CX54" t="s">
        <v>2859</v>
      </c>
      <c r="CY54" t="s">
        <v>295</v>
      </c>
      <c r="CZ54" t="s">
        <v>2860</v>
      </c>
      <c r="DA54" t="s">
        <v>295</v>
      </c>
      <c r="DB54" t="s">
        <v>2861</v>
      </c>
      <c r="DC54" t="s">
        <v>242</v>
      </c>
      <c r="DD54" t="s">
        <v>2862</v>
      </c>
      <c r="DF54" t="s">
        <v>2863</v>
      </c>
      <c r="DG54" t="s">
        <v>242</v>
      </c>
      <c r="DH54" t="s">
        <v>2864</v>
      </c>
    </row>
    <row r="55" spans="1:112" x14ac:dyDescent="0.35">
      <c r="A55" t="s">
        <v>227</v>
      </c>
      <c r="B55" t="s">
        <v>2865</v>
      </c>
      <c r="C55" t="s">
        <v>229</v>
      </c>
      <c r="D55" t="s">
        <v>2866</v>
      </c>
      <c r="E55" t="s">
        <v>231</v>
      </c>
      <c r="F55" t="s">
        <v>661</v>
      </c>
      <c r="G55" t="s">
        <v>40</v>
      </c>
      <c r="H55" t="s">
        <v>2867</v>
      </c>
      <c r="I55" t="s">
        <v>234</v>
      </c>
      <c r="J55" t="s">
        <v>2868</v>
      </c>
      <c r="L55" t="s">
        <v>2869</v>
      </c>
      <c r="M55" t="s">
        <v>18</v>
      </c>
      <c r="N55" t="s">
        <v>2870</v>
      </c>
      <c r="O55" t="s">
        <v>21</v>
      </c>
      <c r="P55" t="s">
        <v>2871</v>
      </c>
      <c r="Q55" t="s">
        <v>40</v>
      </c>
      <c r="R55" t="s">
        <v>2872</v>
      </c>
      <c r="S55" t="s">
        <v>310</v>
      </c>
      <c r="T55" t="s">
        <v>2873</v>
      </c>
      <c r="U55" t="s">
        <v>40</v>
      </c>
      <c r="V55" t="s">
        <v>2874</v>
      </c>
      <c r="W55" t="s">
        <v>40</v>
      </c>
      <c r="X55" t="s">
        <v>2875</v>
      </c>
      <c r="Y55" t="s">
        <v>80</v>
      </c>
      <c r="Z55" t="s">
        <v>2876</v>
      </c>
      <c r="AA55" t="s">
        <v>40</v>
      </c>
      <c r="AB55" t="s">
        <v>2877</v>
      </c>
      <c r="AC55" t="s">
        <v>316</v>
      </c>
      <c r="AD55" t="s">
        <v>2878</v>
      </c>
      <c r="AE55" t="s">
        <v>1996</v>
      </c>
      <c r="AF55" t="s">
        <v>2879</v>
      </c>
      <c r="AG55" t="s">
        <v>40</v>
      </c>
      <c r="AH55" t="s">
        <v>2880</v>
      </c>
      <c r="AI55" t="s">
        <v>621</v>
      </c>
      <c r="AJ55" t="s">
        <v>2881</v>
      </c>
      <c r="AK55" t="s">
        <v>2882</v>
      </c>
      <c r="AL55" t="s">
        <v>2883</v>
      </c>
      <c r="AM55" t="s">
        <v>2884</v>
      </c>
      <c r="AN55" t="s">
        <v>2333</v>
      </c>
      <c r="AO55" t="s">
        <v>2885</v>
      </c>
      <c r="AP55" t="s">
        <v>2886</v>
      </c>
      <c r="AQ55" t="s">
        <v>41</v>
      </c>
      <c r="AR55" t="s">
        <v>2887</v>
      </c>
      <c r="AS55" t="s">
        <v>242</v>
      </c>
      <c r="AT55" t="s">
        <v>2888</v>
      </c>
      <c r="AU55" t="s">
        <v>2889</v>
      </c>
      <c r="AV55" t="s">
        <v>2890</v>
      </c>
      <c r="AW55" t="s">
        <v>247</v>
      </c>
      <c r="AX55" t="s">
        <v>2891</v>
      </c>
      <c r="AY55" t="s">
        <v>249</v>
      </c>
      <c r="AZ55" t="s">
        <v>2892</v>
      </c>
      <c r="BA55" t="s">
        <v>242</v>
      </c>
      <c r="BB55" t="s">
        <v>2893</v>
      </c>
      <c r="BC55" t="s">
        <v>268</v>
      </c>
      <c r="BD55" t="s">
        <v>2894</v>
      </c>
      <c r="BE55" t="s">
        <v>295</v>
      </c>
      <c r="BF55" t="s">
        <v>2895</v>
      </c>
      <c r="BG55" t="s">
        <v>291</v>
      </c>
      <c r="BH55" t="s">
        <v>2896</v>
      </c>
      <c r="BI55" t="s">
        <v>688</v>
      </c>
      <c r="BJ55" t="s">
        <v>2897</v>
      </c>
      <c r="BK55" t="s">
        <v>424</v>
      </c>
      <c r="BL55" t="s">
        <v>1283</v>
      </c>
      <c r="BM55" t="s">
        <v>1131</v>
      </c>
      <c r="BN55" t="s">
        <v>2898</v>
      </c>
      <c r="BO55" t="s">
        <v>752</v>
      </c>
      <c r="BP55" t="s">
        <v>2633</v>
      </c>
      <c r="BQ55" t="s">
        <v>454</v>
      </c>
      <c r="BR55" t="s">
        <v>2899</v>
      </c>
      <c r="BS55" t="s">
        <v>356</v>
      </c>
      <c r="BT55" t="s">
        <v>2900</v>
      </c>
      <c r="BU55" t="s">
        <v>698</v>
      </c>
      <c r="BV55" t="s">
        <v>2901</v>
      </c>
      <c r="BW55" t="s">
        <v>335</v>
      </c>
      <c r="BX55" t="s">
        <v>2368</v>
      </c>
      <c r="BY55" t="s">
        <v>858</v>
      </c>
      <c r="BZ55" t="s">
        <v>2902</v>
      </c>
      <c r="CA55" t="s">
        <v>401</v>
      </c>
      <c r="CB55" t="s">
        <v>2903</v>
      </c>
      <c r="CC55" t="s">
        <v>344</v>
      </c>
      <c r="CD55" t="s">
        <v>2904</v>
      </c>
      <c r="CE55" t="s">
        <v>421</v>
      </c>
      <c r="CF55" t="s">
        <v>2354</v>
      </c>
      <c r="CG55" t="s">
        <v>575</v>
      </c>
      <c r="CH55" t="s">
        <v>2905</v>
      </c>
      <c r="CI55" t="s">
        <v>421</v>
      </c>
      <c r="CJ55" t="s">
        <v>2906</v>
      </c>
      <c r="CK55" t="s">
        <v>344</v>
      </c>
      <c r="CL55" t="s">
        <v>2907</v>
      </c>
      <c r="CM55" t="s">
        <v>538</v>
      </c>
      <c r="CN55" t="s">
        <v>2908</v>
      </c>
      <c r="CO55" t="s">
        <v>254</v>
      </c>
      <c r="CP55" t="s">
        <v>1638</v>
      </c>
      <c r="CQ55" t="s">
        <v>414</v>
      </c>
      <c r="CR55" t="s">
        <v>2909</v>
      </c>
      <c r="CS55" t="s">
        <v>344</v>
      </c>
      <c r="CT55" t="s">
        <v>2910</v>
      </c>
      <c r="CU55" t="s">
        <v>289</v>
      </c>
      <c r="CV55" t="s">
        <v>2911</v>
      </c>
      <c r="CW55" t="s">
        <v>295</v>
      </c>
      <c r="CX55" t="s">
        <v>1153</v>
      </c>
      <c r="CY55" t="s">
        <v>285</v>
      </c>
      <c r="CZ55" t="s">
        <v>2912</v>
      </c>
      <c r="DA55" t="s">
        <v>429</v>
      </c>
      <c r="DB55" t="s">
        <v>2913</v>
      </c>
      <c r="DC55" t="s">
        <v>242</v>
      </c>
      <c r="DD55" t="s">
        <v>543</v>
      </c>
      <c r="DF55" t="s">
        <v>2914</v>
      </c>
      <c r="DG55" t="s">
        <v>242</v>
      </c>
      <c r="DH55" t="s">
        <v>2915</v>
      </c>
    </row>
    <row r="56" spans="1:112" x14ac:dyDescent="0.35">
      <c r="A56" t="s">
        <v>227</v>
      </c>
      <c r="B56" t="s">
        <v>2916</v>
      </c>
      <c r="C56" t="s">
        <v>229</v>
      </c>
      <c r="D56" t="s">
        <v>2917</v>
      </c>
      <c r="E56" t="s">
        <v>231</v>
      </c>
      <c r="F56" t="s">
        <v>2918</v>
      </c>
      <c r="G56" t="s">
        <v>40</v>
      </c>
      <c r="H56" t="s">
        <v>2919</v>
      </c>
      <c r="I56" t="s">
        <v>234</v>
      </c>
      <c r="J56" t="s">
        <v>2920</v>
      </c>
      <c r="L56" t="s">
        <v>2921</v>
      </c>
      <c r="M56" t="s">
        <v>18</v>
      </c>
      <c r="N56" t="s">
        <v>2922</v>
      </c>
      <c r="O56" t="s">
        <v>21</v>
      </c>
      <c r="P56" t="s">
        <v>2923</v>
      </c>
      <c r="Q56" t="s">
        <v>40</v>
      </c>
      <c r="R56" t="s">
        <v>2924</v>
      </c>
      <c r="S56" t="s">
        <v>240</v>
      </c>
      <c r="T56" t="s">
        <v>2925</v>
      </c>
      <c r="U56" t="s">
        <v>242</v>
      </c>
      <c r="V56" t="s">
        <v>243</v>
      </c>
      <c r="W56" t="s">
        <v>242</v>
      </c>
      <c r="X56" t="s">
        <v>243</v>
      </c>
      <c r="Y56" t="s">
        <v>242</v>
      </c>
      <c r="Z56" t="s">
        <v>243</v>
      </c>
      <c r="AA56" t="s">
        <v>242</v>
      </c>
      <c r="AB56" t="s">
        <v>243</v>
      </c>
      <c r="AC56" t="s">
        <v>242</v>
      </c>
      <c r="AD56" t="s">
        <v>243</v>
      </c>
      <c r="AE56" t="s">
        <v>242</v>
      </c>
      <c r="AF56" t="s">
        <v>243</v>
      </c>
      <c r="AG56" t="s">
        <v>242</v>
      </c>
      <c r="AH56" t="s">
        <v>243</v>
      </c>
      <c r="AI56" t="s">
        <v>242</v>
      </c>
      <c r="AJ56" t="s">
        <v>243</v>
      </c>
      <c r="AK56" t="s">
        <v>242</v>
      </c>
      <c r="AL56" t="s">
        <v>243</v>
      </c>
      <c r="AM56" t="s">
        <v>242</v>
      </c>
      <c r="AN56" t="s">
        <v>243</v>
      </c>
      <c r="AO56" t="s">
        <v>242</v>
      </c>
      <c r="AP56" t="s">
        <v>243</v>
      </c>
      <c r="AQ56" t="s">
        <v>242</v>
      </c>
      <c r="AR56" t="s">
        <v>243</v>
      </c>
      <c r="AS56" t="s">
        <v>242</v>
      </c>
      <c r="AT56" t="s">
        <v>244</v>
      </c>
      <c r="AU56" t="s">
        <v>2926</v>
      </c>
      <c r="AV56" t="s">
        <v>2927</v>
      </c>
      <c r="AW56" t="s">
        <v>247</v>
      </c>
      <c r="AX56" t="s">
        <v>273</v>
      </c>
      <c r="AY56" t="s">
        <v>249</v>
      </c>
      <c r="AZ56" t="s">
        <v>2928</v>
      </c>
      <c r="BA56" t="s">
        <v>242</v>
      </c>
      <c r="BB56" t="s">
        <v>2929</v>
      </c>
      <c r="BC56" t="s">
        <v>405</v>
      </c>
      <c r="BD56" t="s">
        <v>2930</v>
      </c>
      <c r="BE56" t="s">
        <v>295</v>
      </c>
      <c r="BF56" t="s">
        <v>2931</v>
      </c>
      <c r="BG56" t="s">
        <v>360</v>
      </c>
      <c r="BH56" t="s">
        <v>2932</v>
      </c>
      <c r="BI56" t="s">
        <v>752</v>
      </c>
      <c r="BJ56" t="s">
        <v>2933</v>
      </c>
      <c r="BK56" t="s">
        <v>416</v>
      </c>
      <c r="BL56" t="s">
        <v>2934</v>
      </c>
      <c r="BM56" t="s">
        <v>900</v>
      </c>
      <c r="BN56" t="s">
        <v>2935</v>
      </c>
      <c r="BO56" t="s">
        <v>416</v>
      </c>
      <c r="BP56" t="s">
        <v>2936</v>
      </c>
      <c r="BQ56" t="s">
        <v>421</v>
      </c>
      <c r="BR56" t="s">
        <v>2937</v>
      </c>
      <c r="BS56" t="s">
        <v>360</v>
      </c>
      <c r="BT56" t="s">
        <v>2938</v>
      </c>
      <c r="BU56" t="s">
        <v>365</v>
      </c>
      <c r="BV56" t="s">
        <v>2939</v>
      </c>
      <c r="BW56" t="s">
        <v>335</v>
      </c>
      <c r="BX56" t="s">
        <v>2940</v>
      </c>
      <c r="BY56" t="s">
        <v>287</v>
      </c>
      <c r="BZ56" t="s">
        <v>2941</v>
      </c>
      <c r="CA56" t="s">
        <v>779</v>
      </c>
      <c r="CB56" t="s">
        <v>2942</v>
      </c>
      <c r="CC56" t="s">
        <v>752</v>
      </c>
      <c r="CD56" t="s">
        <v>2943</v>
      </c>
      <c r="CE56" t="s">
        <v>752</v>
      </c>
      <c r="CF56" t="s">
        <v>2944</v>
      </c>
      <c r="CG56" t="s">
        <v>356</v>
      </c>
      <c r="CH56" t="s">
        <v>2945</v>
      </c>
      <c r="CI56" t="s">
        <v>287</v>
      </c>
      <c r="CJ56" t="s">
        <v>2946</v>
      </c>
      <c r="CK56" t="s">
        <v>287</v>
      </c>
      <c r="CL56" t="s">
        <v>2947</v>
      </c>
      <c r="CM56" t="s">
        <v>356</v>
      </c>
      <c r="CN56" t="s">
        <v>2948</v>
      </c>
      <c r="CO56" t="s">
        <v>351</v>
      </c>
      <c r="CP56" t="s">
        <v>2949</v>
      </c>
      <c r="CQ56" t="s">
        <v>779</v>
      </c>
      <c r="CR56" t="s">
        <v>2950</v>
      </c>
      <c r="CS56" t="s">
        <v>335</v>
      </c>
      <c r="CT56" t="s">
        <v>2951</v>
      </c>
      <c r="CU56" t="s">
        <v>538</v>
      </c>
      <c r="CV56" t="s">
        <v>2952</v>
      </c>
      <c r="CW56" t="s">
        <v>538</v>
      </c>
      <c r="CX56" t="s">
        <v>2249</v>
      </c>
      <c r="CY56" t="s">
        <v>371</v>
      </c>
      <c r="CZ56" t="s">
        <v>2953</v>
      </c>
      <c r="DA56" t="s">
        <v>538</v>
      </c>
      <c r="DB56" t="s">
        <v>2954</v>
      </c>
      <c r="DC56" t="s">
        <v>242</v>
      </c>
      <c r="DD56" t="s">
        <v>2955</v>
      </c>
      <c r="DF56" t="s">
        <v>2596</v>
      </c>
      <c r="DG56" t="s">
        <v>242</v>
      </c>
      <c r="DH56" t="s">
        <v>2956</v>
      </c>
    </row>
    <row r="57" spans="1:112" x14ac:dyDescent="0.35">
      <c r="A57" t="s">
        <v>227</v>
      </c>
      <c r="B57" t="s">
        <v>2957</v>
      </c>
      <c r="C57" t="s">
        <v>229</v>
      </c>
      <c r="D57" t="s">
        <v>1196</v>
      </c>
      <c r="E57" t="s">
        <v>231</v>
      </c>
      <c r="F57" t="s">
        <v>2958</v>
      </c>
      <c r="G57" t="s">
        <v>40</v>
      </c>
      <c r="H57" t="s">
        <v>2959</v>
      </c>
      <c r="I57" t="s">
        <v>234</v>
      </c>
      <c r="J57" t="s">
        <v>2960</v>
      </c>
      <c r="L57" t="s">
        <v>2961</v>
      </c>
      <c r="M57" t="s">
        <v>18</v>
      </c>
      <c r="N57" t="s">
        <v>2962</v>
      </c>
      <c r="O57" t="s">
        <v>19</v>
      </c>
      <c r="P57" t="s">
        <v>2963</v>
      </c>
      <c r="Q57" t="s">
        <v>40</v>
      </c>
      <c r="R57" t="s">
        <v>2964</v>
      </c>
      <c r="S57" t="s">
        <v>240</v>
      </c>
      <c r="T57" t="s">
        <v>2448</v>
      </c>
      <c r="U57" t="s">
        <v>242</v>
      </c>
      <c r="V57" t="s">
        <v>243</v>
      </c>
      <c r="W57" t="s">
        <v>242</v>
      </c>
      <c r="X57" t="s">
        <v>243</v>
      </c>
      <c r="Y57" t="s">
        <v>242</v>
      </c>
      <c r="Z57" t="s">
        <v>243</v>
      </c>
      <c r="AA57" t="s">
        <v>242</v>
      </c>
      <c r="AB57" t="s">
        <v>243</v>
      </c>
      <c r="AC57" t="s">
        <v>242</v>
      </c>
      <c r="AD57" t="s">
        <v>243</v>
      </c>
      <c r="AE57" t="s">
        <v>242</v>
      </c>
      <c r="AF57" t="s">
        <v>243</v>
      </c>
      <c r="AG57" t="s">
        <v>242</v>
      </c>
      <c r="AH57" t="s">
        <v>243</v>
      </c>
      <c r="AI57" t="s">
        <v>242</v>
      </c>
      <c r="AJ57" t="s">
        <v>243</v>
      </c>
      <c r="AK57" t="s">
        <v>242</v>
      </c>
      <c r="AL57" t="s">
        <v>243</v>
      </c>
      <c r="AM57" t="s">
        <v>242</v>
      </c>
      <c r="AN57" t="s">
        <v>243</v>
      </c>
      <c r="AO57" t="s">
        <v>242</v>
      </c>
      <c r="AP57" t="s">
        <v>243</v>
      </c>
      <c r="AQ57" t="s">
        <v>242</v>
      </c>
      <c r="AR57" t="s">
        <v>243</v>
      </c>
      <c r="AS57" t="s">
        <v>242</v>
      </c>
      <c r="AT57" t="s">
        <v>244</v>
      </c>
      <c r="AU57" t="s">
        <v>2965</v>
      </c>
      <c r="AV57" t="s">
        <v>2966</v>
      </c>
      <c r="AW57" t="s">
        <v>247</v>
      </c>
      <c r="AX57" t="s">
        <v>2967</v>
      </c>
      <c r="AY57" t="s">
        <v>249</v>
      </c>
      <c r="AZ57" t="s">
        <v>2968</v>
      </c>
      <c r="BA57" t="s">
        <v>242</v>
      </c>
      <c r="BB57" t="s">
        <v>2969</v>
      </c>
      <c r="BC57" t="s">
        <v>281</v>
      </c>
      <c r="BD57" t="s">
        <v>2970</v>
      </c>
      <c r="BE57" t="s">
        <v>1380</v>
      </c>
      <c r="BF57" t="s">
        <v>2971</v>
      </c>
      <c r="BG57" t="s">
        <v>481</v>
      </c>
      <c r="BH57" t="s">
        <v>2972</v>
      </c>
      <c r="BI57" t="s">
        <v>1128</v>
      </c>
      <c r="BJ57" t="s">
        <v>2973</v>
      </c>
      <c r="BK57" t="s">
        <v>295</v>
      </c>
      <c r="BL57" t="s">
        <v>2974</v>
      </c>
      <c r="BM57" t="s">
        <v>295</v>
      </c>
      <c r="BN57" t="s">
        <v>2975</v>
      </c>
      <c r="BO57" t="s">
        <v>469</v>
      </c>
      <c r="BP57" t="s">
        <v>2976</v>
      </c>
      <c r="BQ57" t="s">
        <v>952</v>
      </c>
      <c r="BR57" t="s">
        <v>2977</v>
      </c>
      <c r="BS57" t="s">
        <v>365</v>
      </c>
      <c r="BT57" t="s">
        <v>2978</v>
      </c>
      <c r="BU57" t="s">
        <v>685</v>
      </c>
      <c r="BV57" t="s">
        <v>2979</v>
      </c>
      <c r="BW57" t="s">
        <v>538</v>
      </c>
      <c r="BX57" t="s">
        <v>2980</v>
      </c>
      <c r="BY57" t="s">
        <v>685</v>
      </c>
      <c r="BZ57" t="s">
        <v>2226</v>
      </c>
      <c r="CA57" t="s">
        <v>519</v>
      </c>
      <c r="CB57" t="s">
        <v>2981</v>
      </c>
      <c r="CC57" t="s">
        <v>1131</v>
      </c>
      <c r="CD57" t="s">
        <v>1718</v>
      </c>
      <c r="CE57" t="s">
        <v>752</v>
      </c>
      <c r="CF57" t="s">
        <v>2982</v>
      </c>
      <c r="CG57" t="s">
        <v>395</v>
      </c>
      <c r="CH57" t="s">
        <v>2983</v>
      </c>
      <c r="CI57" t="s">
        <v>752</v>
      </c>
      <c r="CJ57" t="s">
        <v>1808</v>
      </c>
      <c r="CK57" t="s">
        <v>429</v>
      </c>
      <c r="CL57" t="s">
        <v>902</v>
      </c>
      <c r="CM57" t="s">
        <v>595</v>
      </c>
      <c r="CN57" t="s">
        <v>2984</v>
      </c>
      <c r="CO57" t="s">
        <v>414</v>
      </c>
      <c r="CP57" t="s">
        <v>548</v>
      </c>
      <c r="CQ57" t="s">
        <v>397</v>
      </c>
      <c r="CR57" t="s">
        <v>2985</v>
      </c>
      <c r="CS57" t="s">
        <v>424</v>
      </c>
      <c r="CT57" t="s">
        <v>2986</v>
      </c>
      <c r="CU57" t="s">
        <v>538</v>
      </c>
      <c r="CV57" t="s">
        <v>2987</v>
      </c>
      <c r="CW57" t="s">
        <v>285</v>
      </c>
      <c r="CX57" t="s">
        <v>2988</v>
      </c>
      <c r="CY57" t="s">
        <v>281</v>
      </c>
      <c r="CZ57" t="s">
        <v>2989</v>
      </c>
      <c r="DA57" t="s">
        <v>257</v>
      </c>
      <c r="DB57" t="s">
        <v>2990</v>
      </c>
      <c r="DC57" t="s">
        <v>242</v>
      </c>
      <c r="DD57" t="s">
        <v>2578</v>
      </c>
      <c r="DF57" t="s">
        <v>2991</v>
      </c>
      <c r="DG57" t="s">
        <v>242</v>
      </c>
      <c r="DH57" t="s">
        <v>2992</v>
      </c>
    </row>
    <row r="58" spans="1:112" x14ac:dyDescent="0.35">
      <c r="A58" t="s">
        <v>227</v>
      </c>
      <c r="B58" t="s">
        <v>2993</v>
      </c>
      <c r="C58" t="s">
        <v>229</v>
      </c>
      <c r="D58" t="s">
        <v>2994</v>
      </c>
      <c r="E58" t="s">
        <v>231</v>
      </c>
      <c r="F58" t="s">
        <v>2995</v>
      </c>
      <c r="G58" t="s">
        <v>40</v>
      </c>
      <c r="H58" t="s">
        <v>2996</v>
      </c>
      <c r="I58" t="s">
        <v>234</v>
      </c>
      <c r="J58" t="s">
        <v>628</v>
      </c>
      <c r="L58" t="s">
        <v>2997</v>
      </c>
      <c r="M58" t="s">
        <v>15</v>
      </c>
      <c r="N58" t="s">
        <v>2998</v>
      </c>
      <c r="O58" t="s">
        <v>21</v>
      </c>
      <c r="P58" t="s">
        <v>482</v>
      </c>
      <c r="Q58" t="s">
        <v>40</v>
      </c>
      <c r="R58" t="s">
        <v>2999</v>
      </c>
      <c r="S58" t="s">
        <v>310</v>
      </c>
      <c r="T58" t="s">
        <v>793</v>
      </c>
      <c r="U58" t="s">
        <v>40</v>
      </c>
      <c r="V58" t="s">
        <v>3000</v>
      </c>
      <c r="W58" t="s">
        <v>40</v>
      </c>
      <c r="X58" t="s">
        <v>3001</v>
      </c>
      <c r="Y58" t="s">
        <v>81</v>
      </c>
      <c r="Z58" t="s">
        <v>3002</v>
      </c>
      <c r="AA58" t="s">
        <v>40</v>
      </c>
      <c r="AB58" t="s">
        <v>3003</v>
      </c>
      <c r="AC58" t="s">
        <v>316</v>
      </c>
      <c r="AD58" t="s">
        <v>3004</v>
      </c>
      <c r="AE58" t="s">
        <v>502</v>
      </c>
      <c r="AF58" t="s">
        <v>3005</v>
      </c>
      <c r="AG58" t="s">
        <v>40</v>
      </c>
      <c r="AH58" t="s">
        <v>3006</v>
      </c>
      <c r="AI58" t="s">
        <v>2388</v>
      </c>
      <c r="AJ58" t="s">
        <v>3007</v>
      </c>
      <c r="AK58" t="s">
        <v>3008</v>
      </c>
      <c r="AL58" t="s">
        <v>3009</v>
      </c>
      <c r="AM58" t="s">
        <v>2884</v>
      </c>
      <c r="AN58" t="s">
        <v>2841</v>
      </c>
      <c r="AO58" t="s">
        <v>325</v>
      </c>
      <c r="AP58" t="s">
        <v>3010</v>
      </c>
      <c r="AQ58" t="s">
        <v>45</v>
      </c>
      <c r="AR58" t="s">
        <v>3011</v>
      </c>
      <c r="AS58" t="s">
        <v>242</v>
      </c>
      <c r="AT58" t="s">
        <v>3012</v>
      </c>
      <c r="AU58" t="s">
        <v>1611</v>
      </c>
      <c r="AV58" t="s">
        <v>3013</v>
      </c>
      <c r="AW58" t="s">
        <v>247</v>
      </c>
      <c r="AX58" t="s">
        <v>347</v>
      </c>
      <c r="AY58" t="s">
        <v>249</v>
      </c>
      <c r="AZ58" t="s">
        <v>3014</v>
      </c>
      <c r="BA58" t="s">
        <v>242</v>
      </c>
      <c r="BB58" t="s">
        <v>3015</v>
      </c>
      <c r="BC58" t="s">
        <v>429</v>
      </c>
      <c r="BD58" t="s">
        <v>3016</v>
      </c>
      <c r="BE58" t="s">
        <v>1131</v>
      </c>
      <c r="BF58" t="s">
        <v>3017</v>
      </c>
      <c r="BG58" t="s">
        <v>424</v>
      </c>
      <c r="BH58" t="s">
        <v>3018</v>
      </c>
      <c r="BI58" t="s">
        <v>542</v>
      </c>
      <c r="BJ58" t="s">
        <v>3019</v>
      </c>
      <c r="BK58" t="s">
        <v>367</v>
      </c>
      <c r="BL58" t="s">
        <v>3020</v>
      </c>
      <c r="BM58" t="s">
        <v>371</v>
      </c>
      <c r="BN58" t="s">
        <v>3021</v>
      </c>
      <c r="BO58" t="s">
        <v>538</v>
      </c>
      <c r="BP58" t="s">
        <v>3022</v>
      </c>
      <c r="BQ58" t="s">
        <v>538</v>
      </c>
      <c r="BR58" t="s">
        <v>3023</v>
      </c>
      <c r="BS58" t="s">
        <v>367</v>
      </c>
      <c r="BT58" t="s">
        <v>3024</v>
      </c>
      <c r="BU58" t="s">
        <v>291</v>
      </c>
      <c r="BV58" t="s">
        <v>3025</v>
      </c>
      <c r="BW58" t="s">
        <v>335</v>
      </c>
      <c r="BX58" t="s">
        <v>3026</v>
      </c>
      <c r="BY58" t="s">
        <v>519</v>
      </c>
      <c r="BZ58" t="s">
        <v>3027</v>
      </c>
      <c r="CA58" t="s">
        <v>339</v>
      </c>
      <c r="CB58" t="s">
        <v>3028</v>
      </c>
      <c r="CC58" t="s">
        <v>397</v>
      </c>
      <c r="CD58" t="s">
        <v>3029</v>
      </c>
      <c r="CE58" t="s">
        <v>416</v>
      </c>
      <c r="CF58" t="s">
        <v>3030</v>
      </c>
      <c r="CG58" t="s">
        <v>752</v>
      </c>
      <c r="CH58" t="s">
        <v>3031</v>
      </c>
      <c r="CI58" t="s">
        <v>356</v>
      </c>
      <c r="CJ58" t="s">
        <v>3032</v>
      </c>
      <c r="CK58" t="s">
        <v>367</v>
      </c>
      <c r="CL58" t="s">
        <v>3033</v>
      </c>
      <c r="CM58" t="s">
        <v>744</v>
      </c>
      <c r="CN58" t="s">
        <v>3034</v>
      </c>
      <c r="CO58" t="s">
        <v>367</v>
      </c>
      <c r="CP58" t="s">
        <v>3035</v>
      </c>
      <c r="CQ58" t="s">
        <v>752</v>
      </c>
      <c r="CR58" t="s">
        <v>3036</v>
      </c>
      <c r="CS58" t="s">
        <v>367</v>
      </c>
      <c r="CT58" t="s">
        <v>3037</v>
      </c>
      <c r="CU58" t="s">
        <v>451</v>
      </c>
      <c r="CV58" t="s">
        <v>3038</v>
      </c>
      <c r="CW58" t="s">
        <v>479</v>
      </c>
      <c r="CX58" t="s">
        <v>3039</v>
      </c>
      <c r="CY58" t="s">
        <v>337</v>
      </c>
      <c r="CZ58" t="s">
        <v>3040</v>
      </c>
      <c r="DA58" t="s">
        <v>1360</v>
      </c>
      <c r="DB58" t="s">
        <v>3041</v>
      </c>
      <c r="DC58" t="s">
        <v>242</v>
      </c>
      <c r="DD58" t="s">
        <v>3042</v>
      </c>
      <c r="DF58" t="s">
        <v>3043</v>
      </c>
      <c r="DG58" t="s">
        <v>242</v>
      </c>
      <c r="DH58" t="s">
        <v>1372</v>
      </c>
    </row>
    <row r="59" spans="1:112" x14ac:dyDescent="0.35">
      <c r="A59" t="s">
        <v>227</v>
      </c>
      <c r="B59" t="s">
        <v>3044</v>
      </c>
      <c r="C59" t="s">
        <v>229</v>
      </c>
      <c r="D59" t="s">
        <v>1763</v>
      </c>
      <c r="E59" t="s">
        <v>231</v>
      </c>
      <c r="F59" t="s">
        <v>3045</v>
      </c>
      <c r="G59" t="s">
        <v>40</v>
      </c>
      <c r="H59" t="s">
        <v>3046</v>
      </c>
      <c r="I59" t="s">
        <v>234</v>
      </c>
      <c r="J59" t="s">
        <v>3047</v>
      </c>
      <c r="L59" t="s">
        <v>3048</v>
      </c>
      <c r="M59" t="s">
        <v>15</v>
      </c>
      <c r="N59" t="s">
        <v>3049</v>
      </c>
      <c r="O59" t="s">
        <v>21</v>
      </c>
      <c r="P59" t="s">
        <v>2701</v>
      </c>
      <c r="Q59" t="s">
        <v>1337</v>
      </c>
      <c r="R59" t="s">
        <v>3050</v>
      </c>
      <c r="S59" t="s">
        <v>310</v>
      </c>
      <c r="T59" t="s">
        <v>3051</v>
      </c>
      <c r="U59" t="s">
        <v>40</v>
      </c>
      <c r="V59" t="s">
        <v>3052</v>
      </c>
      <c r="W59" t="s">
        <v>40</v>
      </c>
      <c r="X59" t="s">
        <v>3053</v>
      </c>
      <c r="Y59" t="s">
        <v>3054</v>
      </c>
      <c r="Z59" t="s">
        <v>3055</v>
      </c>
      <c r="AA59" t="s">
        <v>40</v>
      </c>
      <c r="AB59" t="s">
        <v>3056</v>
      </c>
      <c r="AC59" t="s">
        <v>316</v>
      </c>
      <c r="AD59" t="s">
        <v>2698</v>
      </c>
      <c r="AE59" t="s">
        <v>502</v>
      </c>
      <c r="AF59" t="s">
        <v>3057</v>
      </c>
      <c r="AG59" t="s">
        <v>40</v>
      </c>
      <c r="AH59" t="s">
        <v>909</v>
      </c>
      <c r="AI59" t="s">
        <v>621</v>
      </c>
      <c r="AJ59" t="s">
        <v>3058</v>
      </c>
      <c r="AK59" t="s">
        <v>3059</v>
      </c>
      <c r="AL59" t="s">
        <v>3060</v>
      </c>
      <c r="AM59" t="s">
        <v>3061</v>
      </c>
      <c r="AN59" t="s">
        <v>3062</v>
      </c>
      <c r="AO59" t="s">
        <v>3063</v>
      </c>
      <c r="AP59" t="s">
        <v>3064</v>
      </c>
      <c r="AQ59" t="s">
        <v>45</v>
      </c>
      <c r="AR59" t="s">
        <v>3065</v>
      </c>
      <c r="AS59" t="s">
        <v>242</v>
      </c>
      <c r="AT59" t="s">
        <v>2160</v>
      </c>
      <c r="AU59" t="s">
        <v>829</v>
      </c>
      <c r="AV59" t="s">
        <v>3066</v>
      </c>
      <c r="AW59" t="s">
        <v>247</v>
      </c>
      <c r="AX59" t="s">
        <v>3067</v>
      </c>
      <c r="AY59" t="s">
        <v>1081</v>
      </c>
      <c r="AZ59" t="s">
        <v>3068</v>
      </c>
      <c r="BA59" t="s">
        <v>242</v>
      </c>
      <c r="BB59" t="s">
        <v>3069</v>
      </c>
      <c r="BC59" t="s">
        <v>365</v>
      </c>
      <c r="BD59" t="s">
        <v>3070</v>
      </c>
      <c r="BE59" t="s">
        <v>538</v>
      </c>
      <c r="BF59" t="s">
        <v>3071</v>
      </c>
      <c r="BG59" t="s">
        <v>335</v>
      </c>
      <c r="BH59" t="s">
        <v>3072</v>
      </c>
      <c r="BI59" t="s">
        <v>287</v>
      </c>
      <c r="BJ59" t="s">
        <v>3073</v>
      </c>
      <c r="BK59" t="s">
        <v>421</v>
      </c>
      <c r="BL59" t="s">
        <v>3074</v>
      </c>
      <c r="BM59" t="s">
        <v>287</v>
      </c>
      <c r="BN59" t="s">
        <v>3075</v>
      </c>
      <c r="BO59" t="s">
        <v>900</v>
      </c>
      <c r="BP59" t="s">
        <v>3076</v>
      </c>
      <c r="BQ59" t="s">
        <v>356</v>
      </c>
      <c r="BR59" t="s">
        <v>3077</v>
      </c>
      <c r="BS59" t="s">
        <v>416</v>
      </c>
      <c r="BT59" t="s">
        <v>3078</v>
      </c>
      <c r="BU59" t="s">
        <v>397</v>
      </c>
      <c r="BV59" t="s">
        <v>3079</v>
      </c>
      <c r="BW59" t="s">
        <v>287</v>
      </c>
      <c r="BX59" t="s">
        <v>3080</v>
      </c>
      <c r="BY59" t="s">
        <v>595</v>
      </c>
      <c r="BZ59" t="s">
        <v>3081</v>
      </c>
      <c r="CA59" t="s">
        <v>339</v>
      </c>
      <c r="CB59" t="s">
        <v>3082</v>
      </c>
      <c r="CC59" t="s">
        <v>397</v>
      </c>
      <c r="CD59" t="s">
        <v>3083</v>
      </c>
      <c r="CE59" t="s">
        <v>421</v>
      </c>
      <c r="CF59" t="s">
        <v>3084</v>
      </c>
      <c r="CG59" t="s">
        <v>291</v>
      </c>
      <c r="CH59" t="s">
        <v>3085</v>
      </c>
      <c r="CI59" t="s">
        <v>900</v>
      </c>
      <c r="CJ59" t="s">
        <v>3086</v>
      </c>
      <c r="CK59" t="s">
        <v>538</v>
      </c>
      <c r="CL59" t="s">
        <v>3087</v>
      </c>
      <c r="CM59" t="s">
        <v>779</v>
      </c>
      <c r="CN59" t="s">
        <v>3088</v>
      </c>
      <c r="CO59" t="s">
        <v>335</v>
      </c>
      <c r="CP59" t="s">
        <v>3089</v>
      </c>
      <c r="CQ59" t="s">
        <v>752</v>
      </c>
      <c r="CR59" t="s">
        <v>3090</v>
      </c>
      <c r="CS59" t="s">
        <v>365</v>
      </c>
      <c r="CT59" t="s">
        <v>851</v>
      </c>
      <c r="CU59" t="s">
        <v>365</v>
      </c>
      <c r="CV59" t="s">
        <v>464</v>
      </c>
      <c r="CW59" t="s">
        <v>779</v>
      </c>
      <c r="CX59" t="s">
        <v>3091</v>
      </c>
      <c r="CY59" t="s">
        <v>289</v>
      </c>
      <c r="CZ59" t="s">
        <v>3092</v>
      </c>
      <c r="DA59" t="s">
        <v>414</v>
      </c>
      <c r="DB59" t="s">
        <v>3093</v>
      </c>
      <c r="DC59" t="s">
        <v>242</v>
      </c>
      <c r="DD59" t="s">
        <v>3094</v>
      </c>
      <c r="DF59" t="s">
        <v>1318</v>
      </c>
      <c r="DG59" t="s">
        <v>242</v>
      </c>
      <c r="DH59" t="s">
        <v>3095</v>
      </c>
    </row>
    <row r="60" spans="1:112" x14ac:dyDescent="0.35">
      <c r="A60" t="s">
        <v>227</v>
      </c>
      <c r="B60" t="s">
        <v>3096</v>
      </c>
      <c r="C60" t="s">
        <v>229</v>
      </c>
      <c r="D60" t="s">
        <v>3097</v>
      </c>
      <c r="E60" t="s">
        <v>231</v>
      </c>
      <c r="F60" t="s">
        <v>3098</v>
      </c>
      <c r="G60" t="s">
        <v>40</v>
      </c>
      <c r="H60" t="s">
        <v>3099</v>
      </c>
      <c r="I60" t="s">
        <v>234</v>
      </c>
      <c r="J60" t="s">
        <v>3100</v>
      </c>
      <c r="L60" t="s">
        <v>3101</v>
      </c>
      <c r="M60" t="s">
        <v>18</v>
      </c>
      <c r="N60" t="s">
        <v>3102</v>
      </c>
      <c r="O60" t="s">
        <v>21</v>
      </c>
      <c r="P60" t="s">
        <v>3103</v>
      </c>
      <c r="Q60" t="s">
        <v>40</v>
      </c>
      <c r="R60" t="s">
        <v>3104</v>
      </c>
      <c r="S60" t="s">
        <v>310</v>
      </c>
      <c r="T60" t="s">
        <v>3105</v>
      </c>
      <c r="U60" t="s">
        <v>40</v>
      </c>
      <c r="V60" t="s">
        <v>3106</v>
      </c>
      <c r="W60" t="s">
        <v>40</v>
      </c>
      <c r="X60" t="s">
        <v>3107</v>
      </c>
      <c r="Y60" t="s">
        <v>3108</v>
      </c>
      <c r="Z60" t="s">
        <v>3109</v>
      </c>
      <c r="AA60" t="s">
        <v>40</v>
      </c>
      <c r="AB60" t="s">
        <v>3110</v>
      </c>
      <c r="AC60" t="s">
        <v>316</v>
      </c>
      <c r="AD60" t="s">
        <v>3111</v>
      </c>
      <c r="AE60" t="s">
        <v>502</v>
      </c>
      <c r="AF60" t="s">
        <v>2418</v>
      </c>
      <c r="AG60" t="s">
        <v>40</v>
      </c>
      <c r="AH60" t="s">
        <v>3112</v>
      </c>
      <c r="AI60" t="s">
        <v>1941</v>
      </c>
      <c r="AJ60" t="s">
        <v>3113</v>
      </c>
      <c r="AK60" t="s">
        <v>3114</v>
      </c>
      <c r="AL60" t="s">
        <v>3115</v>
      </c>
      <c r="AM60" t="s">
        <v>1945</v>
      </c>
      <c r="AN60" t="s">
        <v>3116</v>
      </c>
      <c r="AO60" t="s">
        <v>3117</v>
      </c>
      <c r="AP60" t="s">
        <v>3118</v>
      </c>
      <c r="AQ60" t="s">
        <v>41</v>
      </c>
      <c r="AR60" t="s">
        <v>3119</v>
      </c>
      <c r="AS60" t="s">
        <v>242</v>
      </c>
      <c r="AT60" t="s">
        <v>3120</v>
      </c>
      <c r="AU60" t="s">
        <v>1951</v>
      </c>
      <c r="AV60" t="s">
        <v>3121</v>
      </c>
      <c r="AW60" t="s">
        <v>247</v>
      </c>
      <c r="AX60" t="s">
        <v>3122</v>
      </c>
      <c r="AY60" t="s">
        <v>1081</v>
      </c>
      <c r="AZ60" t="s">
        <v>3123</v>
      </c>
      <c r="BA60" t="s">
        <v>242</v>
      </c>
      <c r="BB60" t="s">
        <v>3124</v>
      </c>
      <c r="BC60" t="s">
        <v>752</v>
      </c>
      <c r="BD60" t="s">
        <v>3125</v>
      </c>
      <c r="BE60" t="s">
        <v>281</v>
      </c>
      <c r="BF60" t="s">
        <v>3126</v>
      </c>
      <c r="BG60" t="s">
        <v>595</v>
      </c>
      <c r="BH60" t="s">
        <v>3127</v>
      </c>
      <c r="BI60" t="s">
        <v>285</v>
      </c>
      <c r="BJ60" t="s">
        <v>3128</v>
      </c>
      <c r="BK60" t="s">
        <v>351</v>
      </c>
      <c r="BL60" t="s">
        <v>3129</v>
      </c>
      <c r="BM60" t="s">
        <v>467</v>
      </c>
      <c r="BN60" t="s">
        <v>457</v>
      </c>
      <c r="BO60" t="s">
        <v>696</v>
      </c>
      <c r="BP60" t="s">
        <v>3130</v>
      </c>
      <c r="BQ60" t="s">
        <v>414</v>
      </c>
      <c r="BR60" t="s">
        <v>3131</v>
      </c>
      <c r="BS60" t="s">
        <v>266</v>
      </c>
      <c r="BT60" t="s">
        <v>3132</v>
      </c>
      <c r="BU60" t="s">
        <v>595</v>
      </c>
      <c r="BV60" t="s">
        <v>3133</v>
      </c>
      <c r="BW60" t="s">
        <v>263</v>
      </c>
      <c r="BX60" t="s">
        <v>3134</v>
      </c>
      <c r="BY60" t="s">
        <v>591</v>
      </c>
      <c r="BZ60" t="s">
        <v>996</v>
      </c>
      <c r="CA60" t="s">
        <v>283</v>
      </c>
      <c r="CB60" t="s">
        <v>3135</v>
      </c>
      <c r="CC60" t="s">
        <v>752</v>
      </c>
      <c r="CD60" t="s">
        <v>3136</v>
      </c>
      <c r="CE60" t="s">
        <v>993</v>
      </c>
      <c r="CF60" t="s">
        <v>3137</v>
      </c>
      <c r="CG60" t="s">
        <v>585</v>
      </c>
      <c r="CH60" t="s">
        <v>3138</v>
      </c>
      <c r="CI60" t="s">
        <v>589</v>
      </c>
      <c r="CJ60" t="s">
        <v>3139</v>
      </c>
      <c r="CK60" t="s">
        <v>752</v>
      </c>
      <c r="CL60" t="s">
        <v>3140</v>
      </c>
      <c r="CM60" t="s">
        <v>342</v>
      </c>
      <c r="CN60" t="s">
        <v>3141</v>
      </c>
      <c r="CO60" t="s">
        <v>335</v>
      </c>
      <c r="CP60" t="s">
        <v>3142</v>
      </c>
      <c r="CQ60" t="s">
        <v>752</v>
      </c>
      <c r="CR60" t="s">
        <v>3143</v>
      </c>
      <c r="CS60" t="s">
        <v>371</v>
      </c>
      <c r="CT60" t="s">
        <v>3144</v>
      </c>
      <c r="CU60" t="s">
        <v>519</v>
      </c>
      <c r="CV60" t="s">
        <v>3145</v>
      </c>
      <c r="CW60" t="s">
        <v>532</v>
      </c>
      <c r="CX60" t="s">
        <v>3146</v>
      </c>
      <c r="CY60" t="s">
        <v>405</v>
      </c>
      <c r="CZ60" t="s">
        <v>3147</v>
      </c>
      <c r="DA60" t="s">
        <v>451</v>
      </c>
      <c r="DB60" t="s">
        <v>3148</v>
      </c>
      <c r="DC60" t="s">
        <v>242</v>
      </c>
      <c r="DD60" t="s">
        <v>3149</v>
      </c>
      <c r="DF60" t="s">
        <v>3150</v>
      </c>
      <c r="DG60" t="s">
        <v>242</v>
      </c>
      <c r="DH60" t="s">
        <v>3151</v>
      </c>
    </row>
    <row r="61" spans="1:112" x14ac:dyDescent="0.35">
      <c r="A61" t="s">
        <v>227</v>
      </c>
      <c r="B61" t="s">
        <v>3152</v>
      </c>
      <c r="C61" t="s">
        <v>229</v>
      </c>
      <c r="D61" t="s">
        <v>881</v>
      </c>
      <c r="E61" t="s">
        <v>231</v>
      </c>
      <c r="F61" t="s">
        <v>1269</v>
      </c>
      <c r="G61" t="s">
        <v>40</v>
      </c>
      <c r="H61" t="s">
        <v>526</v>
      </c>
      <c r="I61" t="s">
        <v>1800</v>
      </c>
      <c r="J61" t="s">
        <v>3153</v>
      </c>
      <c r="L61" t="s">
        <v>243</v>
      </c>
      <c r="M61" t="s">
        <v>242</v>
      </c>
      <c r="N61" t="s">
        <v>243</v>
      </c>
      <c r="O61" t="s">
        <v>242</v>
      </c>
      <c r="P61" t="s">
        <v>243</v>
      </c>
      <c r="Q61" t="s">
        <v>242</v>
      </c>
      <c r="R61" t="s">
        <v>243</v>
      </c>
      <c r="S61" t="s">
        <v>242</v>
      </c>
      <c r="T61" t="s">
        <v>243</v>
      </c>
      <c r="U61" t="s">
        <v>242</v>
      </c>
      <c r="V61" t="s">
        <v>243</v>
      </c>
      <c r="W61" t="s">
        <v>242</v>
      </c>
      <c r="X61" t="s">
        <v>243</v>
      </c>
      <c r="Y61" t="s">
        <v>242</v>
      </c>
      <c r="Z61" t="s">
        <v>243</v>
      </c>
      <c r="AA61" t="s">
        <v>242</v>
      </c>
      <c r="AB61" t="s">
        <v>243</v>
      </c>
      <c r="AC61" t="s">
        <v>242</v>
      </c>
      <c r="AD61" t="s">
        <v>243</v>
      </c>
      <c r="AE61" t="s">
        <v>242</v>
      </c>
      <c r="AF61" t="s">
        <v>243</v>
      </c>
      <c r="AG61" t="s">
        <v>242</v>
      </c>
      <c r="AH61" t="s">
        <v>243</v>
      </c>
      <c r="AI61" t="s">
        <v>242</v>
      </c>
      <c r="AJ61" t="s">
        <v>243</v>
      </c>
      <c r="AK61" t="s">
        <v>242</v>
      </c>
      <c r="AL61" t="s">
        <v>243</v>
      </c>
      <c r="AM61" t="s">
        <v>242</v>
      </c>
      <c r="AN61" t="s">
        <v>243</v>
      </c>
      <c r="AO61" t="s">
        <v>242</v>
      </c>
      <c r="AP61" t="s">
        <v>243</v>
      </c>
      <c r="AQ61" t="s">
        <v>242</v>
      </c>
      <c r="AR61" t="s">
        <v>243</v>
      </c>
      <c r="AS61" t="s">
        <v>242</v>
      </c>
      <c r="AT61" t="s">
        <v>243</v>
      </c>
      <c r="AU61" t="s">
        <v>242</v>
      </c>
      <c r="AV61" t="s">
        <v>243</v>
      </c>
      <c r="AW61" t="s">
        <v>242</v>
      </c>
      <c r="AX61" t="s">
        <v>243</v>
      </c>
      <c r="AY61" t="s">
        <v>242</v>
      </c>
      <c r="AZ61" t="s">
        <v>243</v>
      </c>
      <c r="BA61" t="s">
        <v>242</v>
      </c>
      <c r="BB61" t="s">
        <v>243</v>
      </c>
      <c r="BC61" t="s">
        <v>519</v>
      </c>
      <c r="BD61" t="s">
        <v>243</v>
      </c>
      <c r="BE61" t="s">
        <v>243</v>
      </c>
      <c r="BF61" t="s">
        <v>243</v>
      </c>
      <c r="BG61" t="s">
        <v>519</v>
      </c>
      <c r="BH61" t="s">
        <v>243</v>
      </c>
      <c r="BI61" t="s">
        <v>243</v>
      </c>
      <c r="BJ61" t="s">
        <v>243</v>
      </c>
      <c r="BK61" t="s">
        <v>519</v>
      </c>
      <c r="BL61" t="s">
        <v>243</v>
      </c>
      <c r="BM61" t="s">
        <v>243</v>
      </c>
      <c r="BN61" t="s">
        <v>243</v>
      </c>
      <c r="BO61" t="s">
        <v>519</v>
      </c>
      <c r="BP61" t="s">
        <v>243</v>
      </c>
      <c r="BQ61" t="s">
        <v>243</v>
      </c>
      <c r="BR61" t="s">
        <v>243</v>
      </c>
      <c r="BS61" t="s">
        <v>519</v>
      </c>
      <c r="BT61" t="s">
        <v>243</v>
      </c>
      <c r="BU61" t="s">
        <v>243</v>
      </c>
      <c r="BV61" t="s">
        <v>243</v>
      </c>
      <c r="BW61" t="s">
        <v>519</v>
      </c>
      <c r="BX61" t="s">
        <v>243</v>
      </c>
      <c r="BY61" t="s">
        <v>243</v>
      </c>
      <c r="BZ61" t="s">
        <v>243</v>
      </c>
      <c r="CA61" t="s">
        <v>519</v>
      </c>
      <c r="CB61" t="s">
        <v>243</v>
      </c>
      <c r="CC61" t="s">
        <v>243</v>
      </c>
      <c r="CD61" t="s">
        <v>243</v>
      </c>
      <c r="CE61" t="s">
        <v>519</v>
      </c>
      <c r="CF61" t="s">
        <v>243</v>
      </c>
      <c r="CG61" t="s">
        <v>243</v>
      </c>
      <c r="CH61" t="s">
        <v>243</v>
      </c>
      <c r="CI61" t="s">
        <v>519</v>
      </c>
      <c r="CJ61" t="s">
        <v>243</v>
      </c>
      <c r="CK61" t="s">
        <v>243</v>
      </c>
      <c r="CL61" t="s">
        <v>243</v>
      </c>
      <c r="CM61" t="s">
        <v>519</v>
      </c>
      <c r="CN61" t="s">
        <v>243</v>
      </c>
      <c r="CO61" t="s">
        <v>243</v>
      </c>
      <c r="CP61" t="s">
        <v>243</v>
      </c>
      <c r="CQ61" t="s">
        <v>519</v>
      </c>
      <c r="CR61" t="s">
        <v>243</v>
      </c>
      <c r="CS61" t="s">
        <v>243</v>
      </c>
      <c r="CT61" t="s">
        <v>243</v>
      </c>
      <c r="CU61" t="s">
        <v>519</v>
      </c>
      <c r="CV61" t="s">
        <v>243</v>
      </c>
      <c r="CW61" t="s">
        <v>243</v>
      </c>
      <c r="CX61" t="s">
        <v>243</v>
      </c>
      <c r="CY61" t="s">
        <v>519</v>
      </c>
      <c r="CZ61" t="s">
        <v>243</v>
      </c>
      <c r="DA61" t="s">
        <v>243</v>
      </c>
      <c r="DB61" t="s">
        <v>243</v>
      </c>
      <c r="DC61" t="s">
        <v>242</v>
      </c>
      <c r="DD61" t="s">
        <v>243</v>
      </c>
      <c r="DF61" t="s">
        <v>243</v>
      </c>
      <c r="DG61" t="s">
        <v>242</v>
      </c>
      <c r="DH61" t="s">
        <v>244</v>
      </c>
    </row>
    <row r="62" spans="1:112" x14ac:dyDescent="0.35">
      <c r="A62" t="s">
        <v>227</v>
      </c>
      <c r="B62" t="s">
        <v>3154</v>
      </c>
      <c r="C62" t="s">
        <v>229</v>
      </c>
      <c r="D62" t="s">
        <v>3155</v>
      </c>
      <c r="E62" t="s">
        <v>231</v>
      </c>
      <c r="F62" t="s">
        <v>3156</v>
      </c>
      <c r="G62" t="s">
        <v>40</v>
      </c>
      <c r="H62" t="s">
        <v>3157</v>
      </c>
      <c r="I62" t="s">
        <v>234</v>
      </c>
      <c r="J62" t="s">
        <v>3158</v>
      </c>
      <c r="L62" t="s">
        <v>3159</v>
      </c>
      <c r="M62" t="s">
        <v>18</v>
      </c>
      <c r="N62" t="s">
        <v>3160</v>
      </c>
      <c r="O62" t="s">
        <v>21</v>
      </c>
      <c r="P62" t="s">
        <v>3161</v>
      </c>
      <c r="Q62" t="s">
        <v>40</v>
      </c>
      <c r="R62" t="s">
        <v>3162</v>
      </c>
      <c r="S62" t="s">
        <v>310</v>
      </c>
      <c r="T62" t="s">
        <v>3163</v>
      </c>
      <c r="U62" t="s">
        <v>40</v>
      </c>
      <c r="V62" t="s">
        <v>3164</v>
      </c>
      <c r="W62" t="s">
        <v>40</v>
      </c>
      <c r="X62" t="s">
        <v>3165</v>
      </c>
      <c r="Y62" t="s">
        <v>82</v>
      </c>
      <c r="Z62" t="s">
        <v>3166</v>
      </c>
      <c r="AA62" t="s">
        <v>40</v>
      </c>
      <c r="AB62" t="s">
        <v>3167</v>
      </c>
      <c r="AC62" t="s">
        <v>316</v>
      </c>
      <c r="AD62" t="s">
        <v>3168</v>
      </c>
      <c r="AE62" t="s">
        <v>502</v>
      </c>
      <c r="AF62" t="s">
        <v>537</v>
      </c>
      <c r="AG62" t="s">
        <v>40</v>
      </c>
      <c r="AH62" t="s">
        <v>3169</v>
      </c>
      <c r="AI62" t="s">
        <v>621</v>
      </c>
      <c r="AJ62" t="s">
        <v>3170</v>
      </c>
      <c r="AK62" t="s">
        <v>3171</v>
      </c>
      <c r="AL62" t="s">
        <v>3172</v>
      </c>
      <c r="AM62" t="s">
        <v>3173</v>
      </c>
      <c r="AN62" t="s">
        <v>3174</v>
      </c>
      <c r="AO62" t="s">
        <v>3175</v>
      </c>
      <c r="AP62" t="s">
        <v>3176</v>
      </c>
      <c r="AQ62" t="s">
        <v>41</v>
      </c>
      <c r="AR62" t="s">
        <v>3177</v>
      </c>
      <c r="AS62" t="s">
        <v>242</v>
      </c>
      <c r="AT62" t="s">
        <v>2339</v>
      </c>
      <c r="AU62" t="s">
        <v>3178</v>
      </c>
      <c r="AV62" t="s">
        <v>3179</v>
      </c>
      <c r="AW62" t="s">
        <v>247</v>
      </c>
      <c r="AX62" t="s">
        <v>3180</v>
      </c>
      <c r="AY62" t="s">
        <v>249</v>
      </c>
      <c r="AZ62" t="s">
        <v>3181</v>
      </c>
      <c r="BA62" t="s">
        <v>242</v>
      </c>
      <c r="BB62" t="s">
        <v>3182</v>
      </c>
      <c r="BC62" t="s">
        <v>399</v>
      </c>
      <c r="BD62" t="s">
        <v>3183</v>
      </c>
      <c r="BE62" t="s">
        <v>1128</v>
      </c>
      <c r="BF62" t="s">
        <v>3184</v>
      </c>
      <c r="BG62" t="s">
        <v>538</v>
      </c>
      <c r="BH62" t="s">
        <v>3185</v>
      </c>
      <c r="BI62" t="s">
        <v>454</v>
      </c>
      <c r="BJ62" t="s">
        <v>3186</v>
      </c>
      <c r="BK62" t="s">
        <v>335</v>
      </c>
      <c r="BL62" t="s">
        <v>3187</v>
      </c>
      <c r="BM62" t="s">
        <v>285</v>
      </c>
      <c r="BN62" t="s">
        <v>3188</v>
      </c>
      <c r="BO62" t="s">
        <v>779</v>
      </c>
      <c r="BP62" t="s">
        <v>3189</v>
      </c>
      <c r="BQ62" t="s">
        <v>285</v>
      </c>
      <c r="BR62" t="s">
        <v>3190</v>
      </c>
      <c r="BS62" t="s">
        <v>779</v>
      </c>
      <c r="BT62" t="s">
        <v>3191</v>
      </c>
      <c r="BU62" t="s">
        <v>542</v>
      </c>
      <c r="BV62" t="s">
        <v>3192</v>
      </c>
      <c r="BW62" t="s">
        <v>421</v>
      </c>
      <c r="BX62" t="s">
        <v>3193</v>
      </c>
      <c r="BY62" t="s">
        <v>427</v>
      </c>
      <c r="BZ62" t="s">
        <v>3194</v>
      </c>
      <c r="CA62" t="s">
        <v>595</v>
      </c>
      <c r="CB62" t="s">
        <v>3195</v>
      </c>
      <c r="CC62" t="s">
        <v>393</v>
      </c>
      <c r="CD62" t="s">
        <v>3196</v>
      </c>
      <c r="CE62" t="s">
        <v>752</v>
      </c>
      <c r="CF62" t="s">
        <v>3197</v>
      </c>
      <c r="CG62" t="s">
        <v>532</v>
      </c>
      <c r="CH62" t="s">
        <v>3198</v>
      </c>
      <c r="CI62" t="s">
        <v>421</v>
      </c>
      <c r="CJ62" t="s">
        <v>3199</v>
      </c>
      <c r="CK62" t="s">
        <v>285</v>
      </c>
      <c r="CL62" t="s">
        <v>3200</v>
      </c>
      <c r="CM62" t="s">
        <v>779</v>
      </c>
      <c r="CN62" t="s">
        <v>1485</v>
      </c>
      <c r="CO62" t="s">
        <v>285</v>
      </c>
      <c r="CP62" t="s">
        <v>3201</v>
      </c>
      <c r="CQ62" t="s">
        <v>538</v>
      </c>
      <c r="CR62" t="s">
        <v>3202</v>
      </c>
      <c r="CS62" t="s">
        <v>261</v>
      </c>
      <c r="CT62" t="s">
        <v>2639</v>
      </c>
      <c r="CU62" t="s">
        <v>575</v>
      </c>
      <c r="CV62" t="s">
        <v>3203</v>
      </c>
      <c r="CW62" t="s">
        <v>293</v>
      </c>
      <c r="CX62" t="s">
        <v>3204</v>
      </c>
      <c r="CY62" t="s">
        <v>285</v>
      </c>
      <c r="CZ62" t="s">
        <v>2161</v>
      </c>
      <c r="DA62" t="s">
        <v>274</v>
      </c>
      <c r="DB62" t="s">
        <v>3205</v>
      </c>
      <c r="DC62" t="s">
        <v>242</v>
      </c>
      <c r="DD62" t="s">
        <v>3206</v>
      </c>
      <c r="DF62" t="s">
        <v>3207</v>
      </c>
      <c r="DG62" t="s">
        <v>242</v>
      </c>
      <c r="DH62" t="s">
        <v>3208</v>
      </c>
    </row>
    <row r="63" spans="1:112" x14ac:dyDescent="0.35">
      <c r="A63" t="s">
        <v>227</v>
      </c>
      <c r="B63" t="s">
        <v>3209</v>
      </c>
      <c r="C63" t="s">
        <v>229</v>
      </c>
      <c r="D63" t="s">
        <v>2307</v>
      </c>
      <c r="E63" t="s">
        <v>231</v>
      </c>
      <c r="F63" t="s">
        <v>3210</v>
      </c>
      <c r="G63" t="s">
        <v>40</v>
      </c>
      <c r="H63" t="s">
        <v>3211</v>
      </c>
      <c r="I63" t="s">
        <v>234</v>
      </c>
      <c r="J63" t="s">
        <v>3212</v>
      </c>
      <c r="L63" t="s">
        <v>3213</v>
      </c>
      <c r="M63" t="s">
        <v>18</v>
      </c>
      <c r="N63" t="s">
        <v>3214</v>
      </c>
      <c r="O63" t="s">
        <v>19</v>
      </c>
      <c r="P63" t="s">
        <v>3215</v>
      </c>
      <c r="Q63" t="s">
        <v>40</v>
      </c>
      <c r="R63" t="s">
        <v>3216</v>
      </c>
      <c r="S63" t="s">
        <v>310</v>
      </c>
      <c r="T63" t="s">
        <v>3217</v>
      </c>
      <c r="U63" t="s">
        <v>40</v>
      </c>
      <c r="V63" t="s">
        <v>3218</v>
      </c>
      <c r="W63" t="s">
        <v>44</v>
      </c>
      <c r="X63" t="s">
        <v>3219</v>
      </c>
      <c r="Y63" t="s">
        <v>242</v>
      </c>
      <c r="Z63" t="s">
        <v>243</v>
      </c>
      <c r="AA63" t="s">
        <v>40</v>
      </c>
      <c r="AB63" t="s">
        <v>244</v>
      </c>
      <c r="AC63" t="s">
        <v>316</v>
      </c>
      <c r="AD63" t="s">
        <v>3220</v>
      </c>
      <c r="AE63" t="s">
        <v>502</v>
      </c>
      <c r="AF63" t="s">
        <v>3221</v>
      </c>
      <c r="AG63" t="s">
        <v>40</v>
      </c>
      <c r="AH63" t="s">
        <v>3222</v>
      </c>
      <c r="AI63" t="s">
        <v>621</v>
      </c>
      <c r="AJ63" t="s">
        <v>3223</v>
      </c>
      <c r="AK63" t="s">
        <v>3224</v>
      </c>
      <c r="AL63" t="s">
        <v>3225</v>
      </c>
      <c r="AM63" t="s">
        <v>2884</v>
      </c>
      <c r="AN63" t="s">
        <v>3226</v>
      </c>
      <c r="AO63" t="s">
        <v>3227</v>
      </c>
      <c r="AP63" t="s">
        <v>3228</v>
      </c>
      <c r="AQ63" t="s">
        <v>45</v>
      </c>
      <c r="AR63" t="s">
        <v>1973</v>
      </c>
      <c r="AS63" t="s">
        <v>242</v>
      </c>
      <c r="AT63" t="s">
        <v>3229</v>
      </c>
      <c r="AU63" t="s">
        <v>1611</v>
      </c>
      <c r="AV63" t="s">
        <v>3230</v>
      </c>
      <c r="AW63" t="s">
        <v>247</v>
      </c>
      <c r="AX63" t="s">
        <v>3231</v>
      </c>
      <c r="AY63" t="s">
        <v>249</v>
      </c>
      <c r="AZ63" t="s">
        <v>3232</v>
      </c>
      <c r="BA63" t="s">
        <v>242</v>
      </c>
      <c r="BB63" t="s">
        <v>3233</v>
      </c>
      <c r="BC63" t="s">
        <v>408</v>
      </c>
      <c r="BD63" t="s">
        <v>3234</v>
      </c>
      <c r="BE63" t="s">
        <v>698</v>
      </c>
      <c r="BF63" t="s">
        <v>3235</v>
      </c>
      <c r="BG63" t="s">
        <v>538</v>
      </c>
      <c r="BH63" t="s">
        <v>3236</v>
      </c>
      <c r="BI63" t="s">
        <v>424</v>
      </c>
      <c r="BJ63" t="s">
        <v>3237</v>
      </c>
      <c r="BK63" t="s">
        <v>421</v>
      </c>
      <c r="BL63" t="s">
        <v>3238</v>
      </c>
      <c r="BM63" t="s">
        <v>356</v>
      </c>
      <c r="BN63" t="s">
        <v>3239</v>
      </c>
      <c r="BO63" t="s">
        <v>416</v>
      </c>
      <c r="BP63" t="s">
        <v>1259</v>
      </c>
      <c r="BQ63" t="s">
        <v>595</v>
      </c>
      <c r="BR63" t="s">
        <v>3240</v>
      </c>
      <c r="BS63" t="s">
        <v>401</v>
      </c>
      <c r="BT63" t="s">
        <v>3241</v>
      </c>
      <c r="BU63" t="s">
        <v>421</v>
      </c>
      <c r="BV63" t="s">
        <v>3242</v>
      </c>
      <c r="BW63" t="s">
        <v>356</v>
      </c>
      <c r="BX63" t="s">
        <v>3243</v>
      </c>
      <c r="BY63" t="s">
        <v>744</v>
      </c>
      <c r="BZ63" t="s">
        <v>3244</v>
      </c>
      <c r="CA63" t="s">
        <v>360</v>
      </c>
      <c r="CB63" t="s">
        <v>3245</v>
      </c>
      <c r="CC63" t="s">
        <v>519</v>
      </c>
      <c r="CD63" t="s">
        <v>3246</v>
      </c>
      <c r="CE63" t="s">
        <v>335</v>
      </c>
      <c r="CF63" t="s">
        <v>3247</v>
      </c>
      <c r="CG63" t="s">
        <v>401</v>
      </c>
      <c r="CH63" t="s">
        <v>3248</v>
      </c>
      <c r="CI63" t="s">
        <v>900</v>
      </c>
      <c r="CJ63" t="s">
        <v>3249</v>
      </c>
      <c r="CK63" t="s">
        <v>752</v>
      </c>
      <c r="CL63" t="s">
        <v>3250</v>
      </c>
      <c r="CM63" t="s">
        <v>356</v>
      </c>
      <c r="CN63" t="s">
        <v>3251</v>
      </c>
      <c r="CO63" t="s">
        <v>356</v>
      </c>
      <c r="CP63" t="s">
        <v>3252</v>
      </c>
      <c r="CQ63" t="s">
        <v>365</v>
      </c>
      <c r="CR63" t="s">
        <v>3253</v>
      </c>
      <c r="CS63" t="s">
        <v>744</v>
      </c>
      <c r="CT63" t="s">
        <v>3254</v>
      </c>
      <c r="CU63" t="s">
        <v>371</v>
      </c>
      <c r="CV63" t="s">
        <v>1003</v>
      </c>
      <c r="CW63" t="s">
        <v>575</v>
      </c>
      <c r="CX63" t="s">
        <v>3255</v>
      </c>
      <c r="CY63" t="s">
        <v>481</v>
      </c>
      <c r="CZ63" t="s">
        <v>3256</v>
      </c>
      <c r="DA63" t="s">
        <v>281</v>
      </c>
      <c r="DB63" t="s">
        <v>3257</v>
      </c>
      <c r="DC63" t="s">
        <v>242</v>
      </c>
      <c r="DD63" t="s">
        <v>3258</v>
      </c>
      <c r="DF63" t="s">
        <v>1687</v>
      </c>
      <c r="DG63" t="s">
        <v>242</v>
      </c>
      <c r="DH63" t="s">
        <v>3259</v>
      </c>
    </row>
    <row r="64" spans="1:112" x14ac:dyDescent="0.35">
      <c r="A64" t="s">
        <v>227</v>
      </c>
      <c r="B64" t="s">
        <v>3260</v>
      </c>
      <c r="C64" t="s">
        <v>229</v>
      </c>
      <c r="D64" t="s">
        <v>3261</v>
      </c>
      <c r="E64" t="s">
        <v>231</v>
      </c>
      <c r="F64" t="s">
        <v>3262</v>
      </c>
      <c r="G64" t="s">
        <v>40</v>
      </c>
      <c r="H64" t="s">
        <v>3263</v>
      </c>
      <c r="I64" t="s">
        <v>234</v>
      </c>
      <c r="J64" t="s">
        <v>3264</v>
      </c>
      <c r="L64" t="s">
        <v>3265</v>
      </c>
      <c r="M64" t="s">
        <v>15</v>
      </c>
      <c r="N64" t="s">
        <v>3266</v>
      </c>
      <c r="O64" t="s">
        <v>21</v>
      </c>
      <c r="P64" t="s">
        <v>3267</v>
      </c>
      <c r="Q64" t="s">
        <v>40</v>
      </c>
      <c r="R64" t="s">
        <v>3268</v>
      </c>
      <c r="S64" t="s">
        <v>310</v>
      </c>
      <c r="T64" t="s">
        <v>3269</v>
      </c>
      <c r="U64" t="s">
        <v>40</v>
      </c>
      <c r="V64" t="s">
        <v>1732</v>
      </c>
      <c r="W64" t="s">
        <v>40</v>
      </c>
      <c r="X64" t="s">
        <v>3270</v>
      </c>
      <c r="Y64" t="s">
        <v>3271</v>
      </c>
      <c r="Z64" t="s">
        <v>3272</v>
      </c>
      <c r="AA64" t="s">
        <v>40</v>
      </c>
      <c r="AB64" t="s">
        <v>3273</v>
      </c>
      <c r="AC64" t="s">
        <v>316</v>
      </c>
      <c r="AD64" t="s">
        <v>3274</v>
      </c>
      <c r="AE64" t="s">
        <v>502</v>
      </c>
      <c r="AF64" t="s">
        <v>3275</v>
      </c>
      <c r="AG64" t="s">
        <v>40</v>
      </c>
      <c r="AH64" t="s">
        <v>3276</v>
      </c>
      <c r="AI64" t="s">
        <v>3277</v>
      </c>
      <c r="AJ64" t="s">
        <v>3278</v>
      </c>
      <c r="AK64" t="s">
        <v>3279</v>
      </c>
      <c r="AL64" t="s">
        <v>3280</v>
      </c>
      <c r="AM64" t="s">
        <v>1607</v>
      </c>
      <c r="AN64" t="s">
        <v>3281</v>
      </c>
      <c r="AO64" t="s">
        <v>3227</v>
      </c>
      <c r="AP64" t="s">
        <v>3282</v>
      </c>
      <c r="AQ64" t="s">
        <v>45</v>
      </c>
      <c r="AR64" t="s">
        <v>3283</v>
      </c>
      <c r="AS64" t="s">
        <v>242</v>
      </c>
      <c r="AT64" t="s">
        <v>3284</v>
      </c>
      <c r="AU64" t="s">
        <v>3285</v>
      </c>
      <c r="AV64" t="s">
        <v>3286</v>
      </c>
      <c r="AW64" t="s">
        <v>247</v>
      </c>
      <c r="AX64" t="s">
        <v>3287</v>
      </c>
      <c r="AY64" t="s">
        <v>249</v>
      </c>
      <c r="AZ64" t="s">
        <v>3288</v>
      </c>
      <c r="BA64" t="s">
        <v>242</v>
      </c>
      <c r="BB64" t="s">
        <v>3289</v>
      </c>
      <c r="BC64" t="s">
        <v>405</v>
      </c>
      <c r="BD64" t="s">
        <v>3290</v>
      </c>
      <c r="BE64" t="s">
        <v>476</v>
      </c>
      <c r="BF64" t="s">
        <v>3291</v>
      </c>
      <c r="BG64" t="s">
        <v>429</v>
      </c>
      <c r="BH64" t="s">
        <v>3292</v>
      </c>
      <c r="BI64" t="s">
        <v>405</v>
      </c>
      <c r="BJ64" t="s">
        <v>3293</v>
      </c>
      <c r="BK64" t="s">
        <v>291</v>
      </c>
      <c r="BL64" t="s">
        <v>3294</v>
      </c>
      <c r="BM64" t="s">
        <v>429</v>
      </c>
      <c r="BN64" t="s">
        <v>3295</v>
      </c>
      <c r="BO64" t="s">
        <v>542</v>
      </c>
      <c r="BP64" t="s">
        <v>3296</v>
      </c>
      <c r="BQ64" t="s">
        <v>481</v>
      </c>
      <c r="BR64" t="s">
        <v>3297</v>
      </c>
      <c r="BS64" t="s">
        <v>408</v>
      </c>
      <c r="BT64" t="s">
        <v>3298</v>
      </c>
      <c r="BU64" t="s">
        <v>532</v>
      </c>
      <c r="BV64" t="s">
        <v>3299</v>
      </c>
      <c r="BW64" t="s">
        <v>542</v>
      </c>
      <c r="BX64" t="s">
        <v>3300</v>
      </c>
      <c r="BY64" t="s">
        <v>481</v>
      </c>
      <c r="BZ64" t="s">
        <v>3301</v>
      </c>
      <c r="CA64" t="s">
        <v>744</v>
      </c>
      <c r="CB64" t="s">
        <v>3302</v>
      </c>
      <c r="CC64" t="s">
        <v>371</v>
      </c>
      <c r="CD64" t="s">
        <v>3303</v>
      </c>
      <c r="CE64" t="s">
        <v>365</v>
      </c>
      <c r="CF64" t="s">
        <v>3304</v>
      </c>
      <c r="CG64" t="s">
        <v>393</v>
      </c>
      <c r="CH64" t="s">
        <v>3305</v>
      </c>
      <c r="CI64" t="s">
        <v>393</v>
      </c>
      <c r="CJ64" t="s">
        <v>3306</v>
      </c>
      <c r="CK64" t="s">
        <v>427</v>
      </c>
      <c r="CL64" t="s">
        <v>3307</v>
      </c>
      <c r="CM64" t="s">
        <v>289</v>
      </c>
      <c r="CN64" t="s">
        <v>3308</v>
      </c>
      <c r="CO64" t="s">
        <v>257</v>
      </c>
      <c r="CP64" t="s">
        <v>3309</v>
      </c>
      <c r="CQ64" t="s">
        <v>295</v>
      </c>
      <c r="CR64" t="s">
        <v>3310</v>
      </c>
      <c r="CS64" t="s">
        <v>295</v>
      </c>
      <c r="CT64" t="s">
        <v>3311</v>
      </c>
      <c r="CU64" t="s">
        <v>295</v>
      </c>
      <c r="CV64" t="s">
        <v>3312</v>
      </c>
      <c r="CW64" t="s">
        <v>295</v>
      </c>
      <c r="CX64" t="s">
        <v>3313</v>
      </c>
      <c r="CY64" t="s">
        <v>295</v>
      </c>
      <c r="CZ64" t="s">
        <v>3314</v>
      </c>
      <c r="DA64" t="s">
        <v>1380</v>
      </c>
      <c r="DB64" t="s">
        <v>3315</v>
      </c>
      <c r="DC64" t="s">
        <v>242</v>
      </c>
      <c r="DD64" t="s">
        <v>3316</v>
      </c>
      <c r="DF64" t="s">
        <v>3317</v>
      </c>
      <c r="DG64" t="s">
        <v>242</v>
      </c>
      <c r="DH64" t="s">
        <v>3318</v>
      </c>
    </row>
    <row r="65" spans="1:112" x14ac:dyDescent="0.35">
      <c r="A65" t="s">
        <v>227</v>
      </c>
      <c r="B65" t="s">
        <v>3319</v>
      </c>
      <c r="C65" t="s">
        <v>229</v>
      </c>
      <c r="D65" t="s">
        <v>3320</v>
      </c>
      <c r="E65" t="s">
        <v>231</v>
      </c>
      <c r="F65" t="s">
        <v>3321</v>
      </c>
      <c r="G65" t="s">
        <v>40</v>
      </c>
      <c r="H65" t="s">
        <v>3322</v>
      </c>
      <c r="I65" t="s">
        <v>234</v>
      </c>
      <c r="J65" t="s">
        <v>3323</v>
      </c>
      <c r="L65" t="s">
        <v>3324</v>
      </c>
      <c r="M65" t="s">
        <v>15</v>
      </c>
      <c r="N65" t="s">
        <v>3325</v>
      </c>
      <c r="O65" t="s">
        <v>21</v>
      </c>
      <c r="P65" t="s">
        <v>3326</v>
      </c>
      <c r="Q65" t="s">
        <v>40</v>
      </c>
      <c r="R65" t="s">
        <v>1476</v>
      </c>
      <c r="S65" t="s">
        <v>310</v>
      </c>
      <c r="T65" t="s">
        <v>3327</v>
      </c>
      <c r="U65" t="s">
        <v>40</v>
      </c>
      <c r="V65" t="s">
        <v>2557</v>
      </c>
      <c r="W65" t="s">
        <v>44</v>
      </c>
      <c r="X65" t="s">
        <v>3328</v>
      </c>
      <c r="Y65" t="s">
        <v>242</v>
      </c>
      <c r="Z65" t="s">
        <v>243</v>
      </c>
      <c r="AA65" t="s">
        <v>40</v>
      </c>
      <c r="AB65" t="s">
        <v>244</v>
      </c>
      <c r="AC65" t="s">
        <v>316</v>
      </c>
      <c r="AD65" t="s">
        <v>3329</v>
      </c>
      <c r="AE65" t="s">
        <v>318</v>
      </c>
      <c r="AF65" t="s">
        <v>3330</v>
      </c>
      <c r="AG65" t="s">
        <v>40</v>
      </c>
      <c r="AH65" t="s">
        <v>3331</v>
      </c>
      <c r="AI65" t="s">
        <v>1941</v>
      </c>
      <c r="AJ65" t="s">
        <v>3332</v>
      </c>
      <c r="AK65" t="s">
        <v>3333</v>
      </c>
      <c r="AL65" t="s">
        <v>3334</v>
      </c>
      <c r="AM65" t="s">
        <v>3335</v>
      </c>
      <c r="AN65" t="s">
        <v>3336</v>
      </c>
      <c r="AO65" t="s">
        <v>3337</v>
      </c>
      <c r="AP65" t="s">
        <v>3338</v>
      </c>
      <c r="AQ65" t="s">
        <v>45</v>
      </c>
      <c r="AR65" t="s">
        <v>3339</v>
      </c>
      <c r="AS65" t="s">
        <v>242</v>
      </c>
      <c r="AT65" t="s">
        <v>3340</v>
      </c>
      <c r="AU65" t="s">
        <v>3341</v>
      </c>
      <c r="AV65" t="s">
        <v>3342</v>
      </c>
      <c r="AW65" t="s">
        <v>247</v>
      </c>
      <c r="AX65" t="s">
        <v>3343</v>
      </c>
      <c r="AY65" t="s">
        <v>1172</v>
      </c>
      <c r="AZ65" t="s">
        <v>3344</v>
      </c>
      <c r="BA65" t="s">
        <v>242</v>
      </c>
      <c r="BB65" t="s">
        <v>3345</v>
      </c>
      <c r="BC65" t="s">
        <v>1091</v>
      </c>
      <c r="BD65" t="s">
        <v>3346</v>
      </c>
      <c r="BE65" t="s">
        <v>295</v>
      </c>
      <c r="BF65" t="s">
        <v>3347</v>
      </c>
      <c r="BG65" t="s">
        <v>1360</v>
      </c>
      <c r="BH65" t="s">
        <v>3348</v>
      </c>
      <c r="BI65" t="s">
        <v>295</v>
      </c>
      <c r="BJ65" t="s">
        <v>3349</v>
      </c>
      <c r="BK65" t="s">
        <v>295</v>
      </c>
      <c r="BL65" t="s">
        <v>3350</v>
      </c>
      <c r="BM65" t="s">
        <v>295</v>
      </c>
      <c r="BN65" t="s">
        <v>975</v>
      </c>
      <c r="BO65" t="s">
        <v>295</v>
      </c>
      <c r="BP65" t="s">
        <v>3351</v>
      </c>
      <c r="BQ65" t="s">
        <v>295</v>
      </c>
      <c r="BR65" t="s">
        <v>3352</v>
      </c>
      <c r="BS65" t="s">
        <v>1091</v>
      </c>
      <c r="BT65" t="s">
        <v>3353</v>
      </c>
      <c r="BU65" t="s">
        <v>295</v>
      </c>
      <c r="BV65" t="s">
        <v>3354</v>
      </c>
      <c r="BW65" t="s">
        <v>295</v>
      </c>
      <c r="BX65" t="s">
        <v>3355</v>
      </c>
      <c r="BY65" t="s">
        <v>295</v>
      </c>
      <c r="BZ65" t="s">
        <v>238</v>
      </c>
      <c r="CA65" t="s">
        <v>1815</v>
      </c>
      <c r="CB65" t="s">
        <v>1028</v>
      </c>
      <c r="CC65" t="s">
        <v>337</v>
      </c>
      <c r="CD65" t="s">
        <v>3356</v>
      </c>
      <c r="CE65" t="s">
        <v>295</v>
      </c>
      <c r="CF65" t="s">
        <v>3357</v>
      </c>
      <c r="CG65" t="s">
        <v>1815</v>
      </c>
      <c r="CH65" t="s">
        <v>524</v>
      </c>
      <c r="CI65" t="s">
        <v>295</v>
      </c>
      <c r="CJ65" t="s">
        <v>3358</v>
      </c>
      <c r="CK65" t="s">
        <v>1380</v>
      </c>
      <c r="CL65" t="s">
        <v>3359</v>
      </c>
      <c r="CM65" t="s">
        <v>1815</v>
      </c>
      <c r="CN65" t="s">
        <v>2455</v>
      </c>
      <c r="CO65" t="s">
        <v>295</v>
      </c>
      <c r="CP65" t="s">
        <v>3360</v>
      </c>
      <c r="CQ65" t="s">
        <v>1091</v>
      </c>
      <c r="CR65" t="s">
        <v>3361</v>
      </c>
      <c r="CS65" t="s">
        <v>295</v>
      </c>
      <c r="CT65" t="s">
        <v>3362</v>
      </c>
      <c r="CU65" t="s">
        <v>295</v>
      </c>
      <c r="CV65" t="s">
        <v>1491</v>
      </c>
      <c r="CW65" t="s">
        <v>295</v>
      </c>
      <c r="CX65" t="s">
        <v>3363</v>
      </c>
      <c r="CY65" t="s">
        <v>295</v>
      </c>
      <c r="CZ65" t="s">
        <v>3270</v>
      </c>
      <c r="DA65" t="s">
        <v>295</v>
      </c>
      <c r="DB65" t="s">
        <v>3364</v>
      </c>
      <c r="DC65" t="s">
        <v>242</v>
      </c>
      <c r="DD65" t="s">
        <v>2884</v>
      </c>
      <c r="DF65" t="s">
        <v>3365</v>
      </c>
      <c r="DG65" t="s">
        <v>242</v>
      </c>
      <c r="DH65" t="s">
        <v>3366</v>
      </c>
    </row>
    <row r="66" spans="1:112" x14ac:dyDescent="0.35">
      <c r="A66" t="s">
        <v>227</v>
      </c>
      <c r="B66" t="s">
        <v>3367</v>
      </c>
      <c r="C66" t="s">
        <v>229</v>
      </c>
      <c r="D66" t="s">
        <v>3368</v>
      </c>
      <c r="E66" t="s">
        <v>231</v>
      </c>
      <c r="F66" t="s">
        <v>3369</v>
      </c>
      <c r="G66" t="s">
        <v>40</v>
      </c>
      <c r="H66" t="s">
        <v>3370</v>
      </c>
      <c r="I66" t="s">
        <v>234</v>
      </c>
      <c r="J66" t="s">
        <v>3371</v>
      </c>
      <c r="L66" t="s">
        <v>3372</v>
      </c>
      <c r="M66" t="s">
        <v>18</v>
      </c>
      <c r="N66" t="s">
        <v>3373</v>
      </c>
      <c r="O66" t="s">
        <v>21</v>
      </c>
      <c r="P66" t="s">
        <v>3374</v>
      </c>
      <c r="Q66" t="s">
        <v>40</v>
      </c>
      <c r="R66" t="s">
        <v>3375</v>
      </c>
      <c r="S66" t="s">
        <v>310</v>
      </c>
      <c r="T66" t="s">
        <v>3376</v>
      </c>
      <c r="U66" t="s">
        <v>40</v>
      </c>
      <c r="V66" t="s">
        <v>870</v>
      </c>
      <c r="W66" t="s">
        <v>44</v>
      </c>
      <c r="X66" t="s">
        <v>657</v>
      </c>
      <c r="Y66" t="s">
        <v>242</v>
      </c>
      <c r="Z66" t="s">
        <v>243</v>
      </c>
      <c r="AA66" t="s">
        <v>40</v>
      </c>
      <c r="AB66" t="s">
        <v>244</v>
      </c>
      <c r="AC66" t="s">
        <v>3377</v>
      </c>
      <c r="AD66" t="s">
        <v>2911</v>
      </c>
      <c r="AE66" t="s">
        <v>502</v>
      </c>
      <c r="AF66" t="s">
        <v>3378</v>
      </c>
      <c r="AG66" t="s">
        <v>40</v>
      </c>
      <c r="AH66" t="s">
        <v>3379</v>
      </c>
      <c r="AI66" t="s">
        <v>621</v>
      </c>
      <c r="AJ66" t="s">
        <v>3122</v>
      </c>
      <c r="AK66" t="s">
        <v>3380</v>
      </c>
      <c r="AL66" t="s">
        <v>3381</v>
      </c>
      <c r="AM66" t="s">
        <v>823</v>
      </c>
      <c r="AN66" t="s">
        <v>3382</v>
      </c>
      <c r="AO66" t="s">
        <v>825</v>
      </c>
      <c r="AP66" t="s">
        <v>3383</v>
      </c>
      <c r="AQ66" t="s">
        <v>41</v>
      </c>
      <c r="AR66" t="s">
        <v>3384</v>
      </c>
      <c r="AS66" t="s">
        <v>242</v>
      </c>
      <c r="AT66" t="s">
        <v>3385</v>
      </c>
      <c r="AU66" t="s">
        <v>1611</v>
      </c>
      <c r="AV66" t="s">
        <v>3386</v>
      </c>
      <c r="AW66" t="s">
        <v>247</v>
      </c>
      <c r="AX66" t="s">
        <v>3387</v>
      </c>
      <c r="AY66" t="s">
        <v>1081</v>
      </c>
      <c r="AZ66" t="s">
        <v>3388</v>
      </c>
      <c r="BA66" t="s">
        <v>242</v>
      </c>
      <c r="BB66" t="s">
        <v>3389</v>
      </c>
      <c r="BC66" t="s">
        <v>411</v>
      </c>
      <c r="BD66" t="s">
        <v>3390</v>
      </c>
      <c r="BE66" t="s">
        <v>454</v>
      </c>
      <c r="BF66" t="s">
        <v>594</v>
      </c>
      <c r="BG66" t="s">
        <v>2277</v>
      </c>
      <c r="BH66" t="s">
        <v>3391</v>
      </c>
      <c r="BI66" t="s">
        <v>424</v>
      </c>
      <c r="BJ66" t="s">
        <v>3392</v>
      </c>
      <c r="BK66" t="s">
        <v>401</v>
      </c>
      <c r="BL66" t="s">
        <v>3393</v>
      </c>
      <c r="BM66" t="s">
        <v>365</v>
      </c>
      <c r="BN66" t="s">
        <v>3394</v>
      </c>
      <c r="BO66" t="s">
        <v>287</v>
      </c>
      <c r="BP66" t="s">
        <v>3395</v>
      </c>
      <c r="BQ66" t="s">
        <v>421</v>
      </c>
      <c r="BR66" t="s">
        <v>3396</v>
      </c>
      <c r="BS66" t="s">
        <v>595</v>
      </c>
      <c r="BT66" t="s">
        <v>3397</v>
      </c>
      <c r="BU66" t="s">
        <v>595</v>
      </c>
      <c r="BV66" t="s">
        <v>3398</v>
      </c>
      <c r="BW66" t="s">
        <v>348</v>
      </c>
      <c r="BX66" t="s">
        <v>3399</v>
      </c>
      <c r="BY66" t="s">
        <v>519</v>
      </c>
      <c r="BZ66" t="s">
        <v>2715</v>
      </c>
      <c r="CA66" t="s">
        <v>283</v>
      </c>
      <c r="CB66" t="s">
        <v>3400</v>
      </c>
      <c r="CC66" t="s">
        <v>528</v>
      </c>
      <c r="CD66" t="s">
        <v>3401</v>
      </c>
      <c r="CE66" t="s">
        <v>342</v>
      </c>
      <c r="CF66" t="s">
        <v>3050</v>
      </c>
      <c r="CG66" t="s">
        <v>342</v>
      </c>
      <c r="CH66" t="s">
        <v>3402</v>
      </c>
      <c r="CI66" t="s">
        <v>585</v>
      </c>
      <c r="CJ66" t="s">
        <v>3403</v>
      </c>
      <c r="CK66" t="s">
        <v>696</v>
      </c>
      <c r="CL66" t="s">
        <v>3404</v>
      </c>
      <c r="CM66" t="s">
        <v>583</v>
      </c>
      <c r="CN66" t="s">
        <v>3405</v>
      </c>
      <c r="CO66" t="s">
        <v>585</v>
      </c>
      <c r="CP66" t="s">
        <v>3406</v>
      </c>
      <c r="CQ66" t="s">
        <v>589</v>
      </c>
      <c r="CR66" t="s">
        <v>767</v>
      </c>
      <c r="CS66" t="s">
        <v>252</v>
      </c>
      <c r="CT66" t="s">
        <v>3407</v>
      </c>
      <c r="CU66" t="s">
        <v>348</v>
      </c>
      <c r="CV66" t="s">
        <v>2591</v>
      </c>
      <c r="CW66" t="s">
        <v>585</v>
      </c>
      <c r="CX66" t="s">
        <v>3408</v>
      </c>
      <c r="CY66" t="s">
        <v>342</v>
      </c>
      <c r="CZ66" t="s">
        <v>3409</v>
      </c>
      <c r="DA66" t="s">
        <v>335</v>
      </c>
      <c r="DB66" t="s">
        <v>3410</v>
      </c>
      <c r="DC66" t="s">
        <v>242</v>
      </c>
      <c r="DD66" t="s">
        <v>3411</v>
      </c>
      <c r="DF66" t="s">
        <v>3412</v>
      </c>
      <c r="DG66" t="s">
        <v>242</v>
      </c>
      <c r="DH66" t="s">
        <v>3413</v>
      </c>
    </row>
    <row r="67" spans="1:112" x14ac:dyDescent="0.35">
      <c r="A67" t="s">
        <v>227</v>
      </c>
      <c r="B67" t="s">
        <v>3414</v>
      </c>
      <c r="C67" t="s">
        <v>229</v>
      </c>
      <c r="D67" t="s">
        <v>1795</v>
      </c>
      <c r="E67" t="s">
        <v>231</v>
      </c>
      <c r="F67" t="s">
        <v>2516</v>
      </c>
      <c r="G67" t="s">
        <v>40</v>
      </c>
      <c r="H67" t="s">
        <v>3415</v>
      </c>
      <c r="I67" t="s">
        <v>234</v>
      </c>
      <c r="J67" t="s">
        <v>3416</v>
      </c>
      <c r="L67" t="s">
        <v>3417</v>
      </c>
      <c r="M67" t="s">
        <v>15</v>
      </c>
      <c r="N67" t="s">
        <v>3418</v>
      </c>
      <c r="O67" t="s">
        <v>21</v>
      </c>
      <c r="P67" t="s">
        <v>3419</v>
      </c>
      <c r="Q67" t="s">
        <v>40</v>
      </c>
      <c r="R67" t="s">
        <v>3420</v>
      </c>
      <c r="S67" t="s">
        <v>310</v>
      </c>
      <c r="T67" t="s">
        <v>3421</v>
      </c>
      <c r="U67" t="s">
        <v>40</v>
      </c>
      <c r="V67" t="s">
        <v>2431</v>
      </c>
      <c r="W67" t="s">
        <v>40</v>
      </c>
      <c r="X67" t="s">
        <v>3422</v>
      </c>
      <c r="Y67" t="s">
        <v>3423</v>
      </c>
      <c r="Z67" t="s">
        <v>3424</v>
      </c>
      <c r="AA67" t="s">
        <v>40</v>
      </c>
      <c r="AB67" t="s">
        <v>3425</v>
      </c>
      <c r="AC67" t="s">
        <v>316</v>
      </c>
      <c r="AD67" t="s">
        <v>3426</v>
      </c>
      <c r="AE67" t="s">
        <v>502</v>
      </c>
      <c r="AF67" t="s">
        <v>3427</v>
      </c>
      <c r="AG67" t="s">
        <v>40</v>
      </c>
      <c r="AH67" t="s">
        <v>3428</v>
      </c>
      <c r="AI67" t="s">
        <v>621</v>
      </c>
      <c r="AJ67" t="s">
        <v>3429</v>
      </c>
      <c r="AK67" t="s">
        <v>3430</v>
      </c>
      <c r="AL67" t="s">
        <v>3431</v>
      </c>
      <c r="AM67" t="s">
        <v>1607</v>
      </c>
      <c r="AN67" t="s">
        <v>3432</v>
      </c>
      <c r="AO67" t="s">
        <v>1760</v>
      </c>
      <c r="AP67" t="s">
        <v>2474</v>
      </c>
      <c r="AQ67" t="s">
        <v>41</v>
      </c>
      <c r="AR67" t="s">
        <v>3433</v>
      </c>
      <c r="AS67" t="s">
        <v>242</v>
      </c>
      <c r="AT67" t="s">
        <v>3434</v>
      </c>
      <c r="AU67" t="s">
        <v>3435</v>
      </c>
      <c r="AV67" t="s">
        <v>3436</v>
      </c>
      <c r="AW67" t="s">
        <v>247</v>
      </c>
      <c r="AX67" t="s">
        <v>3437</v>
      </c>
      <c r="AY67" t="s">
        <v>1081</v>
      </c>
      <c r="AZ67" t="s">
        <v>3438</v>
      </c>
      <c r="BA67" t="s">
        <v>242</v>
      </c>
      <c r="BB67" t="s">
        <v>3439</v>
      </c>
      <c r="BC67" t="s">
        <v>395</v>
      </c>
      <c r="BD67" t="s">
        <v>3440</v>
      </c>
      <c r="BE67" t="s">
        <v>295</v>
      </c>
      <c r="BF67" t="s">
        <v>3441</v>
      </c>
      <c r="BG67" t="s">
        <v>575</v>
      </c>
      <c r="BH67" t="s">
        <v>3442</v>
      </c>
      <c r="BI67" t="s">
        <v>688</v>
      </c>
      <c r="BJ67" t="s">
        <v>3443</v>
      </c>
      <c r="BK67" t="s">
        <v>449</v>
      </c>
      <c r="BL67" t="s">
        <v>3444</v>
      </c>
      <c r="BM67" t="s">
        <v>411</v>
      </c>
      <c r="BN67" t="s">
        <v>3445</v>
      </c>
      <c r="BO67" t="s">
        <v>575</v>
      </c>
      <c r="BP67" t="s">
        <v>3446</v>
      </c>
      <c r="BQ67" t="s">
        <v>454</v>
      </c>
      <c r="BR67" t="s">
        <v>3447</v>
      </c>
      <c r="BS67" t="s">
        <v>429</v>
      </c>
      <c r="BT67" t="s">
        <v>3448</v>
      </c>
      <c r="BU67" t="s">
        <v>1131</v>
      </c>
      <c r="BV67" t="s">
        <v>3449</v>
      </c>
      <c r="BW67" t="s">
        <v>542</v>
      </c>
      <c r="BX67" t="s">
        <v>3450</v>
      </c>
      <c r="BY67" t="s">
        <v>1131</v>
      </c>
      <c r="BZ67" t="s">
        <v>3451</v>
      </c>
      <c r="CA67" t="s">
        <v>779</v>
      </c>
      <c r="CB67" t="s">
        <v>3452</v>
      </c>
      <c r="CC67" t="s">
        <v>271</v>
      </c>
      <c r="CD67" t="s">
        <v>3453</v>
      </c>
      <c r="CE67" t="s">
        <v>519</v>
      </c>
      <c r="CF67" t="s">
        <v>3454</v>
      </c>
      <c r="CG67" t="s">
        <v>243</v>
      </c>
      <c r="CH67" t="s">
        <v>3455</v>
      </c>
      <c r="CI67" t="s">
        <v>289</v>
      </c>
      <c r="CJ67" t="s">
        <v>3456</v>
      </c>
      <c r="CK67" t="s">
        <v>289</v>
      </c>
      <c r="CL67" t="s">
        <v>3457</v>
      </c>
      <c r="CM67" t="s">
        <v>421</v>
      </c>
      <c r="CN67" t="s">
        <v>3458</v>
      </c>
      <c r="CO67" t="s">
        <v>473</v>
      </c>
      <c r="CP67" t="s">
        <v>1076</v>
      </c>
      <c r="CQ67" t="s">
        <v>356</v>
      </c>
      <c r="CR67" t="s">
        <v>3459</v>
      </c>
      <c r="CS67" t="s">
        <v>467</v>
      </c>
      <c r="CT67" t="s">
        <v>3460</v>
      </c>
      <c r="CU67" t="s">
        <v>360</v>
      </c>
      <c r="CV67" t="s">
        <v>965</v>
      </c>
      <c r="CW67" t="s">
        <v>858</v>
      </c>
      <c r="CX67" t="s">
        <v>3461</v>
      </c>
      <c r="CY67" t="s">
        <v>473</v>
      </c>
      <c r="CZ67" t="s">
        <v>3462</v>
      </c>
      <c r="DA67" t="s">
        <v>274</v>
      </c>
      <c r="DB67" t="s">
        <v>3463</v>
      </c>
      <c r="DC67" t="s">
        <v>242</v>
      </c>
      <c r="DD67" t="s">
        <v>2449</v>
      </c>
      <c r="DF67" t="s">
        <v>3464</v>
      </c>
      <c r="DG67" t="s">
        <v>242</v>
      </c>
      <c r="DH67" t="s">
        <v>1038</v>
      </c>
    </row>
    <row r="68" spans="1:112" x14ac:dyDescent="0.35">
      <c r="A68" t="s">
        <v>227</v>
      </c>
      <c r="B68" t="s">
        <v>3465</v>
      </c>
      <c r="C68" t="s">
        <v>229</v>
      </c>
      <c r="D68" t="s">
        <v>3466</v>
      </c>
      <c r="E68" t="s">
        <v>231</v>
      </c>
      <c r="F68" t="s">
        <v>3467</v>
      </c>
      <c r="G68" t="s">
        <v>40</v>
      </c>
      <c r="H68" t="s">
        <v>3468</v>
      </c>
      <c r="I68" t="s">
        <v>234</v>
      </c>
      <c r="J68" t="s">
        <v>3469</v>
      </c>
      <c r="L68" t="s">
        <v>3470</v>
      </c>
      <c r="M68" t="s">
        <v>15</v>
      </c>
      <c r="N68" t="s">
        <v>3471</v>
      </c>
      <c r="O68" t="s">
        <v>21</v>
      </c>
      <c r="P68" t="s">
        <v>3472</v>
      </c>
      <c r="Q68" t="s">
        <v>40</v>
      </c>
      <c r="R68" t="s">
        <v>3473</v>
      </c>
      <c r="S68" t="s">
        <v>310</v>
      </c>
      <c r="T68" t="s">
        <v>3474</v>
      </c>
      <c r="U68" t="s">
        <v>40</v>
      </c>
      <c r="V68" t="s">
        <v>582</v>
      </c>
      <c r="W68" t="s">
        <v>40</v>
      </c>
      <c r="X68" t="s">
        <v>3475</v>
      </c>
      <c r="Y68" t="s">
        <v>3476</v>
      </c>
      <c r="Z68" t="s">
        <v>3477</v>
      </c>
      <c r="AA68" t="s">
        <v>40</v>
      </c>
      <c r="AB68" t="s">
        <v>3478</v>
      </c>
      <c r="AC68" t="s">
        <v>316</v>
      </c>
      <c r="AD68" t="s">
        <v>3479</v>
      </c>
      <c r="AE68" t="s">
        <v>502</v>
      </c>
      <c r="AF68" t="s">
        <v>3480</v>
      </c>
      <c r="AG68" t="s">
        <v>40</v>
      </c>
      <c r="AH68" t="s">
        <v>3481</v>
      </c>
      <c r="AI68" t="s">
        <v>621</v>
      </c>
      <c r="AJ68" t="s">
        <v>3482</v>
      </c>
      <c r="AK68" t="s">
        <v>3483</v>
      </c>
      <c r="AL68" t="s">
        <v>3484</v>
      </c>
      <c r="AM68" t="s">
        <v>3485</v>
      </c>
      <c r="AN68" t="s">
        <v>3486</v>
      </c>
      <c r="AO68" t="s">
        <v>3487</v>
      </c>
      <c r="AP68" t="s">
        <v>3488</v>
      </c>
      <c r="AQ68" t="s">
        <v>41</v>
      </c>
      <c r="AR68" t="s">
        <v>3489</v>
      </c>
      <c r="AS68" t="s">
        <v>242</v>
      </c>
      <c r="AT68" t="s">
        <v>3490</v>
      </c>
      <c r="AU68" t="s">
        <v>330</v>
      </c>
      <c r="AV68" t="s">
        <v>3491</v>
      </c>
      <c r="AW68" t="s">
        <v>247</v>
      </c>
      <c r="AX68" t="s">
        <v>3492</v>
      </c>
      <c r="AY68" t="s">
        <v>249</v>
      </c>
      <c r="AZ68" t="s">
        <v>3493</v>
      </c>
      <c r="BA68" t="s">
        <v>242</v>
      </c>
      <c r="BB68" t="s">
        <v>3494</v>
      </c>
      <c r="BC68" t="s">
        <v>399</v>
      </c>
      <c r="BD68" t="s">
        <v>3495</v>
      </c>
      <c r="BE68" t="s">
        <v>575</v>
      </c>
      <c r="BF68" t="s">
        <v>3496</v>
      </c>
      <c r="BG68" t="s">
        <v>287</v>
      </c>
      <c r="BH68" t="s">
        <v>3497</v>
      </c>
      <c r="BI68" t="s">
        <v>356</v>
      </c>
      <c r="BJ68" t="s">
        <v>3498</v>
      </c>
      <c r="BK68" t="s">
        <v>696</v>
      </c>
      <c r="BL68" t="s">
        <v>3499</v>
      </c>
      <c r="BM68" t="s">
        <v>993</v>
      </c>
      <c r="BN68" t="s">
        <v>3500</v>
      </c>
      <c r="BO68" t="s">
        <v>283</v>
      </c>
      <c r="BP68" t="s">
        <v>3501</v>
      </c>
      <c r="BQ68" t="s">
        <v>283</v>
      </c>
      <c r="BR68" t="s">
        <v>3502</v>
      </c>
      <c r="BS68" t="s">
        <v>283</v>
      </c>
      <c r="BT68" t="s">
        <v>3503</v>
      </c>
      <c r="BU68" t="s">
        <v>583</v>
      </c>
      <c r="BV68" t="s">
        <v>3504</v>
      </c>
      <c r="BW68" t="s">
        <v>263</v>
      </c>
      <c r="BX68" t="s">
        <v>3505</v>
      </c>
      <c r="BY68" t="s">
        <v>259</v>
      </c>
      <c r="BZ68" t="s">
        <v>3506</v>
      </c>
      <c r="CA68" t="s">
        <v>283</v>
      </c>
      <c r="CB68" t="s">
        <v>818</v>
      </c>
      <c r="CC68" t="s">
        <v>993</v>
      </c>
      <c r="CD68" t="s">
        <v>3507</v>
      </c>
      <c r="CE68" t="s">
        <v>589</v>
      </c>
      <c r="CF68" t="s">
        <v>3508</v>
      </c>
      <c r="CG68" t="s">
        <v>283</v>
      </c>
      <c r="CH68" t="s">
        <v>3509</v>
      </c>
      <c r="CI68" t="s">
        <v>583</v>
      </c>
      <c r="CJ68" t="s">
        <v>3510</v>
      </c>
      <c r="CK68" t="s">
        <v>266</v>
      </c>
      <c r="CL68" t="s">
        <v>3511</v>
      </c>
      <c r="CM68" t="s">
        <v>266</v>
      </c>
      <c r="CN68" t="s">
        <v>3512</v>
      </c>
      <c r="CO68" t="s">
        <v>259</v>
      </c>
      <c r="CP68" t="s">
        <v>3513</v>
      </c>
      <c r="CQ68" t="s">
        <v>283</v>
      </c>
      <c r="CR68" t="s">
        <v>3514</v>
      </c>
      <c r="CS68" t="s">
        <v>276</v>
      </c>
      <c r="CT68" t="s">
        <v>3515</v>
      </c>
      <c r="CU68" t="s">
        <v>414</v>
      </c>
      <c r="CV68" t="s">
        <v>3516</v>
      </c>
      <c r="CW68" t="s">
        <v>399</v>
      </c>
      <c r="CX68" t="s">
        <v>3517</v>
      </c>
      <c r="CY68" t="s">
        <v>698</v>
      </c>
      <c r="CZ68" t="s">
        <v>3518</v>
      </c>
      <c r="DA68" t="s">
        <v>261</v>
      </c>
      <c r="DB68" t="s">
        <v>1338</v>
      </c>
      <c r="DC68" t="s">
        <v>242</v>
      </c>
      <c r="DD68" t="s">
        <v>3519</v>
      </c>
      <c r="DF68" t="s">
        <v>3520</v>
      </c>
      <c r="DG68" t="s">
        <v>242</v>
      </c>
      <c r="DH68" t="s">
        <v>3521</v>
      </c>
    </row>
    <row r="69" spans="1:112" x14ac:dyDescent="0.35">
      <c r="A69" t="s">
        <v>227</v>
      </c>
      <c r="B69" t="s">
        <v>3522</v>
      </c>
      <c r="C69" t="s">
        <v>229</v>
      </c>
      <c r="D69" t="s">
        <v>3523</v>
      </c>
      <c r="E69" t="s">
        <v>231</v>
      </c>
      <c r="F69" t="s">
        <v>3524</v>
      </c>
      <c r="G69" t="s">
        <v>40</v>
      </c>
      <c r="H69" t="s">
        <v>3525</v>
      </c>
      <c r="I69" t="s">
        <v>234</v>
      </c>
      <c r="J69" t="s">
        <v>3526</v>
      </c>
      <c r="L69" t="s">
        <v>3527</v>
      </c>
      <c r="M69" t="s">
        <v>18</v>
      </c>
      <c r="N69" t="s">
        <v>3528</v>
      </c>
      <c r="O69" t="s">
        <v>21</v>
      </c>
      <c r="P69" t="s">
        <v>3529</v>
      </c>
      <c r="Q69" t="s">
        <v>40</v>
      </c>
      <c r="R69" t="s">
        <v>3530</v>
      </c>
      <c r="S69" t="s">
        <v>310</v>
      </c>
      <c r="T69" t="s">
        <v>1869</v>
      </c>
      <c r="U69" t="s">
        <v>40</v>
      </c>
      <c r="V69" t="s">
        <v>3531</v>
      </c>
      <c r="W69" t="s">
        <v>40</v>
      </c>
      <c r="X69" t="s">
        <v>3532</v>
      </c>
      <c r="Y69" t="s">
        <v>3533</v>
      </c>
      <c r="Z69" t="s">
        <v>3534</v>
      </c>
      <c r="AA69" t="s">
        <v>40</v>
      </c>
      <c r="AB69" t="s">
        <v>412</v>
      </c>
      <c r="AC69" t="s">
        <v>316</v>
      </c>
      <c r="AD69" t="s">
        <v>3535</v>
      </c>
      <c r="AE69" t="s">
        <v>502</v>
      </c>
      <c r="AF69" t="s">
        <v>1031</v>
      </c>
      <c r="AG69" t="s">
        <v>40</v>
      </c>
      <c r="AH69" t="s">
        <v>3536</v>
      </c>
      <c r="AI69" t="s">
        <v>2388</v>
      </c>
      <c r="AJ69" t="s">
        <v>3537</v>
      </c>
      <c r="AK69" t="s">
        <v>3538</v>
      </c>
      <c r="AL69" t="s">
        <v>3539</v>
      </c>
      <c r="AM69" t="s">
        <v>1702</v>
      </c>
      <c r="AN69" t="s">
        <v>3540</v>
      </c>
      <c r="AO69" t="s">
        <v>0</v>
      </c>
      <c r="AP69" t="s">
        <v>2220</v>
      </c>
      <c r="AQ69" t="s">
        <v>45</v>
      </c>
      <c r="AR69" t="s">
        <v>3541</v>
      </c>
      <c r="AS69" t="s">
        <v>242</v>
      </c>
      <c r="AT69" t="s">
        <v>3542</v>
      </c>
      <c r="AU69" t="s">
        <v>514</v>
      </c>
      <c r="AV69" t="s">
        <v>3543</v>
      </c>
      <c r="AW69" t="s">
        <v>247</v>
      </c>
      <c r="AX69" t="s">
        <v>3544</v>
      </c>
      <c r="AY69" t="s">
        <v>1172</v>
      </c>
      <c r="AZ69" t="s">
        <v>3545</v>
      </c>
      <c r="BA69" t="s">
        <v>242</v>
      </c>
      <c r="BB69" t="s">
        <v>3546</v>
      </c>
      <c r="BC69" t="s">
        <v>473</v>
      </c>
      <c r="BD69" t="s">
        <v>3547</v>
      </c>
      <c r="BE69" t="s">
        <v>731</v>
      </c>
      <c r="BF69" t="s">
        <v>3548</v>
      </c>
      <c r="BG69" t="s">
        <v>532</v>
      </c>
      <c r="BH69" t="s">
        <v>3549</v>
      </c>
      <c r="BI69" t="s">
        <v>261</v>
      </c>
      <c r="BJ69" t="s">
        <v>3550</v>
      </c>
      <c r="BK69" t="s">
        <v>519</v>
      </c>
      <c r="BL69" t="s">
        <v>2946</v>
      </c>
      <c r="BM69" t="s">
        <v>281</v>
      </c>
      <c r="BN69" t="s">
        <v>3551</v>
      </c>
      <c r="BO69" t="s">
        <v>519</v>
      </c>
      <c r="BP69" t="s">
        <v>3552</v>
      </c>
      <c r="BQ69" t="s">
        <v>289</v>
      </c>
      <c r="BR69" t="s">
        <v>3553</v>
      </c>
      <c r="BS69" t="s">
        <v>257</v>
      </c>
      <c r="BT69" t="s">
        <v>3554</v>
      </c>
      <c r="BU69" t="s">
        <v>274</v>
      </c>
      <c r="BV69" t="s">
        <v>3555</v>
      </c>
      <c r="BW69" t="s">
        <v>449</v>
      </c>
      <c r="BX69" t="s">
        <v>3556</v>
      </c>
      <c r="BY69" t="s">
        <v>731</v>
      </c>
      <c r="BZ69" t="s">
        <v>3557</v>
      </c>
      <c r="CA69" t="s">
        <v>542</v>
      </c>
      <c r="CB69" t="s">
        <v>3558</v>
      </c>
      <c r="CC69" t="s">
        <v>858</v>
      </c>
      <c r="CD69" t="s">
        <v>3559</v>
      </c>
      <c r="CE69" t="s">
        <v>393</v>
      </c>
      <c r="CF69" t="s">
        <v>3560</v>
      </c>
      <c r="CG69" t="s">
        <v>257</v>
      </c>
      <c r="CH69" t="s">
        <v>3561</v>
      </c>
      <c r="CI69" t="s">
        <v>519</v>
      </c>
      <c r="CJ69" t="s">
        <v>3562</v>
      </c>
      <c r="CK69" t="s">
        <v>243</v>
      </c>
      <c r="CL69" t="s">
        <v>3563</v>
      </c>
      <c r="CM69" t="s">
        <v>414</v>
      </c>
      <c r="CN69" t="s">
        <v>3457</v>
      </c>
      <c r="CO69" t="s">
        <v>289</v>
      </c>
      <c r="CP69" t="s">
        <v>3564</v>
      </c>
      <c r="CQ69" t="s">
        <v>575</v>
      </c>
      <c r="CR69" t="s">
        <v>3565</v>
      </c>
      <c r="CS69" t="s">
        <v>289</v>
      </c>
      <c r="CT69" t="s">
        <v>3566</v>
      </c>
      <c r="CU69" t="s">
        <v>519</v>
      </c>
      <c r="CV69" t="s">
        <v>3567</v>
      </c>
      <c r="CW69" t="s">
        <v>532</v>
      </c>
      <c r="CX69" t="s">
        <v>3568</v>
      </c>
      <c r="CY69" t="s">
        <v>427</v>
      </c>
      <c r="CZ69" t="s">
        <v>3569</v>
      </c>
      <c r="DA69" t="s">
        <v>858</v>
      </c>
      <c r="DB69" t="s">
        <v>3570</v>
      </c>
      <c r="DC69" t="s">
        <v>242</v>
      </c>
      <c r="DD69" t="s">
        <v>3571</v>
      </c>
      <c r="DF69" t="s">
        <v>3572</v>
      </c>
      <c r="DG69" t="s">
        <v>242</v>
      </c>
      <c r="DH69" t="s">
        <v>3573</v>
      </c>
    </row>
    <row r="70" spans="1:112" x14ac:dyDescent="0.35">
      <c r="A70" t="s">
        <v>227</v>
      </c>
      <c r="B70" t="s">
        <v>3574</v>
      </c>
      <c r="C70" t="s">
        <v>229</v>
      </c>
      <c r="D70" t="s">
        <v>3575</v>
      </c>
      <c r="E70" t="s">
        <v>231</v>
      </c>
      <c r="F70" t="s">
        <v>3576</v>
      </c>
      <c r="G70" t="s">
        <v>40</v>
      </c>
      <c r="H70" t="s">
        <v>3577</v>
      </c>
      <c r="I70" t="s">
        <v>234</v>
      </c>
      <c r="J70" t="s">
        <v>3578</v>
      </c>
      <c r="L70" t="s">
        <v>3579</v>
      </c>
      <c r="M70" t="s">
        <v>15</v>
      </c>
      <c r="N70" t="s">
        <v>3580</v>
      </c>
      <c r="O70" t="s">
        <v>21</v>
      </c>
      <c r="P70" t="s">
        <v>3581</v>
      </c>
      <c r="Q70" t="s">
        <v>40</v>
      </c>
      <c r="R70" t="s">
        <v>305</v>
      </c>
      <c r="S70" t="s">
        <v>310</v>
      </c>
      <c r="T70" t="s">
        <v>3582</v>
      </c>
      <c r="U70" t="s">
        <v>40</v>
      </c>
      <c r="V70" t="s">
        <v>1197</v>
      </c>
      <c r="W70" t="s">
        <v>40</v>
      </c>
      <c r="X70" t="s">
        <v>3583</v>
      </c>
      <c r="Y70" t="s">
        <v>3584</v>
      </c>
      <c r="Z70" t="s">
        <v>3585</v>
      </c>
      <c r="AA70" t="s">
        <v>43</v>
      </c>
      <c r="AB70" t="s">
        <v>3586</v>
      </c>
      <c r="AC70" t="s">
        <v>242</v>
      </c>
      <c r="AD70" t="s">
        <v>243</v>
      </c>
      <c r="AE70" t="s">
        <v>242</v>
      </c>
      <c r="AF70" t="s">
        <v>243</v>
      </c>
      <c r="AG70" t="s">
        <v>242</v>
      </c>
      <c r="AH70" t="s">
        <v>243</v>
      </c>
      <c r="AI70" t="s">
        <v>242</v>
      </c>
      <c r="AJ70" t="s">
        <v>243</v>
      </c>
      <c r="AK70" t="s">
        <v>242</v>
      </c>
      <c r="AL70" t="s">
        <v>243</v>
      </c>
      <c r="AM70" t="s">
        <v>3587</v>
      </c>
      <c r="AN70" t="s">
        <v>244</v>
      </c>
      <c r="AO70" t="s">
        <v>1498</v>
      </c>
      <c r="AP70" t="s">
        <v>3588</v>
      </c>
      <c r="AQ70" t="s">
        <v>41</v>
      </c>
      <c r="AR70" t="s">
        <v>3589</v>
      </c>
      <c r="AS70" t="s">
        <v>242</v>
      </c>
      <c r="AT70" t="s">
        <v>3590</v>
      </c>
      <c r="AU70" t="s">
        <v>330</v>
      </c>
      <c r="AV70" t="s">
        <v>3591</v>
      </c>
      <c r="AW70" t="s">
        <v>247</v>
      </c>
      <c r="AX70" t="s">
        <v>3592</v>
      </c>
      <c r="AY70" t="s">
        <v>249</v>
      </c>
      <c r="AZ70" t="s">
        <v>3593</v>
      </c>
      <c r="BA70" t="s">
        <v>242</v>
      </c>
      <c r="BB70" t="s">
        <v>3594</v>
      </c>
      <c r="BC70" t="s">
        <v>779</v>
      </c>
      <c r="BD70" t="s">
        <v>3595</v>
      </c>
      <c r="BE70" t="s">
        <v>351</v>
      </c>
      <c r="BF70" t="s">
        <v>2938</v>
      </c>
      <c r="BG70" t="s">
        <v>287</v>
      </c>
      <c r="BH70" t="s">
        <v>3596</v>
      </c>
      <c r="BI70" t="s">
        <v>285</v>
      </c>
      <c r="BJ70" t="s">
        <v>3597</v>
      </c>
      <c r="BK70" t="s">
        <v>369</v>
      </c>
      <c r="BL70" t="s">
        <v>3598</v>
      </c>
      <c r="BM70" t="s">
        <v>285</v>
      </c>
      <c r="BN70" t="s">
        <v>3599</v>
      </c>
      <c r="BO70" t="s">
        <v>779</v>
      </c>
      <c r="BP70" t="s">
        <v>3600</v>
      </c>
      <c r="BQ70" t="s">
        <v>744</v>
      </c>
      <c r="BR70" t="s">
        <v>2151</v>
      </c>
      <c r="BS70" t="s">
        <v>752</v>
      </c>
      <c r="BT70" t="s">
        <v>1248</v>
      </c>
      <c r="BU70" t="s">
        <v>595</v>
      </c>
      <c r="BV70" t="s">
        <v>3601</v>
      </c>
      <c r="BW70" t="s">
        <v>401</v>
      </c>
      <c r="BX70" t="s">
        <v>978</v>
      </c>
      <c r="BY70" t="s">
        <v>779</v>
      </c>
      <c r="BZ70" t="s">
        <v>3602</v>
      </c>
      <c r="CA70" t="s">
        <v>416</v>
      </c>
      <c r="CB70" t="s">
        <v>3603</v>
      </c>
      <c r="CC70" t="s">
        <v>779</v>
      </c>
      <c r="CD70" t="s">
        <v>3604</v>
      </c>
      <c r="CE70" t="s">
        <v>752</v>
      </c>
      <c r="CF70" t="s">
        <v>3605</v>
      </c>
      <c r="CG70" t="s">
        <v>401</v>
      </c>
      <c r="CH70" t="s">
        <v>3606</v>
      </c>
      <c r="CI70" t="s">
        <v>339</v>
      </c>
      <c r="CJ70" t="s">
        <v>711</v>
      </c>
      <c r="CK70" t="s">
        <v>591</v>
      </c>
      <c r="CL70" t="s">
        <v>3607</v>
      </c>
      <c r="CM70" t="s">
        <v>365</v>
      </c>
      <c r="CN70" t="s">
        <v>3464</v>
      </c>
      <c r="CO70" t="s">
        <v>595</v>
      </c>
      <c r="CP70" t="s">
        <v>3608</v>
      </c>
      <c r="CQ70" t="s">
        <v>393</v>
      </c>
      <c r="CR70" t="s">
        <v>1859</v>
      </c>
      <c r="CS70" t="s">
        <v>421</v>
      </c>
      <c r="CT70" t="s">
        <v>3609</v>
      </c>
      <c r="CU70" t="s">
        <v>538</v>
      </c>
      <c r="CV70" t="s">
        <v>1781</v>
      </c>
      <c r="CW70" t="s">
        <v>449</v>
      </c>
      <c r="CX70" t="s">
        <v>3610</v>
      </c>
      <c r="CY70" t="s">
        <v>254</v>
      </c>
      <c r="CZ70" t="s">
        <v>3611</v>
      </c>
      <c r="DA70" t="s">
        <v>337</v>
      </c>
      <c r="DB70" t="s">
        <v>3612</v>
      </c>
      <c r="DC70" t="s">
        <v>242</v>
      </c>
      <c r="DD70" t="s">
        <v>3613</v>
      </c>
      <c r="DF70" t="s">
        <v>1093</v>
      </c>
      <c r="DG70" t="s">
        <v>242</v>
      </c>
      <c r="DH70" t="s">
        <v>3614</v>
      </c>
    </row>
    <row r="71" spans="1:112" x14ac:dyDescent="0.35">
      <c r="A71" t="s">
        <v>227</v>
      </c>
      <c r="B71" t="s">
        <v>3615</v>
      </c>
      <c r="C71" t="s">
        <v>229</v>
      </c>
      <c r="D71" t="s">
        <v>3616</v>
      </c>
      <c r="E71" t="s">
        <v>231</v>
      </c>
      <c r="F71" t="s">
        <v>3617</v>
      </c>
      <c r="G71" t="s">
        <v>40</v>
      </c>
      <c r="H71" t="s">
        <v>3618</v>
      </c>
      <c r="I71" t="s">
        <v>234</v>
      </c>
      <c r="J71" t="s">
        <v>3619</v>
      </c>
      <c r="L71" t="s">
        <v>3620</v>
      </c>
      <c r="M71" t="s">
        <v>15</v>
      </c>
      <c r="N71" t="s">
        <v>3621</v>
      </c>
      <c r="O71" t="s">
        <v>21</v>
      </c>
      <c r="P71" t="s">
        <v>3622</v>
      </c>
      <c r="Q71" t="s">
        <v>40</v>
      </c>
      <c r="R71" t="s">
        <v>3623</v>
      </c>
      <c r="S71" t="s">
        <v>310</v>
      </c>
      <c r="T71" t="s">
        <v>3624</v>
      </c>
      <c r="U71" t="s">
        <v>40</v>
      </c>
      <c r="V71" t="s">
        <v>3625</v>
      </c>
      <c r="W71" t="s">
        <v>40</v>
      </c>
      <c r="X71" t="s">
        <v>3626</v>
      </c>
      <c r="Y71" t="s">
        <v>83</v>
      </c>
      <c r="Z71" t="s">
        <v>3627</v>
      </c>
      <c r="AA71" t="s">
        <v>40</v>
      </c>
      <c r="AB71" t="s">
        <v>3628</v>
      </c>
      <c r="AC71" t="s">
        <v>316</v>
      </c>
      <c r="AD71" t="s">
        <v>3629</v>
      </c>
      <c r="AE71" t="s">
        <v>1996</v>
      </c>
      <c r="AF71" t="s">
        <v>3630</v>
      </c>
      <c r="AG71" t="s">
        <v>40</v>
      </c>
      <c r="AH71" t="s">
        <v>3631</v>
      </c>
      <c r="AI71" t="s">
        <v>2479</v>
      </c>
      <c r="AJ71" t="s">
        <v>3632</v>
      </c>
      <c r="AK71" t="s">
        <v>3633</v>
      </c>
      <c r="AL71" t="s">
        <v>3634</v>
      </c>
      <c r="AM71" t="s">
        <v>1945</v>
      </c>
      <c r="AN71" t="s">
        <v>3635</v>
      </c>
      <c r="AO71" t="s">
        <v>0</v>
      </c>
      <c r="AP71" t="s">
        <v>3636</v>
      </c>
      <c r="AQ71" t="s">
        <v>41</v>
      </c>
      <c r="AR71" t="s">
        <v>3637</v>
      </c>
      <c r="AS71" t="s">
        <v>242</v>
      </c>
      <c r="AT71" t="s">
        <v>3638</v>
      </c>
      <c r="AU71" t="s">
        <v>330</v>
      </c>
      <c r="AV71" t="s">
        <v>3639</v>
      </c>
      <c r="AW71" t="s">
        <v>247</v>
      </c>
      <c r="AX71" t="s">
        <v>3640</v>
      </c>
      <c r="AY71" t="s">
        <v>249</v>
      </c>
      <c r="AZ71" t="s">
        <v>3641</v>
      </c>
      <c r="BA71" t="s">
        <v>242</v>
      </c>
      <c r="BB71" t="s">
        <v>3642</v>
      </c>
      <c r="BC71" t="s">
        <v>424</v>
      </c>
      <c r="BD71" t="s">
        <v>3643</v>
      </c>
      <c r="BE71" t="s">
        <v>405</v>
      </c>
      <c r="BF71" t="s">
        <v>2794</v>
      </c>
      <c r="BG71" t="s">
        <v>335</v>
      </c>
      <c r="BH71" t="s">
        <v>3644</v>
      </c>
      <c r="BI71" t="s">
        <v>698</v>
      </c>
      <c r="BJ71" t="s">
        <v>3645</v>
      </c>
      <c r="BK71" t="s">
        <v>287</v>
      </c>
      <c r="BL71" t="s">
        <v>3646</v>
      </c>
      <c r="BM71" t="s">
        <v>271</v>
      </c>
      <c r="BN71" t="s">
        <v>3647</v>
      </c>
      <c r="BO71" t="s">
        <v>416</v>
      </c>
      <c r="BP71" t="s">
        <v>3648</v>
      </c>
      <c r="BQ71" t="s">
        <v>289</v>
      </c>
      <c r="BR71" t="s">
        <v>3649</v>
      </c>
      <c r="BS71" t="s">
        <v>287</v>
      </c>
      <c r="BT71" t="s">
        <v>3650</v>
      </c>
      <c r="BU71" t="s">
        <v>261</v>
      </c>
      <c r="BV71" t="s">
        <v>3651</v>
      </c>
      <c r="BW71" t="s">
        <v>397</v>
      </c>
      <c r="BX71" t="s">
        <v>697</v>
      </c>
      <c r="BY71" t="s">
        <v>344</v>
      </c>
      <c r="BZ71" t="s">
        <v>3652</v>
      </c>
      <c r="CA71" t="s">
        <v>752</v>
      </c>
      <c r="CB71" t="s">
        <v>3653</v>
      </c>
      <c r="CC71" t="s">
        <v>344</v>
      </c>
      <c r="CD71" t="s">
        <v>3654</v>
      </c>
      <c r="CE71" t="s">
        <v>528</v>
      </c>
      <c r="CF71" t="s">
        <v>3655</v>
      </c>
      <c r="CG71" t="s">
        <v>344</v>
      </c>
      <c r="CH71" t="s">
        <v>3656</v>
      </c>
      <c r="CI71" t="s">
        <v>356</v>
      </c>
      <c r="CJ71" t="s">
        <v>3657</v>
      </c>
      <c r="CK71" t="s">
        <v>274</v>
      </c>
      <c r="CL71" t="s">
        <v>3658</v>
      </c>
      <c r="CM71" t="s">
        <v>469</v>
      </c>
      <c r="CN71" t="s">
        <v>3659</v>
      </c>
      <c r="CO71" t="s">
        <v>1128</v>
      </c>
      <c r="CP71" t="s">
        <v>3660</v>
      </c>
      <c r="CQ71" t="s">
        <v>414</v>
      </c>
      <c r="CR71" t="s">
        <v>3661</v>
      </c>
      <c r="CS71" t="s">
        <v>685</v>
      </c>
      <c r="CT71" t="s">
        <v>3662</v>
      </c>
      <c r="CU71" t="s">
        <v>519</v>
      </c>
      <c r="CV71" t="s">
        <v>3663</v>
      </c>
      <c r="CW71" t="s">
        <v>1360</v>
      </c>
      <c r="CX71" t="s">
        <v>3664</v>
      </c>
      <c r="CY71" t="s">
        <v>519</v>
      </c>
      <c r="CZ71" t="s">
        <v>3665</v>
      </c>
      <c r="DA71" t="s">
        <v>1380</v>
      </c>
      <c r="DB71" t="s">
        <v>3666</v>
      </c>
      <c r="DC71" t="s">
        <v>242</v>
      </c>
      <c r="DD71" t="s">
        <v>3667</v>
      </c>
      <c r="DF71" t="s">
        <v>3668</v>
      </c>
      <c r="DG71" t="s">
        <v>242</v>
      </c>
      <c r="DH71" t="s">
        <v>3669</v>
      </c>
    </row>
    <row r="72" spans="1:112" x14ac:dyDescent="0.35">
      <c r="A72" t="s">
        <v>227</v>
      </c>
      <c r="B72" t="s">
        <v>3670</v>
      </c>
      <c r="C72" t="s">
        <v>229</v>
      </c>
      <c r="D72" t="s">
        <v>3671</v>
      </c>
      <c r="E72" t="s">
        <v>231</v>
      </c>
      <c r="F72" t="s">
        <v>3672</v>
      </c>
      <c r="G72" t="s">
        <v>40</v>
      </c>
      <c r="H72" t="s">
        <v>3673</v>
      </c>
      <c r="I72" t="s">
        <v>234</v>
      </c>
      <c r="J72" t="s">
        <v>3674</v>
      </c>
      <c r="L72" t="s">
        <v>3675</v>
      </c>
      <c r="M72" t="s">
        <v>18</v>
      </c>
      <c r="N72" t="s">
        <v>3676</v>
      </c>
      <c r="O72" t="s">
        <v>19</v>
      </c>
      <c r="P72" t="s">
        <v>3677</v>
      </c>
      <c r="Q72" t="s">
        <v>40</v>
      </c>
      <c r="R72" t="s">
        <v>3678</v>
      </c>
      <c r="S72" t="s">
        <v>310</v>
      </c>
      <c r="T72" t="s">
        <v>3679</v>
      </c>
      <c r="U72" t="s">
        <v>39</v>
      </c>
      <c r="V72" t="s">
        <v>3680</v>
      </c>
      <c r="W72" t="s">
        <v>40</v>
      </c>
      <c r="X72" t="s">
        <v>3681</v>
      </c>
      <c r="Y72" t="s">
        <v>829</v>
      </c>
      <c r="Z72" t="s">
        <v>3682</v>
      </c>
      <c r="AA72" t="s">
        <v>40</v>
      </c>
      <c r="AB72" t="s">
        <v>3683</v>
      </c>
      <c r="AC72" t="s">
        <v>316</v>
      </c>
      <c r="AD72" t="s">
        <v>3684</v>
      </c>
      <c r="AE72" t="s">
        <v>502</v>
      </c>
      <c r="AF72" t="s">
        <v>2339</v>
      </c>
      <c r="AG72" t="s">
        <v>40</v>
      </c>
      <c r="AH72" t="s">
        <v>3685</v>
      </c>
      <c r="AI72" t="s">
        <v>621</v>
      </c>
      <c r="AJ72" t="s">
        <v>3686</v>
      </c>
      <c r="AK72" t="s">
        <v>3687</v>
      </c>
      <c r="AL72" t="s">
        <v>3688</v>
      </c>
      <c r="AM72" t="s">
        <v>3689</v>
      </c>
      <c r="AN72" t="s">
        <v>3690</v>
      </c>
      <c r="AO72" t="s">
        <v>825</v>
      </c>
      <c r="AP72" t="s">
        <v>3691</v>
      </c>
      <c r="AQ72" t="s">
        <v>46</v>
      </c>
      <c r="AR72" t="s">
        <v>3692</v>
      </c>
      <c r="AS72" t="s">
        <v>242</v>
      </c>
      <c r="AT72" t="s">
        <v>3693</v>
      </c>
      <c r="AU72" t="s">
        <v>514</v>
      </c>
      <c r="AV72" t="s">
        <v>3694</v>
      </c>
      <c r="AW72" t="s">
        <v>247</v>
      </c>
      <c r="AX72" t="s">
        <v>1211</v>
      </c>
      <c r="AY72" t="s">
        <v>249</v>
      </c>
      <c r="AZ72" t="s">
        <v>3695</v>
      </c>
      <c r="BA72" t="s">
        <v>242</v>
      </c>
      <c r="BB72" t="s">
        <v>3696</v>
      </c>
      <c r="BC72" t="s">
        <v>519</v>
      </c>
      <c r="BD72" t="s">
        <v>3697</v>
      </c>
      <c r="BE72" t="s">
        <v>274</v>
      </c>
      <c r="BF72" t="s">
        <v>3698</v>
      </c>
      <c r="BG72" t="s">
        <v>401</v>
      </c>
      <c r="BH72" t="s">
        <v>3699</v>
      </c>
      <c r="BI72" t="s">
        <v>268</v>
      </c>
      <c r="BJ72" t="s">
        <v>3700</v>
      </c>
      <c r="BK72" t="s">
        <v>287</v>
      </c>
      <c r="BL72" t="s">
        <v>3701</v>
      </c>
      <c r="BM72" t="s">
        <v>271</v>
      </c>
      <c r="BN72" t="s">
        <v>3702</v>
      </c>
      <c r="BO72" t="s">
        <v>351</v>
      </c>
      <c r="BP72" t="s">
        <v>3703</v>
      </c>
      <c r="BQ72" t="s">
        <v>698</v>
      </c>
      <c r="BR72" t="s">
        <v>3704</v>
      </c>
      <c r="BS72" t="s">
        <v>589</v>
      </c>
      <c r="BT72" t="s">
        <v>3705</v>
      </c>
      <c r="BU72" t="s">
        <v>858</v>
      </c>
      <c r="BV72" t="s">
        <v>1076</v>
      </c>
      <c r="BW72" t="s">
        <v>589</v>
      </c>
      <c r="BX72" t="s">
        <v>3706</v>
      </c>
      <c r="BY72" t="s">
        <v>858</v>
      </c>
      <c r="BZ72" t="s">
        <v>1046</v>
      </c>
      <c r="CA72" t="s">
        <v>696</v>
      </c>
      <c r="CB72" t="s">
        <v>3707</v>
      </c>
      <c r="CC72" t="s">
        <v>268</v>
      </c>
      <c r="CD72" t="s">
        <v>3708</v>
      </c>
      <c r="CE72" t="s">
        <v>348</v>
      </c>
      <c r="CF72" t="s">
        <v>3526</v>
      </c>
      <c r="CG72" t="s">
        <v>337</v>
      </c>
      <c r="CH72" t="s">
        <v>3709</v>
      </c>
      <c r="CI72" t="s">
        <v>335</v>
      </c>
      <c r="CJ72" t="s">
        <v>2065</v>
      </c>
      <c r="CK72" t="s">
        <v>685</v>
      </c>
      <c r="CL72" t="s">
        <v>3710</v>
      </c>
      <c r="CM72" t="s">
        <v>779</v>
      </c>
      <c r="CN72" t="s">
        <v>3711</v>
      </c>
      <c r="CO72" t="s">
        <v>344</v>
      </c>
      <c r="CP72" t="s">
        <v>2870</v>
      </c>
      <c r="CQ72" t="s">
        <v>752</v>
      </c>
      <c r="CR72" t="s">
        <v>3712</v>
      </c>
      <c r="CS72" t="s">
        <v>451</v>
      </c>
      <c r="CT72" t="s">
        <v>3713</v>
      </c>
      <c r="CU72" t="s">
        <v>532</v>
      </c>
      <c r="CV72" t="s">
        <v>3714</v>
      </c>
      <c r="CW72" t="s">
        <v>344</v>
      </c>
      <c r="CX72" t="s">
        <v>3715</v>
      </c>
      <c r="CY72" t="s">
        <v>538</v>
      </c>
      <c r="CZ72" t="s">
        <v>3716</v>
      </c>
      <c r="DA72" t="s">
        <v>451</v>
      </c>
      <c r="DB72" t="s">
        <v>2285</v>
      </c>
      <c r="DC72" t="s">
        <v>242</v>
      </c>
      <c r="DD72" t="s">
        <v>3717</v>
      </c>
      <c r="DF72" t="s">
        <v>3718</v>
      </c>
      <c r="DG72" t="s">
        <v>242</v>
      </c>
      <c r="DH72" t="s">
        <v>3719</v>
      </c>
    </row>
    <row r="73" spans="1:112" x14ac:dyDescent="0.35">
      <c r="A73" t="s">
        <v>227</v>
      </c>
      <c r="B73" t="s">
        <v>3720</v>
      </c>
      <c r="C73" t="s">
        <v>229</v>
      </c>
      <c r="D73" t="s">
        <v>3721</v>
      </c>
      <c r="E73" t="s">
        <v>231</v>
      </c>
      <c r="F73" t="s">
        <v>3722</v>
      </c>
      <c r="G73" t="s">
        <v>40</v>
      </c>
      <c r="H73" t="s">
        <v>3723</v>
      </c>
      <c r="I73" t="s">
        <v>234</v>
      </c>
      <c r="J73" t="s">
        <v>3724</v>
      </c>
      <c r="L73" t="s">
        <v>3725</v>
      </c>
      <c r="M73" t="s">
        <v>18</v>
      </c>
      <c r="N73" t="s">
        <v>3726</v>
      </c>
      <c r="O73" t="s">
        <v>21</v>
      </c>
      <c r="P73" t="s">
        <v>3727</v>
      </c>
      <c r="Q73" t="s">
        <v>40</v>
      </c>
      <c r="R73" t="s">
        <v>3728</v>
      </c>
      <c r="S73" t="s">
        <v>310</v>
      </c>
      <c r="T73" t="s">
        <v>3729</v>
      </c>
      <c r="U73" t="s">
        <v>40</v>
      </c>
      <c r="V73" t="s">
        <v>3730</v>
      </c>
      <c r="W73" t="s">
        <v>40</v>
      </c>
      <c r="X73" t="s">
        <v>3731</v>
      </c>
      <c r="Y73" t="s">
        <v>73</v>
      </c>
      <c r="Z73" t="s">
        <v>3732</v>
      </c>
      <c r="AA73" t="s">
        <v>40</v>
      </c>
      <c r="AB73" t="s">
        <v>3733</v>
      </c>
      <c r="AC73" t="s">
        <v>316</v>
      </c>
      <c r="AD73" t="s">
        <v>3734</v>
      </c>
      <c r="AE73" t="s">
        <v>502</v>
      </c>
      <c r="AF73" t="s">
        <v>3735</v>
      </c>
      <c r="AG73" t="s">
        <v>40</v>
      </c>
      <c r="AH73" t="s">
        <v>3736</v>
      </c>
      <c r="AI73" t="s">
        <v>321</v>
      </c>
      <c r="AJ73" t="s">
        <v>1794</v>
      </c>
      <c r="AK73" t="s">
        <v>3737</v>
      </c>
      <c r="AL73" t="s">
        <v>3738</v>
      </c>
      <c r="AM73" t="s">
        <v>1350</v>
      </c>
      <c r="AN73" t="s">
        <v>3739</v>
      </c>
      <c r="AO73" t="s">
        <v>1498</v>
      </c>
      <c r="AP73" t="s">
        <v>3740</v>
      </c>
      <c r="AQ73" t="s">
        <v>46</v>
      </c>
      <c r="AR73" t="s">
        <v>3741</v>
      </c>
      <c r="AS73" t="s">
        <v>242</v>
      </c>
      <c r="AT73" t="s">
        <v>3742</v>
      </c>
      <c r="AU73" t="s">
        <v>1702</v>
      </c>
      <c r="AV73" t="s">
        <v>3743</v>
      </c>
      <c r="AW73" t="s">
        <v>247</v>
      </c>
      <c r="AX73" t="s">
        <v>3744</v>
      </c>
      <c r="AY73" t="s">
        <v>249</v>
      </c>
      <c r="AZ73" t="s">
        <v>3745</v>
      </c>
      <c r="BA73" t="s">
        <v>242</v>
      </c>
      <c r="BB73" t="s">
        <v>3746</v>
      </c>
      <c r="BC73" t="s">
        <v>243</v>
      </c>
      <c r="BD73" t="s">
        <v>3747</v>
      </c>
      <c r="BE73" t="s">
        <v>295</v>
      </c>
      <c r="BF73" t="s">
        <v>3748</v>
      </c>
      <c r="BG73" t="s">
        <v>295</v>
      </c>
      <c r="BH73" t="s">
        <v>3749</v>
      </c>
      <c r="BI73" t="s">
        <v>295</v>
      </c>
      <c r="BJ73" t="s">
        <v>3750</v>
      </c>
      <c r="BK73" t="s">
        <v>295</v>
      </c>
      <c r="BL73" t="s">
        <v>3751</v>
      </c>
      <c r="BM73" t="s">
        <v>285</v>
      </c>
      <c r="BN73" t="s">
        <v>3752</v>
      </c>
      <c r="BO73" t="s">
        <v>424</v>
      </c>
      <c r="BP73" t="s">
        <v>3753</v>
      </c>
      <c r="BQ73" t="s">
        <v>271</v>
      </c>
      <c r="BR73" t="s">
        <v>3754</v>
      </c>
      <c r="BS73" t="s">
        <v>371</v>
      </c>
      <c r="BT73" t="s">
        <v>3755</v>
      </c>
      <c r="BU73" t="s">
        <v>538</v>
      </c>
      <c r="BV73" t="s">
        <v>3756</v>
      </c>
      <c r="BW73" t="s">
        <v>519</v>
      </c>
      <c r="BX73" t="s">
        <v>3757</v>
      </c>
      <c r="BY73" t="s">
        <v>367</v>
      </c>
      <c r="BZ73" t="s">
        <v>3758</v>
      </c>
      <c r="CA73" t="s">
        <v>779</v>
      </c>
      <c r="CB73" t="s">
        <v>3759</v>
      </c>
      <c r="CC73" t="s">
        <v>416</v>
      </c>
      <c r="CD73" t="s">
        <v>1199</v>
      </c>
      <c r="CE73" t="s">
        <v>664</v>
      </c>
      <c r="CF73" t="s">
        <v>3760</v>
      </c>
      <c r="CG73" t="s">
        <v>252</v>
      </c>
      <c r="CH73" t="s">
        <v>3761</v>
      </c>
      <c r="CI73" t="s">
        <v>339</v>
      </c>
      <c r="CJ73" t="s">
        <v>3762</v>
      </c>
      <c r="CK73" t="s">
        <v>595</v>
      </c>
      <c r="CL73" t="s">
        <v>3763</v>
      </c>
      <c r="CM73" t="s">
        <v>589</v>
      </c>
      <c r="CN73" t="s">
        <v>3764</v>
      </c>
      <c r="CO73" t="s">
        <v>360</v>
      </c>
      <c r="CP73" t="s">
        <v>3765</v>
      </c>
      <c r="CQ73" t="s">
        <v>664</v>
      </c>
      <c r="CR73" t="s">
        <v>471</v>
      </c>
      <c r="CS73" t="s">
        <v>538</v>
      </c>
      <c r="CT73" t="s">
        <v>2475</v>
      </c>
      <c r="CU73" t="s">
        <v>696</v>
      </c>
      <c r="CV73" t="s">
        <v>3766</v>
      </c>
      <c r="CW73" t="s">
        <v>287</v>
      </c>
      <c r="CX73" t="s">
        <v>3767</v>
      </c>
      <c r="CY73" t="s">
        <v>397</v>
      </c>
      <c r="CZ73" t="s">
        <v>3768</v>
      </c>
      <c r="DA73" t="s">
        <v>519</v>
      </c>
      <c r="DB73" t="s">
        <v>3769</v>
      </c>
      <c r="DC73" t="s">
        <v>242</v>
      </c>
      <c r="DD73" t="s">
        <v>3770</v>
      </c>
      <c r="DF73" t="s">
        <v>3771</v>
      </c>
      <c r="DG73" t="s">
        <v>242</v>
      </c>
      <c r="DH73" t="s">
        <v>2359</v>
      </c>
    </row>
    <row r="74" spans="1:112" x14ac:dyDescent="0.35">
      <c r="A74" t="s">
        <v>227</v>
      </c>
      <c r="B74" t="s">
        <v>3772</v>
      </c>
      <c r="C74" t="s">
        <v>229</v>
      </c>
      <c r="D74" t="s">
        <v>3773</v>
      </c>
      <c r="E74" t="s">
        <v>231</v>
      </c>
      <c r="F74" t="s">
        <v>3774</v>
      </c>
      <c r="G74" t="s">
        <v>40</v>
      </c>
      <c r="H74" t="s">
        <v>3775</v>
      </c>
      <c r="I74" t="s">
        <v>234</v>
      </c>
      <c r="J74" t="s">
        <v>3776</v>
      </c>
      <c r="L74" t="s">
        <v>3777</v>
      </c>
      <c r="M74" t="s">
        <v>18</v>
      </c>
      <c r="N74" t="s">
        <v>3778</v>
      </c>
      <c r="O74" t="s">
        <v>21</v>
      </c>
      <c r="P74" t="s">
        <v>3779</v>
      </c>
      <c r="Q74" t="s">
        <v>40</v>
      </c>
      <c r="R74" t="s">
        <v>3780</v>
      </c>
      <c r="S74" t="s">
        <v>310</v>
      </c>
      <c r="T74" t="s">
        <v>3781</v>
      </c>
      <c r="U74" t="s">
        <v>40</v>
      </c>
      <c r="V74" t="s">
        <v>3782</v>
      </c>
      <c r="W74" t="s">
        <v>44</v>
      </c>
      <c r="X74" t="s">
        <v>3783</v>
      </c>
      <c r="Y74" t="s">
        <v>242</v>
      </c>
      <c r="Z74" t="s">
        <v>243</v>
      </c>
      <c r="AA74" t="s">
        <v>40</v>
      </c>
      <c r="AB74" t="s">
        <v>244</v>
      </c>
      <c r="AC74" t="s">
        <v>316</v>
      </c>
      <c r="AD74" t="s">
        <v>1879</v>
      </c>
      <c r="AE74" t="s">
        <v>502</v>
      </c>
      <c r="AF74" t="s">
        <v>3784</v>
      </c>
      <c r="AG74" t="s">
        <v>40</v>
      </c>
      <c r="AH74" t="s">
        <v>3785</v>
      </c>
      <c r="AI74" t="s">
        <v>1941</v>
      </c>
      <c r="AJ74" t="s">
        <v>3330</v>
      </c>
      <c r="AK74" t="s">
        <v>3786</v>
      </c>
      <c r="AL74" t="s">
        <v>3787</v>
      </c>
      <c r="AM74" t="s">
        <v>3788</v>
      </c>
      <c r="AN74" t="s">
        <v>3789</v>
      </c>
      <c r="AO74" t="s">
        <v>3487</v>
      </c>
      <c r="AP74" t="s">
        <v>3790</v>
      </c>
      <c r="AQ74" t="s">
        <v>41</v>
      </c>
      <c r="AR74" t="s">
        <v>3791</v>
      </c>
      <c r="AS74" t="s">
        <v>242</v>
      </c>
      <c r="AT74" t="s">
        <v>3792</v>
      </c>
      <c r="AU74" t="s">
        <v>3793</v>
      </c>
      <c r="AV74" t="s">
        <v>3794</v>
      </c>
      <c r="AW74" t="s">
        <v>247</v>
      </c>
      <c r="AX74" t="s">
        <v>3795</v>
      </c>
      <c r="AY74" t="s">
        <v>249</v>
      </c>
      <c r="AZ74" t="s">
        <v>3796</v>
      </c>
      <c r="BA74" t="s">
        <v>242</v>
      </c>
      <c r="BB74" t="s">
        <v>3797</v>
      </c>
      <c r="BC74" t="s">
        <v>449</v>
      </c>
      <c r="BD74" t="s">
        <v>3798</v>
      </c>
      <c r="BE74" t="s">
        <v>688</v>
      </c>
      <c r="BF74" t="s">
        <v>3799</v>
      </c>
      <c r="BG74" t="s">
        <v>365</v>
      </c>
      <c r="BH74" t="s">
        <v>897</v>
      </c>
      <c r="BI74" t="s">
        <v>532</v>
      </c>
      <c r="BJ74" t="s">
        <v>1550</v>
      </c>
      <c r="BK74" t="s">
        <v>416</v>
      </c>
      <c r="BL74" t="s">
        <v>2462</v>
      </c>
      <c r="BM74" t="s">
        <v>408</v>
      </c>
      <c r="BN74" t="s">
        <v>3800</v>
      </c>
      <c r="BO74" t="s">
        <v>416</v>
      </c>
      <c r="BP74" t="s">
        <v>3801</v>
      </c>
      <c r="BQ74" t="s">
        <v>285</v>
      </c>
      <c r="BR74" t="s">
        <v>3802</v>
      </c>
      <c r="BS74" t="s">
        <v>752</v>
      </c>
      <c r="BT74" t="s">
        <v>1248</v>
      </c>
      <c r="BU74" t="s">
        <v>542</v>
      </c>
      <c r="BV74" t="s">
        <v>3803</v>
      </c>
      <c r="BW74" t="s">
        <v>421</v>
      </c>
      <c r="BX74" t="s">
        <v>3804</v>
      </c>
      <c r="BY74" t="s">
        <v>575</v>
      </c>
      <c r="BZ74" t="s">
        <v>3805</v>
      </c>
      <c r="CA74" t="s">
        <v>591</v>
      </c>
      <c r="CB74" t="s">
        <v>3806</v>
      </c>
      <c r="CC74" t="s">
        <v>416</v>
      </c>
      <c r="CD74" t="s">
        <v>3807</v>
      </c>
      <c r="CE74" t="s">
        <v>993</v>
      </c>
      <c r="CF74" t="s">
        <v>3808</v>
      </c>
      <c r="CG74" t="s">
        <v>779</v>
      </c>
      <c r="CH74" t="s">
        <v>757</v>
      </c>
      <c r="CI74" t="s">
        <v>266</v>
      </c>
      <c r="CJ74" t="s">
        <v>3809</v>
      </c>
      <c r="CK74" t="s">
        <v>397</v>
      </c>
      <c r="CL74" t="s">
        <v>1395</v>
      </c>
      <c r="CM74" t="s">
        <v>263</v>
      </c>
      <c r="CN74" t="s">
        <v>3810</v>
      </c>
      <c r="CO74" t="s">
        <v>900</v>
      </c>
      <c r="CP74" t="s">
        <v>3811</v>
      </c>
      <c r="CQ74" t="s">
        <v>585</v>
      </c>
      <c r="CR74" t="s">
        <v>3812</v>
      </c>
      <c r="CS74" t="s">
        <v>367</v>
      </c>
      <c r="CT74" t="s">
        <v>3110</v>
      </c>
      <c r="CU74" t="s">
        <v>287</v>
      </c>
      <c r="CV74" t="s">
        <v>3813</v>
      </c>
      <c r="CW74" t="s">
        <v>367</v>
      </c>
      <c r="CX74" t="s">
        <v>3814</v>
      </c>
      <c r="CY74" t="s">
        <v>528</v>
      </c>
      <c r="CZ74" t="s">
        <v>3815</v>
      </c>
      <c r="DA74" t="s">
        <v>287</v>
      </c>
      <c r="DB74" t="s">
        <v>3816</v>
      </c>
      <c r="DC74" t="s">
        <v>242</v>
      </c>
      <c r="DD74" t="s">
        <v>3253</v>
      </c>
      <c r="DF74" t="s">
        <v>3817</v>
      </c>
      <c r="DG74" t="s">
        <v>242</v>
      </c>
      <c r="DH74" t="s">
        <v>562</v>
      </c>
    </row>
    <row r="75" spans="1:112" x14ac:dyDescent="0.35">
      <c r="A75" t="s">
        <v>227</v>
      </c>
      <c r="B75" t="s">
        <v>3818</v>
      </c>
      <c r="C75" t="s">
        <v>229</v>
      </c>
      <c r="D75" t="s">
        <v>3819</v>
      </c>
      <c r="E75" t="s">
        <v>231</v>
      </c>
      <c r="F75" t="s">
        <v>3820</v>
      </c>
      <c r="G75" t="s">
        <v>40</v>
      </c>
      <c r="H75" t="s">
        <v>3821</v>
      </c>
      <c r="I75" t="s">
        <v>234</v>
      </c>
      <c r="J75" t="s">
        <v>3822</v>
      </c>
      <c r="L75" t="s">
        <v>3823</v>
      </c>
      <c r="M75" t="s">
        <v>18</v>
      </c>
      <c r="N75" t="s">
        <v>3824</v>
      </c>
      <c r="O75" t="s">
        <v>21</v>
      </c>
      <c r="P75" t="s">
        <v>3825</v>
      </c>
      <c r="Q75" t="s">
        <v>40</v>
      </c>
      <c r="R75" t="s">
        <v>3826</v>
      </c>
      <c r="S75" t="s">
        <v>310</v>
      </c>
      <c r="T75" t="s">
        <v>3827</v>
      </c>
      <c r="U75" t="s">
        <v>40</v>
      </c>
      <c r="V75" t="s">
        <v>3828</v>
      </c>
      <c r="W75" t="s">
        <v>44</v>
      </c>
      <c r="X75" t="s">
        <v>3829</v>
      </c>
      <c r="Y75" t="s">
        <v>242</v>
      </c>
      <c r="Z75" t="s">
        <v>243</v>
      </c>
      <c r="AA75" t="s">
        <v>40</v>
      </c>
      <c r="AB75" t="s">
        <v>244</v>
      </c>
      <c r="AC75" t="s">
        <v>316</v>
      </c>
      <c r="AD75" t="s">
        <v>3830</v>
      </c>
      <c r="AE75" t="s">
        <v>502</v>
      </c>
      <c r="AF75" t="s">
        <v>2070</v>
      </c>
      <c r="AG75" t="s">
        <v>40</v>
      </c>
      <c r="AH75" t="s">
        <v>3831</v>
      </c>
      <c r="AI75" t="s">
        <v>621</v>
      </c>
      <c r="AJ75" t="s">
        <v>3832</v>
      </c>
      <c r="AK75" t="s">
        <v>3833</v>
      </c>
      <c r="AL75" t="s">
        <v>3834</v>
      </c>
      <c r="AM75" t="s">
        <v>1350</v>
      </c>
      <c r="AN75" t="s">
        <v>3835</v>
      </c>
      <c r="AO75" t="s">
        <v>2597</v>
      </c>
      <c r="AP75" t="s">
        <v>3836</v>
      </c>
      <c r="AQ75" t="s">
        <v>41</v>
      </c>
      <c r="AR75" t="s">
        <v>3837</v>
      </c>
      <c r="AS75" t="s">
        <v>242</v>
      </c>
      <c r="AT75" t="s">
        <v>3838</v>
      </c>
      <c r="AU75" t="s">
        <v>829</v>
      </c>
      <c r="AV75" t="s">
        <v>3839</v>
      </c>
      <c r="AW75" t="s">
        <v>247</v>
      </c>
      <c r="AX75" t="s">
        <v>3840</v>
      </c>
      <c r="AY75" t="s">
        <v>249</v>
      </c>
      <c r="AZ75" t="s">
        <v>3841</v>
      </c>
      <c r="BA75" t="s">
        <v>242</v>
      </c>
      <c r="BB75" t="s">
        <v>3842</v>
      </c>
      <c r="BC75" t="s">
        <v>858</v>
      </c>
      <c r="BD75" t="s">
        <v>3843</v>
      </c>
      <c r="BE75" t="s">
        <v>451</v>
      </c>
      <c r="BF75" t="s">
        <v>3844</v>
      </c>
      <c r="BG75" t="s">
        <v>481</v>
      </c>
      <c r="BH75" t="s">
        <v>1402</v>
      </c>
      <c r="BI75" t="s">
        <v>274</v>
      </c>
      <c r="BJ75" t="s">
        <v>3845</v>
      </c>
      <c r="BK75" t="s">
        <v>291</v>
      </c>
      <c r="BL75" t="s">
        <v>3846</v>
      </c>
      <c r="BM75" t="s">
        <v>257</v>
      </c>
      <c r="BN75" t="s">
        <v>3847</v>
      </c>
      <c r="BO75" t="s">
        <v>427</v>
      </c>
      <c r="BP75" t="s">
        <v>3848</v>
      </c>
      <c r="BQ75" t="s">
        <v>261</v>
      </c>
      <c r="BR75" t="s">
        <v>3849</v>
      </c>
      <c r="BS75" t="s">
        <v>481</v>
      </c>
      <c r="BT75" t="s">
        <v>3850</v>
      </c>
      <c r="BU75" t="s">
        <v>858</v>
      </c>
      <c r="BV75" t="s">
        <v>3851</v>
      </c>
      <c r="BW75" t="s">
        <v>744</v>
      </c>
      <c r="BX75" t="s">
        <v>3852</v>
      </c>
      <c r="BY75" t="s">
        <v>344</v>
      </c>
      <c r="BZ75" t="s">
        <v>3853</v>
      </c>
      <c r="CA75" t="s">
        <v>348</v>
      </c>
      <c r="CB75" t="s">
        <v>3854</v>
      </c>
      <c r="CC75" t="s">
        <v>473</v>
      </c>
      <c r="CD75" t="s">
        <v>889</v>
      </c>
      <c r="CE75" t="s">
        <v>342</v>
      </c>
      <c r="CF75" t="s">
        <v>3855</v>
      </c>
      <c r="CG75" t="s">
        <v>414</v>
      </c>
      <c r="CH75" t="s">
        <v>3856</v>
      </c>
      <c r="CI75" t="s">
        <v>397</v>
      </c>
      <c r="CJ75" t="s">
        <v>3857</v>
      </c>
      <c r="CK75" t="s">
        <v>424</v>
      </c>
      <c r="CL75" t="s">
        <v>3858</v>
      </c>
      <c r="CM75" t="s">
        <v>342</v>
      </c>
      <c r="CN75" t="s">
        <v>3859</v>
      </c>
      <c r="CO75" t="s">
        <v>538</v>
      </c>
      <c r="CP75" t="s">
        <v>2351</v>
      </c>
      <c r="CQ75" t="s">
        <v>397</v>
      </c>
      <c r="CR75" t="s">
        <v>2982</v>
      </c>
      <c r="CS75" t="s">
        <v>469</v>
      </c>
      <c r="CT75" t="s">
        <v>3860</v>
      </c>
      <c r="CU75" t="s">
        <v>519</v>
      </c>
      <c r="CV75" t="s">
        <v>3861</v>
      </c>
      <c r="CW75" t="s">
        <v>261</v>
      </c>
      <c r="CX75" t="s">
        <v>3862</v>
      </c>
      <c r="CY75" t="s">
        <v>542</v>
      </c>
      <c r="CZ75" t="s">
        <v>3863</v>
      </c>
      <c r="DA75" t="s">
        <v>698</v>
      </c>
      <c r="DB75" t="s">
        <v>3864</v>
      </c>
      <c r="DC75" t="s">
        <v>242</v>
      </c>
      <c r="DD75" t="s">
        <v>3865</v>
      </c>
      <c r="DF75" t="s">
        <v>3866</v>
      </c>
      <c r="DG75" t="s">
        <v>242</v>
      </c>
      <c r="DH75" t="s">
        <v>1939</v>
      </c>
    </row>
    <row r="76" spans="1:112" x14ac:dyDescent="0.35">
      <c r="A76" t="s">
        <v>227</v>
      </c>
      <c r="B76" t="s">
        <v>3867</v>
      </c>
      <c r="C76" t="s">
        <v>229</v>
      </c>
      <c r="D76" t="s">
        <v>3868</v>
      </c>
      <c r="E76" t="s">
        <v>231</v>
      </c>
      <c r="F76" t="s">
        <v>711</v>
      </c>
      <c r="G76" t="s">
        <v>40</v>
      </c>
      <c r="H76" t="s">
        <v>3869</v>
      </c>
      <c r="I76" t="s">
        <v>234</v>
      </c>
      <c r="J76" t="s">
        <v>3870</v>
      </c>
      <c r="L76" t="s">
        <v>3871</v>
      </c>
      <c r="M76" t="s">
        <v>15</v>
      </c>
      <c r="N76" t="s">
        <v>3872</v>
      </c>
      <c r="O76" t="s">
        <v>21</v>
      </c>
      <c r="P76" t="s">
        <v>3873</v>
      </c>
      <c r="Q76" t="s">
        <v>40</v>
      </c>
      <c r="R76" t="s">
        <v>3874</v>
      </c>
      <c r="S76" t="s">
        <v>310</v>
      </c>
      <c r="T76" t="s">
        <v>2834</v>
      </c>
      <c r="U76" t="s">
        <v>40</v>
      </c>
      <c r="V76" t="s">
        <v>3875</v>
      </c>
      <c r="W76" t="s">
        <v>40</v>
      </c>
      <c r="X76" t="s">
        <v>3876</v>
      </c>
      <c r="Y76" t="s">
        <v>3877</v>
      </c>
      <c r="Z76" t="s">
        <v>3878</v>
      </c>
      <c r="AA76" t="s">
        <v>43</v>
      </c>
      <c r="AB76" t="s">
        <v>3879</v>
      </c>
      <c r="AC76" t="s">
        <v>242</v>
      </c>
      <c r="AD76" t="s">
        <v>243</v>
      </c>
      <c r="AE76" t="s">
        <v>242</v>
      </c>
      <c r="AF76" t="s">
        <v>243</v>
      </c>
      <c r="AG76" t="s">
        <v>242</v>
      </c>
      <c r="AH76" t="s">
        <v>243</v>
      </c>
      <c r="AI76" t="s">
        <v>242</v>
      </c>
      <c r="AJ76" t="s">
        <v>243</v>
      </c>
      <c r="AK76" t="s">
        <v>242</v>
      </c>
      <c r="AL76" t="s">
        <v>243</v>
      </c>
      <c r="AM76" t="s">
        <v>3335</v>
      </c>
      <c r="AN76" t="s">
        <v>244</v>
      </c>
      <c r="AO76" t="s">
        <v>325</v>
      </c>
      <c r="AP76" t="s">
        <v>3880</v>
      </c>
      <c r="AQ76" t="s">
        <v>45</v>
      </c>
      <c r="AR76" t="s">
        <v>3881</v>
      </c>
      <c r="AS76" t="s">
        <v>242</v>
      </c>
      <c r="AT76" t="s">
        <v>3882</v>
      </c>
      <c r="AU76" t="s">
        <v>3883</v>
      </c>
      <c r="AV76" t="s">
        <v>3884</v>
      </c>
      <c r="AW76" t="s">
        <v>247</v>
      </c>
      <c r="AX76" t="s">
        <v>3885</v>
      </c>
      <c r="AY76" t="s">
        <v>1172</v>
      </c>
      <c r="AZ76" t="s">
        <v>3886</v>
      </c>
      <c r="BA76" t="s">
        <v>242</v>
      </c>
      <c r="BB76" t="s">
        <v>3887</v>
      </c>
      <c r="BC76" t="s">
        <v>411</v>
      </c>
      <c r="BD76" t="s">
        <v>3888</v>
      </c>
      <c r="BE76" t="s">
        <v>295</v>
      </c>
      <c r="BF76" t="s">
        <v>3889</v>
      </c>
      <c r="BG76" t="s">
        <v>698</v>
      </c>
      <c r="BH76" t="s">
        <v>3890</v>
      </c>
      <c r="BI76" t="s">
        <v>295</v>
      </c>
      <c r="BJ76" t="s">
        <v>3891</v>
      </c>
      <c r="BK76" t="s">
        <v>285</v>
      </c>
      <c r="BL76" t="s">
        <v>3892</v>
      </c>
      <c r="BM76" t="s">
        <v>411</v>
      </c>
      <c r="BN76" t="s">
        <v>3893</v>
      </c>
      <c r="BO76" t="s">
        <v>467</v>
      </c>
      <c r="BP76" t="s">
        <v>3894</v>
      </c>
      <c r="BQ76" t="s">
        <v>1131</v>
      </c>
      <c r="BR76" t="s">
        <v>3895</v>
      </c>
      <c r="BS76" t="s">
        <v>397</v>
      </c>
      <c r="BT76" t="s">
        <v>3896</v>
      </c>
      <c r="BU76" t="s">
        <v>429</v>
      </c>
      <c r="BV76" t="s">
        <v>3897</v>
      </c>
      <c r="BW76" t="s">
        <v>287</v>
      </c>
      <c r="BX76" t="s">
        <v>3898</v>
      </c>
      <c r="BY76" t="s">
        <v>467</v>
      </c>
      <c r="BZ76" t="s">
        <v>3899</v>
      </c>
      <c r="CA76" t="s">
        <v>360</v>
      </c>
      <c r="CB76" t="s">
        <v>3900</v>
      </c>
      <c r="CC76" t="s">
        <v>254</v>
      </c>
      <c r="CD76" t="s">
        <v>3901</v>
      </c>
      <c r="CE76" t="s">
        <v>365</v>
      </c>
      <c r="CF76" t="s">
        <v>3902</v>
      </c>
      <c r="CG76" t="s">
        <v>698</v>
      </c>
      <c r="CH76" t="s">
        <v>3903</v>
      </c>
      <c r="CI76" t="s">
        <v>429</v>
      </c>
      <c r="CJ76" t="s">
        <v>3904</v>
      </c>
      <c r="CK76" t="s">
        <v>688</v>
      </c>
      <c r="CL76" t="s">
        <v>3905</v>
      </c>
      <c r="CM76" t="s">
        <v>779</v>
      </c>
      <c r="CN76" t="s">
        <v>3906</v>
      </c>
      <c r="CO76" t="s">
        <v>254</v>
      </c>
      <c r="CP76" t="s">
        <v>3756</v>
      </c>
      <c r="CQ76" t="s">
        <v>287</v>
      </c>
      <c r="CR76" t="s">
        <v>3907</v>
      </c>
      <c r="CS76" t="s">
        <v>429</v>
      </c>
      <c r="CT76" t="s">
        <v>810</v>
      </c>
      <c r="CU76" t="s">
        <v>473</v>
      </c>
      <c r="CV76" t="s">
        <v>3908</v>
      </c>
      <c r="CW76" t="s">
        <v>271</v>
      </c>
      <c r="CX76" t="s">
        <v>641</v>
      </c>
      <c r="CY76" t="s">
        <v>1815</v>
      </c>
      <c r="CZ76" t="s">
        <v>3909</v>
      </c>
      <c r="DA76" t="s">
        <v>295</v>
      </c>
      <c r="DB76" t="s">
        <v>3910</v>
      </c>
      <c r="DC76" t="s">
        <v>242</v>
      </c>
      <c r="DD76" t="s">
        <v>3327</v>
      </c>
      <c r="DF76" t="s">
        <v>3911</v>
      </c>
      <c r="DG76" t="s">
        <v>242</v>
      </c>
      <c r="DH76" t="s">
        <v>3912</v>
      </c>
    </row>
    <row r="77" spans="1:112" x14ac:dyDescent="0.35">
      <c r="A77" t="s">
        <v>227</v>
      </c>
      <c r="B77" t="s">
        <v>3913</v>
      </c>
      <c r="C77" t="s">
        <v>229</v>
      </c>
      <c r="D77" t="s">
        <v>3914</v>
      </c>
      <c r="E77" t="s">
        <v>231</v>
      </c>
      <c r="F77" t="s">
        <v>3915</v>
      </c>
      <c r="G77" t="s">
        <v>40</v>
      </c>
      <c r="H77" t="s">
        <v>3916</v>
      </c>
      <c r="I77" t="s">
        <v>234</v>
      </c>
      <c r="J77" t="s">
        <v>3917</v>
      </c>
      <c r="L77" t="s">
        <v>3918</v>
      </c>
      <c r="M77" t="s">
        <v>15</v>
      </c>
      <c r="N77" t="s">
        <v>3919</v>
      </c>
      <c r="O77" t="s">
        <v>21</v>
      </c>
      <c r="P77" t="s">
        <v>3920</v>
      </c>
      <c r="Q77" t="s">
        <v>40</v>
      </c>
      <c r="R77" t="s">
        <v>3921</v>
      </c>
      <c r="S77" t="s">
        <v>310</v>
      </c>
      <c r="T77" t="s">
        <v>3922</v>
      </c>
      <c r="U77" t="s">
        <v>40</v>
      </c>
      <c r="V77" t="s">
        <v>3923</v>
      </c>
      <c r="W77" t="s">
        <v>40</v>
      </c>
      <c r="X77" t="s">
        <v>3924</v>
      </c>
      <c r="Y77" t="s">
        <v>84</v>
      </c>
      <c r="Z77" t="s">
        <v>3925</v>
      </c>
      <c r="AA77" t="s">
        <v>40</v>
      </c>
      <c r="AB77" t="s">
        <v>3926</v>
      </c>
      <c r="AC77" t="s">
        <v>316</v>
      </c>
      <c r="AD77" t="s">
        <v>3927</v>
      </c>
      <c r="AE77" t="s">
        <v>502</v>
      </c>
      <c r="AF77" t="s">
        <v>3928</v>
      </c>
      <c r="AG77" t="s">
        <v>40</v>
      </c>
      <c r="AH77" t="s">
        <v>3929</v>
      </c>
      <c r="AI77" t="s">
        <v>2479</v>
      </c>
      <c r="AJ77" t="s">
        <v>3930</v>
      </c>
      <c r="AK77" t="s">
        <v>3931</v>
      </c>
      <c r="AL77" t="s">
        <v>3932</v>
      </c>
      <c r="AM77" t="s">
        <v>1703</v>
      </c>
      <c r="AN77" t="s">
        <v>3933</v>
      </c>
      <c r="AO77" t="s">
        <v>1498</v>
      </c>
      <c r="AP77" t="s">
        <v>3934</v>
      </c>
      <c r="AQ77" t="s">
        <v>41</v>
      </c>
      <c r="AR77" t="s">
        <v>3935</v>
      </c>
      <c r="AS77" t="s">
        <v>242</v>
      </c>
      <c r="AT77" t="s">
        <v>3936</v>
      </c>
      <c r="AU77" t="s">
        <v>3937</v>
      </c>
      <c r="AV77" t="s">
        <v>3938</v>
      </c>
      <c r="AW77" t="s">
        <v>247</v>
      </c>
      <c r="AX77" t="s">
        <v>3939</v>
      </c>
      <c r="AY77" t="s">
        <v>249</v>
      </c>
      <c r="AZ77" t="s">
        <v>3940</v>
      </c>
      <c r="BA77" t="s">
        <v>242</v>
      </c>
      <c r="BB77" t="s">
        <v>3941</v>
      </c>
      <c r="BC77" t="s">
        <v>467</v>
      </c>
      <c r="BD77" t="s">
        <v>3942</v>
      </c>
      <c r="BE77" t="s">
        <v>731</v>
      </c>
      <c r="BF77" t="s">
        <v>3943</v>
      </c>
      <c r="BG77" t="s">
        <v>371</v>
      </c>
      <c r="BH77" t="s">
        <v>3944</v>
      </c>
      <c r="BI77" t="s">
        <v>285</v>
      </c>
      <c r="BJ77" t="s">
        <v>3945</v>
      </c>
      <c r="BK77" t="s">
        <v>397</v>
      </c>
      <c r="BL77" t="s">
        <v>3946</v>
      </c>
      <c r="BM77" t="s">
        <v>371</v>
      </c>
      <c r="BN77" t="s">
        <v>3947</v>
      </c>
      <c r="BO77" t="s">
        <v>401</v>
      </c>
      <c r="BP77" t="s">
        <v>3948</v>
      </c>
      <c r="BQ77" t="s">
        <v>291</v>
      </c>
      <c r="BR77" t="s">
        <v>3949</v>
      </c>
      <c r="BS77" t="s">
        <v>348</v>
      </c>
      <c r="BT77" t="s">
        <v>3950</v>
      </c>
      <c r="BU77" t="s">
        <v>393</v>
      </c>
      <c r="BV77" t="s">
        <v>3951</v>
      </c>
      <c r="BW77" t="s">
        <v>339</v>
      </c>
      <c r="BX77" t="s">
        <v>3806</v>
      </c>
      <c r="BY77" t="s">
        <v>365</v>
      </c>
      <c r="BZ77" t="s">
        <v>3952</v>
      </c>
      <c r="CA77" t="s">
        <v>342</v>
      </c>
      <c r="CB77" t="s">
        <v>2165</v>
      </c>
      <c r="CC77" t="s">
        <v>752</v>
      </c>
      <c r="CD77" t="s">
        <v>3953</v>
      </c>
      <c r="CE77" t="s">
        <v>591</v>
      </c>
      <c r="CF77" t="s">
        <v>3954</v>
      </c>
      <c r="CG77" t="s">
        <v>528</v>
      </c>
      <c r="CH77" t="s">
        <v>2064</v>
      </c>
      <c r="CI77" t="s">
        <v>664</v>
      </c>
      <c r="CJ77" t="s">
        <v>3955</v>
      </c>
      <c r="CK77" t="s">
        <v>348</v>
      </c>
      <c r="CL77" t="s">
        <v>3956</v>
      </c>
      <c r="CM77" t="s">
        <v>252</v>
      </c>
      <c r="CN77" t="s">
        <v>3957</v>
      </c>
      <c r="CO77" t="s">
        <v>339</v>
      </c>
      <c r="CP77" t="s">
        <v>3958</v>
      </c>
      <c r="CQ77" t="s">
        <v>365</v>
      </c>
      <c r="CR77" t="s">
        <v>3959</v>
      </c>
      <c r="CS77" t="s">
        <v>424</v>
      </c>
      <c r="CT77" t="s">
        <v>3960</v>
      </c>
      <c r="CU77" t="s">
        <v>397</v>
      </c>
      <c r="CV77" t="s">
        <v>2446</v>
      </c>
      <c r="CW77" t="s">
        <v>744</v>
      </c>
      <c r="CX77" t="s">
        <v>3961</v>
      </c>
      <c r="CY77" t="s">
        <v>427</v>
      </c>
      <c r="CZ77" t="s">
        <v>3962</v>
      </c>
      <c r="DA77" t="s">
        <v>542</v>
      </c>
      <c r="DB77" t="s">
        <v>3963</v>
      </c>
      <c r="DC77" t="s">
        <v>242</v>
      </c>
      <c r="DD77" t="s">
        <v>759</v>
      </c>
      <c r="DF77" t="s">
        <v>3964</v>
      </c>
      <c r="DG77" t="s">
        <v>242</v>
      </c>
      <c r="DH77" t="s">
        <v>3965</v>
      </c>
    </row>
    <row r="78" spans="1:112" x14ac:dyDescent="0.35">
      <c r="A78" t="s">
        <v>227</v>
      </c>
      <c r="B78" t="s">
        <v>3966</v>
      </c>
      <c r="C78" t="s">
        <v>229</v>
      </c>
      <c r="D78" t="s">
        <v>3967</v>
      </c>
      <c r="E78" t="s">
        <v>231</v>
      </c>
      <c r="F78" t="s">
        <v>3968</v>
      </c>
      <c r="G78" t="s">
        <v>40</v>
      </c>
      <c r="H78" t="s">
        <v>3969</v>
      </c>
      <c r="I78" t="s">
        <v>234</v>
      </c>
      <c r="J78" t="s">
        <v>3970</v>
      </c>
      <c r="L78" t="s">
        <v>3971</v>
      </c>
      <c r="M78" t="s">
        <v>18</v>
      </c>
      <c r="N78" t="s">
        <v>3972</v>
      </c>
      <c r="O78" t="s">
        <v>21</v>
      </c>
      <c r="P78" t="s">
        <v>3973</v>
      </c>
      <c r="Q78" t="s">
        <v>40</v>
      </c>
      <c r="R78" t="s">
        <v>3974</v>
      </c>
      <c r="S78" t="s">
        <v>310</v>
      </c>
      <c r="T78" t="s">
        <v>3975</v>
      </c>
      <c r="U78" t="s">
        <v>40</v>
      </c>
      <c r="V78" t="s">
        <v>3976</v>
      </c>
      <c r="W78" t="s">
        <v>44</v>
      </c>
      <c r="X78" t="s">
        <v>3977</v>
      </c>
      <c r="Y78" t="s">
        <v>242</v>
      </c>
      <c r="Z78" t="s">
        <v>243</v>
      </c>
      <c r="AA78" t="s">
        <v>43</v>
      </c>
      <c r="AB78" t="s">
        <v>244</v>
      </c>
      <c r="AC78" t="s">
        <v>242</v>
      </c>
      <c r="AD78" t="s">
        <v>243</v>
      </c>
      <c r="AE78" t="s">
        <v>242</v>
      </c>
      <c r="AF78" t="s">
        <v>243</v>
      </c>
      <c r="AG78" t="s">
        <v>242</v>
      </c>
      <c r="AH78" t="s">
        <v>243</v>
      </c>
      <c r="AI78" t="s">
        <v>242</v>
      </c>
      <c r="AJ78" t="s">
        <v>243</v>
      </c>
      <c r="AK78" t="s">
        <v>242</v>
      </c>
      <c r="AL78" t="s">
        <v>243</v>
      </c>
      <c r="AM78" t="s">
        <v>325</v>
      </c>
      <c r="AN78" t="s">
        <v>244</v>
      </c>
      <c r="AO78" t="s">
        <v>825</v>
      </c>
      <c r="AP78" t="s">
        <v>3978</v>
      </c>
      <c r="AQ78" t="s">
        <v>46</v>
      </c>
      <c r="AR78" t="s">
        <v>3979</v>
      </c>
      <c r="AS78" t="s">
        <v>242</v>
      </c>
      <c r="AT78" t="s">
        <v>3980</v>
      </c>
      <c r="AU78" t="s">
        <v>3981</v>
      </c>
      <c r="AV78" t="s">
        <v>3982</v>
      </c>
      <c r="AW78" t="s">
        <v>247</v>
      </c>
      <c r="AX78" t="s">
        <v>3983</v>
      </c>
      <c r="AY78" t="s">
        <v>249</v>
      </c>
      <c r="AZ78" t="s">
        <v>3984</v>
      </c>
      <c r="BA78" t="s">
        <v>242</v>
      </c>
      <c r="BB78" t="s">
        <v>3985</v>
      </c>
      <c r="BC78" t="s">
        <v>519</v>
      </c>
      <c r="BD78" t="s">
        <v>3986</v>
      </c>
      <c r="BE78" t="s">
        <v>575</v>
      </c>
      <c r="BF78" t="s">
        <v>3987</v>
      </c>
      <c r="BG78" t="s">
        <v>360</v>
      </c>
      <c r="BH78" t="s">
        <v>3988</v>
      </c>
      <c r="BI78" t="s">
        <v>291</v>
      </c>
      <c r="BJ78" t="s">
        <v>3989</v>
      </c>
      <c r="BK78" t="s">
        <v>469</v>
      </c>
      <c r="BL78" t="s">
        <v>3990</v>
      </c>
      <c r="BM78" t="s">
        <v>481</v>
      </c>
      <c r="BN78" t="s">
        <v>3991</v>
      </c>
      <c r="BO78" t="s">
        <v>519</v>
      </c>
      <c r="BP78" t="s">
        <v>3992</v>
      </c>
      <c r="BQ78" t="s">
        <v>575</v>
      </c>
      <c r="BR78" t="s">
        <v>3993</v>
      </c>
      <c r="BS78" t="s">
        <v>401</v>
      </c>
      <c r="BT78" t="s">
        <v>3994</v>
      </c>
      <c r="BU78" t="s">
        <v>371</v>
      </c>
      <c r="BV78" t="s">
        <v>3995</v>
      </c>
      <c r="BW78" t="s">
        <v>339</v>
      </c>
      <c r="BX78" t="s">
        <v>3996</v>
      </c>
      <c r="BY78" t="s">
        <v>779</v>
      </c>
      <c r="BZ78" t="s">
        <v>3805</v>
      </c>
      <c r="CA78" t="s">
        <v>351</v>
      </c>
      <c r="CB78" t="s">
        <v>3997</v>
      </c>
      <c r="CC78" t="s">
        <v>360</v>
      </c>
      <c r="CD78" t="s">
        <v>3998</v>
      </c>
      <c r="CE78" t="s">
        <v>421</v>
      </c>
      <c r="CF78" t="s">
        <v>3999</v>
      </c>
      <c r="CG78" t="s">
        <v>744</v>
      </c>
      <c r="CH78" t="s">
        <v>4000</v>
      </c>
      <c r="CI78" t="s">
        <v>360</v>
      </c>
      <c r="CJ78" t="s">
        <v>4001</v>
      </c>
      <c r="CK78" t="s">
        <v>414</v>
      </c>
      <c r="CL78" t="s">
        <v>4002</v>
      </c>
      <c r="CM78" t="s">
        <v>528</v>
      </c>
      <c r="CN78" t="s">
        <v>4003</v>
      </c>
      <c r="CO78" t="s">
        <v>360</v>
      </c>
      <c r="CP78" t="s">
        <v>4004</v>
      </c>
      <c r="CQ78" t="s">
        <v>351</v>
      </c>
      <c r="CR78" t="s">
        <v>4005</v>
      </c>
      <c r="CS78" t="s">
        <v>335</v>
      </c>
      <c r="CT78" t="s">
        <v>4006</v>
      </c>
      <c r="CU78" t="s">
        <v>360</v>
      </c>
      <c r="CV78" t="s">
        <v>4007</v>
      </c>
      <c r="CW78" t="s">
        <v>367</v>
      </c>
      <c r="CX78" t="s">
        <v>4008</v>
      </c>
      <c r="CY78" t="s">
        <v>360</v>
      </c>
      <c r="CZ78" t="s">
        <v>4009</v>
      </c>
      <c r="DA78" t="s">
        <v>371</v>
      </c>
      <c r="DB78" t="s">
        <v>4010</v>
      </c>
      <c r="DC78" t="s">
        <v>242</v>
      </c>
      <c r="DD78" t="s">
        <v>4011</v>
      </c>
      <c r="DF78" t="s">
        <v>4012</v>
      </c>
      <c r="DG78" t="s">
        <v>242</v>
      </c>
      <c r="DH78" t="s">
        <v>4013</v>
      </c>
    </row>
    <row r="79" spans="1:112" x14ac:dyDescent="0.35">
      <c r="A79" t="s">
        <v>227</v>
      </c>
      <c r="B79" t="s">
        <v>4014</v>
      </c>
      <c r="C79" t="s">
        <v>229</v>
      </c>
      <c r="D79" t="s">
        <v>1605</v>
      </c>
      <c r="E79" t="s">
        <v>231</v>
      </c>
      <c r="F79" t="s">
        <v>958</v>
      </c>
      <c r="G79" t="s">
        <v>40</v>
      </c>
      <c r="H79" t="s">
        <v>4015</v>
      </c>
      <c r="I79" t="s">
        <v>234</v>
      </c>
      <c r="J79" t="s">
        <v>989</v>
      </c>
      <c r="L79" t="s">
        <v>4016</v>
      </c>
      <c r="M79" t="s">
        <v>15</v>
      </c>
      <c r="N79" t="s">
        <v>3564</v>
      </c>
      <c r="O79" t="s">
        <v>21</v>
      </c>
      <c r="P79" t="s">
        <v>4017</v>
      </c>
      <c r="Q79" t="s">
        <v>40</v>
      </c>
      <c r="R79" t="s">
        <v>1042</v>
      </c>
      <c r="S79" t="s">
        <v>310</v>
      </c>
      <c r="T79" t="s">
        <v>4018</v>
      </c>
      <c r="U79" t="s">
        <v>40</v>
      </c>
      <c r="V79" t="s">
        <v>1008</v>
      </c>
      <c r="W79" t="s">
        <v>44</v>
      </c>
      <c r="X79" t="s">
        <v>4019</v>
      </c>
      <c r="Y79" t="s">
        <v>242</v>
      </c>
      <c r="Z79" t="s">
        <v>243</v>
      </c>
      <c r="AA79" t="s">
        <v>40</v>
      </c>
      <c r="AB79" t="s">
        <v>244</v>
      </c>
      <c r="AC79" t="s">
        <v>316</v>
      </c>
      <c r="AD79" t="s">
        <v>2430</v>
      </c>
      <c r="AE79" t="s">
        <v>502</v>
      </c>
      <c r="AF79" t="s">
        <v>4020</v>
      </c>
      <c r="AG79" t="s">
        <v>40</v>
      </c>
      <c r="AH79" t="s">
        <v>4021</v>
      </c>
      <c r="AI79" t="s">
        <v>621</v>
      </c>
      <c r="AJ79" t="s">
        <v>4022</v>
      </c>
      <c r="AK79" t="s">
        <v>4023</v>
      </c>
      <c r="AL79" t="s">
        <v>4024</v>
      </c>
      <c r="AM79" t="s">
        <v>1074</v>
      </c>
      <c r="AN79" t="s">
        <v>4025</v>
      </c>
      <c r="AO79" t="s">
        <v>1760</v>
      </c>
      <c r="AP79" t="s">
        <v>4026</v>
      </c>
      <c r="AQ79" t="s">
        <v>41</v>
      </c>
      <c r="AR79" t="s">
        <v>4027</v>
      </c>
      <c r="AS79" t="s">
        <v>242</v>
      </c>
      <c r="AT79" t="s">
        <v>4028</v>
      </c>
      <c r="AU79" t="s">
        <v>4029</v>
      </c>
      <c r="AV79" t="s">
        <v>4030</v>
      </c>
      <c r="AW79" t="s">
        <v>247</v>
      </c>
      <c r="AX79" t="s">
        <v>3409</v>
      </c>
      <c r="AY79" t="s">
        <v>249</v>
      </c>
      <c r="AZ79" t="s">
        <v>4031</v>
      </c>
      <c r="BA79" t="s">
        <v>242</v>
      </c>
      <c r="BB79" t="s">
        <v>4032</v>
      </c>
      <c r="BC79" t="s">
        <v>285</v>
      </c>
      <c r="BD79" t="s">
        <v>4033</v>
      </c>
      <c r="BE79" t="s">
        <v>295</v>
      </c>
      <c r="BF79" t="s">
        <v>4034</v>
      </c>
      <c r="BG79" t="s">
        <v>401</v>
      </c>
      <c r="BH79" t="s">
        <v>4035</v>
      </c>
      <c r="BI79" t="s">
        <v>779</v>
      </c>
      <c r="BJ79" t="s">
        <v>1819</v>
      </c>
      <c r="BK79" t="s">
        <v>416</v>
      </c>
      <c r="BL79" t="s">
        <v>4036</v>
      </c>
      <c r="BM79" t="s">
        <v>595</v>
      </c>
      <c r="BN79" t="s">
        <v>4037</v>
      </c>
      <c r="BO79" t="s">
        <v>900</v>
      </c>
      <c r="BP79" t="s">
        <v>4038</v>
      </c>
      <c r="BQ79" t="s">
        <v>595</v>
      </c>
      <c r="BR79" t="s">
        <v>4039</v>
      </c>
      <c r="BS79" t="s">
        <v>595</v>
      </c>
      <c r="BT79" t="s">
        <v>4040</v>
      </c>
      <c r="BU79" t="s">
        <v>356</v>
      </c>
      <c r="BV79" t="s">
        <v>4041</v>
      </c>
      <c r="BW79" t="s">
        <v>356</v>
      </c>
      <c r="BX79" t="s">
        <v>4042</v>
      </c>
      <c r="BY79" t="s">
        <v>397</v>
      </c>
      <c r="BZ79" t="s">
        <v>4043</v>
      </c>
      <c r="CA79" t="s">
        <v>263</v>
      </c>
      <c r="CB79" t="s">
        <v>4044</v>
      </c>
      <c r="CC79" t="s">
        <v>279</v>
      </c>
      <c r="CD79" t="s">
        <v>4045</v>
      </c>
      <c r="CE79" t="s">
        <v>1142</v>
      </c>
      <c r="CF79" t="s">
        <v>4046</v>
      </c>
      <c r="CG79" t="s">
        <v>1137</v>
      </c>
      <c r="CH79" t="s">
        <v>4008</v>
      </c>
      <c r="CI79" t="s">
        <v>696</v>
      </c>
      <c r="CJ79" t="s">
        <v>4047</v>
      </c>
      <c r="CK79" t="s">
        <v>266</v>
      </c>
      <c r="CL79" t="s">
        <v>4048</v>
      </c>
      <c r="CM79" t="s">
        <v>266</v>
      </c>
      <c r="CN79" t="s">
        <v>4049</v>
      </c>
      <c r="CO79" t="s">
        <v>993</v>
      </c>
      <c r="CP79" t="s">
        <v>4050</v>
      </c>
      <c r="CQ79" t="s">
        <v>416</v>
      </c>
      <c r="CR79" t="s">
        <v>4051</v>
      </c>
      <c r="CS79" t="s">
        <v>356</v>
      </c>
      <c r="CT79" t="s">
        <v>4052</v>
      </c>
      <c r="CU79" t="s">
        <v>416</v>
      </c>
      <c r="CV79" t="s">
        <v>1878</v>
      </c>
      <c r="CW79" t="s">
        <v>339</v>
      </c>
      <c r="CX79" t="s">
        <v>4053</v>
      </c>
      <c r="CY79" t="s">
        <v>365</v>
      </c>
      <c r="CZ79" t="s">
        <v>3339</v>
      </c>
      <c r="DA79" t="s">
        <v>399</v>
      </c>
      <c r="DB79" t="s">
        <v>4054</v>
      </c>
      <c r="DC79" t="s">
        <v>242</v>
      </c>
      <c r="DD79" t="s">
        <v>4055</v>
      </c>
      <c r="DF79" t="s">
        <v>4056</v>
      </c>
      <c r="DG79" t="s">
        <v>242</v>
      </c>
      <c r="DH79" t="s">
        <v>4057</v>
      </c>
    </row>
    <row r="80" spans="1:112" x14ac:dyDescent="0.35">
      <c r="A80" t="s">
        <v>227</v>
      </c>
      <c r="B80" t="s">
        <v>4058</v>
      </c>
      <c r="C80" t="s">
        <v>229</v>
      </c>
      <c r="D80" t="s">
        <v>4059</v>
      </c>
      <c r="E80" t="s">
        <v>231</v>
      </c>
      <c r="F80" t="s">
        <v>4060</v>
      </c>
      <c r="G80" t="s">
        <v>40</v>
      </c>
      <c r="H80" t="s">
        <v>4061</v>
      </c>
      <c r="I80" t="s">
        <v>234</v>
      </c>
      <c r="J80" t="s">
        <v>975</v>
      </c>
      <c r="L80" t="s">
        <v>4062</v>
      </c>
      <c r="M80" t="s">
        <v>15</v>
      </c>
      <c r="N80" t="s">
        <v>4063</v>
      </c>
      <c r="O80" t="s">
        <v>21</v>
      </c>
      <c r="P80" t="s">
        <v>4064</v>
      </c>
      <c r="Q80" t="s">
        <v>40</v>
      </c>
      <c r="R80" t="s">
        <v>4065</v>
      </c>
      <c r="S80" t="s">
        <v>310</v>
      </c>
      <c r="T80" t="s">
        <v>4066</v>
      </c>
      <c r="U80" t="s">
        <v>40</v>
      </c>
      <c r="V80" t="s">
        <v>4067</v>
      </c>
      <c r="W80" t="s">
        <v>44</v>
      </c>
      <c r="X80" t="s">
        <v>4068</v>
      </c>
      <c r="Y80" t="s">
        <v>242</v>
      </c>
      <c r="Z80" t="s">
        <v>243</v>
      </c>
      <c r="AA80" t="s">
        <v>40</v>
      </c>
      <c r="AB80" t="s">
        <v>244</v>
      </c>
      <c r="AC80" t="s">
        <v>316</v>
      </c>
      <c r="AD80" t="s">
        <v>4069</v>
      </c>
      <c r="AE80" t="s">
        <v>502</v>
      </c>
      <c r="AF80" t="s">
        <v>4070</v>
      </c>
      <c r="AG80" t="s">
        <v>40</v>
      </c>
      <c r="AH80" t="s">
        <v>4071</v>
      </c>
      <c r="AI80" t="s">
        <v>621</v>
      </c>
      <c r="AJ80" t="s">
        <v>4072</v>
      </c>
      <c r="AK80" t="s">
        <v>4073</v>
      </c>
      <c r="AL80" t="s">
        <v>4074</v>
      </c>
      <c r="AM80" t="s">
        <v>40</v>
      </c>
      <c r="AN80" t="s">
        <v>4075</v>
      </c>
      <c r="AO80" t="s">
        <v>1760</v>
      </c>
      <c r="AP80" t="s">
        <v>4076</v>
      </c>
      <c r="AQ80" t="s">
        <v>46</v>
      </c>
      <c r="AR80" t="s">
        <v>4077</v>
      </c>
      <c r="AS80" t="s">
        <v>242</v>
      </c>
      <c r="AT80" t="s">
        <v>4078</v>
      </c>
      <c r="AU80" t="s">
        <v>330</v>
      </c>
      <c r="AV80" t="s">
        <v>4079</v>
      </c>
      <c r="AW80" t="s">
        <v>247</v>
      </c>
      <c r="AX80" t="s">
        <v>4080</v>
      </c>
      <c r="AY80" t="s">
        <v>249</v>
      </c>
      <c r="AZ80" t="s">
        <v>4081</v>
      </c>
      <c r="BA80" t="s">
        <v>242</v>
      </c>
      <c r="BB80" t="s">
        <v>4082</v>
      </c>
      <c r="BC80" t="s">
        <v>254</v>
      </c>
      <c r="BD80" t="s">
        <v>4083</v>
      </c>
      <c r="BE80" t="s">
        <v>274</v>
      </c>
      <c r="BF80" t="s">
        <v>4084</v>
      </c>
      <c r="BG80" t="s">
        <v>698</v>
      </c>
      <c r="BH80" t="s">
        <v>4085</v>
      </c>
      <c r="BI80" t="s">
        <v>289</v>
      </c>
      <c r="BJ80" t="s">
        <v>4086</v>
      </c>
      <c r="BK80" t="s">
        <v>371</v>
      </c>
      <c r="BL80" t="s">
        <v>4087</v>
      </c>
      <c r="BM80" t="s">
        <v>393</v>
      </c>
      <c r="BN80" t="s">
        <v>4088</v>
      </c>
      <c r="BO80" t="s">
        <v>401</v>
      </c>
      <c r="BP80" t="s">
        <v>4089</v>
      </c>
      <c r="BQ80" t="s">
        <v>287</v>
      </c>
      <c r="BR80" t="s">
        <v>4090</v>
      </c>
      <c r="BS80" t="s">
        <v>287</v>
      </c>
      <c r="BT80" t="s">
        <v>4091</v>
      </c>
      <c r="BU80" t="s">
        <v>339</v>
      </c>
      <c r="BV80" t="s">
        <v>4092</v>
      </c>
      <c r="BW80" t="s">
        <v>339</v>
      </c>
      <c r="BX80" t="s">
        <v>4093</v>
      </c>
      <c r="BY80" t="s">
        <v>900</v>
      </c>
      <c r="BZ80" t="s">
        <v>4094</v>
      </c>
      <c r="CA80" t="s">
        <v>348</v>
      </c>
      <c r="CB80" t="s">
        <v>4095</v>
      </c>
      <c r="CC80" t="s">
        <v>589</v>
      </c>
      <c r="CD80" t="s">
        <v>4096</v>
      </c>
      <c r="CE80" t="s">
        <v>583</v>
      </c>
      <c r="CF80" t="s">
        <v>4097</v>
      </c>
      <c r="CG80" t="s">
        <v>595</v>
      </c>
      <c r="CH80" t="s">
        <v>706</v>
      </c>
      <c r="CI80" t="s">
        <v>266</v>
      </c>
      <c r="CJ80" t="s">
        <v>4098</v>
      </c>
      <c r="CK80" t="s">
        <v>528</v>
      </c>
      <c r="CL80" t="s">
        <v>4099</v>
      </c>
      <c r="CM80" t="s">
        <v>993</v>
      </c>
      <c r="CN80" t="s">
        <v>4100</v>
      </c>
      <c r="CO80" t="s">
        <v>348</v>
      </c>
      <c r="CP80" t="s">
        <v>1574</v>
      </c>
      <c r="CQ80" t="s">
        <v>519</v>
      </c>
      <c r="CR80" t="s">
        <v>4101</v>
      </c>
      <c r="CS80" t="s">
        <v>243</v>
      </c>
      <c r="CT80" t="s">
        <v>4102</v>
      </c>
      <c r="CU80" t="s">
        <v>519</v>
      </c>
      <c r="CV80" t="s">
        <v>4103</v>
      </c>
      <c r="CW80" t="s">
        <v>243</v>
      </c>
      <c r="CX80" t="s">
        <v>4104</v>
      </c>
      <c r="CY80" t="s">
        <v>519</v>
      </c>
      <c r="CZ80" t="s">
        <v>4105</v>
      </c>
      <c r="DA80" t="s">
        <v>243</v>
      </c>
      <c r="DB80" t="s">
        <v>4106</v>
      </c>
      <c r="DC80" t="s">
        <v>242</v>
      </c>
      <c r="DD80" t="s">
        <v>4107</v>
      </c>
      <c r="DF80" t="s">
        <v>4108</v>
      </c>
      <c r="DG80" t="s">
        <v>242</v>
      </c>
      <c r="DH80" t="s">
        <v>4109</v>
      </c>
    </row>
    <row r="81" spans="1:112" x14ac:dyDescent="0.35">
      <c r="A81" t="s">
        <v>227</v>
      </c>
      <c r="B81" t="s">
        <v>4110</v>
      </c>
      <c r="C81" t="s">
        <v>229</v>
      </c>
      <c r="D81" t="s">
        <v>4111</v>
      </c>
      <c r="E81" t="s">
        <v>231</v>
      </c>
      <c r="F81" t="s">
        <v>1353</v>
      </c>
      <c r="G81" t="s">
        <v>40</v>
      </c>
      <c r="H81" t="s">
        <v>4112</v>
      </c>
      <c r="I81" t="s">
        <v>234</v>
      </c>
      <c r="J81" t="s">
        <v>4113</v>
      </c>
      <c r="L81" t="s">
        <v>4114</v>
      </c>
      <c r="M81" t="s">
        <v>15</v>
      </c>
      <c r="N81" t="s">
        <v>4115</v>
      </c>
      <c r="O81" t="s">
        <v>21</v>
      </c>
      <c r="P81" t="s">
        <v>4116</v>
      </c>
      <c r="Q81" t="s">
        <v>40</v>
      </c>
      <c r="R81" t="s">
        <v>4117</v>
      </c>
      <c r="S81" t="s">
        <v>310</v>
      </c>
      <c r="T81" t="s">
        <v>4118</v>
      </c>
      <c r="U81" t="s">
        <v>40</v>
      </c>
      <c r="V81" t="s">
        <v>4119</v>
      </c>
      <c r="W81" t="s">
        <v>44</v>
      </c>
      <c r="X81" t="s">
        <v>4120</v>
      </c>
      <c r="Y81" t="s">
        <v>242</v>
      </c>
      <c r="Z81" t="s">
        <v>243</v>
      </c>
      <c r="AA81" t="s">
        <v>43</v>
      </c>
      <c r="AB81" t="s">
        <v>244</v>
      </c>
      <c r="AC81" t="s">
        <v>242</v>
      </c>
      <c r="AD81" t="s">
        <v>243</v>
      </c>
      <c r="AE81" t="s">
        <v>242</v>
      </c>
      <c r="AF81" t="s">
        <v>243</v>
      </c>
      <c r="AG81" t="s">
        <v>242</v>
      </c>
      <c r="AH81" t="s">
        <v>243</v>
      </c>
      <c r="AI81" t="s">
        <v>242</v>
      </c>
      <c r="AJ81" t="s">
        <v>243</v>
      </c>
      <c r="AK81" t="s">
        <v>242</v>
      </c>
      <c r="AL81" t="s">
        <v>243</v>
      </c>
      <c r="AM81" t="s">
        <v>1703</v>
      </c>
      <c r="AN81" t="s">
        <v>244</v>
      </c>
      <c r="AO81" t="s">
        <v>1760</v>
      </c>
      <c r="AP81" t="s">
        <v>4121</v>
      </c>
      <c r="AQ81" t="s">
        <v>46</v>
      </c>
      <c r="AR81" t="s">
        <v>4122</v>
      </c>
      <c r="AS81" t="s">
        <v>242</v>
      </c>
      <c r="AT81" t="s">
        <v>4123</v>
      </c>
      <c r="AU81" t="s">
        <v>330</v>
      </c>
      <c r="AV81" t="s">
        <v>4124</v>
      </c>
      <c r="AW81" t="s">
        <v>247</v>
      </c>
      <c r="AX81" t="s">
        <v>4125</v>
      </c>
      <c r="AY81" t="s">
        <v>249</v>
      </c>
      <c r="AZ81" t="s">
        <v>4126</v>
      </c>
      <c r="BA81" t="s">
        <v>242</v>
      </c>
      <c r="BB81" t="s">
        <v>4127</v>
      </c>
      <c r="BC81" t="s">
        <v>481</v>
      </c>
      <c r="BD81" t="s">
        <v>4128</v>
      </c>
      <c r="BE81" t="s">
        <v>369</v>
      </c>
      <c r="BF81" t="s">
        <v>4129</v>
      </c>
      <c r="BG81" t="s">
        <v>401</v>
      </c>
      <c r="BH81" t="s">
        <v>4130</v>
      </c>
      <c r="BI81" t="s">
        <v>575</v>
      </c>
      <c r="BJ81" t="s">
        <v>4131</v>
      </c>
      <c r="BK81" t="s">
        <v>342</v>
      </c>
      <c r="BL81" t="s">
        <v>4132</v>
      </c>
      <c r="BM81" t="s">
        <v>348</v>
      </c>
      <c r="BN81" t="s">
        <v>4133</v>
      </c>
      <c r="BO81" t="s">
        <v>589</v>
      </c>
      <c r="BP81" t="s">
        <v>2487</v>
      </c>
      <c r="BQ81" t="s">
        <v>356</v>
      </c>
      <c r="BR81" t="s">
        <v>4134</v>
      </c>
      <c r="BS81" t="s">
        <v>342</v>
      </c>
      <c r="BT81" t="s">
        <v>4135</v>
      </c>
      <c r="BU81" t="s">
        <v>335</v>
      </c>
      <c r="BV81" t="s">
        <v>4136</v>
      </c>
      <c r="BW81" t="s">
        <v>585</v>
      </c>
      <c r="BX81" t="s">
        <v>4137</v>
      </c>
      <c r="BY81" t="s">
        <v>339</v>
      </c>
      <c r="BZ81" t="s">
        <v>4138</v>
      </c>
      <c r="CA81" t="s">
        <v>421</v>
      </c>
      <c r="CB81" t="s">
        <v>4008</v>
      </c>
      <c r="CC81" t="s">
        <v>414</v>
      </c>
      <c r="CD81" t="s">
        <v>4139</v>
      </c>
      <c r="CE81" t="s">
        <v>583</v>
      </c>
      <c r="CF81" t="s">
        <v>4140</v>
      </c>
      <c r="CG81" t="s">
        <v>696</v>
      </c>
      <c r="CH81" t="s">
        <v>4141</v>
      </c>
      <c r="CI81" t="s">
        <v>283</v>
      </c>
      <c r="CJ81" t="s">
        <v>4142</v>
      </c>
      <c r="CK81" t="s">
        <v>591</v>
      </c>
      <c r="CL81" t="s">
        <v>2072</v>
      </c>
      <c r="CM81" t="s">
        <v>585</v>
      </c>
      <c r="CN81" t="s">
        <v>4143</v>
      </c>
      <c r="CO81" t="s">
        <v>696</v>
      </c>
      <c r="CP81" t="s">
        <v>4144</v>
      </c>
      <c r="CQ81" t="s">
        <v>397</v>
      </c>
      <c r="CR81" t="s">
        <v>3680</v>
      </c>
      <c r="CS81" t="s">
        <v>416</v>
      </c>
      <c r="CT81" t="s">
        <v>4145</v>
      </c>
      <c r="CU81" t="s">
        <v>367</v>
      </c>
      <c r="CV81" t="s">
        <v>998</v>
      </c>
      <c r="CW81" t="s">
        <v>393</v>
      </c>
      <c r="CX81" t="s">
        <v>4146</v>
      </c>
      <c r="CY81" t="s">
        <v>411</v>
      </c>
      <c r="CZ81" t="s">
        <v>4147</v>
      </c>
      <c r="DA81" t="s">
        <v>731</v>
      </c>
      <c r="DB81" t="s">
        <v>4148</v>
      </c>
      <c r="DC81" t="s">
        <v>242</v>
      </c>
      <c r="DD81" t="s">
        <v>1113</v>
      </c>
      <c r="DF81" t="s">
        <v>4149</v>
      </c>
      <c r="DG81" t="s">
        <v>242</v>
      </c>
      <c r="DH81" t="s">
        <v>4150</v>
      </c>
    </row>
    <row r="82" spans="1:112" x14ac:dyDescent="0.35">
      <c r="A82" t="s">
        <v>227</v>
      </c>
      <c r="B82" t="s">
        <v>4151</v>
      </c>
      <c r="C82" t="s">
        <v>229</v>
      </c>
      <c r="D82" t="s">
        <v>3161</v>
      </c>
      <c r="E82" t="s">
        <v>231</v>
      </c>
      <c r="F82" t="s">
        <v>4152</v>
      </c>
      <c r="G82" t="s">
        <v>40</v>
      </c>
      <c r="H82" t="s">
        <v>1002</v>
      </c>
      <c r="I82" t="s">
        <v>234</v>
      </c>
      <c r="J82" t="s">
        <v>4153</v>
      </c>
      <c r="L82" t="s">
        <v>4154</v>
      </c>
      <c r="M82" t="s">
        <v>18</v>
      </c>
      <c r="N82" t="s">
        <v>4155</v>
      </c>
      <c r="O82" t="s">
        <v>21</v>
      </c>
      <c r="P82" t="s">
        <v>4156</v>
      </c>
      <c r="Q82" t="s">
        <v>40</v>
      </c>
      <c r="R82" t="s">
        <v>3679</v>
      </c>
      <c r="S82" t="s">
        <v>310</v>
      </c>
      <c r="T82" t="s">
        <v>4157</v>
      </c>
      <c r="U82" t="s">
        <v>40</v>
      </c>
      <c r="V82" t="s">
        <v>4158</v>
      </c>
      <c r="W82" t="s">
        <v>40</v>
      </c>
      <c r="X82" t="s">
        <v>1223</v>
      </c>
      <c r="Y82" t="s">
        <v>4159</v>
      </c>
      <c r="Z82" t="s">
        <v>2672</v>
      </c>
      <c r="AA82" t="s">
        <v>40</v>
      </c>
      <c r="AB82" t="s">
        <v>4160</v>
      </c>
      <c r="AC82" t="s">
        <v>316</v>
      </c>
      <c r="AD82" t="s">
        <v>4161</v>
      </c>
      <c r="AE82" t="s">
        <v>502</v>
      </c>
      <c r="AF82" t="s">
        <v>1972</v>
      </c>
      <c r="AG82" t="s">
        <v>40</v>
      </c>
      <c r="AH82" t="s">
        <v>4162</v>
      </c>
      <c r="AI82" t="s">
        <v>505</v>
      </c>
      <c r="AJ82" t="s">
        <v>4163</v>
      </c>
      <c r="AK82" t="s">
        <v>4164</v>
      </c>
      <c r="AL82" t="s">
        <v>4165</v>
      </c>
      <c r="AM82" t="s">
        <v>3689</v>
      </c>
      <c r="AN82" t="s">
        <v>4166</v>
      </c>
      <c r="AO82" t="s">
        <v>1607</v>
      </c>
      <c r="AP82" t="s">
        <v>4167</v>
      </c>
      <c r="AQ82" t="s">
        <v>45</v>
      </c>
      <c r="AR82" t="s">
        <v>4168</v>
      </c>
      <c r="AS82" t="s">
        <v>242</v>
      </c>
      <c r="AT82" t="s">
        <v>4169</v>
      </c>
      <c r="AU82" t="s">
        <v>330</v>
      </c>
      <c r="AV82" t="s">
        <v>4170</v>
      </c>
      <c r="AW82" t="s">
        <v>247</v>
      </c>
      <c r="AX82" t="s">
        <v>4171</v>
      </c>
      <c r="AY82" t="s">
        <v>1081</v>
      </c>
      <c r="AZ82" t="s">
        <v>4172</v>
      </c>
      <c r="BA82" t="s">
        <v>242</v>
      </c>
      <c r="BB82" t="s">
        <v>4173</v>
      </c>
      <c r="BC82" t="s">
        <v>519</v>
      </c>
      <c r="BD82" t="s">
        <v>4174</v>
      </c>
      <c r="BE82" t="s">
        <v>243</v>
      </c>
      <c r="BF82" t="s">
        <v>3203</v>
      </c>
      <c r="BG82" t="s">
        <v>467</v>
      </c>
      <c r="BH82" t="s">
        <v>4175</v>
      </c>
      <c r="BI82" t="s">
        <v>401</v>
      </c>
      <c r="BJ82" t="s">
        <v>4176</v>
      </c>
      <c r="BK82" t="s">
        <v>779</v>
      </c>
      <c r="BL82" t="s">
        <v>4177</v>
      </c>
      <c r="BM82" t="s">
        <v>519</v>
      </c>
      <c r="BN82" t="s">
        <v>1140</v>
      </c>
      <c r="BO82" t="s">
        <v>351</v>
      </c>
      <c r="BP82" t="s">
        <v>4178</v>
      </c>
      <c r="BQ82" t="s">
        <v>752</v>
      </c>
      <c r="BR82" t="s">
        <v>2523</v>
      </c>
      <c r="BS82" t="s">
        <v>656</v>
      </c>
      <c r="BT82" t="s">
        <v>4179</v>
      </c>
      <c r="BU82" t="s">
        <v>263</v>
      </c>
      <c r="BV82" t="s">
        <v>4180</v>
      </c>
      <c r="BW82" t="s">
        <v>279</v>
      </c>
      <c r="BX82" t="s">
        <v>4181</v>
      </c>
      <c r="BY82" t="s">
        <v>585</v>
      </c>
      <c r="BZ82" t="s">
        <v>1575</v>
      </c>
      <c r="CA82" t="s">
        <v>656</v>
      </c>
      <c r="CB82" t="s">
        <v>4182</v>
      </c>
      <c r="CC82" t="s">
        <v>266</v>
      </c>
      <c r="CD82" t="s">
        <v>4152</v>
      </c>
      <c r="CE82" t="s">
        <v>243</v>
      </c>
      <c r="CF82" t="s">
        <v>1740</v>
      </c>
      <c r="CG82" t="s">
        <v>4183</v>
      </c>
      <c r="CH82" t="s">
        <v>4184</v>
      </c>
      <c r="CI82" t="s">
        <v>1142</v>
      </c>
      <c r="CJ82" t="s">
        <v>4185</v>
      </c>
      <c r="CK82" t="s">
        <v>1792</v>
      </c>
      <c r="CL82" t="s">
        <v>4186</v>
      </c>
      <c r="CM82" t="s">
        <v>653</v>
      </c>
      <c r="CN82" t="s">
        <v>4187</v>
      </c>
      <c r="CO82" t="s">
        <v>1142</v>
      </c>
      <c r="CP82" t="s">
        <v>4188</v>
      </c>
      <c r="CQ82" t="s">
        <v>276</v>
      </c>
      <c r="CR82" t="s">
        <v>4189</v>
      </c>
      <c r="CS82" t="s">
        <v>1137</v>
      </c>
      <c r="CT82" t="s">
        <v>2429</v>
      </c>
      <c r="CU82" t="s">
        <v>279</v>
      </c>
      <c r="CV82" t="s">
        <v>4190</v>
      </c>
      <c r="CW82" t="s">
        <v>653</v>
      </c>
      <c r="CX82" t="s">
        <v>4191</v>
      </c>
      <c r="CY82" t="s">
        <v>664</v>
      </c>
      <c r="CZ82" t="s">
        <v>1275</v>
      </c>
      <c r="DA82" t="s">
        <v>583</v>
      </c>
      <c r="DB82" t="s">
        <v>4192</v>
      </c>
      <c r="DC82" t="s">
        <v>242</v>
      </c>
      <c r="DD82" t="s">
        <v>4193</v>
      </c>
      <c r="DF82" t="s">
        <v>4194</v>
      </c>
      <c r="DG82" t="s">
        <v>242</v>
      </c>
      <c r="DH82" t="s">
        <v>4195</v>
      </c>
    </row>
    <row r="83" spans="1:112" x14ac:dyDescent="0.35">
      <c r="A83" t="s">
        <v>227</v>
      </c>
      <c r="B83" t="s">
        <v>4196</v>
      </c>
      <c r="C83" t="s">
        <v>229</v>
      </c>
      <c r="D83" t="s">
        <v>4197</v>
      </c>
      <c r="E83" t="s">
        <v>231</v>
      </c>
      <c r="F83" t="s">
        <v>4198</v>
      </c>
      <c r="G83" t="s">
        <v>40</v>
      </c>
      <c r="H83" t="s">
        <v>4199</v>
      </c>
      <c r="I83" t="s">
        <v>234</v>
      </c>
      <c r="J83" t="s">
        <v>4200</v>
      </c>
      <c r="L83" t="s">
        <v>4201</v>
      </c>
      <c r="M83" t="s">
        <v>18</v>
      </c>
      <c r="N83" t="s">
        <v>4202</v>
      </c>
      <c r="O83" t="s">
        <v>19</v>
      </c>
      <c r="P83" t="s">
        <v>4203</v>
      </c>
      <c r="Q83" t="s">
        <v>40</v>
      </c>
      <c r="R83" t="s">
        <v>4204</v>
      </c>
      <c r="S83" t="s">
        <v>240</v>
      </c>
      <c r="T83" t="s">
        <v>2289</v>
      </c>
      <c r="U83" t="s">
        <v>242</v>
      </c>
      <c r="V83" t="s">
        <v>243</v>
      </c>
      <c r="W83" t="s">
        <v>242</v>
      </c>
      <c r="X83" t="s">
        <v>243</v>
      </c>
      <c r="Y83" t="s">
        <v>242</v>
      </c>
      <c r="Z83" t="s">
        <v>243</v>
      </c>
      <c r="AA83" t="s">
        <v>242</v>
      </c>
      <c r="AB83" t="s">
        <v>243</v>
      </c>
      <c r="AC83" t="s">
        <v>242</v>
      </c>
      <c r="AD83" t="s">
        <v>243</v>
      </c>
      <c r="AE83" t="s">
        <v>242</v>
      </c>
      <c r="AF83" t="s">
        <v>243</v>
      </c>
      <c r="AG83" t="s">
        <v>242</v>
      </c>
      <c r="AH83" t="s">
        <v>243</v>
      </c>
      <c r="AI83" t="s">
        <v>242</v>
      </c>
      <c r="AJ83" t="s">
        <v>243</v>
      </c>
      <c r="AK83" t="s">
        <v>242</v>
      </c>
      <c r="AL83" t="s">
        <v>243</v>
      </c>
      <c r="AM83" t="s">
        <v>242</v>
      </c>
      <c r="AN83" t="s">
        <v>243</v>
      </c>
      <c r="AO83" t="s">
        <v>242</v>
      </c>
      <c r="AP83" t="s">
        <v>243</v>
      </c>
      <c r="AQ83" t="s">
        <v>242</v>
      </c>
      <c r="AR83" t="s">
        <v>243</v>
      </c>
      <c r="AS83" t="s">
        <v>242</v>
      </c>
      <c r="AT83" t="s">
        <v>244</v>
      </c>
      <c r="AU83" t="s">
        <v>4205</v>
      </c>
      <c r="AV83" t="s">
        <v>4206</v>
      </c>
      <c r="AW83" t="s">
        <v>247</v>
      </c>
      <c r="AX83" t="s">
        <v>4207</v>
      </c>
      <c r="AY83" t="s">
        <v>249</v>
      </c>
      <c r="AZ83" t="s">
        <v>4208</v>
      </c>
      <c r="BA83" t="s">
        <v>242</v>
      </c>
      <c r="BB83" t="s">
        <v>4209</v>
      </c>
      <c r="BC83" t="s">
        <v>519</v>
      </c>
      <c r="BD83" t="s">
        <v>4210</v>
      </c>
      <c r="BE83" t="s">
        <v>858</v>
      </c>
      <c r="BF83" t="s">
        <v>4211</v>
      </c>
      <c r="BG83" t="s">
        <v>360</v>
      </c>
      <c r="BH83" t="s">
        <v>4212</v>
      </c>
      <c r="BI83" t="s">
        <v>289</v>
      </c>
      <c r="BJ83" t="s">
        <v>4213</v>
      </c>
      <c r="BK83" t="s">
        <v>360</v>
      </c>
      <c r="BL83" t="s">
        <v>4214</v>
      </c>
      <c r="BM83" t="s">
        <v>467</v>
      </c>
      <c r="BN83" t="s">
        <v>4215</v>
      </c>
      <c r="BO83" t="s">
        <v>401</v>
      </c>
      <c r="BP83" t="s">
        <v>4216</v>
      </c>
      <c r="BQ83" t="s">
        <v>429</v>
      </c>
      <c r="BR83" t="s">
        <v>4217</v>
      </c>
      <c r="BS83" t="s">
        <v>900</v>
      </c>
      <c r="BT83" t="s">
        <v>4218</v>
      </c>
      <c r="BU83" t="s">
        <v>481</v>
      </c>
      <c r="BV83" t="s">
        <v>4219</v>
      </c>
      <c r="BW83" t="s">
        <v>351</v>
      </c>
      <c r="BX83" t="s">
        <v>4220</v>
      </c>
      <c r="BY83" t="s">
        <v>399</v>
      </c>
      <c r="BZ83" t="s">
        <v>4221</v>
      </c>
      <c r="CA83" t="s">
        <v>416</v>
      </c>
      <c r="CB83" t="s">
        <v>4222</v>
      </c>
      <c r="CC83" t="s">
        <v>408</v>
      </c>
      <c r="CD83" t="s">
        <v>4223</v>
      </c>
      <c r="CE83" t="s">
        <v>900</v>
      </c>
      <c r="CF83" t="s">
        <v>4224</v>
      </c>
      <c r="CG83" t="s">
        <v>408</v>
      </c>
      <c r="CH83" t="s">
        <v>4225</v>
      </c>
      <c r="CI83" t="s">
        <v>342</v>
      </c>
      <c r="CJ83" t="s">
        <v>4226</v>
      </c>
      <c r="CK83" t="s">
        <v>427</v>
      </c>
      <c r="CL83" t="s">
        <v>4227</v>
      </c>
      <c r="CM83" t="s">
        <v>900</v>
      </c>
      <c r="CN83" t="s">
        <v>4228</v>
      </c>
      <c r="CO83" t="s">
        <v>371</v>
      </c>
      <c r="CP83" t="s">
        <v>4229</v>
      </c>
      <c r="CQ83" t="s">
        <v>421</v>
      </c>
      <c r="CR83" t="s">
        <v>4230</v>
      </c>
      <c r="CS83" t="s">
        <v>399</v>
      </c>
      <c r="CT83" t="s">
        <v>2783</v>
      </c>
      <c r="CU83" t="s">
        <v>348</v>
      </c>
      <c r="CV83" t="s">
        <v>4231</v>
      </c>
      <c r="CW83" t="s">
        <v>414</v>
      </c>
      <c r="CX83" t="s">
        <v>4232</v>
      </c>
      <c r="CY83" t="s">
        <v>538</v>
      </c>
      <c r="CZ83" t="s">
        <v>4233</v>
      </c>
      <c r="DA83" t="s">
        <v>399</v>
      </c>
      <c r="DB83" t="s">
        <v>4234</v>
      </c>
      <c r="DC83" t="s">
        <v>242</v>
      </c>
      <c r="DD83" t="s">
        <v>4235</v>
      </c>
      <c r="DF83" t="s">
        <v>4236</v>
      </c>
      <c r="DG83" t="s">
        <v>242</v>
      </c>
      <c r="DH83" t="s">
        <v>4237</v>
      </c>
    </row>
    <row r="84" spans="1:112" x14ac:dyDescent="0.35">
      <c r="A84" t="s">
        <v>227</v>
      </c>
      <c r="B84" t="s">
        <v>4238</v>
      </c>
      <c r="C84" t="s">
        <v>229</v>
      </c>
      <c r="D84" t="s">
        <v>4239</v>
      </c>
      <c r="E84" t="s">
        <v>231</v>
      </c>
      <c r="F84" t="s">
        <v>4240</v>
      </c>
      <c r="G84" t="s">
        <v>40</v>
      </c>
      <c r="H84" t="s">
        <v>4241</v>
      </c>
      <c r="I84" t="s">
        <v>234</v>
      </c>
      <c r="J84" t="s">
        <v>720</v>
      </c>
      <c r="L84" t="s">
        <v>4242</v>
      </c>
      <c r="M84" t="s">
        <v>18</v>
      </c>
      <c r="N84" t="s">
        <v>2366</v>
      </c>
      <c r="O84" t="s">
        <v>21</v>
      </c>
      <c r="P84" t="s">
        <v>4243</v>
      </c>
      <c r="Q84" t="s">
        <v>40</v>
      </c>
      <c r="R84" t="s">
        <v>4244</v>
      </c>
      <c r="S84" t="s">
        <v>310</v>
      </c>
      <c r="T84" t="s">
        <v>1853</v>
      </c>
      <c r="U84" t="s">
        <v>40</v>
      </c>
      <c r="V84" t="s">
        <v>1108</v>
      </c>
      <c r="W84" t="s">
        <v>40</v>
      </c>
      <c r="X84" t="s">
        <v>1545</v>
      </c>
      <c r="Y84" t="s">
        <v>85</v>
      </c>
      <c r="Z84" t="s">
        <v>4245</v>
      </c>
      <c r="AA84" t="s">
        <v>40</v>
      </c>
      <c r="AB84" t="s">
        <v>4246</v>
      </c>
      <c r="AC84" t="s">
        <v>316</v>
      </c>
      <c r="AD84" t="s">
        <v>4247</v>
      </c>
      <c r="AE84" t="s">
        <v>318</v>
      </c>
      <c r="AF84" t="s">
        <v>4248</v>
      </c>
      <c r="AG84" t="s">
        <v>40</v>
      </c>
      <c r="AH84" t="s">
        <v>4249</v>
      </c>
      <c r="AI84" t="s">
        <v>2479</v>
      </c>
      <c r="AJ84" t="s">
        <v>4250</v>
      </c>
      <c r="AK84" t="s">
        <v>4251</v>
      </c>
      <c r="AL84" t="s">
        <v>4252</v>
      </c>
      <c r="AM84" t="s">
        <v>325</v>
      </c>
      <c r="AN84" t="s">
        <v>4253</v>
      </c>
      <c r="AO84" t="s">
        <v>4254</v>
      </c>
      <c r="AP84" t="s">
        <v>2166</v>
      </c>
      <c r="AQ84" t="s">
        <v>45</v>
      </c>
      <c r="AR84" t="s">
        <v>4255</v>
      </c>
      <c r="AS84" t="s">
        <v>242</v>
      </c>
      <c r="AT84" t="s">
        <v>4256</v>
      </c>
      <c r="AU84" t="s">
        <v>330</v>
      </c>
      <c r="AV84" t="s">
        <v>4257</v>
      </c>
      <c r="AW84" t="s">
        <v>247</v>
      </c>
      <c r="AX84" t="s">
        <v>4258</v>
      </c>
      <c r="AY84" t="s">
        <v>249</v>
      </c>
      <c r="AZ84" t="s">
        <v>4259</v>
      </c>
      <c r="BA84" t="s">
        <v>242</v>
      </c>
      <c r="BB84" t="s">
        <v>391</v>
      </c>
      <c r="BC84" t="s">
        <v>473</v>
      </c>
      <c r="BD84" t="s">
        <v>4260</v>
      </c>
      <c r="BE84" t="s">
        <v>952</v>
      </c>
      <c r="BF84" t="s">
        <v>4261</v>
      </c>
      <c r="BG84" t="s">
        <v>414</v>
      </c>
      <c r="BH84" t="s">
        <v>4262</v>
      </c>
      <c r="BI84" t="s">
        <v>395</v>
      </c>
      <c r="BJ84" t="s">
        <v>4263</v>
      </c>
      <c r="BK84" t="s">
        <v>365</v>
      </c>
      <c r="BL84" t="s">
        <v>4264</v>
      </c>
      <c r="BM84" t="s">
        <v>261</v>
      </c>
      <c r="BN84" t="s">
        <v>4265</v>
      </c>
      <c r="BO84" t="s">
        <v>752</v>
      </c>
      <c r="BP84" t="s">
        <v>4266</v>
      </c>
      <c r="BQ84" t="s">
        <v>858</v>
      </c>
      <c r="BR84" t="s">
        <v>4267</v>
      </c>
      <c r="BS84" t="s">
        <v>779</v>
      </c>
      <c r="BT84" t="s">
        <v>4268</v>
      </c>
      <c r="BU84" t="s">
        <v>449</v>
      </c>
      <c r="BV84" t="s">
        <v>4269</v>
      </c>
      <c r="BW84" t="s">
        <v>401</v>
      </c>
      <c r="BX84" t="s">
        <v>4270</v>
      </c>
      <c r="BY84" t="s">
        <v>371</v>
      </c>
      <c r="BZ84" t="s">
        <v>370</v>
      </c>
      <c r="CA84" t="s">
        <v>528</v>
      </c>
      <c r="CB84" t="s">
        <v>2717</v>
      </c>
      <c r="CC84" t="s">
        <v>393</v>
      </c>
      <c r="CD84" t="s">
        <v>3397</v>
      </c>
      <c r="CE84" t="s">
        <v>528</v>
      </c>
      <c r="CF84" t="s">
        <v>4271</v>
      </c>
      <c r="CG84" t="s">
        <v>744</v>
      </c>
      <c r="CH84" t="s">
        <v>4272</v>
      </c>
      <c r="CI84" t="s">
        <v>528</v>
      </c>
      <c r="CJ84" t="s">
        <v>4273</v>
      </c>
      <c r="CK84" t="s">
        <v>367</v>
      </c>
      <c r="CL84" t="s">
        <v>4274</v>
      </c>
      <c r="CM84" t="s">
        <v>416</v>
      </c>
      <c r="CN84" t="s">
        <v>4275</v>
      </c>
      <c r="CO84" t="s">
        <v>519</v>
      </c>
      <c r="CP84" t="s">
        <v>4276</v>
      </c>
      <c r="CQ84" t="s">
        <v>416</v>
      </c>
      <c r="CR84" t="s">
        <v>4277</v>
      </c>
      <c r="CS84" t="s">
        <v>427</v>
      </c>
      <c r="CT84" t="s">
        <v>4278</v>
      </c>
      <c r="CU84" t="s">
        <v>401</v>
      </c>
      <c r="CV84" t="s">
        <v>3708</v>
      </c>
      <c r="CW84" t="s">
        <v>399</v>
      </c>
      <c r="CX84" t="s">
        <v>4279</v>
      </c>
      <c r="CY84" t="s">
        <v>779</v>
      </c>
      <c r="CZ84" t="s">
        <v>4280</v>
      </c>
      <c r="DA84" t="s">
        <v>744</v>
      </c>
      <c r="DB84" t="s">
        <v>4281</v>
      </c>
      <c r="DC84" t="s">
        <v>242</v>
      </c>
      <c r="DD84" t="s">
        <v>4282</v>
      </c>
      <c r="DF84" t="s">
        <v>4283</v>
      </c>
      <c r="DG84" t="s">
        <v>242</v>
      </c>
      <c r="DH84" t="s">
        <v>4284</v>
      </c>
    </row>
    <row r="85" spans="1:112" x14ac:dyDescent="0.35">
      <c r="A85" t="s">
        <v>227</v>
      </c>
      <c r="B85" t="s">
        <v>4285</v>
      </c>
      <c r="C85" t="s">
        <v>229</v>
      </c>
      <c r="D85" t="s">
        <v>1402</v>
      </c>
      <c r="E85" t="s">
        <v>231</v>
      </c>
      <c r="F85" t="s">
        <v>4286</v>
      </c>
      <c r="G85" t="s">
        <v>40</v>
      </c>
      <c r="H85" t="s">
        <v>4287</v>
      </c>
      <c r="I85" t="s">
        <v>234</v>
      </c>
      <c r="J85" t="s">
        <v>618</v>
      </c>
      <c r="L85" t="s">
        <v>4288</v>
      </c>
      <c r="M85" t="s">
        <v>15</v>
      </c>
      <c r="N85" t="s">
        <v>4289</v>
      </c>
      <c r="O85" t="s">
        <v>21</v>
      </c>
      <c r="P85" t="s">
        <v>4290</v>
      </c>
      <c r="Q85" t="s">
        <v>40</v>
      </c>
      <c r="R85" t="s">
        <v>4291</v>
      </c>
      <c r="S85" t="s">
        <v>310</v>
      </c>
      <c r="T85" t="s">
        <v>4292</v>
      </c>
      <c r="U85" t="s">
        <v>40</v>
      </c>
      <c r="V85" t="s">
        <v>4293</v>
      </c>
      <c r="W85" t="s">
        <v>40</v>
      </c>
      <c r="X85" t="s">
        <v>2983</v>
      </c>
      <c r="Y85" t="s">
        <v>86</v>
      </c>
      <c r="Z85" t="s">
        <v>4294</v>
      </c>
      <c r="AA85" t="s">
        <v>43</v>
      </c>
      <c r="AB85" t="s">
        <v>4295</v>
      </c>
      <c r="AC85" t="s">
        <v>242</v>
      </c>
      <c r="AD85" t="s">
        <v>243</v>
      </c>
      <c r="AE85" t="s">
        <v>242</v>
      </c>
      <c r="AF85" t="s">
        <v>243</v>
      </c>
      <c r="AG85" t="s">
        <v>242</v>
      </c>
      <c r="AH85" t="s">
        <v>243</v>
      </c>
      <c r="AI85" t="s">
        <v>242</v>
      </c>
      <c r="AJ85" t="s">
        <v>243</v>
      </c>
      <c r="AK85" t="s">
        <v>242</v>
      </c>
      <c r="AL85" t="s">
        <v>243</v>
      </c>
      <c r="AM85" t="s">
        <v>325</v>
      </c>
      <c r="AN85" t="s">
        <v>244</v>
      </c>
      <c r="AO85" t="s">
        <v>1703</v>
      </c>
      <c r="AP85" t="s">
        <v>4296</v>
      </c>
      <c r="AQ85" t="s">
        <v>41</v>
      </c>
      <c r="AR85" t="s">
        <v>4297</v>
      </c>
      <c r="AS85" t="s">
        <v>242</v>
      </c>
      <c r="AT85" t="s">
        <v>4298</v>
      </c>
      <c r="AU85" t="s">
        <v>4029</v>
      </c>
      <c r="AV85" t="s">
        <v>4299</v>
      </c>
      <c r="AW85" t="s">
        <v>247</v>
      </c>
      <c r="AX85" t="s">
        <v>4300</v>
      </c>
      <c r="AY85" t="s">
        <v>249</v>
      </c>
      <c r="AZ85" t="s">
        <v>4301</v>
      </c>
      <c r="BA85" t="s">
        <v>242</v>
      </c>
      <c r="BB85" t="s">
        <v>4302</v>
      </c>
      <c r="BC85" t="s">
        <v>698</v>
      </c>
      <c r="BD85" t="s">
        <v>4303</v>
      </c>
      <c r="BE85" t="s">
        <v>405</v>
      </c>
      <c r="BF85" t="s">
        <v>4304</v>
      </c>
      <c r="BG85" t="s">
        <v>408</v>
      </c>
      <c r="BH85" t="s">
        <v>4305</v>
      </c>
      <c r="BI85" t="s">
        <v>369</v>
      </c>
      <c r="BJ85" t="s">
        <v>4306</v>
      </c>
      <c r="BK85" t="s">
        <v>519</v>
      </c>
      <c r="BL85" t="s">
        <v>4307</v>
      </c>
      <c r="BM85" t="s">
        <v>467</v>
      </c>
      <c r="BN85" t="s">
        <v>4308</v>
      </c>
      <c r="BO85" t="s">
        <v>393</v>
      </c>
      <c r="BP85" t="s">
        <v>4309</v>
      </c>
      <c r="BQ85" t="s">
        <v>281</v>
      </c>
      <c r="BR85" t="s">
        <v>1357</v>
      </c>
      <c r="BS85" t="s">
        <v>744</v>
      </c>
      <c r="BT85" t="s">
        <v>4310</v>
      </c>
      <c r="BU85" t="s">
        <v>289</v>
      </c>
      <c r="BV85" t="s">
        <v>4311</v>
      </c>
      <c r="BW85" t="s">
        <v>538</v>
      </c>
      <c r="BX85" t="s">
        <v>4312</v>
      </c>
      <c r="BY85" t="s">
        <v>542</v>
      </c>
      <c r="BZ85" t="s">
        <v>4313</v>
      </c>
      <c r="CA85" t="s">
        <v>335</v>
      </c>
      <c r="CB85" t="s">
        <v>4314</v>
      </c>
      <c r="CC85" t="s">
        <v>393</v>
      </c>
      <c r="CD85" t="s">
        <v>4315</v>
      </c>
      <c r="CE85" t="s">
        <v>397</v>
      </c>
      <c r="CF85" t="s">
        <v>4316</v>
      </c>
      <c r="CG85" t="s">
        <v>779</v>
      </c>
      <c r="CH85" t="s">
        <v>3069</v>
      </c>
      <c r="CI85" t="s">
        <v>365</v>
      </c>
      <c r="CJ85" t="s">
        <v>856</v>
      </c>
      <c r="CK85" t="s">
        <v>427</v>
      </c>
      <c r="CL85" t="s">
        <v>4317</v>
      </c>
      <c r="CM85" t="s">
        <v>399</v>
      </c>
      <c r="CN85" t="s">
        <v>4318</v>
      </c>
      <c r="CO85" t="s">
        <v>408</v>
      </c>
      <c r="CP85" t="s">
        <v>4319</v>
      </c>
      <c r="CQ85" t="s">
        <v>254</v>
      </c>
      <c r="CR85" t="s">
        <v>4320</v>
      </c>
      <c r="CS85" t="s">
        <v>411</v>
      </c>
      <c r="CT85" t="s">
        <v>4321</v>
      </c>
      <c r="CU85" t="s">
        <v>1128</v>
      </c>
      <c r="CV85" t="s">
        <v>4322</v>
      </c>
      <c r="CW85" t="s">
        <v>1128</v>
      </c>
      <c r="CX85" t="s">
        <v>4323</v>
      </c>
      <c r="CY85" t="s">
        <v>295</v>
      </c>
      <c r="CZ85" t="s">
        <v>4324</v>
      </c>
      <c r="DA85" t="s">
        <v>295</v>
      </c>
      <c r="DB85" t="s">
        <v>4325</v>
      </c>
      <c r="DC85" t="s">
        <v>242</v>
      </c>
      <c r="DD85" t="s">
        <v>4326</v>
      </c>
      <c r="DF85" t="s">
        <v>4327</v>
      </c>
      <c r="DG85" t="s">
        <v>242</v>
      </c>
      <c r="DH85" t="s">
        <v>4328</v>
      </c>
    </row>
    <row r="86" spans="1:112" x14ac:dyDescent="0.35">
      <c r="A86" t="s">
        <v>227</v>
      </c>
      <c r="B86" t="s">
        <v>4329</v>
      </c>
      <c r="C86" t="s">
        <v>229</v>
      </c>
      <c r="D86" t="s">
        <v>4330</v>
      </c>
      <c r="E86" t="s">
        <v>231</v>
      </c>
      <c r="F86" t="s">
        <v>4331</v>
      </c>
      <c r="G86" t="s">
        <v>40</v>
      </c>
      <c r="H86" t="s">
        <v>4332</v>
      </c>
      <c r="I86" t="s">
        <v>234</v>
      </c>
      <c r="J86" t="s">
        <v>4333</v>
      </c>
      <c r="L86" t="s">
        <v>4334</v>
      </c>
      <c r="M86" t="s">
        <v>18</v>
      </c>
      <c r="N86" t="s">
        <v>4335</v>
      </c>
      <c r="O86" t="s">
        <v>21</v>
      </c>
      <c r="P86" t="s">
        <v>4336</v>
      </c>
      <c r="Q86" t="s">
        <v>40</v>
      </c>
      <c r="R86" t="s">
        <v>4337</v>
      </c>
      <c r="S86" t="s">
        <v>310</v>
      </c>
      <c r="T86" t="s">
        <v>4338</v>
      </c>
      <c r="U86" t="s">
        <v>39</v>
      </c>
      <c r="V86" t="s">
        <v>4339</v>
      </c>
      <c r="W86" t="s">
        <v>40</v>
      </c>
      <c r="X86" t="s">
        <v>4340</v>
      </c>
      <c r="Y86" t="s">
        <v>87</v>
      </c>
      <c r="Z86" t="s">
        <v>4341</v>
      </c>
      <c r="AA86" t="s">
        <v>40</v>
      </c>
      <c r="AB86" t="s">
        <v>4342</v>
      </c>
      <c r="AC86" t="s">
        <v>2236</v>
      </c>
      <c r="AD86" t="s">
        <v>1048</v>
      </c>
      <c r="AE86" t="s">
        <v>502</v>
      </c>
      <c r="AF86" t="s">
        <v>4343</v>
      </c>
      <c r="AG86" t="s">
        <v>40</v>
      </c>
      <c r="AH86" t="s">
        <v>2383</v>
      </c>
      <c r="AI86" t="s">
        <v>621</v>
      </c>
      <c r="AJ86" t="s">
        <v>4344</v>
      </c>
      <c r="AK86" t="s">
        <v>4345</v>
      </c>
      <c r="AL86" t="s">
        <v>4346</v>
      </c>
      <c r="AM86" t="s">
        <v>823</v>
      </c>
      <c r="AN86" t="s">
        <v>4347</v>
      </c>
      <c r="AO86" t="s">
        <v>2597</v>
      </c>
      <c r="AP86" t="s">
        <v>4348</v>
      </c>
      <c r="AQ86" t="s">
        <v>41</v>
      </c>
      <c r="AR86" t="s">
        <v>4349</v>
      </c>
      <c r="AS86" t="s">
        <v>242</v>
      </c>
      <c r="AT86" t="s">
        <v>4350</v>
      </c>
      <c r="AU86" t="s">
        <v>330</v>
      </c>
      <c r="AV86" t="s">
        <v>4351</v>
      </c>
      <c r="AW86" t="s">
        <v>247</v>
      </c>
      <c r="AX86" t="s">
        <v>4352</v>
      </c>
      <c r="AY86" t="s">
        <v>249</v>
      </c>
      <c r="AZ86" t="s">
        <v>4353</v>
      </c>
      <c r="BA86" t="s">
        <v>242</v>
      </c>
      <c r="BB86" t="s">
        <v>4354</v>
      </c>
      <c r="BC86" t="s">
        <v>259</v>
      </c>
      <c r="BD86" t="s">
        <v>4355</v>
      </c>
      <c r="BE86" t="s">
        <v>358</v>
      </c>
      <c r="BF86" t="s">
        <v>4356</v>
      </c>
      <c r="BG86" t="s">
        <v>519</v>
      </c>
      <c r="BH86" t="s">
        <v>4357</v>
      </c>
      <c r="BI86" t="s">
        <v>344</v>
      </c>
      <c r="BJ86" t="s">
        <v>4358</v>
      </c>
      <c r="BK86" t="s">
        <v>281</v>
      </c>
      <c r="BL86" t="s">
        <v>4359</v>
      </c>
      <c r="BM86" t="s">
        <v>369</v>
      </c>
      <c r="BN86" t="s">
        <v>4360</v>
      </c>
      <c r="BO86" t="s">
        <v>424</v>
      </c>
      <c r="BP86" t="s">
        <v>4361</v>
      </c>
      <c r="BQ86" t="s">
        <v>575</v>
      </c>
      <c r="BR86" t="s">
        <v>4362</v>
      </c>
      <c r="BS86" t="s">
        <v>335</v>
      </c>
      <c r="BT86" t="s">
        <v>2022</v>
      </c>
      <c r="BU86" t="s">
        <v>257</v>
      </c>
      <c r="BV86" t="s">
        <v>4363</v>
      </c>
      <c r="BW86" t="s">
        <v>528</v>
      </c>
      <c r="BX86" t="s">
        <v>3553</v>
      </c>
      <c r="BY86" t="s">
        <v>295</v>
      </c>
      <c r="BZ86" t="s">
        <v>4364</v>
      </c>
      <c r="CA86" t="s">
        <v>348</v>
      </c>
      <c r="CB86" t="s">
        <v>4365</v>
      </c>
      <c r="CC86" t="s">
        <v>271</v>
      </c>
      <c r="CD86" t="s">
        <v>4366</v>
      </c>
      <c r="CE86" t="s">
        <v>589</v>
      </c>
      <c r="CF86" t="s">
        <v>4367</v>
      </c>
      <c r="CG86" t="s">
        <v>575</v>
      </c>
      <c r="CH86" t="s">
        <v>4368</v>
      </c>
      <c r="CI86" t="s">
        <v>664</v>
      </c>
      <c r="CJ86" t="s">
        <v>4369</v>
      </c>
      <c r="CK86" t="s">
        <v>289</v>
      </c>
      <c r="CL86" t="s">
        <v>4370</v>
      </c>
      <c r="CM86" t="s">
        <v>585</v>
      </c>
      <c r="CN86" t="s">
        <v>4371</v>
      </c>
      <c r="CO86" t="s">
        <v>532</v>
      </c>
      <c r="CP86" t="s">
        <v>4372</v>
      </c>
      <c r="CQ86" t="s">
        <v>993</v>
      </c>
      <c r="CR86" t="s">
        <v>2066</v>
      </c>
      <c r="CS86" t="s">
        <v>399</v>
      </c>
      <c r="CT86" t="s">
        <v>959</v>
      </c>
      <c r="CU86" t="s">
        <v>664</v>
      </c>
      <c r="CV86" t="s">
        <v>545</v>
      </c>
      <c r="CW86" t="s">
        <v>575</v>
      </c>
      <c r="CX86" t="s">
        <v>4373</v>
      </c>
      <c r="CY86" t="s">
        <v>664</v>
      </c>
      <c r="CZ86" t="s">
        <v>4374</v>
      </c>
      <c r="DA86" t="s">
        <v>542</v>
      </c>
      <c r="DB86" t="s">
        <v>4375</v>
      </c>
      <c r="DC86" t="s">
        <v>242</v>
      </c>
      <c r="DD86" t="s">
        <v>4376</v>
      </c>
      <c r="DF86" t="s">
        <v>4377</v>
      </c>
      <c r="DG86" t="s">
        <v>242</v>
      </c>
      <c r="DH86" t="s">
        <v>4378</v>
      </c>
    </row>
    <row r="87" spans="1:112" x14ac:dyDescent="0.35">
      <c r="A87" t="s">
        <v>227</v>
      </c>
      <c r="B87" t="s">
        <v>4379</v>
      </c>
      <c r="C87" t="s">
        <v>229</v>
      </c>
      <c r="D87" t="s">
        <v>4380</v>
      </c>
      <c r="E87" t="s">
        <v>231</v>
      </c>
      <c r="F87" t="s">
        <v>4381</v>
      </c>
      <c r="G87" t="s">
        <v>44</v>
      </c>
      <c r="H87" t="s">
        <v>4382</v>
      </c>
      <c r="I87" t="s">
        <v>242</v>
      </c>
      <c r="J87" t="s">
        <v>243</v>
      </c>
      <c r="L87" t="s">
        <v>243</v>
      </c>
      <c r="M87" t="s">
        <v>242</v>
      </c>
      <c r="N87" t="s">
        <v>243</v>
      </c>
      <c r="O87" t="s">
        <v>242</v>
      </c>
      <c r="P87" t="s">
        <v>243</v>
      </c>
      <c r="Q87" t="s">
        <v>242</v>
      </c>
      <c r="R87" t="s">
        <v>243</v>
      </c>
      <c r="S87" t="s">
        <v>242</v>
      </c>
      <c r="T87" t="s">
        <v>243</v>
      </c>
      <c r="U87" t="s">
        <v>242</v>
      </c>
      <c r="V87" t="s">
        <v>243</v>
      </c>
      <c r="W87" t="s">
        <v>242</v>
      </c>
      <c r="X87" t="s">
        <v>243</v>
      </c>
      <c r="Y87" t="s">
        <v>242</v>
      </c>
      <c r="Z87" t="s">
        <v>243</v>
      </c>
      <c r="AA87" t="s">
        <v>242</v>
      </c>
      <c r="AB87" t="s">
        <v>243</v>
      </c>
      <c r="AC87" t="s">
        <v>242</v>
      </c>
      <c r="AD87" t="s">
        <v>243</v>
      </c>
      <c r="AE87" t="s">
        <v>242</v>
      </c>
      <c r="AF87" t="s">
        <v>243</v>
      </c>
      <c r="AG87" t="s">
        <v>242</v>
      </c>
      <c r="AH87" t="s">
        <v>243</v>
      </c>
      <c r="AI87" t="s">
        <v>242</v>
      </c>
      <c r="AJ87" t="s">
        <v>243</v>
      </c>
      <c r="AK87" t="s">
        <v>242</v>
      </c>
      <c r="AL87" t="s">
        <v>243</v>
      </c>
      <c r="AM87" t="s">
        <v>242</v>
      </c>
      <c r="AN87" t="s">
        <v>243</v>
      </c>
      <c r="AO87" t="s">
        <v>242</v>
      </c>
      <c r="AP87" t="s">
        <v>243</v>
      </c>
      <c r="AQ87" t="s">
        <v>242</v>
      </c>
      <c r="AR87" t="s">
        <v>243</v>
      </c>
      <c r="AS87" t="s">
        <v>242</v>
      </c>
      <c r="AT87" t="s">
        <v>243</v>
      </c>
      <c r="AU87" t="s">
        <v>242</v>
      </c>
      <c r="AV87" t="s">
        <v>243</v>
      </c>
      <c r="AW87" t="s">
        <v>242</v>
      </c>
      <c r="AX87" t="s">
        <v>243</v>
      </c>
      <c r="AY87" t="s">
        <v>242</v>
      </c>
      <c r="AZ87" t="s">
        <v>243</v>
      </c>
      <c r="BA87" t="s">
        <v>242</v>
      </c>
      <c r="BB87" t="s">
        <v>243</v>
      </c>
      <c r="BC87" t="s">
        <v>519</v>
      </c>
      <c r="BD87" t="s">
        <v>243</v>
      </c>
      <c r="BE87" t="s">
        <v>243</v>
      </c>
      <c r="BF87" t="s">
        <v>243</v>
      </c>
      <c r="BG87" t="s">
        <v>519</v>
      </c>
      <c r="BH87" t="s">
        <v>243</v>
      </c>
      <c r="BI87" t="s">
        <v>243</v>
      </c>
      <c r="BJ87" t="s">
        <v>243</v>
      </c>
      <c r="BK87" t="s">
        <v>519</v>
      </c>
      <c r="BL87" t="s">
        <v>243</v>
      </c>
      <c r="BM87" t="s">
        <v>243</v>
      </c>
      <c r="BN87" t="s">
        <v>243</v>
      </c>
      <c r="BO87" t="s">
        <v>519</v>
      </c>
      <c r="BP87" t="s">
        <v>243</v>
      </c>
      <c r="BQ87" t="s">
        <v>243</v>
      </c>
      <c r="BR87" t="s">
        <v>243</v>
      </c>
      <c r="BS87" t="s">
        <v>519</v>
      </c>
      <c r="BT87" t="s">
        <v>243</v>
      </c>
      <c r="BU87" t="s">
        <v>243</v>
      </c>
      <c r="BV87" t="s">
        <v>243</v>
      </c>
      <c r="BW87" t="s">
        <v>519</v>
      </c>
      <c r="BX87" t="s">
        <v>243</v>
      </c>
      <c r="BY87" t="s">
        <v>243</v>
      </c>
      <c r="BZ87" t="s">
        <v>243</v>
      </c>
      <c r="CA87" t="s">
        <v>519</v>
      </c>
      <c r="CB87" t="s">
        <v>243</v>
      </c>
      <c r="CC87" t="s">
        <v>243</v>
      </c>
      <c r="CD87" t="s">
        <v>243</v>
      </c>
      <c r="CE87" t="s">
        <v>519</v>
      </c>
      <c r="CF87" t="s">
        <v>243</v>
      </c>
      <c r="CG87" t="s">
        <v>243</v>
      </c>
      <c r="CH87" t="s">
        <v>243</v>
      </c>
      <c r="CI87" t="s">
        <v>519</v>
      </c>
      <c r="CJ87" t="s">
        <v>243</v>
      </c>
      <c r="CK87" t="s">
        <v>243</v>
      </c>
      <c r="CL87" t="s">
        <v>243</v>
      </c>
      <c r="CM87" t="s">
        <v>519</v>
      </c>
      <c r="CN87" t="s">
        <v>243</v>
      </c>
      <c r="CO87" t="s">
        <v>243</v>
      </c>
      <c r="CP87" t="s">
        <v>243</v>
      </c>
      <c r="CQ87" t="s">
        <v>519</v>
      </c>
      <c r="CR87" t="s">
        <v>243</v>
      </c>
      <c r="CS87" t="s">
        <v>243</v>
      </c>
      <c r="CT87" t="s">
        <v>243</v>
      </c>
      <c r="CU87" t="s">
        <v>519</v>
      </c>
      <c r="CV87" t="s">
        <v>243</v>
      </c>
      <c r="CW87" t="s">
        <v>243</v>
      </c>
      <c r="CX87" t="s">
        <v>243</v>
      </c>
      <c r="CY87" t="s">
        <v>519</v>
      </c>
      <c r="CZ87" t="s">
        <v>243</v>
      </c>
      <c r="DA87" t="s">
        <v>243</v>
      </c>
      <c r="DB87" t="s">
        <v>243</v>
      </c>
      <c r="DC87" t="s">
        <v>242</v>
      </c>
      <c r="DD87" t="s">
        <v>243</v>
      </c>
      <c r="DF87" t="s">
        <v>243</v>
      </c>
      <c r="DG87" t="s">
        <v>242</v>
      </c>
      <c r="DH87" t="s">
        <v>244</v>
      </c>
    </row>
    <row r="88" spans="1:112" x14ac:dyDescent="0.35">
      <c r="A88" t="s">
        <v>227</v>
      </c>
      <c r="B88" t="s">
        <v>4383</v>
      </c>
      <c r="C88" t="s">
        <v>229</v>
      </c>
      <c r="D88" t="s">
        <v>4384</v>
      </c>
      <c r="E88" t="s">
        <v>231</v>
      </c>
      <c r="F88" t="s">
        <v>4385</v>
      </c>
      <c r="G88" t="s">
        <v>40</v>
      </c>
      <c r="H88" t="s">
        <v>4386</v>
      </c>
      <c r="I88" t="s">
        <v>234</v>
      </c>
      <c r="J88" t="s">
        <v>4387</v>
      </c>
      <c r="L88" t="s">
        <v>4388</v>
      </c>
      <c r="M88" t="s">
        <v>18</v>
      </c>
      <c r="N88" t="s">
        <v>1518</v>
      </c>
      <c r="O88" t="s">
        <v>19</v>
      </c>
      <c r="P88" t="s">
        <v>3819</v>
      </c>
      <c r="Q88" t="s">
        <v>40</v>
      </c>
      <c r="R88" t="s">
        <v>4389</v>
      </c>
      <c r="S88" t="s">
        <v>310</v>
      </c>
      <c r="T88" t="s">
        <v>2887</v>
      </c>
      <c r="U88" t="s">
        <v>40</v>
      </c>
      <c r="V88" t="s">
        <v>4390</v>
      </c>
      <c r="W88" t="s">
        <v>44</v>
      </c>
      <c r="X88" t="s">
        <v>2181</v>
      </c>
      <c r="Y88" t="s">
        <v>242</v>
      </c>
      <c r="Z88" t="s">
        <v>243</v>
      </c>
      <c r="AA88" t="s">
        <v>40</v>
      </c>
      <c r="AB88" t="s">
        <v>244</v>
      </c>
      <c r="AC88" t="s">
        <v>316</v>
      </c>
      <c r="AD88" t="s">
        <v>3327</v>
      </c>
      <c r="AE88" t="s">
        <v>502</v>
      </c>
      <c r="AF88" t="s">
        <v>4391</v>
      </c>
      <c r="AG88" t="s">
        <v>40</v>
      </c>
      <c r="AH88" t="s">
        <v>4392</v>
      </c>
      <c r="AI88" t="s">
        <v>621</v>
      </c>
      <c r="AJ88" t="s">
        <v>4393</v>
      </c>
      <c r="AK88" t="s">
        <v>4394</v>
      </c>
      <c r="AL88" t="s">
        <v>4395</v>
      </c>
      <c r="AM88" t="s">
        <v>885</v>
      </c>
      <c r="AN88" t="s">
        <v>4396</v>
      </c>
      <c r="AO88" t="s">
        <v>4254</v>
      </c>
      <c r="AP88" t="s">
        <v>4397</v>
      </c>
      <c r="AQ88" t="s">
        <v>41</v>
      </c>
      <c r="AR88" t="s">
        <v>4398</v>
      </c>
      <c r="AS88" t="s">
        <v>242</v>
      </c>
      <c r="AT88" t="s">
        <v>4399</v>
      </c>
      <c r="AU88" t="s">
        <v>4400</v>
      </c>
      <c r="AV88" t="s">
        <v>4401</v>
      </c>
      <c r="AW88" t="s">
        <v>247</v>
      </c>
      <c r="AX88" t="s">
        <v>4402</v>
      </c>
      <c r="AY88" t="s">
        <v>249</v>
      </c>
      <c r="AZ88" t="s">
        <v>4403</v>
      </c>
      <c r="BA88" t="s">
        <v>242</v>
      </c>
      <c r="BB88" t="s">
        <v>3752</v>
      </c>
      <c r="BC88" t="s">
        <v>467</v>
      </c>
      <c r="BD88" t="s">
        <v>4404</v>
      </c>
      <c r="BE88" t="s">
        <v>295</v>
      </c>
      <c r="BF88" t="s">
        <v>4405</v>
      </c>
      <c r="BG88" t="s">
        <v>451</v>
      </c>
      <c r="BH88" t="s">
        <v>4406</v>
      </c>
      <c r="BI88" t="s">
        <v>293</v>
      </c>
      <c r="BJ88" t="s">
        <v>3668</v>
      </c>
      <c r="BK88" t="s">
        <v>731</v>
      </c>
      <c r="BL88" t="s">
        <v>4407</v>
      </c>
      <c r="BM88" t="s">
        <v>411</v>
      </c>
      <c r="BN88" t="s">
        <v>4408</v>
      </c>
      <c r="BO88" t="s">
        <v>698</v>
      </c>
      <c r="BP88" t="s">
        <v>597</v>
      </c>
      <c r="BQ88" t="s">
        <v>454</v>
      </c>
      <c r="BR88" t="s">
        <v>4409</v>
      </c>
      <c r="BS88" t="s">
        <v>268</v>
      </c>
      <c r="BT88" t="s">
        <v>4410</v>
      </c>
      <c r="BU88" t="s">
        <v>411</v>
      </c>
      <c r="BV88" t="s">
        <v>4411</v>
      </c>
      <c r="BW88" t="s">
        <v>358</v>
      </c>
      <c r="BX88" t="s">
        <v>4412</v>
      </c>
      <c r="BY88" t="s">
        <v>685</v>
      </c>
      <c r="BZ88" t="s">
        <v>1367</v>
      </c>
      <c r="CA88" t="s">
        <v>698</v>
      </c>
      <c r="CB88" t="s">
        <v>4413</v>
      </c>
      <c r="CC88" t="s">
        <v>451</v>
      </c>
      <c r="CD88" t="s">
        <v>4414</v>
      </c>
      <c r="CE88" t="s">
        <v>429</v>
      </c>
      <c r="CF88" t="s">
        <v>4415</v>
      </c>
      <c r="CG88" t="s">
        <v>688</v>
      </c>
      <c r="CH88" t="s">
        <v>1014</v>
      </c>
      <c r="CI88" t="s">
        <v>473</v>
      </c>
      <c r="CJ88" t="s">
        <v>4416</v>
      </c>
      <c r="CK88" t="s">
        <v>369</v>
      </c>
      <c r="CL88" t="s">
        <v>4417</v>
      </c>
      <c r="CM88" t="s">
        <v>449</v>
      </c>
      <c r="CN88" t="s">
        <v>4418</v>
      </c>
      <c r="CO88" t="s">
        <v>451</v>
      </c>
      <c r="CP88" t="s">
        <v>4419</v>
      </c>
      <c r="CQ88" t="s">
        <v>473</v>
      </c>
      <c r="CR88" t="s">
        <v>4420</v>
      </c>
      <c r="CS88" t="s">
        <v>454</v>
      </c>
      <c r="CT88" t="s">
        <v>511</v>
      </c>
      <c r="CU88" t="s">
        <v>289</v>
      </c>
      <c r="CV88" t="s">
        <v>4421</v>
      </c>
      <c r="CW88" t="s">
        <v>261</v>
      </c>
      <c r="CX88" t="s">
        <v>4422</v>
      </c>
      <c r="CY88" t="s">
        <v>395</v>
      </c>
      <c r="CZ88" t="s">
        <v>4423</v>
      </c>
      <c r="DA88" t="s">
        <v>731</v>
      </c>
      <c r="DB88" t="s">
        <v>613</v>
      </c>
      <c r="DC88" t="s">
        <v>242</v>
      </c>
      <c r="DD88" t="s">
        <v>4424</v>
      </c>
      <c r="DF88" t="s">
        <v>4425</v>
      </c>
      <c r="DG88" t="s">
        <v>242</v>
      </c>
      <c r="DH88" t="s">
        <v>4426</v>
      </c>
    </row>
    <row r="89" spans="1:112" x14ac:dyDescent="0.35">
      <c r="A89" t="s">
        <v>227</v>
      </c>
      <c r="B89" t="s">
        <v>4427</v>
      </c>
      <c r="C89" t="s">
        <v>229</v>
      </c>
      <c r="D89" t="s">
        <v>4428</v>
      </c>
      <c r="E89" t="s">
        <v>231</v>
      </c>
      <c r="F89" t="s">
        <v>4429</v>
      </c>
      <c r="G89" t="s">
        <v>40</v>
      </c>
      <c r="H89" t="s">
        <v>4430</v>
      </c>
      <c r="I89" t="s">
        <v>234</v>
      </c>
      <c r="J89" t="s">
        <v>4431</v>
      </c>
      <c r="L89" t="s">
        <v>4432</v>
      </c>
      <c r="M89" t="s">
        <v>18</v>
      </c>
      <c r="N89" t="s">
        <v>4433</v>
      </c>
      <c r="O89" t="s">
        <v>21</v>
      </c>
      <c r="P89" t="s">
        <v>4434</v>
      </c>
      <c r="Q89" t="s">
        <v>40</v>
      </c>
      <c r="R89" t="s">
        <v>4435</v>
      </c>
      <c r="S89" t="s">
        <v>310</v>
      </c>
      <c r="T89" t="s">
        <v>4436</v>
      </c>
      <c r="U89" t="s">
        <v>40</v>
      </c>
      <c r="V89" t="s">
        <v>4437</v>
      </c>
      <c r="W89" t="s">
        <v>40</v>
      </c>
      <c r="X89" t="s">
        <v>2352</v>
      </c>
      <c r="Y89" t="s">
        <v>88</v>
      </c>
      <c r="Z89" t="s">
        <v>267</v>
      </c>
      <c r="AA89" t="s">
        <v>40</v>
      </c>
      <c r="AB89" t="s">
        <v>4438</v>
      </c>
      <c r="AC89" t="s">
        <v>316</v>
      </c>
      <c r="AD89" t="s">
        <v>4439</v>
      </c>
      <c r="AE89" t="s">
        <v>502</v>
      </c>
      <c r="AF89" t="s">
        <v>4440</v>
      </c>
      <c r="AG89" t="s">
        <v>40</v>
      </c>
      <c r="AH89" t="s">
        <v>4441</v>
      </c>
      <c r="AI89" t="s">
        <v>621</v>
      </c>
      <c r="AJ89" t="s">
        <v>4442</v>
      </c>
      <c r="AK89" t="s">
        <v>4443</v>
      </c>
      <c r="AL89" t="s">
        <v>4444</v>
      </c>
      <c r="AM89" t="s">
        <v>4445</v>
      </c>
      <c r="AN89" t="s">
        <v>4446</v>
      </c>
      <c r="AO89" t="s">
        <v>4447</v>
      </c>
      <c r="AP89" t="s">
        <v>4448</v>
      </c>
      <c r="AQ89" t="s">
        <v>41</v>
      </c>
      <c r="AR89" t="s">
        <v>4449</v>
      </c>
      <c r="AS89" t="s">
        <v>242</v>
      </c>
      <c r="AT89" t="s">
        <v>4450</v>
      </c>
      <c r="AU89" t="s">
        <v>4451</v>
      </c>
      <c r="AV89" t="s">
        <v>4452</v>
      </c>
      <c r="AW89" t="s">
        <v>247</v>
      </c>
      <c r="AX89" t="s">
        <v>1473</v>
      </c>
      <c r="AY89" t="s">
        <v>249</v>
      </c>
      <c r="AZ89" t="s">
        <v>4453</v>
      </c>
      <c r="BA89" t="s">
        <v>242</v>
      </c>
      <c r="BB89" t="s">
        <v>4454</v>
      </c>
      <c r="BC89" t="s">
        <v>261</v>
      </c>
      <c r="BD89" t="s">
        <v>4455</v>
      </c>
      <c r="BE89" t="s">
        <v>731</v>
      </c>
      <c r="BF89" t="s">
        <v>4456</v>
      </c>
      <c r="BG89" t="s">
        <v>421</v>
      </c>
      <c r="BH89" t="s">
        <v>4457</v>
      </c>
      <c r="BI89" t="s">
        <v>358</v>
      </c>
      <c r="BJ89" t="s">
        <v>4458</v>
      </c>
      <c r="BK89" t="s">
        <v>397</v>
      </c>
      <c r="BL89" t="s">
        <v>4459</v>
      </c>
      <c r="BM89" t="s">
        <v>688</v>
      </c>
      <c r="BN89" t="s">
        <v>4460</v>
      </c>
      <c r="BO89" t="s">
        <v>360</v>
      </c>
      <c r="BP89" t="s">
        <v>4461</v>
      </c>
      <c r="BQ89" t="s">
        <v>476</v>
      </c>
      <c r="BR89" t="s">
        <v>4462</v>
      </c>
      <c r="BS89" t="s">
        <v>744</v>
      </c>
      <c r="BT89" t="s">
        <v>4463</v>
      </c>
      <c r="BU89" t="s">
        <v>268</v>
      </c>
      <c r="BV89" t="s">
        <v>4464</v>
      </c>
      <c r="BW89" t="s">
        <v>779</v>
      </c>
      <c r="BX89" t="s">
        <v>4465</v>
      </c>
      <c r="BY89" t="s">
        <v>268</v>
      </c>
      <c r="BZ89" t="s">
        <v>1807</v>
      </c>
      <c r="CA89" t="s">
        <v>538</v>
      </c>
      <c r="CB89" t="s">
        <v>4466</v>
      </c>
      <c r="CC89" t="s">
        <v>858</v>
      </c>
      <c r="CD89" t="s">
        <v>4467</v>
      </c>
      <c r="CE89" t="s">
        <v>528</v>
      </c>
      <c r="CF89" t="s">
        <v>4468</v>
      </c>
      <c r="CG89" t="s">
        <v>289</v>
      </c>
      <c r="CH89" t="s">
        <v>4469</v>
      </c>
      <c r="CI89" t="s">
        <v>287</v>
      </c>
      <c r="CJ89" t="s">
        <v>4470</v>
      </c>
      <c r="CK89" t="s">
        <v>281</v>
      </c>
      <c r="CL89" t="s">
        <v>4471</v>
      </c>
      <c r="CM89" t="s">
        <v>696</v>
      </c>
      <c r="CN89" t="s">
        <v>4472</v>
      </c>
      <c r="CO89" t="s">
        <v>532</v>
      </c>
      <c r="CP89" t="s">
        <v>4473</v>
      </c>
      <c r="CQ89" t="s">
        <v>696</v>
      </c>
      <c r="CR89" t="s">
        <v>4474</v>
      </c>
      <c r="CS89" t="s">
        <v>481</v>
      </c>
      <c r="CT89" t="s">
        <v>4475</v>
      </c>
      <c r="CU89" t="s">
        <v>360</v>
      </c>
      <c r="CV89" t="s">
        <v>4476</v>
      </c>
      <c r="CW89" t="s">
        <v>685</v>
      </c>
      <c r="CX89" t="s">
        <v>4477</v>
      </c>
      <c r="CY89" t="s">
        <v>575</v>
      </c>
      <c r="CZ89" t="s">
        <v>4478</v>
      </c>
      <c r="DA89" t="s">
        <v>295</v>
      </c>
      <c r="DB89" t="s">
        <v>4479</v>
      </c>
      <c r="DC89" t="s">
        <v>242</v>
      </c>
      <c r="DD89" t="s">
        <v>4480</v>
      </c>
      <c r="DF89" t="s">
        <v>4481</v>
      </c>
      <c r="DG89" t="s">
        <v>242</v>
      </c>
      <c r="DH89" t="s">
        <v>4482</v>
      </c>
    </row>
    <row r="90" spans="1:112" x14ac:dyDescent="0.35">
      <c r="A90" t="s">
        <v>227</v>
      </c>
      <c r="B90" t="s">
        <v>4483</v>
      </c>
      <c r="C90" t="s">
        <v>229</v>
      </c>
      <c r="D90" t="s">
        <v>4484</v>
      </c>
      <c r="E90" t="s">
        <v>231</v>
      </c>
      <c r="F90" t="s">
        <v>657</v>
      </c>
      <c r="G90" t="s">
        <v>40</v>
      </c>
      <c r="H90" t="s">
        <v>4485</v>
      </c>
      <c r="I90" t="s">
        <v>234</v>
      </c>
      <c r="J90" t="s">
        <v>4486</v>
      </c>
      <c r="L90" t="s">
        <v>4487</v>
      </c>
      <c r="M90" t="s">
        <v>18</v>
      </c>
      <c r="N90" t="s">
        <v>4488</v>
      </c>
      <c r="O90" t="s">
        <v>21</v>
      </c>
      <c r="P90" t="s">
        <v>4489</v>
      </c>
      <c r="Q90" t="s">
        <v>40</v>
      </c>
      <c r="R90" t="s">
        <v>4490</v>
      </c>
      <c r="S90" t="s">
        <v>310</v>
      </c>
      <c r="T90" t="s">
        <v>4389</v>
      </c>
      <c r="U90" t="s">
        <v>40</v>
      </c>
      <c r="V90" t="s">
        <v>4491</v>
      </c>
      <c r="W90" t="s">
        <v>40</v>
      </c>
      <c r="X90" t="s">
        <v>4492</v>
      </c>
      <c r="Y90" t="s">
        <v>75</v>
      </c>
      <c r="Z90" t="s">
        <v>3110</v>
      </c>
      <c r="AA90" t="s">
        <v>40</v>
      </c>
      <c r="AB90" t="s">
        <v>4493</v>
      </c>
      <c r="AC90" t="s">
        <v>3377</v>
      </c>
      <c r="AD90" t="s">
        <v>4494</v>
      </c>
      <c r="AE90" t="s">
        <v>502</v>
      </c>
      <c r="AF90" t="s">
        <v>674</v>
      </c>
      <c r="AG90" t="s">
        <v>40</v>
      </c>
      <c r="AH90" t="s">
        <v>4495</v>
      </c>
      <c r="AI90" t="s">
        <v>621</v>
      </c>
      <c r="AJ90" t="s">
        <v>4496</v>
      </c>
      <c r="AK90" t="s">
        <v>4497</v>
      </c>
      <c r="AL90" t="s">
        <v>4498</v>
      </c>
      <c r="AM90" t="s">
        <v>1074</v>
      </c>
      <c r="AN90" t="s">
        <v>4499</v>
      </c>
      <c r="AO90" t="s">
        <v>1760</v>
      </c>
      <c r="AP90" t="s">
        <v>4500</v>
      </c>
      <c r="AQ90" t="s">
        <v>41</v>
      </c>
      <c r="AR90" t="s">
        <v>4501</v>
      </c>
      <c r="AS90" t="s">
        <v>242</v>
      </c>
      <c r="AT90" t="s">
        <v>4502</v>
      </c>
      <c r="AU90" t="s">
        <v>330</v>
      </c>
      <c r="AV90" t="s">
        <v>4503</v>
      </c>
      <c r="AW90" t="s">
        <v>247</v>
      </c>
      <c r="AX90" t="s">
        <v>4504</v>
      </c>
      <c r="AY90" t="s">
        <v>249</v>
      </c>
      <c r="AZ90" t="s">
        <v>4213</v>
      </c>
      <c r="BA90" t="s">
        <v>242</v>
      </c>
      <c r="BB90" t="s">
        <v>4505</v>
      </c>
      <c r="BC90" t="s">
        <v>243</v>
      </c>
      <c r="BD90" t="s">
        <v>4506</v>
      </c>
      <c r="BE90" t="s">
        <v>243</v>
      </c>
      <c r="BF90" t="s">
        <v>4507</v>
      </c>
      <c r="BG90" t="s">
        <v>519</v>
      </c>
      <c r="BH90" t="s">
        <v>4508</v>
      </c>
      <c r="BI90" t="s">
        <v>243</v>
      </c>
      <c r="BJ90" t="s">
        <v>4139</v>
      </c>
      <c r="BK90" t="s">
        <v>519</v>
      </c>
      <c r="BL90" t="s">
        <v>4509</v>
      </c>
      <c r="BM90" t="s">
        <v>243</v>
      </c>
      <c r="BN90" t="s">
        <v>4510</v>
      </c>
      <c r="BO90" t="s">
        <v>519</v>
      </c>
      <c r="BP90" t="s">
        <v>4511</v>
      </c>
      <c r="BQ90" t="s">
        <v>243</v>
      </c>
      <c r="BR90" t="s">
        <v>4512</v>
      </c>
      <c r="BS90" t="s">
        <v>519</v>
      </c>
      <c r="BT90" t="s">
        <v>4513</v>
      </c>
      <c r="BU90" t="s">
        <v>243</v>
      </c>
      <c r="BV90" t="s">
        <v>4514</v>
      </c>
      <c r="BW90" t="s">
        <v>519</v>
      </c>
      <c r="BX90" t="s">
        <v>3370</v>
      </c>
      <c r="BY90" t="s">
        <v>243</v>
      </c>
      <c r="BZ90" t="s">
        <v>2712</v>
      </c>
      <c r="CA90" t="s">
        <v>519</v>
      </c>
      <c r="CB90" t="s">
        <v>1252</v>
      </c>
      <c r="CC90" t="s">
        <v>243</v>
      </c>
      <c r="CD90" t="s">
        <v>867</v>
      </c>
      <c r="CE90" t="s">
        <v>519</v>
      </c>
      <c r="CF90" t="s">
        <v>498</v>
      </c>
      <c r="CG90" t="s">
        <v>243</v>
      </c>
      <c r="CH90" t="s">
        <v>804</v>
      </c>
      <c r="CI90" t="s">
        <v>519</v>
      </c>
      <c r="CJ90" t="s">
        <v>4515</v>
      </c>
      <c r="CK90" t="s">
        <v>243</v>
      </c>
      <c r="CL90" t="s">
        <v>4516</v>
      </c>
      <c r="CM90" t="s">
        <v>519</v>
      </c>
      <c r="CN90" t="s">
        <v>4517</v>
      </c>
      <c r="CO90" t="s">
        <v>243</v>
      </c>
      <c r="CP90" t="s">
        <v>4518</v>
      </c>
      <c r="CQ90" t="s">
        <v>519</v>
      </c>
      <c r="CR90" t="s">
        <v>4519</v>
      </c>
      <c r="CS90" t="s">
        <v>243</v>
      </c>
      <c r="CT90" t="s">
        <v>3411</v>
      </c>
      <c r="CU90" t="s">
        <v>519</v>
      </c>
      <c r="CV90" t="s">
        <v>4520</v>
      </c>
      <c r="CW90" t="s">
        <v>243</v>
      </c>
      <c r="CX90" t="s">
        <v>4521</v>
      </c>
      <c r="CY90" t="s">
        <v>519</v>
      </c>
      <c r="CZ90" t="s">
        <v>4522</v>
      </c>
      <c r="DA90" t="s">
        <v>243</v>
      </c>
      <c r="DB90" t="s">
        <v>3602</v>
      </c>
      <c r="DC90" t="s">
        <v>242</v>
      </c>
      <c r="DD90" t="s">
        <v>1520</v>
      </c>
      <c r="DF90" t="s">
        <v>4523</v>
      </c>
      <c r="DG90" t="s">
        <v>242</v>
      </c>
      <c r="DH90" t="s">
        <v>4524</v>
      </c>
    </row>
    <row r="91" spans="1:112" x14ac:dyDescent="0.35">
      <c r="A91" t="s">
        <v>227</v>
      </c>
      <c r="B91" t="s">
        <v>4525</v>
      </c>
      <c r="C91" t="s">
        <v>229</v>
      </c>
      <c r="D91" t="s">
        <v>4526</v>
      </c>
      <c r="E91" t="s">
        <v>231</v>
      </c>
      <c r="F91" t="s">
        <v>4527</v>
      </c>
      <c r="G91" t="s">
        <v>40</v>
      </c>
      <c r="H91" t="s">
        <v>3566</v>
      </c>
      <c r="I91" t="s">
        <v>234</v>
      </c>
      <c r="J91" t="s">
        <v>1113</v>
      </c>
      <c r="L91" t="s">
        <v>4528</v>
      </c>
      <c r="M91" t="s">
        <v>18</v>
      </c>
      <c r="N91" t="s">
        <v>751</v>
      </c>
      <c r="O91" t="s">
        <v>21</v>
      </c>
      <c r="P91" t="s">
        <v>4529</v>
      </c>
      <c r="Q91" t="s">
        <v>40</v>
      </c>
      <c r="R91" t="s">
        <v>4530</v>
      </c>
      <c r="S91" t="s">
        <v>310</v>
      </c>
      <c r="T91" t="s">
        <v>4531</v>
      </c>
      <c r="U91" t="s">
        <v>40</v>
      </c>
      <c r="V91" t="s">
        <v>4532</v>
      </c>
      <c r="W91" t="s">
        <v>40</v>
      </c>
      <c r="X91" t="s">
        <v>4410</v>
      </c>
      <c r="Y91" t="s">
        <v>89</v>
      </c>
      <c r="Z91" t="s">
        <v>4533</v>
      </c>
      <c r="AA91" t="s">
        <v>40</v>
      </c>
      <c r="AB91" t="s">
        <v>4534</v>
      </c>
      <c r="AC91" t="s">
        <v>316</v>
      </c>
      <c r="AD91" t="s">
        <v>4535</v>
      </c>
      <c r="AE91" t="s">
        <v>502</v>
      </c>
      <c r="AF91" t="s">
        <v>2718</v>
      </c>
      <c r="AG91" t="s">
        <v>40</v>
      </c>
      <c r="AH91" t="s">
        <v>618</v>
      </c>
      <c r="AI91" t="s">
        <v>621</v>
      </c>
      <c r="AJ91" t="s">
        <v>1883</v>
      </c>
      <c r="AK91" t="s">
        <v>4536</v>
      </c>
      <c r="AL91" t="s">
        <v>4537</v>
      </c>
      <c r="AM91" t="s">
        <v>295</v>
      </c>
      <c r="AN91" t="s">
        <v>4538</v>
      </c>
      <c r="AO91" t="s">
        <v>1442</v>
      </c>
      <c r="AP91" t="s">
        <v>4539</v>
      </c>
      <c r="AQ91" t="s">
        <v>41</v>
      </c>
      <c r="AR91" t="s">
        <v>2471</v>
      </c>
      <c r="AS91" t="s">
        <v>242</v>
      </c>
      <c r="AT91" t="s">
        <v>4540</v>
      </c>
      <c r="AU91" t="s">
        <v>2192</v>
      </c>
      <c r="AV91" t="s">
        <v>4541</v>
      </c>
      <c r="AW91" t="s">
        <v>247</v>
      </c>
      <c r="AX91" t="s">
        <v>2326</v>
      </c>
      <c r="AY91" t="s">
        <v>249</v>
      </c>
      <c r="AZ91" t="s">
        <v>4542</v>
      </c>
      <c r="BA91" t="s">
        <v>242</v>
      </c>
      <c r="BB91" t="s">
        <v>4543</v>
      </c>
      <c r="BC91" t="s">
        <v>287</v>
      </c>
      <c r="BD91" t="s">
        <v>4544</v>
      </c>
      <c r="BE91" t="s">
        <v>291</v>
      </c>
      <c r="BF91" t="s">
        <v>4545</v>
      </c>
      <c r="BG91" t="s">
        <v>416</v>
      </c>
      <c r="BH91" t="s">
        <v>4546</v>
      </c>
      <c r="BI91" t="s">
        <v>414</v>
      </c>
      <c r="BJ91" t="s">
        <v>4547</v>
      </c>
      <c r="BK91" t="s">
        <v>528</v>
      </c>
      <c r="BL91" t="s">
        <v>4548</v>
      </c>
      <c r="BM91" t="s">
        <v>393</v>
      </c>
      <c r="BN91" t="s">
        <v>4549</v>
      </c>
      <c r="BO91" t="s">
        <v>339</v>
      </c>
      <c r="BP91" t="s">
        <v>4550</v>
      </c>
      <c r="BQ91" t="s">
        <v>367</v>
      </c>
      <c r="BR91" t="s">
        <v>4551</v>
      </c>
      <c r="BS91" t="s">
        <v>528</v>
      </c>
      <c r="BT91" t="s">
        <v>4552</v>
      </c>
      <c r="BU91" t="s">
        <v>367</v>
      </c>
      <c r="BV91" t="s">
        <v>2079</v>
      </c>
      <c r="BW91" t="s">
        <v>595</v>
      </c>
      <c r="BX91" t="s">
        <v>4553</v>
      </c>
      <c r="BY91" t="s">
        <v>469</v>
      </c>
      <c r="BZ91" t="s">
        <v>4554</v>
      </c>
      <c r="CA91" t="s">
        <v>664</v>
      </c>
      <c r="CB91" t="s">
        <v>4470</v>
      </c>
      <c r="CC91" t="s">
        <v>538</v>
      </c>
      <c r="CD91" t="s">
        <v>4555</v>
      </c>
      <c r="CE91" t="s">
        <v>266</v>
      </c>
      <c r="CF91" t="s">
        <v>4556</v>
      </c>
      <c r="CG91" t="s">
        <v>365</v>
      </c>
      <c r="CH91" t="s">
        <v>4557</v>
      </c>
      <c r="CI91" t="s">
        <v>266</v>
      </c>
      <c r="CJ91" t="s">
        <v>3381</v>
      </c>
      <c r="CK91" t="s">
        <v>538</v>
      </c>
      <c r="CL91" t="s">
        <v>4558</v>
      </c>
      <c r="CM91" t="s">
        <v>283</v>
      </c>
      <c r="CN91" t="s">
        <v>4559</v>
      </c>
      <c r="CO91" t="s">
        <v>538</v>
      </c>
      <c r="CP91" t="s">
        <v>4560</v>
      </c>
      <c r="CQ91" t="s">
        <v>283</v>
      </c>
      <c r="CR91" t="s">
        <v>3604</v>
      </c>
      <c r="CS91" t="s">
        <v>335</v>
      </c>
      <c r="CT91" t="s">
        <v>4561</v>
      </c>
      <c r="CU91" t="s">
        <v>252</v>
      </c>
      <c r="CV91" t="s">
        <v>4562</v>
      </c>
      <c r="CW91" t="s">
        <v>371</v>
      </c>
      <c r="CX91" t="s">
        <v>1967</v>
      </c>
      <c r="CY91" t="s">
        <v>585</v>
      </c>
      <c r="CZ91" t="s">
        <v>4563</v>
      </c>
      <c r="DA91" t="s">
        <v>393</v>
      </c>
      <c r="DB91" t="s">
        <v>4564</v>
      </c>
      <c r="DC91" t="s">
        <v>242</v>
      </c>
      <c r="DD91" t="s">
        <v>4565</v>
      </c>
      <c r="DF91" t="s">
        <v>3211</v>
      </c>
      <c r="DG91" t="s">
        <v>242</v>
      </c>
      <c r="DH91" t="s">
        <v>3284</v>
      </c>
    </row>
    <row r="92" spans="1:112" x14ac:dyDescent="0.35">
      <c r="A92" t="s">
        <v>227</v>
      </c>
      <c r="B92" t="s">
        <v>4566</v>
      </c>
      <c r="C92" t="s">
        <v>229</v>
      </c>
      <c r="D92" t="s">
        <v>2023</v>
      </c>
      <c r="E92" t="s">
        <v>231</v>
      </c>
      <c r="F92" t="s">
        <v>4567</v>
      </c>
      <c r="G92" t="s">
        <v>40</v>
      </c>
      <c r="H92" t="s">
        <v>4568</v>
      </c>
      <c r="I92" t="s">
        <v>234</v>
      </c>
      <c r="J92" t="s">
        <v>4569</v>
      </c>
      <c r="L92" t="s">
        <v>4570</v>
      </c>
      <c r="M92" t="s">
        <v>15</v>
      </c>
      <c r="N92" t="s">
        <v>4571</v>
      </c>
      <c r="O92" t="s">
        <v>21</v>
      </c>
      <c r="P92" t="s">
        <v>4572</v>
      </c>
      <c r="Q92" t="s">
        <v>40</v>
      </c>
      <c r="R92" t="s">
        <v>4573</v>
      </c>
      <c r="S92" t="s">
        <v>310</v>
      </c>
      <c r="T92" t="s">
        <v>1728</v>
      </c>
      <c r="U92" t="s">
        <v>40</v>
      </c>
      <c r="V92" t="s">
        <v>4574</v>
      </c>
      <c r="W92" t="s">
        <v>40</v>
      </c>
      <c r="X92" t="s">
        <v>4575</v>
      </c>
      <c r="Y92" t="s">
        <v>90</v>
      </c>
      <c r="Z92" t="s">
        <v>4576</v>
      </c>
      <c r="AA92" t="s">
        <v>43</v>
      </c>
      <c r="AB92" t="s">
        <v>4577</v>
      </c>
      <c r="AC92" t="s">
        <v>242</v>
      </c>
      <c r="AD92" t="s">
        <v>243</v>
      </c>
      <c r="AE92" t="s">
        <v>242</v>
      </c>
      <c r="AF92" t="s">
        <v>243</v>
      </c>
      <c r="AG92" t="s">
        <v>242</v>
      </c>
      <c r="AH92" t="s">
        <v>243</v>
      </c>
      <c r="AI92" t="s">
        <v>242</v>
      </c>
      <c r="AJ92" t="s">
        <v>243</v>
      </c>
      <c r="AK92" t="s">
        <v>242</v>
      </c>
      <c r="AL92" t="s">
        <v>243</v>
      </c>
      <c r="AM92" t="s">
        <v>1607</v>
      </c>
      <c r="AN92" t="s">
        <v>244</v>
      </c>
      <c r="AO92" t="s">
        <v>825</v>
      </c>
      <c r="AP92" t="s">
        <v>4578</v>
      </c>
      <c r="AQ92" t="s">
        <v>41</v>
      </c>
      <c r="AR92" t="s">
        <v>4579</v>
      </c>
      <c r="AS92" t="s">
        <v>242</v>
      </c>
      <c r="AT92" t="s">
        <v>4580</v>
      </c>
      <c r="AU92" t="s">
        <v>4581</v>
      </c>
      <c r="AV92" t="s">
        <v>4582</v>
      </c>
      <c r="AW92" t="s">
        <v>247</v>
      </c>
      <c r="AX92" t="s">
        <v>4583</v>
      </c>
      <c r="AY92" t="s">
        <v>249</v>
      </c>
      <c r="AZ92" t="s">
        <v>4584</v>
      </c>
      <c r="BA92" t="s">
        <v>242</v>
      </c>
      <c r="BB92" t="s">
        <v>4585</v>
      </c>
      <c r="BC92" t="s">
        <v>481</v>
      </c>
      <c r="BD92" t="s">
        <v>4586</v>
      </c>
      <c r="BE92" t="s">
        <v>1360</v>
      </c>
      <c r="BF92" t="s">
        <v>4587</v>
      </c>
      <c r="BG92" t="s">
        <v>538</v>
      </c>
      <c r="BH92" t="s">
        <v>4588</v>
      </c>
      <c r="BI92" t="s">
        <v>344</v>
      </c>
      <c r="BJ92" t="s">
        <v>4589</v>
      </c>
      <c r="BK92" t="s">
        <v>519</v>
      </c>
      <c r="BL92" t="s">
        <v>3168</v>
      </c>
      <c r="BM92" t="s">
        <v>268</v>
      </c>
      <c r="BN92" t="s">
        <v>4590</v>
      </c>
      <c r="BO92" t="s">
        <v>779</v>
      </c>
      <c r="BP92" t="s">
        <v>4591</v>
      </c>
      <c r="BQ92" t="s">
        <v>698</v>
      </c>
      <c r="BR92" t="s">
        <v>4592</v>
      </c>
      <c r="BS92" t="s">
        <v>365</v>
      </c>
      <c r="BT92" t="s">
        <v>4593</v>
      </c>
      <c r="BU92" t="s">
        <v>698</v>
      </c>
      <c r="BV92" t="s">
        <v>4594</v>
      </c>
      <c r="BW92" t="s">
        <v>360</v>
      </c>
      <c r="BX92" t="s">
        <v>2385</v>
      </c>
      <c r="BY92" t="s">
        <v>858</v>
      </c>
      <c r="BZ92" t="s">
        <v>4595</v>
      </c>
      <c r="CA92" t="s">
        <v>335</v>
      </c>
      <c r="CB92" t="s">
        <v>4596</v>
      </c>
      <c r="CC92" t="s">
        <v>271</v>
      </c>
      <c r="CD92" t="s">
        <v>4597</v>
      </c>
      <c r="CE92" t="s">
        <v>900</v>
      </c>
      <c r="CF92" t="s">
        <v>4598</v>
      </c>
      <c r="CG92" t="s">
        <v>365</v>
      </c>
      <c r="CH92" t="s">
        <v>4599</v>
      </c>
      <c r="CI92" t="s">
        <v>339</v>
      </c>
      <c r="CJ92" t="s">
        <v>4600</v>
      </c>
      <c r="CK92" t="s">
        <v>408</v>
      </c>
      <c r="CL92" t="s">
        <v>4601</v>
      </c>
      <c r="CM92" t="s">
        <v>335</v>
      </c>
      <c r="CN92" t="s">
        <v>4602</v>
      </c>
      <c r="CO92" t="s">
        <v>281</v>
      </c>
      <c r="CP92" t="s">
        <v>4603</v>
      </c>
      <c r="CQ92" t="s">
        <v>360</v>
      </c>
      <c r="CR92" t="s">
        <v>4604</v>
      </c>
      <c r="CS92" t="s">
        <v>281</v>
      </c>
      <c r="CT92" t="s">
        <v>4605</v>
      </c>
      <c r="CU92" t="s">
        <v>744</v>
      </c>
      <c r="CV92" t="s">
        <v>4606</v>
      </c>
      <c r="CW92" t="s">
        <v>261</v>
      </c>
      <c r="CX92" t="s">
        <v>4607</v>
      </c>
      <c r="CY92" t="s">
        <v>285</v>
      </c>
      <c r="CZ92" t="s">
        <v>1471</v>
      </c>
      <c r="DA92" t="s">
        <v>454</v>
      </c>
      <c r="DB92" t="s">
        <v>4326</v>
      </c>
      <c r="DC92" t="s">
        <v>242</v>
      </c>
      <c r="DD92" t="s">
        <v>4608</v>
      </c>
      <c r="DF92" t="s">
        <v>4609</v>
      </c>
      <c r="DG92" t="s">
        <v>242</v>
      </c>
      <c r="DH92" t="s">
        <v>4610</v>
      </c>
    </row>
    <row r="93" spans="1:112" x14ac:dyDescent="0.35">
      <c r="A93" t="s">
        <v>227</v>
      </c>
      <c r="B93" t="s">
        <v>4611</v>
      </c>
      <c r="C93" t="s">
        <v>229</v>
      </c>
      <c r="D93" t="s">
        <v>1933</v>
      </c>
      <c r="E93" t="s">
        <v>231</v>
      </c>
      <c r="F93" t="s">
        <v>4612</v>
      </c>
      <c r="G93" t="s">
        <v>40</v>
      </c>
      <c r="H93" t="s">
        <v>4613</v>
      </c>
      <c r="I93" t="s">
        <v>234</v>
      </c>
      <c r="J93" t="s">
        <v>4614</v>
      </c>
      <c r="L93" t="s">
        <v>4615</v>
      </c>
      <c r="M93" t="s">
        <v>18</v>
      </c>
      <c r="N93" t="s">
        <v>4616</v>
      </c>
      <c r="O93" t="s">
        <v>21</v>
      </c>
      <c r="P93" t="s">
        <v>4617</v>
      </c>
      <c r="Q93" t="s">
        <v>1337</v>
      </c>
      <c r="R93" t="s">
        <v>3686</v>
      </c>
      <c r="S93" t="s">
        <v>310</v>
      </c>
      <c r="T93" t="s">
        <v>812</v>
      </c>
      <c r="U93" t="s">
        <v>40</v>
      </c>
      <c r="V93" t="s">
        <v>4618</v>
      </c>
      <c r="W93" t="s">
        <v>40</v>
      </c>
      <c r="X93" t="s">
        <v>2134</v>
      </c>
      <c r="Y93" t="s">
        <v>4619</v>
      </c>
      <c r="Z93" t="s">
        <v>4620</v>
      </c>
      <c r="AA93" t="s">
        <v>40</v>
      </c>
      <c r="AB93" t="s">
        <v>4621</v>
      </c>
      <c r="AC93" t="s">
        <v>316</v>
      </c>
      <c r="AD93" t="s">
        <v>4622</v>
      </c>
      <c r="AE93" t="s">
        <v>502</v>
      </c>
      <c r="AF93" t="s">
        <v>2148</v>
      </c>
      <c r="AG93" t="s">
        <v>40</v>
      </c>
      <c r="AH93" t="s">
        <v>4337</v>
      </c>
      <c r="AI93" t="s">
        <v>2388</v>
      </c>
      <c r="AJ93" t="s">
        <v>2621</v>
      </c>
      <c r="AK93" t="s">
        <v>4623</v>
      </c>
      <c r="AL93" t="s">
        <v>3964</v>
      </c>
      <c r="AM93" t="s">
        <v>4624</v>
      </c>
      <c r="AN93" t="s">
        <v>4625</v>
      </c>
      <c r="AO93" t="s">
        <v>511</v>
      </c>
      <c r="AP93" t="s">
        <v>4626</v>
      </c>
      <c r="AQ93" t="s">
        <v>45</v>
      </c>
      <c r="AR93" t="s">
        <v>4627</v>
      </c>
      <c r="AS93" t="s">
        <v>242</v>
      </c>
      <c r="AT93" t="s">
        <v>4628</v>
      </c>
      <c r="AU93" t="s">
        <v>4629</v>
      </c>
      <c r="AV93" t="s">
        <v>4630</v>
      </c>
      <c r="AW93" t="s">
        <v>247</v>
      </c>
      <c r="AX93" t="s">
        <v>527</v>
      </c>
      <c r="AY93" t="s">
        <v>249</v>
      </c>
      <c r="AZ93" t="s">
        <v>4631</v>
      </c>
      <c r="BA93" t="s">
        <v>242</v>
      </c>
      <c r="BB93" t="s">
        <v>4632</v>
      </c>
      <c r="BC93" t="s">
        <v>408</v>
      </c>
      <c r="BD93" t="s">
        <v>4633</v>
      </c>
      <c r="BE93" t="s">
        <v>451</v>
      </c>
      <c r="BF93" t="s">
        <v>4634</v>
      </c>
      <c r="BG93" t="s">
        <v>335</v>
      </c>
      <c r="BH93" t="s">
        <v>4635</v>
      </c>
      <c r="BI93" t="s">
        <v>731</v>
      </c>
      <c r="BJ93" t="s">
        <v>4636</v>
      </c>
      <c r="BK93" t="s">
        <v>335</v>
      </c>
      <c r="BL93" t="s">
        <v>4637</v>
      </c>
      <c r="BM93" t="s">
        <v>261</v>
      </c>
      <c r="BN93" t="s">
        <v>1728</v>
      </c>
      <c r="BO93" t="s">
        <v>335</v>
      </c>
      <c r="BP93" t="s">
        <v>4638</v>
      </c>
      <c r="BQ93" t="s">
        <v>395</v>
      </c>
      <c r="BR93" t="s">
        <v>4639</v>
      </c>
      <c r="BS93" t="s">
        <v>401</v>
      </c>
      <c r="BT93" t="s">
        <v>4640</v>
      </c>
      <c r="BU93" t="s">
        <v>369</v>
      </c>
      <c r="BV93" t="s">
        <v>4641</v>
      </c>
      <c r="BW93" t="s">
        <v>360</v>
      </c>
      <c r="BX93" t="s">
        <v>4181</v>
      </c>
      <c r="BY93" t="s">
        <v>698</v>
      </c>
      <c r="BZ93" t="s">
        <v>4642</v>
      </c>
      <c r="CA93" t="s">
        <v>538</v>
      </c>
      <c r="CB93" t="s">
        <v>4643</v>
      </c>
      <c r="CC93" t="s">
        <v>698</v>
      </c>
      <c r="CD93" t="s">
        <v>4644</v>
      </c>
      <c r="CE93" t="s">
        <v>356</v>
      </c>
      <c r="CF93" t="s">
        <v>4645</v>
      </c>
      <c r="CG93" t="s">
        <v>281</v>
      </c>
      <c r="CH93" t="s">
        <v>4646</v>
      </c>
      <c r="CI93" t="s">
        <v>595</v>
      </c>
      <c r="CJ93" t="s">
        <v>4647</v>
      </c>
      <c r="CK93" t="s">
        <v>429</v>
      </c>
      <c r="CL93" t="s">
        <v>4648</v>
      </c>
      <c r="CM93" t="s">
        <v>393</v>
      </c>
      <c r="CN93" t="s">
        <v>4649</v>
      </c>
      <c r="CO93" t="s">
        <v>268</v>
      </c>
      <c r="CP93" t="s">
        <v>4650</v>
      </c>
      <c r="CQ93" t="s">
        <v>542</v>
      </c>
      <c r="CR93" t="s">
        <v>4651</v>
      </c>
      <c r="CS93" t="s">
        <v>344</v>
      </c>
      <c r="CT93" t="s">
        <v>4652</v>
      </c>
      <c r="CU93" t="s">
        <v>291</v>
      </c>
      <c r="CV93" t="s">
        <v>4653</v>
      </c>
      <c r="CW93" t="s">
        <v>344</v>
      </c>
      <c r="CX93" t="s">
        <v>4654</v>
      </c>
      <c r="CY93" t="s">
        <v>575</v>
      </c>
      <c r="CZ93" t="s">
        <v>4655</v>
      </c>
      <c r="DA93" t="s">
        <v>395</v>
      </c>
      <c r="DB93" t="s">
        <v>4656</v>
      </c>
      <c r="DC93" t="s">
        <v>242</v>
      </c>
      <c r="DD93" t="s">
        <v>4657</v>
      </c>
      <c r="DF93" t="s">
        <v>4658</v>
      </c>
      <c r="DG93" t="s">
        <v>242</v>
      </c>
      <c r="DH93" t="s">
        <v>2775</v>
      </c>
    </row>
    <row r="94" spans="1:112" x14ac:dyDescent="0.35">
      <c r="A94" t="s">
        <v>227</v>
      </c>
      <c r="B94" t="s">
        <v>4659</v>
      </c>
      <c r="C94" t="s">
        <v>229</v>
      </c>
      <c r="D94" t="s">
        <v>4660</v>
      </c>
      <c r="E94" t="s">
        <v>231</v>
      </c>
      <c r="F94" t="s">
        <v>4661</v>
      </c>
      <c r="G94" t="s">
        <v>40</v>
      </c>
      <c r="H94" t="s">
        <v>4662</v>
      </c>
      <c r="I94" t="s">
        <v>234</v>
      </c>
      <c r="J94" t="s">
        <v>4663</v>
      </c>
      <c r="L94" t="s">
        <v>4664</v>
      </c>
      <c r="M94" t="s">
        <v>18</v>
      </c>
      <c r="N94" t="s">
        <v>4665</v>
      </c>
      <c r="O94" t="s">
        <v>21</v>
      </c>
      <c r="P94" t="s">
        <v>4666</v>
      </c>
      <c r="Q94" t="s">
        <v>40</v>
      </c>
      <c r="R94" t="s">
        <v>4667</v>
      </c>
      <c r="S94" t="s">
        <v>310</v>
      </c>
      <c r="T94" t="s">
        <v>4668</v>
      </c>
      <c r="U94" t="s">
        <v>40</v>
      </c>
      <c r="V94" t="s">
        <v>4669</v>
      </c>
      <c r="W94" t="s">
        <v>40</v>
      </c>
      <c r="X94" t="s">
        <v>4670</v>
      </c>
      <c r="Y94" t="s">
        <v>91</v>
      </c>
      <c r="Z94" t="s">
        <v>4671</v>
      </c>
      <c r="AA94" t="s">
        <v>40</v>
      </c>
      <c r="AB94" t="s">
        <v>4672</v>
      </c>
      <c r="AC94" t="s">
        <v>316</v>
      </c>
      <c r="AD94" t="s">
        <v>4673</v>
      </c>
      <c r="AE94" t="s">
        <v>1996</v>
      </c>
      <c r="AF94" t="s">
        <v>4674</v>
      </c>
      <c r="AG94" t="s">
        <v>43</v>
      </c>
      <c r="AH94" t="s">
        <v>4675</v>
      </c>
      <c r="AI94" t="s">
        <v>4676</v>
      </c>
      <c r="AJ94" t="s">
        <v>4677</v>
      </c>
      <c r="AK94" t="s">
        <v>4678</v>
      </c>
      <c r="AL94" t="s">
        <v>4679</v>
      </c>
      <c r="AM94" t="s">
        <v>295</v>
      </c>
      <c r="AN94" t="s">
        <v>4680</v>
      </c>
      <c r="AO94" t="s">
        <v>2597</v>
      </c>
      <c r="AP94" t="s">
        <v>4681</v>
      </c>
      <c r="AQ94" t="s">
        <v>41</v>
      </c>
      <c r="AR94" t="s">
        <v>4399</v>
      </c>
      <c r="AS94" t="s">
        <v>242</v>
      </c>
      <c r="AT94" t="s">
        <v>4682</v>
      </c>
      <c r="AU94" t="s">
        <v>330</v>
      </c>
      <c r="AV94" t="s">
        <v>3424</v>
      </c>
      <c r="AW94" t="s">
        <v>247</v>
      </c>
      <c r="AX94" t="s">
        <v>4683</v>
      </c>
      <c r="AY94" t="s">
        <v>249</v>
      </c>
      <c r="AZ94" t="s">
        <v>4684</v>
      </c>
      <c r="BA94" t="s">
        <v>242</v>
      </c>
      <c r="BB94" t="s">
        <v>4685</v>
      </c>
      <c r="BC94" t="s">
        <v>358</v>
      </c>
      <c r="BD94" t="s">
        <v>4686</v>
      </c>
      <c r="BE94" t="s">
        <v>295</v>
      </c>
      <c r="BF94" t="s">
        <v>4687</v>
      </c>
      <c r="BG94" t="s">
        <v>451</v>
      </c>
      <c r="BH94" t="s">
        <v>4688</v>
      </c>
      <c r="BI94" t="s">
        <v>1131</v>
      </c>
      <c r="BJ94" t="s">
        <v>4689</v>
      </c>
      <c r="BK94" t="s">
        <v>271</v>
      </c>
      <c r="BL94" t="s">
        <v>4690</v>
      </c>
      <c r="BM94" t="s">
        <v>731</v>
      </c>
      <c r="BN94" t="s">
        <v>2409</v>
      </c>
      <c r="BO94" t="s">
        <v>289</v>
      </c>
      <c r="BP94" t="s">
        <v>4691</v>
      </c>
      <c r="BQ94" t="s">
        <v>254</v>
      </c>
      <c r="BR94" t="s">
        <v>4692</v>
      </c>
      <c r="BS94" t="s">
        <v>519</v>
      </c>
      <c r="BT94" t="s">
        <v>4693</v>
      </c>
      <c r="BU94" t="s">
        <v>291</v>
      </c>
      <c r="BV94" t="s">
        <v>4694</v>
      </c>
      <c r="BW94" t="s">
        <v>371</v>
      </c>
      <c r="BX94" t="s">
        <v>2181</v>
      </c>
      <c r="BY94" t="s">
        <v>268</v>
      </c>
      <c r="BZ94" t="s">
        <v>483</v>
      </c>
      <c r="CA94" t="s">
        <v>414</v>
      </c>
      <c r="CB94" t="s">
        <v>1731</v>
      </c>
      <c r="CC94" t="s">
        <v>532</v>
      </c>
      <c r="CD94" t="s">
        <v>4695</v>
      </c>
      <c r="CE94" t="s">
        <v>351</v>
      </c>
      <c r="CF94" t="s">
        <v>4696</v>
      </c>
      <c r="CG94" t="s">
        <v>469</v>
      </c>
      <c r="CH94" t="s">
        <v>4697</v>
      </c>
      <c r="CI94" t="s">
        <v>900</v>
      </c>
      <c r="CJ94" t="s">
        <v>4698</v>
      </c>
      <c r="CK94" t="s">
        <v>257</v>
      </c>
      <c r="CL94" t="s">
        <v>1377</v>
      </c>
      <c r="CM94" t="s">
        <v>519</v>
      </c>
      <c r="CN94" t="s">
        <v>4699</v>
      </c>
      <c r="CO94" t="s">
        <v>274</v>
      </c>
      <c r="CP94" t="s">
        <v>4700</v>
      </c>
      <c r="CQ94" t="s">
        <v>416</v>
      </c>
      <c r="CR94" t="s">
        <v>4670</v>
      </c>
      <c r="CS94" t="s">
        <v>473</v>
      </c>
      <c r="CT94" t="s">
        <v>2376</v>
      </c>
      <c r="CU94" t="s">
        <v>532</v>
      </c>
      <c r="CV94" t="s">
        <v>4701</v>
      </c>
      <c r="CW94" t="s">
        <v>467</v>
      </c>
      <c r="CX94" t="s">
        <v>4702</v>
      </c>
      <c r="CY94" t="s">
        <v>449</v>
      </c>
      <c r="CZ94" t="s">
        <v>4703</v>
      </c>
      <c r="DA94" t="s">
        <v>429</v>
      </c>
      <c r="DB94" t="s">
        <v>4704</v>
      </c>
      <c r="DC94" t="s">
        <v>242</v>
      </c>
      <c r="DD94" t="s">
        <v>4705</v>
      </c>
      <c r="DF94" t="s">
        <v>4706</v>
      </c>
      <c r="DG94" t="s">
        <v>242</v>
      </c>
      <c r="DH94" t="s">
        <v>4707</v>
      </c>
    </row>
    <row r="95" spans="1:112" x14ac:dyDescent="0.35">
      <c r="A95" t="s">
        <v>227</v>
      </c>
      <c r="B95" t="s">
        <v>4708</v>
      </c>
      <c r="C95" t="s">
        <v>229</v>
      </c>
      <c r="D95" t="s">
        <v>4709</v>
      </c>
      <c r="E95" t="s">
        <v>231</v>
      </c>
      <c r="F95" t="s">
        <v>697</v>
      </c>
      <c r="G95" t="s">
        <v>40</v>
      </c>
      <c r="H95" t="s">
        <v>4710</v>
      </c>
      <c r="I95" t="s">
        <v>1800</v>
      </c>
      <c r="J95" t="s">
        <v>4711</v>
      </c>
      <c r="L95" t="s">
        <v>243</v>
      </c>
      <c r="M95" t="s">
        <v>242</v>
      </c>
      <c r="N95" t="s">
        <v>243</v>
      </c>
      <c r="O95" t="s">
        <v>242</v>
      </c>
      <c r="P95" t="s">
        <v>243</v>
      </c>
      <c r="Q95" t="s">
        <v>242</v>
      </c>
      <c r="R95" t="s">
        <v>243</v>
      </c>
      <c r="S95" t="s">
        <v>242</v>
      </c>
      <c r="T95" t="s">
        <v>243</v>
      </c>
      <c r="U95" t="s">
        <v>242</v>
      </c>
      <c r="V95" t="s">
        <v>243</v>
      </c>
      <c r="W95" t="s">
        <v>242</v>
      </c>
      <c r="X95" t="s">
        <v>243</v>
      </c>
      <c r="Y95" t="s">
        <v>242</v>
      </c>
      <c r="Z95" t="s">
        <v>243</v>
      </c>
      <c r="AA95" t="s">
        <v>242</v>
      </c>
      <c r="AB95" t="s">
        <v>243</v>
      </c>
      <c r="AC95" t="s">
        <v>242</v>
      </c>
      <c r="AD95" t="s">
        <v>243</v>
      </c>
      <c r="AE95" t="s">
        <v>242</v>
      </c>
      <c r="AF95" t="s">
        <v>243</v>
      </c>
      <c r="AG95" t="s">
        <v>242</v>
      </c>
      <c r="AH95" t="s">
        <v>243</v>
      </c>
      <c r="AI95" t="s">
        <v>242</v>
      </c>
      <c r="AJ95" t="s">
        <v>243</v>
      </c>
      <c r="AK95" t="s">
        <v>242</v>
      </c>
      <c r="AL95" t="s">
        <v>243</v>
      </c>
      <c r="AM95" t="s">
        <v>242</v>
      </c>
      <c r="AN95" t="s">
        <v>243</v>
      </c>
      <c r="AO95" t="s">
        <v>242</v>
      </c>
      <c r="AP95" t="s">
        <v>243</v>
      </c>
      <c r="AQ95" t="s">
        <v>242</v>
      </c>
      <c r="AR95" t="s">
        <v>243</v>
      </c>
      <c r="AS95" t="s">
        <v>242</v>
      </c>
      <c r="AT95" t="s">
        <v>243</v>
      </c>
      <c r="AU95" t="s">
        <v>242</v>
      </c>
      <c r="AV95" t="s">
        <v>243</v>
      </c>
      <c r="AW95" t="s">
        <v>242</v>
      </c>
      <c r="AX95" t="s">
        <v>243</v>
      </c>
      <c r="AY95" t="s">
        <v>242</v>
      </c>
      <c r="AZ95" t="s">
        <v>243</v>
      </c>
      <c r="BA95" t="s">
        <v>242</v>
      </c>
      <c r="BB95" t="s">
        <v>243</v>
      </c>
      <c r="BC95" t="s">
        <v>519</v>
      </c>
      <c r="BD95" t="s">
        <v>243</v>
      </c>
      <c r="BE95" t="s">
        <v>243</v>
      </c>
      <c r="BF95" t="s">
        <v>243</v>
      </c>
      <c r="BG95" t="s">
        <v>519</v>
      </c>
      <c r="BH95" t="s">
        <v>243</v>
      </c>
      <c r="BI95" t="s">
        <v>243</v>
      </c>
      <c r="BJ95" t="s">
        <v>243</v>
      </c>
      <c r="BK95" t="s">
        <v>519</v>
      </c>
      <c r="BL95" t="s">
        <v>243</v>
      </c>
      <c r="BM95" t="s">
        <v>243</v>
      </c>
      <c r="BN95" t="s">
        <v>243</v>
      </c>
      <c r="BO95" t="s">
        <v>519</v>
      </c>
      <c r="BP95" t="s">
        <v>243</v>
      </c>
      <c r="BQ95" t="s">
        <v>243</v>
      </c>
      <c r="BR95" t="s">
        <v>243</v>
      </c>
      <c r="BS95" t="s">
        <v>519</v>
      </c>
      <c r="BT95" t="s">
        <v>243</v>
      </c>
      <c r="BU95" t="s">
        <v>243</v>
      </c>
      <c r="BV95" t="s">
        <v>243</v>
      </c>
      <c r="BW95" t="s">
        <v>519</v>
      </c>
      <c r="BX95" t="s">
        <v>243</v>
      </c>
      <c r="BY95" t="s">
        <v>243</v>
      </c>
      <c r="BZ95" t="s">
        <v>243</v>
      </c>
      <c r="CA95" t="s">
        <v>519</v>
      </c>
      <c r="CB95" t="s">
        <v>243</v>
      </c>
      <c r="CC95" t="s">
        <v>243</v>
      </c>
      <c r="CD95" t="s">
        <v>243</v>
      </c>
      <c r="CE95" t="s">
        <v>519</v>
      </c>
      <c r="CF95" t="s">
        <v>243</v>
      </c>
      <c r="CG95" t="s">
        <v>243</v>
      </c>
      <c r="CH95" t="s">
        <v>243</v>
      </c>
      <c r="CI95" t="s">
        <v>519</v>
      </c>
      <c r="CJ95" t="s">
        <v>243</v>
      </c>
      <c r="CK95" t="s">
        <v>243</v>
      </c>
      <c r="CL95" t="s">
        <v>243</v>
      </c>
      <c r="CM95" t="s">
        <v>519</v>
      </c>
      <c r="CN95" t="s">
        <v>243</v>
      </c>
      <c r="CO95" t="s">
        <v>243</v>
      </c>
      <c r="CP95" t="s">
        <v>243</v>
      </c>
      <c r="CQ95" t="s">
        <v>519</v>
      </c>
      <c r="CR95" t="s">
        <v>243</v>
      </c>
      <c r="CS95" t="s">
        <v>243</v>
      </c>
      <c r="CT95" t="s">
        <v>243</v>
      </c>
      <c r="CU95" t="s">
        <v>519</v>
      </c>
      <c r="CV95" t="s">
        <v>243</v>
      </c>
      <c r="CW95" t="s">
        <v>243</v>
      </c>
      <c r="CX95" t="s">
        <v>243</v>
      </c>
      <c r="CY95" t="s">
        <v>519</v>
      </c>
      <c r="CZ95" t="s">
        <v>243</v>
      </c>
      <c r="DA95" t="s">
        <v>243</v>
      </c>
      <c r="DB95" t="s">
        <v>243</v>
      </c>
      <c r="DC95" t="s">
        <v>242</v>
      </c>
      <c r="DD95" t="s">
        <v>243</v>
      </c>
      <c r="DF95" t="s">
        <v>243</v>
      </c>
      <c r="DG95" t="s">
        <v>242</v>
      </c>
      <c r="DH95" t="s">
        <v>244</v>
      </c>
    </row>
    <row r="96" spans="1:112" x14ac:dyDescent="0.35">
      <c r="A96" t="s">
        <v>227</v>
      </c>
      <c r="B96" t="s">
        <v>4712</v>
      </c>
      <c r="C96" t="s">
        <v>229</v>
      </c>
      <c r="D96" t="s">
        <v>4713</v>
      </c>
      <c r="E96" t="s">
        <v>231</v>
      </c>
      <c r="F96" t="s">
        <v>1744</v>
      </c>
      <c r="G96" t="s">
        <v>40</v>
      </c>
      <c r="H96" t="s">
        <v>4714</v>
      </c>
      <c r="I96" t="s">
        <v>234</v>
      </c>
      <c r="J96" t="s">
        <v>4715</v>
      </c>
      <c r="L96" t="s">
        <v>4716</v>
      </c>
      <c r="M96" t="s">
        <v>15</v>
      </c>
      <c r="N96" t="s">
        <v>4717</v>
      </c>
      <c r="O96" t="s">
        <v>21</v>
      </c>
      <c r="P96" t="s">
        <v>4718</v>
      </c>
      <c r="Q96" t="s">
        <v>40</v>
      </c>
      <c r="R96" t="s">
        <v>4719</v>
      </c>
      <c r="S96" t="s">
        <v>310</v>
      </c>
      <c r="T96" t="s">
        <v>4720</v>
      </c>
      <c r="U96" t="s">
        <v>40</v>
      </c>
      <c r="V96" t="s">
        <v>4721</v>
      </c>
      <c r="W96" t="s">
        <v>44</v>
      </c>
      <c r="X96" t="s">
        <v>4722</v>
      </c>
      <c r="Y96" t="s">
        <v>242</v>
      </c>
      <c r="Z96" t="s">
        <v>243</v>
      </c>
      <c r="AA96" t="s">
        <v>40</v>
      </c>
      <c r="AB96" t="s">
        <v>244</v>
      </c>
      <c r="AC96" t="s">
        <v>316</v>
      </c>
      <c r="AD96" t="s">
        <v>4723</v>
      </c>
      <c r="AE96" t="s">
        <v>502</v>
      </c>
      <c r="AF96" t="s">
        <v>4724</v>
      </c>
      <c r="AG96" t="s">
        <v>40</v>
      </c>
      <c r="AH96" t="s">
        <v>4725</v>
      </c>
      <c r="AI96" t="s">
        <v>621</v>
      </c>
      <c r="AJ96" t="s">
        <v>4726</v>
      </c>
      <c r="AK96" t="s">
        <v>4727</v>
      </c>
      <c r="AL96" t="s">
        <v>4728</v>
      </c>
      <c r="AM96" t="s">
        <v>1074</v>
      </c>
      <c r="AN96" t="s">
        <v>4729</v>
      </c>
      <c r="AO96" t="s">
        <v>4730</v>
      </c>
      <c r="AP96" t="s">
        <v>4731</v>
      </c>
      <c r="AQ96" t="s">
        <v>46</v>
      </c>
      <c r="AR96" t="s">
        <v>4732</v>
      </c>
      <c r="AS96" t="s">
        <v>242</v>
      </c>
      <c r="AT96" t="s">
        <v>4733</v>
      </c>
      <c r="AU96" t="s">
        <v>1213</v>
      </c>
      <c r="AV96" t="s">
        <v>4734</v>
      </c>
      <c r="AW96" t="s">
        <v>247</v>
      </c>
      <c r="AX96" t="s">
        <v>4735</v>
      </c>
      <c r="AY96" t="s">
        <v>249</v>
      </c>
      <c r="AZ96" t="s">
        <v>4736</v>
      </c>
      <c r="BA96" t="s">
        <v>242</v>
      </c>
      <c r="BB96" t="s">
        <v>4737</v>
      </c>
      <c r="BC96" t="s">
        <v>688</v>
      </c>
      <c r="BD96" t="s">
        <v>4738</v>
      </c>
      <c r="BE96" t="s">
        <v>295</v>
      </c>
      <c r="BF96" t="s">
        <v>4739</v>
      </c>
      <c r="BG96" t="s">
        <v>295</v>
      </c>
      <c r="BH96" t="s">
        <v>4740</v>
      </c>
      <c r="BI96" t="s">
        <v>393</v>
      </c>
      <c r="BJ96" t="s">
        <v>4741</v>
      </c>
      <c r="BK96" t="s">
        <v>688</v>
      </c>
      <c r="BL96" t="s">
        <v>2259</v>
      </c>
      <c r="BM96" t="s">
        <v>473</v>
      </c>
      <c r="BN96" t="s">
        <v>4742</v>
      </c>
      <c r="BO96" t="s">
        <v>348</v>
      </c>
      <c r="BP96" t="s">
        <v>4743</v>
      </c>
      <c r="BQ96" t="s">
        <v>289</v>
      </c>
      <c r="BR96" t="s">
        <v>4744</v>
      </c>
      <c r="BS96" t="s">
        <v>476</v>
      </c>
      <c r="BT96" t="s">
        <v>1423</v>
      </c>
      <c r="BU96" t="s">
        <v>408</v>
      </c>
      <c r="BV96" t="s">
        <v>4745</v>
      </c>
      <c r="BW96" t="s">
        <v>287</v>
      </c>
      <c r="BX96" t="s">
        <v>4746</v>
      </c>
      <c r="BY96" t="s">
        <v>295</v>
      </c>
      <c r="BZ96" t="s">
        <v>4747</v>
      </c>
      <c r="CA96" t="s">
        <v>519</v>
      </c>
      <c r="CB96" t="s">
        <v>4748</v>
      </c>
      <c r="CC96" t="s">
        <v>469</v>
      </c>
      <c r="CD96" t="s">
        <v>3874</v>
      </c>
      <c r="CE96" t="s">
        <v>344</v>
      </c>
      <c r="CF96" t="s">
        <v>4749</v>
      </c>
      <c r="CG96" t="s">
        <v>532</v>
      </c>
      <c r="CH96" t="s">
        <v>4750</v>
      </c>
      <c r="CI96" t="s">
        <v>254</v>
      </c>
      <c r="CJ96" t="s">
        <v>4751</v>
      </c>
      <c r="CK96" t="s">
        <v>283</v>
      </c>
      <c r="CL96" t="s">
        <v>4752</v>
      </c>
      <c r="CM96" t="s">
        <v>1137</v>
      </c>
      <c r="CN96" t="s">
        <v>4753</v>
      </c>
      <c r="CO96" t="s">
        <v>688</v>
      </c>
      <c r="CP96" t="s">
        <v>472</v>
      </c>
      <c r="CQ96" t="s">
        <v>519</v>
      </c>
      <c r="CR96" t="s">
        <v>4754</v>
      </c>
      <c r="CS96" t="s">
        <v>243</v>
      </c>
      <c r="CT96" t="s">
        <v>4755</v>
      </c>
      <c r="CU96" t="s">
        <v>281</v>
      </c>
      <c r="CV96" t="s">
        <v>1927</v>
      </c>
      <c r="CW96" t="s">
        <v>268</v>
      </c>
      <c r="CX96" t="s">
        <v>4756</v>
      </c>
      <c r="CY96" t="s">
        <v>469</v>
      </c>
      <c r="CZ96" t="s">
        <v>4757</v>
      </c>
      <c r="DA96" t="s">
        <v>731</v>
      </c>
      <c r="DB96" t="s">
        <v>4758</v>
      </c>
      <c r="DC96" t="s">
        <v>242</v>
      </c>
      <c r="DD96" t="s">
        <v>4759</v>
      </c>
      <c r="DF96" t="s">
        <v>4760</v>
      </c>
      <c r="DG96" t="s">
        <v>242</v>
      </c>
      <c r="DH96" t="s">
        <v>4761</v>
      </c>
    </row>
    <row r="97" spans="1:112" x14ac:dyDescent="0.35">
      <c r="A97" t="s">
        <v>227</v>
      </c>
      <c r="B97" t="s">
        <v>4762</v>
      </c>
      <c r="C97" t="s">
        <v>229</v>
      </c>
      <c r="D97" t="s">
        <v>4763</v>
      </c>
      <c r="E97" t="s">
        <v>231</v>
      </c>
      <c r="F97" t="s">
        <v>4764</v>
      </c>
      <c r="G97" t="s">
        <v>40</v>
      </c>
      <c r="H97" t="s">
        <v>3521</v>
      </c>
      <c r="I97" t="s">
        <v>1800</v>
      </c>
      <c r="J97" t="s">
        <v>4765</v>
      </c>
      <c r="L97" t="s">
        <v>243</v>
      </c>
      <c r="M97" t="s">
        <v>242</v>
      </c>
      <c r="N97" t="s">
        <v>243</v>
      </c>
      <c r="O97" t="s">
        <v>242</v>
      </c>
      <c r="P97" t="s">
        <v>243</v>
      </c>
      <c r="Q97" t="s">
        <v>242</v>
      </c>
      <c r="R97" t="s">
        <v>243</v>
      </c>
      <c r="S97" t="s">
        <v>242</v>
      </c>
      <c r="T97" t="s">
        <v>243</v>
      </c>
      <c r="U97" t="s">
        <v>242</v>
      </c>
      <c r="V97" t="s">
        <v>243</v>
      </c>
      <c r="W97" t="s">
        <v>242</v>
      </c>
      <c r="X97" t="s">
        <v>243</v>
      </c>
      <c r="Y97" t="s">
        <v>242</v>
      </c>
      <c r="Z97" t="s">
        <v>243</v>
      </c>
      <c r="AA97" t="s">
        <v>242</v>
      </c>
      <c r="AB97" t="s">
        <v>243</v>
      </c>
      <c r="AC97" t="s">
        <v>242</v>
      </c>
      <c r="AD97" t="s">
        <v>243</v>
      </c>
      <c r="AE97" t="s">
        <v>242</v>
      </c>
      <c r="AF97" t="s">
        <v>243</v>
      </c>
      <c r="AG97" t="s">
        <v>242</v>
      </c>
      <c r="AH97" t="s">
        <v>243</v>
      </c>
      <c r="AI97" t="s">
        <v>242</v>
      </c>
      <c r="AJ97" t="s">
        <v>243</v>
      </c>
      <c r="AK97" t="s">
        <v>242</v>
      </c>
      <c r="AL97" t="s">
        <v>243</v>
      </c>
      <c r="AM97" t="s">
        <v>242</v>
      </c>
      <c r="AN97" t="s">
        <v>243</v>
      </c>
      <c r="AO97" t="s">
        <v>242</v>
      </c>
      <c r="AP97" t="s">
        <v>243</v>
      </c>
      <c r="AQ97" t="s">
        <v>242</v>
      </c>
      <c r="AR97" t="s">
        <v>243</v>
      </c>
      <c r="AS97" t="s">
        <v>242</v>
      </c>
      <c r="AT97" t="s">
        <v>243</v>
      </c>
      <c r="AU97" t="s">
        <v>242</v>
      </c>
      <c r="AV97" t="s">
        <v>243</v>
      </c>
      <c r="AW97" t="s">
        <v>242</v>
      </c>
      <c r="AX97" t="s">
        <v>243</v>
      </c>
      <c r="AY97" t="s">
        <v>242</v>
      </c>
      <c r="AZ97" t="s">
        <v>243</v>
      </c>
      <c r="BA97" t="s">
        <v>242</v>
      </c>
      <c r="BB97" t="s">
        <v>243</v>
      </c>
      <c r="BC97" t="s">
        <v>519</v>
      </c>
      <c r="BD97" t="s">
        <v>243</v>
      </c>
      <c r="BE97" t="s">
        <v>243</v>
      </c>
      <c r="BF97" t="s">
        <v>243</v>
      </c>
      <c r="BG97" t="s">
        <v>519</v>
      </c>
      <c r="BH97" t="s">
        <v>243</v>
      </c>
      <c r="BI97" t="s">
        <v>243</v>
      </c>
      <c r="BJ97" t="s">
        <v>243</v>
      </c>
      <c r="BK97" t="s">
        <v>519</v>
      </c>
      <c r="BL97" t="s">
        <v>243</v>
      </c>
      <c r="BM97" t="s">
        <v>243</v>
      </c>
      <c r="BN97" t="s">
        <v>243</v>
      </c>
      <c r="BO97" t="s">
        <v>519</v>
      </c>
      <c r="BP97" t="s">
        <v>243</v>
      </c>
      <c r="BQ97" t="s">
        <v>243</v>
      </c>
      <c r="BR97" t="s">
        <v>243</v>
      </c>
      <c r="BS97" t="s">
        <v>519</v>
      </c>
      <c r="BT97" t="s">
        <v>243</v>
      </c>
      <c r="BU97" t="s">
        <v>243</v>
      </c>
      <c r="BV97" t="s">
        <v>243</v>
      </c>
      <c r="BW97" t="s">
        <v>519</v>
      </c>
      <c r="BX97" t="s">
        <v>243</v>
      </c>
      <c r="BY97" t="s">
        <v>243</v>
      </c>
      <c r="BZ97" t="s">
        <v>243</v>
      </c>
      <c r="CA97" t="s">
        <v>519</v>
      </c>
      <c r="CB97" t="s">
        <v>243</v>
      </c>
      <c r="CC97" t="s">
        <v>243</v>
      </c>
      <c r="CD97" t="s">
        <v>243</v>
      </c>
      <c r="CE97" t="s">
        <v>519</v>
      </c>
      <c r="CF97" t="s">
        <v>243</v>
      </c>
      <c r="CG97" t="s">
        <v>243</v>
      </c>
      <c r="CH97" t="s">
        <v>243</v>
      </c>
      <c r="CI97" t="s">
        <v>519</v>
      </c>
      <c r="CJ97" t="s">
        <v>243</v>
      </c>
      <c r="CK97" t="s">
        <v>243</v>
      </c>
      <c r="CL97" t="s">
        <v>243</v>
      </c>
      <c r="CM97" t="s">
        <v>519</v>
      </c>
      <c r="CN97" t="s">
        <v>243</v>
      </c>
      <c r="CO97" t="s">
        <v>243</v>
      </c>
      <c r="CP97" t="s">
        <v>243</v>
      </c>
      <c r="CQ97" t="s">
        <v>519</v>
      </c>
      <c r="CR97" t="s">
        <v>243</v>
      </c>
      <c r="CS97" t="s">
        <v>243</v>
      </c>
      <c r="CT97" t="s">
        <v>243</v>
      </c>
      <c r="CU97" t="s">
        <v>519</v>
      </c>
      <c r="CV97" t="s">
        <v>243</v>
      </c>
      <c r="CW97" t="s">
        <v>243</v>
      </c>
      <c r="CX97" t="s">
        <v>243</v>
      </c>
      <c r="CY97" t="s">
        <v>519</v>
      </c>
      <c r="CZ97" t="s">
        <v>243</v>
      </c>
      <c r="DA97" t="s">
        <v>243</v>
      </c>
      <c r="DB97" t="s">
        <v>243</v>
      </c>
      <c r="DC97" t="s">
        <v>242</v>
      </c>
      <c r="DD97" t="s">
        <v>243</v>
      </c>
      <c r="DF97" t="s">
        <v>243</v>
      </c>
      <c r="DG97" t="s">
        <v>242</v>
      </c>
      <c r="DH97" t="s">
        <v>244</v>
      </c>
    </row>
    <row r="98" spans="1:112" x14ac:dyDescent="0.35">
      <c r="A98" t="s">
        <v>227</v>
      </c>
      <c r="B98" t="s">
        <v>4766</v>
      </c>
      <c r="C98" t="s">
        <v>229</v>
      </c>
      <c r="D98" t="s">
        <v>4767</v>
      </c>
      <c r="E98" t="s">
        <v>231</v>
      </c>
      <c r="F98" t="s">
        <v>4768</v>
      </c>
      <c r="G98" t="s">
        <v>40</v>
      </c>
      <c r="H98" t="s">
        <v>3531</v>
      </c>
      <c r="I98" t="s">
        <v>1800</v>
      </c>
      <c r="J98" t="s">
        <v>4769</v>
      </c>
      <c r="L98" t="s">
        <v>243</v>
      </c>
      <c r="M98" t="s">
        <v>242</v>
      </c>
      <c r="N98" t="s">
        <v>243</v>
      </c>
      <c r="O98" t="s">
        <v>242</v>
      </c>
      <c r="P98" t="s">
        <v>243</v>
      </c>
      <c r="Q98" t="s">
        <v>242</v>
      </c>
      <c r="R98" t="s">
        <v>243</v>
      </c>
      <c r="S98" t="s">
        <v>242</v>
      </c>
      <c r="T98" t="s">
        <v>243</v>
      </c>
      <c r="U98" t="s">
        <v>242</v>
      </c>
      <c r="V98" t="s">
        <v>243</v>
      </c>
      <c r="W98" t="s">
        <v>242</v>
      </c>
      <c r="X98" t="s">
        <v>243</v>
      </c>
      <c r="Y98" t="s">
        <v>242</v>
      </c>
      <c r="Z98" t="s">
        <v>243</v>
      </c>
      <c r="AA98" t="s">
        <v>242</v>
      </c>
      <c r="AB98" t="s">
        <v>243</v>
      </c>
      <c r="AC98" t="s">
        <v>242</v>
      </c>
      <c r="AD98" t="s">
        <v>243</v>
      </c>
      <c r="AE98" t="s">
        <v>242</v>
      </c>
      <c r="AF98" t="s">
        <v>243</v>
      </c>
      <c r="AG98" t="s">
        <v>242</v>
      </c>
      <c r="AH98" t="s">
        <v>243</v>
      </c>
      <c r="AI98" t="s">
        <v>242</v>
      </c>
      <c r="AJ98" t="s">
        <v>243</v>
      </c>
      <c r="AK98" t="s">
        <v>242</v>
      </c>
      <c r="AL98" t="s">
        <v>243</v>
      </c>
      <c r="AM98" t="s">
        <v>242</v>
      </c>
      <c r="AN98" t="s">
        <v>243</v>
      </c>
      <c r="AO98" t="s">
        <v>242</v>
      </c>
      <c r="AP98" t="s">
        <v>243</v>
      </c>
      <c r="AQ98" t="s">
        <v>242</v>
      </c>
      <c r="AR98" t="s">
        <v>243</v>
      </c>
      <c r="AS98" t="s">
        <v>242</v>
      </c>
      <c r="AT98" t="s">
        <v>243</v>
      </c>
      <c r="AU98" t="s">
        <v>242</v>
      </c>
      <c r="AV98" t="s">
        <v>243</v>
      </c>
      <c r="AW98" t="s">
        <v>242</v>
      </c>
      <c r="AX98" t="s">
        <v>243</v>
      </c>
      <c r="AY98" t="s">
        <v>242</v>
      </c>
      <c r="AZ98" t="s">
        <v>243</v>
      </c>
      <c r="BA98" t="s">
        <v>242</v>
      </c>
      <c r="BB98" t="s">
        <v>243</v>
      </c>
      <c r="BC98" t="s">
        <v>519</v>
      </c>
      <c r="BD98" t="s">
        <v>243</v>
      </c>
      <c r="BE98" t="s">
        <v>243</v>
      </c>
      <c r="BF98" t="s">
        <v>243</v>
      </c>
      <c r="BG98" t="s">
        <v>519</v>
      </c>
      <c r="BH98" t="s">
        <v>243</v>
      </c>
      <c r="BI98" t="s">
        <v>243</v>
      </c>
      <c r="BJ98" t="s">
        <v>243</v>
      </c>
      <c r="BK98" t="s">
        <v>519</v>
      </c>
      <c r="BL98" t="s">
        <v>243</v>
      </c>
      <c r="BM98" t="s">
        <v>243</v>
      </c>
      <c r="BN98" t="s">
        <v>243</v>
      </c>
      <c r="BO98" t="s">
        <v>519</v>
      </c>
      <c r="BP98" t="s">
        <v>243</v>
      </c>
      <c r="BQ98" t="s">
        <v>243</v>
      </c>
      <c r="BR98" t="s">
        <v>243</v>
      </c>
      <c r="BS98" t="s">
        <v>519</v>
      </c>
      <c r="BT98" t="s">
        <v>243</v>
      </c>
      <c r="BU98" t="s">
        <v>243</v>
      </c>
      <c r="BV98" t="s">
        <v>243</v>
      </c>
      <c r="BW98" t="s">
        <v>519</v>
      </c>
      <c r="BX98" t="s">
        <v>243</v>
      </c>
      <c r="BY98" t="s">
        <v>243</v>
      </c>
      <c r="BZ98" t="s">
        <v>243</v>
      </c>
      <c r="CA98" t="s">
        <v>519</v>
      </c>
      <c r="CB98" t="s">
        <v>243</v>
      </c>
      <c r="CC98" t="s">
        <v>243</v>
      </c>
      <c r="CD98" t="s">
        <v>243</v>
      </c>
      <c r="CE98" t="s">
        <v>519</v>
      </c>
      <c r="CF98" t="s">
        <v>243</v>
      </c>
      <c r="CG98" t="s">
        <v>243</v>
      </c>
      <c r="CH98" t="s">
        <v>243</v>
      </c>
      <c r="CI98" t="s">
        <v>519</v>
      </c>
      <c r="CJ98" t="s">
        <v>243</v>
      </c>
      <c r="CK98" t="s">
        <v>243</v>
      </c>
      <c r="CL98" t="s">
        <v>243</v>
      </c>
      <c r="CM98" t="s">
        <v>519</v>
      </c>
      <c r="CN98" t="s">
        <v>243</v>
      </c>
      <c r="CO98" t="s">
        <v>243</v>
      </c>
      <c r="CP98" t="s">
        <v>243</v>
      </c>
      <c r="CQ98" t="s">
        <v>519</v>
      </c>
      <c r="CR98" t="s">
        <v>243</v>
      </c>
      <c r="CS98" t="s">
        <v>243</v>
      </c>
      <c r="CT98" t="s">
        <v>243</v>
      </c>
      <c r="CU98" t="s">
        <v>519</v>
      </c>
      <c r="CV98" t="s">
        <v>243</v>
      </c>
      <c r="CW98" t="s">
        <v>243</v>
      </c>
      <c r="CX98" t="s">
        <v>243</v>
      </c>
      <c r="CY98" t="s">
        <v>519</v>
      </c>
      <c r="CZ98" t="s">
        <v>243</v>
      </c>
      <c r="DA98" t="s">
        <v>243</v>
      </c>
      <c r="DB98" t="s">
        <v>243</v>
      </c>
      <c r="DC98" t="s">
        <v>242</v>
      </c>
      <c r="DD98" t="s">
        <v>243</v>
      </c>
      <c r="DF98" t="s">
        <v>243</v>
      </c>
      <c r="DG98" t="s">
        <v>242</v>
      </c>
      <c r="DH98" t="s">
        <v>244</v>
      </c>
    </row>
    <row r="99" spans="1:112" x14ac:dyDescent="0.35">
      <c r="A99" t="s">
        <v>227</v>
      </c>
      <c r="B99" t="s">
        <v>4770</v>
      </c>
      <c r="C99" t="s">
        <v>229</v>
      </c>
      <c r="D99" t="s">
        <v>2723</v>
      </c>
      <c r="E99" t="s">
        <v>231</v>
      </c>
      <c r="F99" t="s">
        <v>863</v>
      </c>
      <c r="G99" t="s">
        <v>40</v>
      </c>
      <c r="H99" t="s">
        <v>4771</v>
      </c>
      <c r="I99" t="s">
        <v>234</v>
      </c>
      <c r="J99" t="s">
        <v>4772</v>
      </c>
      <c r="L99" t="s">
        <v>4548</v>
      </c>
      <c r="M99" t="s">
        <v>18</v>
      </c>
      <c r="N99" t="s">
        <v>4773</v>
      </c>
      <c r="O99" t="s">
        <v>21</v>
      </c>
      <c r="P99" t="s">
        <v>4774</v>
      </c>
      <c r="Q99" t="s">
        <v>1337</v>
      </c>
      <c r="R99" t="s">
        <v>4775</v>
      </c>
      <c r="S99" t="s">
        <v>310</v>
      </c>
      <c r="T99" t="s">
        <v>1121</v>
      </c>
      <c r="U99" t="s">
        <v>40</v>
      </c>
      <c r="V99" t="s">
        <v>4776</v>
      </c>
      <c r="W99" t="s">
        <v>40</v>
      </c>
      <c r="X99" t="s">
        <v>4777</v>
      </c>
      <c r="Y99" t="s">
        <v>96</v>
      </c>
      <c r="Z99" t="s">
        <v>4473</v>
      </c>
      <c r="AA99" t="s">
        <v>40</v>
      </c>
      <c r="AB99" t="s">
        <v>4778</v>
      </c>
      <c r="AC99" t="s">
        <v>316</v>
      </c>
      <c r="AD99" t="s">
        <v>4779</v>
      </c>
      <c r="AE99" t="s">
        <v>502</v>
      </c>
      <c r="AF99" t="s">
        <v>4780</v>
      </c>
      <c r="AG99" t="s">
        <v>40</v>
      </c>
      <c r="AH99" t="s">
        <v>4781</v>
      </c>
      <c r="AI99" t="s">
        <v>621</v>
      </c>
      <c r="AJ99" t="s">
        <v>4782</v>
      </c>
      <c r="AK99" t="s">
        <v>4783</v>
      </c>
      <c r="AL99" t="s">
        <v>4784</v>
      </c>
      <c r="AM99" t="s">
        <v>4785</v>
      </c>
      <c r="AN99" t="s">
        <v>4786</v>
      </c>
      <c r="AO99" t="s">
        <v>2542</v>
      </c>
      <c r="AP99" t="s">
        <v>4787</v>
      </c>
      <c r="AQ99" t="s">
        <v>45</v>
      </c>
      <c r="AR99" t="s">
        <v>4788</v>
      </c>
      <c r="AS99" t="s">
        <v>242</v>
      </c>
      <c r="AT99" t="s">
        <v>4789</v>
      </c>
      <c r="AU99" t="s">
        <v>330</v>
      </c>
      <c r="AV99" t="s">
        <v>4790</v>
      </c>
      <c r="AW99" t="s">
        <v>247</v>
      </c>
      <c r="AX99" t="s">
        <v>4791</v>
      </c>
      <c r="AY99" t="s">
        <v>249</v>
      </c>
      <c r="AZ99" t="s">
        <v>4792</v>
      </c>
      <c r="BA99" t="s">
        <v>242</v>
      </c>
      <c r="BB99" t="s">
        <v>4793</v>
      </c>
      <c r="BC99" t="s">
        <v>532</v>
      </c>
      <c r="BD99" t="s">
        <v>4794</v>
      </c>
      <c r="BE99" t="s">
        <v>532</v>
      </c>
      <c r="BF99" t="s">
        <v>4795</v>
      </c>
      <c r="BG99" t="s">
        <v>351</v>
      </c>
      <c r="BH99" t="s">
        <v>4796</v>
      </c>
      <c r="BI99" t="s">
        <v>744</v>
      </c>
      <c r="BJ99" t="s">
        <v>4797</v>
      </c>
      <c r="BK99" t="s">
        <v>591</v>
      </c>
      <c r="BL99" t="s">
        <v>4798</v>
      </c>
      <c r="BM99" t="s">
        <v>421</v>
      </c>
      <c r="BN99" t="s">
        <v>4799</v>
      </c>
      <c r="BO99" t="s">
        <v>287</v>
      </c>
      <c r="BP99" t="s">
        <v>4800</v>
      </c>
      <c r="BQ99" t="s">
        <v>401</v>
      </c>
      <c r="BR99" t="s">
        <v>4801</v>
      </c>
      <c r="BS99" t="s">
        <v>538</v>
      </c>
      <c r="BT99" t="s">
        <v>4802</v>
      </c>
      <c r="BU99" t="s">
        <v>360</v>
      </c>
      <c r="BV99" t="s">
        <v>4803</v>
      </c>
      <c r="BW99" t="s">
        <v>416</v>
      </c>
      <c r="BX99" t="s">
        <v>4804</v>
      </c>
      <c r="BY99" t="s">
        <v>421</v>
      </c>
      <c r="BZ99" t="s">
        <v>4805</v>
      </c>
      <c r="CA99" t="s">
        <v>664</v>
      </c>
      <c r="CB99" t="s">
        <v>4806</v>
      </c>
      <c r="CC99" t="s">
        <v>664</v>
      </c>
      <c r="CD99" t="s">
        <v>4807</v>
      </c>
      <c r="CE99" t="s">
        <v>351</v>
      </c>
      <c r="CF99" t="s">
        <v>4808</v>
      </c>
      <c r="CG99" t="s">
        <v>900</v>
      </c>
      <c r="CH99" t="s">
        <v>4809</v>
      </c>
      <c r="CI99" t="s">
        <v>595</v>
      </c>
      <c r="CJ99" t="s">
        <v>4810</v>
      </c>
      <c r="CK99" t="s">
        <v>401</v>
      </c>
      <c r="CL99" t="s">
        <v>3350</v>
      </c>
      <c r="CM99" t="s">
        <v>401</v>
      </c>
      <c r="CN99" t="s">
        <v>4811</v>
      </c>
      <c r="CO99" t="s">
        <v>538</v>
      </c>
      <c r="CP99" t="s">
        <v>4812</v>
      </c>
      <c r="CQ99" t="s">
        <v>900</v>
      </c>
      <c r="CR99" t="s">
        <v>4813</v>
      </c>
      <c r="CS99" t="s">
        <v>356</v>
      </c>
      <c r="CT99" t="s">
        <v>4814</v>
      </c>
      <c r="CU99" t="s">
        <v>519</v>
      </c>
      <c r="CV99" t="s">
        <v>4815</v>
      </c>
      <c r="CW99" t="s">
        <v>335</v>
      </c>
      <c r="CX99" t="s">
        <v>4816</v>
      </c>
      <c r="CY99" t="s">
        <v>779</v>
      </c>
      <c r="CZ99" t="s">
        <v>4817</v>
      </c>
      <c r="DA99" t="s">
        <v>371</v>
      </c>
      <c r="DB99" t="s">
        <v>4818</v>
      </c>
      <c r="DC99" t="s">
        <v>242</v>
      </c>
      <c r="DD99" t="s">
        <v>3413</v>
      </c>
      <c r="DF99" t="s">
        <v>1711</v>
      </c>
      <c r="DG99" t="s">
        <v>242</v>
      </c>
      <c r="DH99" t="s">
        <v>4819</v>
      </c>
    </row>
    <row r="100" spans="1:112" x14ac:dyDescent="0.35">
      <c r="A100" t="s">
        <v>227</v>
      </c>
      <c r="B100" t="s">
        <v>4820</v>
      </c>
      <c r="C100" t="s">
        <v>229</v>
      </c>
      <c r="D100" t="s">
        <v>1753</v>
      </c>
      <c r="E100" t="s">
        <v>231</v>
      </c>
      <c r="F100" t="s">
        <v>4821</v>
      </c>
      <c r="G100" t="s">
        <v>40</v>
      </c>
      <c r="H100" t="s">
        <v>4822</v>
      </c>
      <c r="I100" t="s">
        <v>234</v>
      </c>
      <c r="J100" t="s">
        <v>4823</v>
      </c>
      <c r="L100" t="s">
        <v>4824</v>
      </c>
      <c r="M100" t="s">
        <v>18</v>
      </c>
      <c r="N100" t="s">
        <v>4825</v>
      </c>
      <c r="O100" t="s">
        <v>21</v>
      </c>
      <c r="P100" t="s">
        <v>4826</v>
      </c>
      <c r="Q100" t="s">
        <v>40</v>
      </c>
      <c r="R100" t="s">
        <v>4827</v>
      </c>
      <c r="S100" t="s">
        <v>310</v>
      </c>
      <c r="T100" t="s">
        <v>4828</v>
      </c>
      <c r="U100" t="s">
        <v>40</v>
      </c>
      <c r="V100" t="s">
        <v>4829</v>
      </c>
      <c r="W100" t="s">
        <v>40</v>
      </c>
      <c r="X100" t="s">
        <v>4830</v>
      </c>
      <c r="Y100" t="s">
        <v>4159</v>
      </c>
      <c r="Z100" t="s">
        <v>4831</v>
      </c>
      <c r="AA100" t="s">
        <v>40</v>
      </c>
      <c r="AB100" t="s">
        <v>4832</v>
      </c>
      <c r="AC100" t="s">
        <v>316</v>
      </c>
      <c r="AD100" t="s">
        <v>4833</v>
      </c>
      <c r="AE100" t="s">
        <v>502</v>
      </c>
      <c r="AF100" t="s">
        <v>4749</v>
      </c>
      <c r="AG100" t="s">
        <v>40</v>
      </c>
      <c r="AH100" t="s">
        <v>4834</v>
      </c>
      <c r="AI100" t="s">
        <v>621</v>
      </c>
      <c r="AJ100" t="s">
        <v>4835</v>
      </c>
      <c r="AK100" t="s">
        <v>4836</v>
      </c>
      <c r="AL100" t="s">
        <v>4837</v>
      </c>
      <c r="AM100" t="s">
        <v>4838</v>
      </c>
      <c r="AN100" t="s">
        <v>4839</v>
      </c>
      <c r="AO100" t="s">
        <v>1760</v>
      </c>
      <c r="AP100" t="s">
        <v>4840</v>
      </c>
      <c r="AQ100" t="s">
        <v>45</v>
      </c>
      <c r="AR100" t="s">
        <v>4841</v>
      </c>
      <c r="AS100" t="s">
        <v>242</v>
      </c>
      <c r="AT100" t="s">
        <v>4842</v>
      </c>
      <c r="AU100" t="s">
        <v>829</v>
      </c>
      <c r="AV100" t="s">
        <v>4843</v>
      </c>
      <c r="AW100" t="s">
        <v>247</v>
      </c>
      <c r="AX100" t="s">
        <v>4844</v>
      </c>
      <c r="AY100" t="s">
        <v>249</v>
      </c>
      <c r="AZ100" t="s">
        <v>4845</v>
      </c>
      <c r="BA100" t="s">
        <v>242</v>
      </c>
      <c r="BB100" t="s">
        <v>4846</v>
      </c>
      <c r="BC100" t="s">
        <v>685</v>
      </c>
      <c r="BD100" t="s">
        <v>4847</v>
      </c>
      <c r="BE100" t="s">
        <v>685</v>
      </c>
      <c r="BF100" t="s">
        <v>4848</v>
      </c>
      <c r="BG100" t="s">
        <v>257</v>
      </c>
      <c r="BH100" t="s">
        <v>4849</v>
      </c>
      <c r="BI100" t="s">
        <v>858</v>
      </c>
      <c r="BJ100" t="s">
        <v>4850</v>
      </c>
      <c r="BK100" t="s">
        <v>519</v>
      </c>
      <c r="BL100" t="s">
        <v>3269</v>
      </c>
      <c r="BM100" t="s">
        <v>395</v>
      </c>
      <c r="BN100" t="s">
        <v>3975</v>
      </c>
      <c r="BO100" t="s">
        <v>348</v>
      </c>
      <c r="BP100" t="s">
        <v>2501</v>
      </c>
      <c r="BQ100" t="s">
        <v>281</v>
      </c>
      <c r="BR100" t="s">
        <v>648</v>
      </c>
      <c r="BS100" t="s">
        <v>408</v>
      </c>
      <c r="BT100" t="s">
        <v>4851</v>
      </c>
      <c r="BU100" t="s">
        <v>395</v>
      </c>
      <c r="BV100" t="s">
        <v>4852</v>
      </c>
      <c r="BW100" t="s">
        <v>274</v>
      </c>
      <c r="BX100" t="s">
        <v>2375</v>
      </c>
      <c r="BY100" t="s">
        <v>337</v>
      </c>
      <c r="BZ100" t="s">
        <v>4853</v>
      </c>
      <c r="CA100" t="s">
        <v>1142</v>
      </c>
      <c r="CB100" t="s">
        <v>4854</v>
      </c>
      <c r="CC100" t="s">
        <v>257</v>
      </c>
      <c r="CD100" t="s">
        <v>4480</v>
      </c>
      <c r="CE100" t="s">
        <v>467</v>
      </c>
      <c r="CF100" t="s">
        <v>4855</v>
      </c>
      <c r="CG100" t="s">
        <v>858</v>
      </c>
      <c r="CH100" t="s">
        <v>4856</v>
      </c>
      <c r="CI100" t="s">
        <v>1137</v>
      </c>
      <c r="CJ100" t="s">
        <v>4857</v>
      </c>
      <c r="CK100" t="s">
        <v>344</v>
      </c>
      <c r="CL100" t="s">
        <v>4858</v>
      </c>
      <c r="CM100" t="s">
        <v>467</v>
      </c>
      <c r="CN100" t="s">
        <v>3426</v>
      </c>
      <c r="CO100" t="s">
        <v>698</v>
      </c>
      <c r="CP100" t="s">
        <v>4859</v>
      </c>
      <c r="CQ100" t="s">
        <v>467</v>
      </c>
      <c r="CR100" t="s">
        <v>4860</v>
      </c>
      <c r="CS100" t="s">
        <v>274</v>
      </c>
      <c r="CT100" t="s">
        <v>4861</v>
      </c>
      <c r="CU100" t="s">
        <v>1128</v>
      </c>
      <c r="CV100" t="s">
        <v>4862</v>
      </c>
      <c r="CW100" t="s">
        <v>295</v>
      </c>
      <c r="CX100" t="s">
        <v>4863</v>
      </c>
      <c r="CY100" t="s">
        <v>295</v>
      </c>
      <c r="CZ100" t="s">
        <v>4864</v>
      </c>
      <c r="DA100" t="s">
        <v>688</v>
      </c>
      <c r="DB100" t="s">
        <v>4865</v>
      </c>
      <c r="DC100" t="s">
        <v>242</v>
      </c>
      <c r="DD100" t="s">
        <v>4866</v>
      </c>
      <c r="DF100" t="s">
        <v>4867</v>
      </c>
      <c r="DG100" t="s">
        <v>242</v>
      </c>
      <c r="DH100" t="s">
        <v>4868</v>
      </c>
    </row>
    <row r="101" spans="1:112" x14ac:dyDescent="0.35">
      <c r="A101" t="s">
        <v>227</v>
      </c>
      <c r="B101" t="s">
        <v>4869</v>
      </c>
      <c r="C101" t="s">
        <v>229</v>
      </c>
      <c r="D101" t="s">
        <v>4870</v>
      </c>
      <c r="E101" t="s">
        <v>231</v>
      </c>
      <c r="F101" t="s">
        <v>4871</v>
      </c>
      <c r="G101" t="s">
        <v>40</v>
      </c>
      <c r="H101" t="s">
        <v>4872</v>
      </c>
      <c r="I101" t="s">
        <v>234</v>
      </c>
      <c r="J101" t="s">
        <v>4750</v>
      </c>
      <c r="L101" t="s">
        <v>4873</v>
      </c>
      <c r="M101" t="s">
        <v>15</v>
      </c>
      <c r="N101" t="s">
        <v>2158</v>
      </c>
      <c r="O101" t="s">
        <v>21</v>
      </c>
      <c r="P101" t="s">
        <v>4874</v>
      </c>
      <c r="Q101" t="s">
        <v>40</v>
      </c>
      <c r="R101" t="s">
        <v>4875</v>
      </c>
      <c r="S101" t="s">
        <v>310</v>
      </c>
      <c r="T101" t="s">
        <v>4876</v>
      </c>
      <c r="U101" t="s">
        <v>40</v>
      </c>
      <c r="V101" t="s">
        <v>2123</v>
      </c>
      <c r="W101" t="s">
        <v>40</v>
      </c>
      <c r="X101" t="s">
        <v>3598</v>
      </c>
      <c r="Y101" t="s">
        <v>4877</v>
      </c>
      <c r="Z101" t="s">
        <v>4878</v>
      </c>
      <c r="AA101" t="s">
        <v>40</v>
      </c>
      <c r="AB101" t="s">
        <v>4879</v>
      </c>
      <c r="AC101" t="s">
        <v>316</v>
      </c>
      <c r="AD101" t="s">
        <v>4880</v>
      </c>
      <c r="AE101" t="s">
        <v>502</v>
      </c>
      <c r="AF101" t="s">
        <v>1269</v>
      </c>
      <c r="AG101" t="s">
        <v>40</v>
      </c>
      <c r="AH101" t="s">
        <v>4881</v>
      </c>
      <c r="AI101" t="s">
        <v>621</v>
      </c>
      <c r="AJ101" t="s">
        <v>4882</v>
      </c>
      <c r="AK101" t="s">
        <v>4883</v>
      </c>
      <c r="AL101" t="s">
        <v>4884</v>
      </c>
      <c r="AM101" t="s">
        <v>823</v>
      </c>
      <c r="AN101" t="s">
        <v>954</v>
      </c>
      <c r="AO101" t="s">
        <v>0</v>
      </c>
      <c r="AP101" t="s">
        <v>4885</v>
      </c>
      <c r="AQ101" t="s">
        <v>41</v>
      </c>
      <c r="AR101" t="s">
        <v>4886</v>
      </c>
      <c r="AS101" t="s">
        <v>242</v>
      </c>
      <c r="AT101" t="s">
        <v>4887</v>
      </c>
      <c r="AU101" t="s">
        <v>4888</v>
      </c>
      <c r="AV101" t="s">
        <v>4889</v>
      </c>
      <c r="AW101" t="s">
        <v>247</v>
      </c>
      <c r="AX101" t="s">
        <v>4890</v>
      </c>
      <c r="AY101" t="s">
        <v>1081</v>
      </c>
      <c r="AZ101" t="s">
        <v>4891</v>
      </c>
      <c r="BA101" t="s">
        <v>242</v>
      </c>
      <c r="BB101" t="s">
        <v>4892</v>
      </c>
      <c r="BC101" t="s">
        <v>429</v>
      </c>
      <c r="BD101" t="s">
        <v>4893</v>
      </c>
      <c r="BE101" t="s">
        <v>405</v>
      </c>
      <c r="BF101" t="s">
        <v>4894</v>
      </c>
      <c r="BG101" t="s">
        <v>335</v>
      </c>
      <c r="BH101" t="s">
        <v>4895</v>
      </c>
      <c r="BI101" t="s">
        <v>427</v>
      </c>
      <c r="BJ101" t="s">
        <v>4896</v>
      </c>
      <c r="BK101" t="s">
        <v>367</v>
      </c>
      <c r="BL101" t="s">
        <v>3769</v>
      </c>
      <c r="BM101" t="s">
        <v>744</v>
      </c>
      <c r="BN101" t="s">
        <v>4897</v>
      </c>
      <c r="BO101" t="s">
        <v>401</v>
      </c>
      <c r="BP101" t="s">
        <v>4898</v>
      </c>
      <c r="BQ101" t="s">
        <v>427</v>
      </c>
      <c r="BR101" t="s">
        <v>4899</v>
      </c>
      <c r="BS101" t="s">
        <v>335</v>
      </c>
      <c r="BT101" t="s">
        <v>4900</v>
      </c>
      <c r="BU101" t="s">
        <v>779</v>
      </c>
      <c r="BV101" t="s">
        <v>4901</v>
      </c>
      <c r="BW101" t="s">
        <v>356</v>
      </c>
      <c r="BX101" t="s">
        <v>4902</v>
      </c>
      <c r="BY101" t="s">
        <v>367</v>
      </c>
      <c r="BZ101" t="s">
        <v>4903</v>
      </c>
      <c r="CA101" t="s">
        <v>356</v>
      </c>
      <c r="CB101" t="s">
        <v>4904</v>
      </c>
      <c r="CC101" t="s">
        <v>348</v>
      </c>
      <c r="CD101" t="s">
        <v>4805</v>
      </c>
      <c r="CE101" t="s">
        <v>351</v>
      </c>
      <c r="CF101" t="s">
        <v>3900</v>
      </c>
      <c r="CG101" t="s">
        <v>595</v>
      </c>
      <c r="CH101" t="s">
        <v>4905</v>
      </c>
      <c r="CI101" t="s">
        <v>339</v>
      </c>
      <c r="CJ101" t="s">
        <v>4656</v>
      </c>
      <c r="CK101" t="s">
        <v>528</v>
      </c>
      <c r="CL101" t="s">
        <v>4906</v>
      </c>
      <c r="CM101" t="s">
        <v>360</v>
      </c>
      <c r="CN101" t="s">
        <v>4907</v>
      </c>
      <c r="CO101" t="s">
        <v>538</v>
      </c>
      <c r="CP101" t="s">
        <v>4908</v>
      </c>
      <c r="CQ101" t="s">
        <v>335</v>
      </c>
      <c r="CR101" t="s">
        <v>4065</v>
      </c>
      <c r="CS101" t="s">
        <v>449</v>
      </c>
      <c r="CT101" t="s">
        <v>4909</v>
      </c>
      <c r="CU101" t="s">
        <v>271</v>
      </c>
      <c r="CV101" t="s">
        <v>4910</v>
      </c>
      <c r="CW101" t="s">
        <v>473</v>
      </c>
      <c r="CX101" t="s">
        <v>4911</v>
      </c>
      <c r="CY101" t="s">
        <v>1360</v>
      </c>
      <c r="CZ101" t="s">
        <v>4912</v>
      </c>
      <c r="DA101" t="s">
        <v>2277</v>
      </c>
      <c r="DB101" t="s">
        <v>4913</v>
      </c>
      <c r="DC101" t="s">
        <v>242</v>
      </c>
      <c r="DD101" t="s">
        <v>4914</v>
      </c>
      <c r="DF101" t="s">
        <v>4915</v>
      </c>
      <c r="DG101" t="s">
        <v>242</v>
      </c>
      <c r="DH101" t="s">
        <v>4916</v>
      </c>
    </row>
    <row r="102" spans="1:112" x14ac:dyDescent="0.35">
      <c r="A102" t="s">
        <v>227</v>
      </c>
      <c r="B102" t="s">
        <v>4917</v>
      </c>
      <c r="C102" t="s">
        <v>229</v>
      </c>
      <c r="D102" t="s">
        <v>2135</v>
      </c>
      <c r="E102" t="s">
        <v>231</v>
      </c>
      <c r="F102" t="s">
        <v>4918</v>
      </c>
      <c r="G102" t="s">
        <v>40</v>
      </c>
      <c r="H102" t="s">
        <v>4919</v>
      </c>
      <c r="I102" t="s">
        <v>234</v>
      </c>
      <c r="J102" t="s">
        <v>4920</v>
      </c>
      <c r="L102" t="s">
        <v>3050</v>
      </c>
      <c r="M102" t="s">
        <v>15</v>
      </c>
      <c r="N102" t="s">
        <v>4921</v>
      </c>
      <c r="O102" t="s">
        <v>21</v>
      </c>
      <c r="P102" t="s">
        <v>4922</v>
      </c>
      <c r="Q102" t="s">
        <v>40</v>
      </c>
      <c r="R102" t="s">
        <v>4923</v>
      </c>
      <c r="S102" t="s">
        <v>310</v>
      </c>
      <c r="T102" t="s">
        <v>4924</v>
      </c>
      <c r="U102" t="s">
        <v>40</v>
      </c>
      <c r="V102" t="s">
        <v>4606</v>
      </c>
      <c r="W102" t="s">
        <v>40</v>
      </c>
      <c r="X102" t="s">
        <v>4925</v>
      </c>
      <c r="Y102" t="s">
        <v>4926</v>
      </c>
      <c r="Z102" t="s">
        <v>4927</v>
      </c>
      <c r="AA102" t="s">
        <v>40</v>
      </c>
      <c r="AB102" t="s">
        <v>4928</v>
      </c>
      <c r="AC102" t="s">
        <v>316</v>
      </c>
      <c r="AD102" t="s">
        <v>4929</v>
      </c>
      <c r="AE102" t="s">
        <v>502</v>
      </c>
      <c r="AF102" t="s">
        <v>4930</v>
      </c>
      <c r="AG102" t="s">
        <v>40</v>
      </c>
      <c r="AH102" t="s">
        <v>4931</v>
      </c>
      <c r="AI102" t="s">
        <v>621</v>
      </c>
      <c r="AJ102" t="s">
        <v>4932</v>
      </c>
      <c r="AK102" t="s">
        <v>4933</v>
      </c>
      <c r="AL102" t="s">
        <v>4934</v>
      </c>
      <c r="AM102" t="s">
        <v>823</v>
      </c>
      <c r="AN102" t="s">
        <v>2211</v>
      </c>
      <c r="AO102" t="s">
        <v>825</v>
      </c>
      <c r="AP102" t="s">
        <v>4935</v>
      </c>
      <c r="AQ102" t="s">
        <v>45</v>
      </c>
      <c r="AR102" t="s">
        <v>4936</v>
      </c>
      <c r="AS102" t="s">
        <v>242</v>
      </c>
      <c r="AT102" t="s">
        <v>1205</v>
      </c>
      <c r="AU102" t="s">
        <v>4937</v>
      </c>
      <c r="AV102" t="s">
        <v>4938</v>
      </c>
      <c r="AW102" t="s">
        <v>247</v>
      </c>
      <c r="AX102" t="s">
        <v>4939</v>
      </c>
      <c r="AY102" t="s">
        <v>1172</v>
      </c>
      <c r="AZ102" t="s">
        <v>4940</v>
      </c>
      <c r="BA102" t="s">
        <v>242</v>
      </c>
      <c r="BB102" t="s">
        <v>4941</v>
      </c>
      <c r="BC102" t="s">
        <v>243</v>
      </c>
      <c r="BD102" t="s">
        <v>4942</v>
      </c>
      <c r="BE102" t="s">
        <v>295</v>
      </c>
      <c r="BF102" t="s">
        <v>4943</v>
      </c>
      <c r="BG102" t="s">
        <v>295</v>
      </c>
      <c r="BH102" t="s">
        <v>4944</v>
      </c>
      <c r="BI102" t="s">
        <v>295</v>
      </c>
      <c r="BJ102" t="s">
        <v>4945</v>
      </c>
      <c r="BK102" t="s">
        <v>295</v>
      </c>
      <c r="BL102" t="s">
        <v>4946</v>
      </c>
      <c r="BM102" t="s">
        <v>411</v>
      </c>
      <c r="BN102" t="s">
        <v>4947</v>
      </c>
      <c r="BO102" t="s">
        <v>449</v>
      </c>
      <c r="BP102" t="s">
        <v>4948</v>
      </c>
      <c r="BQ102" t="s">
        <v>467</v>
      </c>
      <c r="BR102" t="s">
        <v>4949</v>
      </c>
      <c r="BS102" t="s">
        <v>481</v>
      </c>
      <c r="BT102" t="s">
        <v>4950</v>
      </c>
      <c r="BU102" t="s">
        <v>427</v>
      </c>
      <c r="BV102" t="s">
        <v>4951</v>
      </c>
      <c r="BW102" t="s">
        <v>519</v>
      </c>
      <c r="BX102" t="s">
        <v>4952</v>
      </c>
      <c r="BY102" t="s">
        <v>367</v>
      </c>
      <c r="BZ102" t="s">
        <v>4953</v>
      </c>
      <c r="CA102" t="s">
        <v>399</v>
      </c>
      <c r="CB102" t="s">
        <v>4954</v>
      </c>
      <c r="CC102" t="s">
        <v>542</v>
      </c>
      <c r="CD102" t="s">
        <v>4955</v>
      </c>
      <c r="CE102" t="s">
        <v>752</v>
      </c>
      <c r="CF102" t="s">
        <v>4956</v>
      </c>
      <c r="CG102" t="s">
        <v>416</v>
      </c>
      <c r="CH102" t="s">
        <v>4859</v>
      </c>
      <c r="CI102" t="s">
        <v>365</v>
      </c>
      <c r="CJ102" t="s">
        <v>4957</v>
      </c>
      <c r="CK102" t="s">
        <v>538</v>
      </c>
      <c r="CL102" t="s">
        <v>4958</v>
      </c>
      <c r="CM102" t="s">
        <v>399</v>
      </c>
      <c r="CN102" t="s">
        <v>4959</v>
      </c>
      <c r="CO102" t="s">
        <v>408</v>
      </c>
      <c r="CP102" t="s">
        <v>1489</v>
      </c>
      <c r="CQ102" t="s">
        <v>698</v>
      </c>
      <c r="CR102" t="s">
        <v>4960</v>
      </c>
      <c r="CS102" t="s">
        <v>358</v>
      </c>
      <c r="CT102" t="s">
        <v>1066</v>
      </c>
      <c r="CU102" t="s">
        <v>337</v>
      </c>
      <c r="CV102" t="s">
        <v>859</v>
      </c>
      <c r="CW102" t="s">
        <v>688</v>
      </c>
      <c r="CX102" t="s">
        <v>4961</v>
      </c>
      <c r="CY102" t="s">
        <v>1131</v>
      </c>
      <c r="CZ102" t="s">
        <v>4962</v>
      </c>
      <c r="DA102" t="s">
        <v>454</v>
      </c>
      <c r="DB102" t="s">
        <v>4963</v>
      </c>
      <c r="DC102" t="s">
        <v>242</v>
      </c>
      <c r="DD102" t="s">
        <v>4964</v>
      </c>
      <c r="DF102" t="s">
        <v>4965</v>
      </c>
      <c r="DG102" t="s">
        <v>242</v>
      </c>
      <c r="DH102" t="s">
        <v>4966</v>
      </c>
    </row>
    <row r="103" spans="1:112" x14ac:dyDescent="0.35">
      <c r="A103" t="s">
        <v>227</v>
      </c>
      <c r="B103" t="s">
        <v>4967</v>
      </c>
      <c r="C103" t="s">
        <v>229</v>
      </c>
      <c r="D103" t="s">
        <v>4968</v>
      </c>
      <c r="E103" t="s">
        <v>231</v>
      </c>
      <c r="F103" t="s">
        <v>4647</v>
      </c>
      <c r="G103" t="s">
        <v>40</v>
      </c>
      <c r="H103" t="s">
        <v>4969</v>
      </c>
      <c r="I103" t="s">
        <v>234</v>
      </c>
      <c r="J103" t="s">
        <v>4970</v>
      </c>
      <c r="L103" t="s">
        <v>4971</v>
      </c>
      <c r="M103" t="s">
        <v>18</v>
      </c>
      <c r="N103" t="s">
        <v>3723</v>
      </c>
      <c r="O103" t="s">
        <v>21</v>
      </c>
      <c r="P103" t="s">
        <v>4972</v>
      </c>
      <c r="Q103" t="s">
        <v>40</v>
      </c>
      <c r="R103" t="s">
        <v>4973</v>
      </c>
      <c r="S103" t="s">
        <v>310</v>
      </c>
      <c r="T103" t="s">
        <v>4974</v>
      </c>
      <c r="U103" t="s">
        <v>39</v>
      </c>
      <c r="V103" t="s">
        <v>4975</v>
      </c>
      <c r="W103" t="s">
        <v>44</v>
      </c>
      <c r="X103" t="s">
        <v>4976</v>
      </c>
      <c r="Y103" t="s">
        <v>242</v>
      </c>
      <c r="Z103" t="s">
        <v>243</v>
      </c>
      <c r="AA103" t="s">
        <v>40</v>
      </c>
      <c r="AB103" t="s">
        <v>244</v>
      </c>
      <c r="AC103" t="s">
        <v>316</v>
      </c>
      <c r="AD103" t="s">
        <v>4977</v>
      </c>
      <c r="AE103" t="s">
        <v>318</v>
      </c>
      <c r="AF103" t="s">
        <v>4978</v>
      </c>
      <c r="AG103" t="s">
        <v>43</v>
      </c>
      <c r="AH103" t="s">
        <v>4508</v>
      </c>
      <c r="AI103" t="s">
        <v>4979</v>
      </c>
      <c r="AJ103" t="s">
        <v>4980</v>
      </c>
      <c r="AK103" t="s">
        <v>4981</v>
      </c>
      <c r="AL103" t="s">
        <v>4982</v>
      </c>
      <c r="AM103" t="s">
        <v>1605</v>
      </c>
      <c r="AN103" t="s">
        <v>4983</v>
      </c>
      <c r="AO103" t="s">
        <v>1760</v>
      </c>
      <c r="AP103" t="s">
        <v>4984</v>
      </c>
      <c r="AQ103" t="s">
        <v>41</v>
      </c>
      <c r="AR103" t="s">
        <v>1895</v>
      </c>
      <c r="AS103" t="s">
        <v>242</v>
      </c>
      <c r="AT103" t="s">
        <v>4985</v>
      </c>
      <c r="AU103" t="s">
        <v>4937</v>
      </c>
      <c r="AV103" t="s">
        <v>4986</v>
      </c>
      <c r="AW103" t="s">
        <v>247</v>
      </c>
      <c r="AX103" t="s">
        <v>4987</v>
      </c>
      <c r="AY103" t="s">
        <v>249</v>
      </c>
      <c r="AZ103" t="s">
        <v>4988</v>
      </c>
      <c r="BA103" t="s">
        <v>242</v>
      </c>
      <c r="BB103" t="s">
        <v>4989</v>
      </c>
      <c r="BC103" t="s">
        <v>424</v>
      </c>
      <c r="BD103" t="s">
        <v>4990</v>
      </c>
      <c r="BE103" t="s">
        <v>532</v>
      </c>
      <c r="BF103" t="s">
        <v>4991</v>
      </c>
      <c r="BG103" t="s">
        <v>401</v>
      </c>
      <c r="BH103" t="s">
        <v>4992</v>
      </c>
      <c r="BI103" t="s">
        <v>427</v>
      </c>
      <c r="BJ103" t="s">
        <v>4993</v>
      </c>
      <c r="BK103" t="s">
        <v>416</v>
      </c>
      <c r="BL103" t="s">
        <v>4994</v>
      </c>
      <c r="BM103" t="s">
        <v>427</v>
      </c>
      <c r="BN103" t="s">
        <v>4995</v>
      </c>
      <c r="BO103" t="s">
        <v>287</v>
      </c>
      <c r="BP103" t="s">
        <v>4996</v>
      </c>
      <c r="BQ103" t="s">
        <v>575</v>
      </c>
      <c r="BR103" t="s">
        <v>4997</v>
      </c>
      <c r="BS103" t="s">
        <v>397</v>
      </c>
      <c r="BT103" t="s">
        <v>4984</v>
      </c>
      <c r="BU103" t="s">
        <v>371</v>
      </c>
      <c r="BV103" t="s">
        <v>4998</v>
      </c>
      <c r="BW103" t="s">
        <v>779</v>
      </c>
      <c r="BX103" t="s">
        <v>4999</v>
      </c>
      <c r="BY103" t="s">
        <v>371</v>
      </c>
      <c r="BZ103" t="s">
        <v>5000</v>
      </c>
      <c r="CA103" t="s">
        <v>287</v>
      </c>
      <c r="CB103" t="s">
        <v>5001</v>
      </c>
      <c r="CC103" t="s">
        <v>532</v>
      </c>
      <c r="CD103" t="s">
        <v>5002</v>
      </c>
      <c r="CE103" t="s">
        <v>367</v>
      </c>
      <c r="CF103" t="s">
        <v>5003</v>
      </c>
      <c r="CG103" t="s">
        <v>858</v>
      </c>
      <c r="CH103" t="s">
        <v>5004</v>
      </c>
      <c r="CI103" t="s">
        <v>744</v>
      </c>
      <c r="CJ103" t="s">
        <v>4913</v>
      </c>
      <c r="CK103" t="s">
        <v>481</v>
      </c>
      <c r="CL103" t="s">
        <v>5005</v>
      </c>
      <c r="CM103" t="s">
        <v>421</v>
      </c>
      <c r="CN103" t="s">
        <v>5006</v>
      </c>
      <c r="CO103" t="s">
        <v>291</v>
      </c>
      <c r="CP103" t="s">
        <v>5007</v>
      </c>
      <c r="CQ103" t="s">
        <v>360</v>
      </c>
      <c r="CR103" t="s">
        <v>5008</v>
      </c>
      <c r="CS103" t="s">
        <v>285</v>
      </c>
      <c r="CT103" t="s">
        <v>5009</v>
      </c>
      <c r="CU103" t="s">
        <v>257</v>
      </c>
      <c r="CV103" t="s">
        <v>5010</v>
      </c>
      <c r="CW103" t="s">
        <v>274</v>
      </c>
      <c r="CX103" t="s">
        <v>5011</v>
      </c>
      <c r="CY103" t="s">
        <v>479</v>
      </c>
      <c r="CZ103" t="s">
        <v>5012</v>
      </c>
      <c r="DA103" t="s">
        <v>1091</v>
      </c>
      <c r="DB103" t="s">
        <v>5013</v>
      </c>
      <c r="DC103" t="s">
        <v>242</v>
      </c>
      <c r="DD103" t="s">
        <v>426</v>
      </c>
      <c r="DF103" t="s">
        <v>5014</v>
      </c>
      <c r="DG103" t="s">
        <v>242</v>
      </c>
      <c r="DH103" t="s">
        <v>5015</v>
      </c>
    </row>
    <row r="104" spans="1:112" x14ac:dyDescent="0.35">
      <c r="A104" t="s">
        <v>227</v>
      </c>
      <c r="B104" t="s">
        <v>5016</v>
      </c>
      <c r="C104" t="s">
        <v>229</v>
      </c>
      <c r="D104" t="s">
        <v>5017</v>
      </c>
      <c r="E104" t="s">
        <v>231</v>
      </c>
      <c r="F104" t="s">
        <v>5018</v>
      </c>
      <c r="G104" t="s">
        <v>40</v>
      </c>
      <c r="H104" t="s">
        <v>5019</v>
      </c>
      <c r="I104" t="s">
        <v>234</v>
      </c>
      <c r="J104" t="s">
        <v>5020</v>
      </c>
      <c r="L104" t="s">
        <v>5021</v>
      </c>
      <c r="M104" t="s">
        <v>18</v>
      </c>
      <c r="N104" t="s">
        <v>3408</v>
      </c>
      <c r="O104" t="s">
        <v>19</v>
      </c>
      <c r="P104" t="s">
        <v>5022</v>
      </c>
      <c r="Q104" t="s">
        <v>40</v>
      </c>
      <c r="R104" t="s">
        <v>4807</v>
      </c>
      <c r="S104" t="s">
        <v>310</v>
      </c>
      <c r="T104" t="s">
        <v>5023</v>
      </c>
      <c r="U104" t="s">
        <v>40</v>
      </c>
      <c r="V104" t="s">
        <v>3094</v>
      </c>
      <c r="W104" t="s">
        <v>40</v>
      </c>
      <c r="X104" t="s">
        <v>5024</v>
      </c>
      <c r="Y104" t="s">
        <v>92</v>
      </c>
      <c r="Z104" t="s">
        <v>5025</v>
      </c>
      <c r="AA104" t="s">
        <v>43</v>
      </c>
      <c r="AB104" t="s">
        <v>5026</v>
      </c>
      <c r="AC104" t="s">
        <v>242</v>
      </c>
      <c r="AD104" t="s">
        <v>243</v>
      </c>
      <c r="AE104" t="s">
        <v>242</v>
      </c>
      <c r="AF104" t="s">
        <v>243</v>
      </c>
      <c r="AG104" t="s">
        <v>242</v>
      </c>
      <c r="AH104" t="s">
        <v>243</v>
      </c>
      <c r="AI104" t="s">
        <v>242</v>
      </c>
      <c r="AJ104" t="s">
        <v>243</v>
      </c>
      <c r="AK104" t="s">
        <v>242</v>
      </c>
      <c r="AL104" t="s">
        <v>243</v>
      </c>
      <c r="AM104" t="s">
        <v>325</v>
      </c>
      <c r="AN104" t="s">
        <v>244</v>
      </c>
      <c r="AO104" t="s">
        <v>3487</v>
      </c>
      <c r="AP104" t="s">
        <v>5027</v>
      </c>
      <c r="AQ104" t="s">
        <v>41</v>
      </c>
      <c r="AR104" t="s">
        <v>5028</v>
      </c>
      <c r="AS104" t="s">
        <v>242</v>
      </c>
      <c r="AT104" t="s">
        <v>5029</v>
      </c>
      <c r="AU104" t="s">
        <v>5030</v>
      </c>
      <c r="AV104" t="s">
        <v>5031</v>
      </c>
      <c r="AW104" t="s">
        <v>247</v>
      </c>
      <c r="AX104" t="s">
        <v>3193</v>
      </c>
      <c r="AY104" t="s">
        <v>249</v>
      </c>
      <c r="AZ104" t="s">
        <v>5032</v>
      </c>
      <c r="BA104" t="s">
        <v>242</v>
      </c>
      <c r="BB104" t="s">
        <v>5033</v>
      </c>
      <c r="BC104" t="s">
        <v>467</v>
      </c>
      <c r="BD104" t="s">
        <v>5034</v>
      </c>
      <c r="BE104" t="s">
        <v>295</v>
      </c>
      <c r="BF104" t="s">
        <v>5035</v>
      </c>
      <c r="BG104" t="s">
        <v>429</v>
      </c>
      <c r="BH104" t="s">
        <v>5036</v>
      </c>
      <c r="BI104" t="s">
        <v>295</v>
      </c>
      <c r="BJ104" t="s">
        <v>5037</v>
      </c>
      <c r="BK104" t="s">
        <v>285</v>
      </c>
      <c r="BL104" t="s">
        <v>5038</v>
      </c>
      <c r="BM104" t="s">
        <v>1131</v>
      </c>
      <c r="BN104" t="s">
        <v>5039</v>
      </c>
      <c r="BO104" t="s">
        <v>481</v>
      </c>
      <c r="BP104" t="s">
        <v>5040</v>
      </c>
      <c r="BQ104" t="s">
        <v>293</v>
      </c>
      <c r="BR104" t="s">
        <v>4037</v>
      </c>
      <c r="BS104" t="s">
        <v>399</v>
      </c>
      <c r="BT104" t="s">
        <v>5041</v>
      </c>
      <c r="BU104" t="s">
        <v>952</v>
      </c>
      <c r="BV104" t="s">
        <v>5042</v>
      </c>
      <c r="BW104" t="s">
        <v>481</v>
      </c>
      <c r="BX104" t="s">
        <v>5043</v>
      </c>
      <c r="BY104" t="s">
        <v>952</v>
      </c>
      <c r="BZ104" t="s">
        <v>5044</v>
      </c>
      <c r="CA104" t="s">
        <v>481</v>
      </c>
      <c r="CB104" t="s">
        <v>5045</v>
      </c>
      <c r="CC104" t="s">
        <v>688</v>
      </c>
      <c r="CD104" t="s">
        <v>5046</v>
      </c>
      <c r="CE104" t="s">
        <v>519</v>
      </c>
      <c r="CF104" t="s">
        <v>3397</v>
      </c>
      <c r="CG104" t="s">
        <v>337</v>
      </c>
      <c r="CH104" t="s">
        <v>5047</v>
      </c>
      <c r="CI104" t="s">
        <v>542</v>
      </c>
      <c r="CJ104" t="s">
        <v>5048</v>
      </c>
      <c r="CK104" t="s">
        <v>685</v>
      </c>
      <c r="CL104" t="s">
        <v>5049</v>
      </c>
      <c r="CM104" t="s">
        <v>285</v>
      </c>
      <c r="CN104" t="s">
        <v>2674</v>
      </c>
      <c r="CO104" t="s">
        <v>476</v>
      </c>
      <c r="CP104" t="s">
        <v>5050</v>
      </c>
      <c r="CQ104" t="s">
        <v>858</v>
      </c>
      <c r="CR104" t="s">
        <v>5051</v>
      </c>
      <c r="CS104" t="s">
        <v>295</v>
      </c>
      <c r="CT104" t="s">
        <v>5052</v>
      </c>
      <c r="CU104" t="s">
        <v>344</v>
      </c>
      <c r="CV104" t="s">
        <v>5053</v>
      </c>
      <c r="CW104" t="s">
        <v>295</v>
      </c>
      <c r="CX104" t="s">
        <v>5054</v>
      </c>
      <c r="CY104" t="s">
        <v>405</v>
      </c>
      <c r="CZ104" t="s">
        <v>5055</v>
      </c>
      <c r="DA104" t="s">
        <v>1128</v>
      </c>
      <c r="DB104" t="s">
        <v>4808</v>
      </c>
      <c r="DC104" t="s">
        <v>242</v>
      </c>
      <c r="DD104" t="s">
        <v>4935</v>
      </c>
      <c r="DF104" t="s">
        <v>5056</v>
      </c>
      <c r="DG104" t="s">
        <v>242</v>
      </c>
      <c r="DH104" t="s">
        <v>2067</v>
      </c>
    </row>
    <row r="105" spans="1:112" x14ac:dyDescent="0.35">
      <c r="A105" t="s">
        <v>227</v>
      </c>
      <c r="B105" t="s">
        <v>5057</v>
      </c>
      <c r="C105" t="s">
        <v>229</v>
      </c>
      <c r="D105" t="s">
        <v>5058</v>
      </c>
      <c r="E105" t="s">
        <v>231</v>
      </c>
      <c r="F105" t="s">
        <v>5059</v>
      </c>
      <c r="G105" t="s">
        <v>40</v>
      </c>
      <c r="H105" t="s">
        <v>4149</v>
      </c>
      <c r="I105" t="s">
        <v>234</v>
      </c>
      <c r="J105" t="s">
        <v>5060</v>
      </c>
      <c r="L105" t="s">
        <v>4805</v>
      </c>
      <c r="M105" t="s">
        <v>18</v>
      </c>
      <c r="N105" t="s">
        <v>5061</v>
      </c>
      <c r="O105" t="s">
        <v>19</v>
      </c>
      <c r="P105" t="s">
        <v>5062</v>
      </c>
      <c r="Q105" t="s">
        <v>40</v>
      </c>
      <c r="R105" t="s">
        <v>4864</v>
      </c>
      <c r="S105" t="s">
        <v>310</v>
      </c>
      <c r="T105" t="s">
        <v>5063</v>
      </c>
      <c r="U105" t="s">
        <v>40</v>
      </c>
      <c r="V105" t="s">
        <v>5064</v>
      </c>
      <c r="W105" t="s">
        <v>44</v>
      </c>
      <c r="X105" t="s">
        <v>5065</v>
      </c>
      <c r="Y105" t="s">
        <v>242</v>
      </c>
      <c r="Z105" t="s">
        <v>243</v>
      </c>
      <c r="AA105" t="s">
        <v>43</v>
      </c>
      <c r="AB105" t="s">
        <v>244</v>
      </c>
      <c r="AC105" t="s">
        <v>242</v>
      </c>
      <c r="AD105" t="s">
        <v>243</v>
      </c>
      <c r="AE105" t="s">
        <v>242</v>
      </c>
      <c r="AF105" t="s">
        <v>243</v>
      </c>
      <c r="AG105" t="s">
        <v>242</v>
      </c>
      <c r="AH105" t="s">
        <v>243</v>
      </c>
      <c r="AI105" t="s">
        <v>242</v>
      </c>
      <c r="AJ105" t="s">
        <v>243</v>
      </c>
      <c r="AK105" t="s">
        <v>242</v>
      </c>
      <c r="AL105" t="s">
        <v>243</v>
      </c>
      <c r="AM105" t="s">
        <v>5066</v>
      </c>
      <c r="AN105" t="s">
        <v>244</v>
      </c>
      <c r="AO105" t="s">
        <v>1760</v>
      </c>
      <c r="AP105" t="s">
        <v>5067</v>
      </c>
      <c r="AQ105" t="s">
        <v>46</v>
      </c>
      <c r="AR105" t="s">
        <v>5068</v>
      </c>
      <c r="AS105" t="s">
        <v>242</v>
      </c>
      <c r="AT105" t="s">
        <v>5069</v>
      </c>
      <c r="AU105" t="s">
        <v>5070</v>
      </c>
      <c r="AV105" t="s">
        <v>5071</v>
      </c>
      <c r="AW105" t="s">
        <v>247</v>
      </c>
      <c r="AX105" t="s">
        <v>5072</v>
      </c>
      <c r="AY105" t="s">
        <v>249</v>
      </c>
      <c r="AZ105" t="s">
        <v>5073</v>
      </c>
      <c r="BA105" t="s">
        <v>242</v>
      </c>
      <c r="BB105" t="s">
        <v>5074</v>
      </c>
      <c r="BC105" t="s">
        <v>243</v>
      </c>
      <c r="BD105" t="s">
        <v>5075</v>
      </c>
      <c r="BE105" t="s">
        <v>243</v>
      </c>
      <c r="BF105" t="s">
        <v>5076</v>
      </c>
      <c r="BG105" t="s">
        <v>243</v>
      </c>
      <c r="BH105" t="s">
        <v>5077</v>
      </c>
      <c r="BI105" t="s">
        <v>243</v>
      </c>
      <c r="BJ105" t="s">
        <v>5078</v>
      </c>
      <c r="BK105" t="s">
        <v>243</v>
      </c>
      <c r="BL105" t="s">
        <v>5079</v>
      </c>
      <c r="BM105" t="s">
        <v>243</v>
      </c>
      <c r="BN105" t="s">
        <v>5080</v>
      </c>
      <c r="BO105" t="s">
        <v>243</v>
      </c>
      <c r="BP105" t="s">
        <v>5081</v>
      </c>
      <c r="BQ105" t="s">
        <v>243</v>
      </c>
      <c r="BR105" t="s">
        <v>5082</v>
      </c>
      <c r="BS105" t="s">
        <v>243</v>
      </c>
      <c r="BT105" t="s">
        <v>5083</v>
      </c>
      <c r="BU105" t="s">
        <v>243</v>
      </c>
      <c r="BV105" t="s">
        <v>5084</v>
      </c>
      <c r="BW105" t="s">
        <v>243</v>
      </c>
      <c r="BX105" t="s">
        <v>5085</v>
      </c>
      <c r="BY105" t="s">
        <v>243</v>
      </c>
      <c r="BZ105" t="s">
        <v>5086</v>
      </c>
      <c r="CA105" t="s">
        <v>243</v>
      </c>
      <c r="CB105" t="s">
        <v>5087</v>
      </c>
      <c r="CC105" t="s">
        <v>243</v>
      </c>
      <c r="CD105" t="s">
        <v>5088</v>
      </c>
      <c r="CE105" t="s">
        <v>243</v>
      </c>
      <c r="CF105" t="s">
        <v>3509</v>
      </c>
      <c r="CG105" t="s">
        <v>243</v>
      </c>
      <c r="CH105" t="s">
        <v>5089</v>
      </c>
      <c r="CI105" t="s">
        <v>243</v>
      </c>
      <c r="CJ105" t="s">
        <v>4692</v>
      </c>
      <c r="CK105" t="s">
        <v>243</v>
      </c>
      <c r="CL105" t="s">
        <v>4644</v>
      </c>
      <c r="CM105" t="s">
        <v>243</v>
      </c>
      <c r="CN105" t="s">
        <v>4399</v>
      </c>
      <c r="CO105" t="s">
        <v>243</v>
      </c>
      <c r="CP105" t="s">
        <v>5090</v>
      </c>
      <c r="CQ105" t="s">
        <v>243</v>
      </c>
      <c r="CR105" t="s">
        <v>5091</v>
      </c>
      <c r="CS105" t="s">
        <v>243</v>
      </c>
      <c r="CT105" t="s">
        <v>5092</v>
      </c>
      <c r="CU105" t="s">
        <v>243</v>
      </c>
      <c r="CV105" t="s">
        <v>5093</v>
      </c>
      <c r="CW105" t="s">
        <v>243</v>
      </c>
      <c r="CX105" t="s">
        <v>5094</v>
      </c>
      <c r="CY105" t="s">
        <v>243</v>
      </c>
      <c r="CZ105" t="s">
        <v>3779</v>
      </c>
      <c r="DA105" t="s">
        <v>243</v>
      </c>
      <c r="DB105" t="s">
        <v>5095</v>
      </c>
      <c r="DC105" t="s">
        <v>242</v>
      </c>
      <c r="DD105" t="s">
        <v>5096</v>
      </c>
      <c r="DF105" t="s">
        <v>5097</v>
      </c>
      <c r="DG105" t="s">
        <v>242</v>
      </c>
      <c r="DH105" t="s">
        <v>5098</v>
      </c>
    </row>
    <row r="106" spans="1:112" x14ac:dyDescent="0.35">
      <c r="A106" t="s">
        <v>227</v>
      </c>
      <c r="B106" t="s">
        <v>5099</v>
      </c>
      <c r="C106" t="s">
        <v>229</v>
      </c>
      <c r="D106" t="s">
        <v>5100</v>
      </c>
      <c r="E106" t="s">
        <v>231</v>
      </c>
      <c r="F106" t="s">
        <v>5101</v>
      </c>
      <c r="G106" t="s">
        <v>40</v>
      </c>
      <c r="H106" t="s">
        <v>5102</v>
      </c>
      <c r="I106" t="s">
        <v>234</v>
      </c>
      <c r="J106" t="s">
        <v>5103</v>
      </c>
      <c r="L106" t="s">
        <v>5104</v>
      </c>
      <c r="M106" t="s">
        <v>18</v>
      </c>
      <c r="N106" t="s">
        <v>5105</v>
      </c>
      <c r="O106" t="s">
        <v>21</v>
      </c>
      <c r="P106" t="s">
        <v>1078</v>
      </c>
      <c r="Q106" t="s">
        <v>40</v>
      </c>
      <c r="R106" t="s">
        <v>5106</v>
      </c>
      <c r="S106" t="s">
        <v>310</v>
      </c>
      <c r="T106" t="s">
        <v>5107</v>
      </c>
      <c r="U106" t="s">
        <v>40</v>
      </c>
      <c r="V106" t="s">
        <v>5108</v>
      </c>
      <c r="W106" t="s">
        <v>40</v>
      </c>
      <c r="X106" t="s">
        <v>5109</v>
      </c>
      <c r="Y106" t="s">
        <v>5110</v>
      </c>
      <c r="Z106" t="s">
        <v>5111</v>
      </c>
      <c r="AA106" t="s">
        <v>40</v>
      </c>
      <c r="AB106" t="s">
        <v>3923</v>
      </c>
      <c r="AC106" t="s">
        <v>316</v>
      </c>
      <c r="AD106" t="s">
        <v>5112</v>
      </c>
      <c r="AE106" t="s">
        <v>1996</v>
      </c>
      <c r="AF106" t="s">
        <v>5113</v>
      </c>
      <c r="AG106" t="s">
        <v>40</v>
      </c>
      <c r="AH106" t="s">
        <v>1379</v>
      </c>
      <c r="AI106" t="s">
        <v>505</v>
      </c>
      <c r="AJ106" t="s">
        <v>5114</v>
      </c>
      <c r="AK106" t="s">
        <v>5115</v>
      </c>
      <c r="AL106" t="s">
        <v>5116</v>
      </c>
      <c r="AM106" t="s">
        <v>1350</v>
      </c>
      <c r="AN106" t="s">
        <v>5117</v>
      </c>
      <c r="AO106" t="s">
        <v>1498</v>
      </c>
      <c r="AP106" t="s">
        <v>2979</v>
      </c>
      <c r="AQ106" t="s">
        <v>41</v>
      </c>
      <c r="AR106" t="s">
        <v>5118</v>
      </c>
      <c r="AS106" t="s">
        <v>242</v>
      </c>
      <c r="AT106" t="s">
        <v>5119</v>
      </c>
      <c r="AU106" t="s">
        <v>4451</v>
      </c>
      <c r="AV106" t="s">
        <v>5120</v>
      </c>
      <c r="AW106" t="s">
        <v>247</v>
      </c>
      <c r="AX106" t="s">
        <v>5121</v>
      </c>
      <c r="AY106" t="s">
        <v>249</v>
      </c>
      <c r="AZ106" t="s">
        <v>5122</v>
      </c>
      <c r="BA106" t="s">
        <v>242</v>
      </c>
      <c r="BB106" t="s">
        <v>5123</v>
      </c>
      <c r="BC106" t="s">
        <v>532</v>
      </c>
      <c r="BD106" t="s">
        <v>3123</v>
      </c>
      <c r="BE106" t="s">
        <v>285</v>
      </c>
      <c r="BF106" t="s">
        <v>5124</v>
      </c>
      <c r="BG106" t="s">
        <v>365</v>
      </c>
      <c r="BH106" t="s">
        <v>5125</v>
      </c>
      <c r="BI106" t="s">
        <v>585</v>
      </c>
      <c r="BJ106" t="s">
        <v>5126</v>
      </c>
      <c r="BK106" t="s">
        <v>779</v>
      </c>
      <c r="BL106" t="s">
        <v>5127</v>
      </c>
      <c r="BM106" t="s">
        <v>589</v>
      </c>
      <c r="BN106" t="s">
        <v>5128</v>
      </c>
      <c r="BO106" t="s">
        <v>351</v>
      </c>
      <c r="BP106" t="s">
        <v>5129</v>
      </c>
      <c r="BQ106" t="s">
        <v>1137</v>
      </c>
      <c r="BR106" t="s">
        <v>5130</v>
      </c>
      <c r="BS106" t="s">
        <v>252</v>
      </c>
      <c r="BT106" t="s">
        <v>5131</v>
      </c>
      <c r="BU106" t="s">
        <v>651</v>
      </c>
      <c r="BV106" t="s">
        <v>5132</v>
      </c>
      <c r="BW106" t="s">
        <v>528</v>
      </c>
      <c r="BX106" t="s">
        <v>5133</v>
      </c>
      <c r="BY106" t="s">
        <v>243</v>
      </c>
      <c r="BZ106" t="s">
        <v>5134</v>
      </c>
      <c r="CA106" t="s">
        <v>397</v>
      </c>
      <c r="CB106" t="s">
        <v>5135</v>
      </c>
      <c r="CC106" t="s">
        <v>279</v>
      </c>
      <c r="CD106" t="s">
        <v>5136</v>
      </c>
      <c r="CE106" t="s">
        <v>397</v>
      </c>
      <c r="CF106" t="s">
        <v>5137</v>
      </c>
      <c r="CG106" t="s">
        <v>243</v>
      </c>
      <c r="CH106" t="s">
        <v>5138</v>
      </c>
      <c r="CI106" t="s">
        <v>408</v>
      </c>
      <c r="CJ106" t="s">
        <v>5139</v>
      </c>
      <c r="CK106" t="s">
        <v>243</v>
      </c>
      <c r="CL106" t="s">
        <v>5140</v>
      </c>
      <c r="CM106" t="s">
        <v>414</v>
      </c>
      <c r="CN106" t="s">
        <v>5141</v>
      </c>
      <c r="CO106" t="s">
        <v>243</v>
      </c>
      <c r="CP106" t="s">
        <v>5142</v>
      </c>
      <c r="CQ106" t="s">
        <v>575</v>
      </c>
      <c r="CR106" t="s">
        <v>5143</v>
      </c>
      <c r="CS106" t="s">
        <v>360</v>
      </c>
      <c r="CT106" t="s">
        <v>5144</v>
      </c>
      <c r="CU106" t="s">
        <v>257</v>
      </c>
      <c r="CV106" t="s">
        <v>5145</v>
      </c>
      <c r="CW106" t="s">
        <v>542</v>
      </c>
      <c r="CX106" t="s">
        <v>5146</v>
      </c>
      <c r="CY106" t="s">
        <v>481</v>
      </c>
      <c r="CZ106" t="s">
        <v>1517</v>
      </c>
      <c r="DA106" t="s">
        <v>744</v>
      </c>
      <c r="DB106" t="s">
        <v>5147</v>
      </c>
      <c r="DC106" t="s">
        <v>242</v>
      </c>
      <c r="DD106" t="s">
        <v>1981</v>
      </c>
      <c r="DF106" t="s">
        <v>5148</v>
      </c>
      <c r="DG106" t="s">
        <v>242</v>
      </c>
      <c r="DH106" t="s">
        <v>3624</v>
      </c>
    </row>
    <row r="107" spans="1:112" x14ac:dyDescent="0.35">
      <c r="A107" t="s">
        <v>227</v>
      </c>
      <c r="B107" t="s">
        <v>5149</v>
      </c>
      <c r="C107" t="s">
        <v>229</v>
      </c>
      <c r="D107" t="s">
        <v>5150</v>
      </c>
      <c r="E107" t="s">
        <v>231</v>
      </c>
      <c r="F107" t="s">
        <v>5151</v>
      </c>
      <c r="G107" t="s">
        <v>40</v>
      </c>
      <c r="H107" t="s">
        <v>2288</v>
      </c>
      <c r="I107" t="s">
        <v>234</v>
      </c>
      <c r="J107" t="s">
        <v>5152</v>
      </c>
      <c r="L107" t="s">
        <v>5153</v>
      </c>
      <c r="M107" t="s">
        <v>15</v>
      </c>
      <c r="N107" t="s">
        <v>5154</v>
      </c>
      <c r="O107" t="s">
        <v>19</v>
      </c>
      <c r="P107" t="s">
        <v>5155</v>
      </c>
      <c r="Q107" t="s">
        <v>40</v>
      </c>
      <c r="R107" t="s">
        <v>2342</v>
      </c>
      <c r="S107" t="s">
        <v>310</v>
      </c>
      <c r="T107" t="s">
        <v>1196</v>
      </c>
      <c r="U107" t="s">
        <v>40</v>
      </c>
      <c r="V107" t="s">
        <v>5156</v>
      </c>
      <c r="W107" t="s">
        <v>40</v>
      </c>
      <c r="X107" t="s">
        <v>2136</v>
      </c>
      <c r="Y107" t="s">
        <v>93</v>
      </c>
      <c r="Z107" t="s">
        <v>1598</v>
      </c>
      <c r="AA107" t="s">
        <v>40</v>
      </c>
      <c r="AB107" t="s">
        <v>5157</v>
      </c>
      <c r="AC107" t="s">
        <v>316</v>
      </c>
      <c r="AD107" t="s">
        <v>5158</v>
      </c>
      <c r="AE107" t="s">
        <v>502</v>
      </c>
      <c r="AF107" t="s">
        <v>5159</v>
      </c>
      <c r="AG107" t="s">
        <v>40</v>
      </c>
      <c r="AH107" t="s">
        <v>5160</v>
      </c>
      <c r="AI107" t="s">
        <v>621</v>
      </c>
      <c r="AJ107" t="s">
        <v>5161</v>
      </c>
      <c r="AK107" t="s">
        <v>5162</v>
      </c>
      <c r="AL107" t="s">
        <v>5163</v>
      </c>
      <c r="AM107" t="s">
        <v>511</v>
      </c>
      <c r="AN107" t="s">
        <v>5164</v>
      </c>
      <c r="AO107" t="s">
        <v>825</v>
      </c>
      <c r="AP107" t="s">
        <v>5165</v>
      </c>
      <c r="AQ107" t="s">
        <v>41</v>
      </c>
      <c r="AR107" t="s">
        <v>3258</v>
      </c>
      <c r="AS107" t="s">
        <v>242</v>
      </c>
      <c r="AT107" t="s">
        <v>5166</v>
      </c>
      <c r="AU107" t="s">
        <v>5167</v>
      </c>
      <c r="AV107" t="s">
        <v>5168</v>
      </c>
      <c r="AW107" t="s">
        <v>247</v>
      </c>
      <c r="AX107" t="s">
        <v>5169</v>
      </c>
      <c r="AY107" t="s">
        <v>249</v>
      </c>
      <c r="AZ107" t="s">
        <v>5170</v>
      </c>
      <c r="BA107" t="s">
        <v>242</v>
      </c>
      <c r="BB107" t="s">
        <v>5171</v>
      </c>
      <c r="BC107" t="s">
        <v>257</v>
      </c>
      <c r="BD107" t="s">
        <v>5172</v>
      </c>
      <c r="BE107" t="s">
        <v>295</v>
      </c>
      <c r="BF107" t="s">
        <v>5173</v>
      </c>
      <c r="BG107" t="s">
        <v>261</v>
      </c>
      <c r="BH107" t="s">
        <v>5174</v>
      </c>
      <c r="BI107" t="s">
        <v>337</v>
      </c>
      <c r="BJ107" t="s">
        <v>5175</v>
      </c>
      <c r="BK107" t="s">
        <v>532</v>
      </c>
      <c r="BL107" t="s">
        <v>5176</v>
      </c>
      <c r="BM107" t="s">
        <v>454</v>
      </c>
      <c r="BN107" t="s">
        <v>5177</v>
      </c>
      <c r="BO107" t="s">
        <v>542</v>
      </c>
      <c r="BP107" t="s">
        <v>5178</v>
      </c>
      <c r="BQ107" t="s">
        <v>344</v>
      </c>
      <c r="BR107" t="s">
        <v>5179</v>
      </c>
      <c r="BS107" t="s">
        <v>365</v>
      </c>
      <c r="BT107" t="s">
        <v>4673</v>
      </c>
      <c r="BU107" t="s">
        <v>473</v>
      </c>
      <c r="BV107" t="s">
        <v>1369</v>
      </c>
      <c r="BW107" t="s">
        <v>779</v>
      </c>
      <c r="BX107" t="s">
        <v>5180</v>
      </c>
      <c r="BY107" t="s">
        <v>261</v>
      </c>
      <c r="BZ107" t="s">
        <v>5181</v>
      </c>
      <c r="CA107" t="s">
        <v>356</v>
      </c>
      <c r="CB107" t="s">
        <v>5182</v>
      </c>
      <c r="CC107" t="s">
        <v>285</v>
      </c>
      <c r="CD107" t="s">
        <v>5183</v>
      </c>
      <c r="CE107" t="s">
        <v>342</v>
      </c>
      <c r="CF107" t="s">
        <v>5184</v>
      </c>
      <c r="CG107" t="s">
        <v>424</v>
      </c>
      <c r="CH107" t="s">
        <v>1040</v>
      </c>
      <c r="CI107" t="s">
        <v>900</v>
      </c>
      <c r="CJ107" t="s">
        <v>5185</v>
      </c>
      <c r="CK107" t="s">
        <v>519</v>
      </c>
      <c r="CL107" t="s">
        <v>5186</v>
      </c>
      <c r="CM107" t="s">
        <v>401</v>
      </c>
      <c r="CN107" t="s">
        <v>3428</v>
      </c>
      <c r="CO107" t="s">
        <v>542</v>
      </c>
      <c r="CP107" t="s">
        <v>5187</v>
      </c>
      <c r="CQ107" t="s">
        <v>335</v>
      </c>
      <c r="CR107" t="s">
        <v>1037</v>
      </c>
      <c r="CS107" t="s">
        <v>268</v>
      </c>
      <c r="CT107" t="s">
        <v>5188</v>
      </c>
      <c r="CU107" t="s">
        <v>519</v>
      </c>
      <c r="CV107" t="s">
        <v>3375</v>
      </c>
      <c r="CW107" t="s">
        <v>268</v>
      </c>
      <c r="CX107" t="s">
        <v>5189</v>
      </c>
      <c r="CY107" t="s">
        <v>519</v>
      </c>
      <c r="CZ107" t="s">
        <v>5190</v>
      </c>
      <c r="DA107" t="s">
        <v>271</v>
      </c>
      <c r="DB107" t="s">
        <v>5191</v>
      </c>
      <c r="DC107" t="s">
        <v>242</v>
      </c>
      <c r="DD107" t="s">
        <v>5192</v>
      </c>
      <c r="DF107" t="s">
        <v>5193</v>
      </c>
      <c r="DG107" t="s">
        <v>242</v>
      </c>
      <c r="DH107" t="s">
        <v>5194</v>
      </c>
    </row>
    <row r="108" spans="1:112" x14ac:dyDescent="0.35">
      <c r="A108" t="s">
        <v>227</v>
      </c>
      <c r="B108" t="s">
        <v>5195</v>
      </c>
      <c r="C108" t="s">
        <v>229</v>
      </c>
      <c r="D108" t="s">
        <v>2265</v>
      </c>
      <c r="E108" t="s">
        <v>231</v>
      </c>
      <c r="F108" t="s">
        <v>5196</v>
      </c>
      <c r="G108" t="s">
        <v>40</v>
      </c>
      <c r="H108" t="s">
        <v>5197</v>
      </c>
      <c r="I108" t="s">
        <v>234</v>
      </c>
      <c r="J108" t="s">
        <v>4146</v>
      </c>
      <c r="L108" t="s">
        <v>5198</v>
      </c>
      <c r="M108" t="s">
        <v>15</v>
      </c>
      <c r="N108" t="s">
        <v>5199</v>
      </c>
      <c r="O108" t="s">
        <v>21</v>
      </c>
      <c r="P108" t="s">
        <v>5200</v>
      </c>
      <c r="Q108" t="s">
        <v>40</v>
      </c>
      <c r="R108" t="s">
        <v>5201</v>
      </c>
      <c r="S108" t="s">
        <v>310</v>
      </c>
      <c r="T108" t="s">
        <v>5202</v>
      </c>
      <c r="U108" t="s">
        <v>40</v>
      </c>
      <c r="V108" t="s">
        <v>5203</v>
      </c>
      <c r="W108" t="s">
        <v>40</v>
      </c>
      <c r="X108" t="s">
        <v>4339</v>
      </c>
      <c r="Y108" t="s">
        <v>5204</v>
      </c>
      <c r="Z108" t="s">
        <v>5205</v>
      </c>
      <c r="AA108" t="s">
        <v>40</v>
      </c>
      <c r="AB108" t="s">
        <v>5206</v>
      </c>
      <c r="AC108" t="s">
        <v>3377</v>
      </c>
      <c r="AD108" t="s">
        <v>1700</v>
      </c>
      <c r="AE108" t="s">
        <v>502</v>
      </c>
      <c r="AF108" t="s">
        <v>872</v>
      </c>
      <c r="AG108" t="s">
        <v>40</v>
      </c>
      <c r="AH108" t="s">
        <v>2148</v>
      </c>
      <c r="AI108" t="s">
        <v>621</v>
      </c>
      <c r="AJ108" t="s">
        <v>5207</v>
      </c>
      <c r="AK108" t="s">
        <v>5208</v>
      </c>
      <c r="AL108" t="s">
        <v>5209</v>
      </c>
      <c r="AM108" t="s">
        <v>295</v>
      </c>
      <c r="AN108" t="s">
        <v>2426</v>
      </c>
      <c r="AO108" t="s">
        <v>1760</v>
      </c>
      <c r="AP108" t="s">
        <v>5210</v>
      </c>
      <c r="AQ108" t="s">
        <v>41</v>
      </c>
      <c r="AR108" t="s">
        <v>1574</v>
      </c>
      <c r="AS108" t="s">
        <v>242</v>
      </c>
      <c r="AT108" t="s">
        <v>5211</v>
      </c>
      <c r="AU108" t="s">
        <v>2926</v>
      </c>
      <c r="AV108" t="s">
        <v>5212</v>
      </c>
      <c r="AW108" t="s">
        <v>247</v>
      </c>
      <c r="AX108" t="s">
        <v>5213</v>
      </c>
      <c r="AY108" t="s">
        <v>249</v>
      </c>
      <c r="AZ108" t="s">
        <v>3226</v>
      </c>
      <c r="BA108" t="s">
        <v>242</v>
      </c>
      <c r="BB108" t="s">
        <v>5214</v>
      </c>
      <c r="BC108" t="s">
        <v>344</v>
      </c>
      <c r="BD108" t="s">
        <v>5215</v>
      </c>
      <c r="BE108" t="s">
        <v>1128</v>
      </c>
      <c r="BF108" t="s">
        <v>5216</v>
      </c>
      <c r="BG108" t="s">
        <v>542</v>
      </c>
      <c r="BH108" t="s">
        <v>5217</v>
      </c>
      <c r="BI108" t="s">
        <v>454</v>
      </c>
      <c r="BJ108" t="s">
        <v>5218</v>
      </c>
      <c r="BK108" t="s">
        <v>532</v>
      </c>
      <c r="BL108" t="s">
        <v>5219</v>
      </c>
      <c r="BM108" t="s">
        <v>473</v>
      </c>
      <c r="BN108" t="s">
        <v>4016</v>
      </c>
      <c r="BO108" t="s">
        <v>542</v>
      </c>
      <c r="BP108" t="s">
        <v>3701</v>
      </c>
      <c r="BQ108" t="s">
        <v>532</v>
      </c>
      <c r="BR108" t="s">
        <v>3624</v>
      </c>
      <c r="BS108" t="s">
        <v>575</v>
      </c>
      <c r="BT108" t="s">
        <v>5220</v>
      </c>
      <c r="BU108" t="s">
        <v>371</v>
      </c>
      <c r="BV108" t="s">
        <v>5221</v>
      </c>
      <c r="BW108" t="s">
        <v>399</v>
      </c>
      <c r="BX108" t="s">
        <v>5222</v>
      </c>
      <c r="BY108" t="s">
        <v>467</v>
      </c>
      <c r="BZ108" t="s">
        <v>2500</v>
      </c>
      <c r="CA108" t="s">
        <v>401</v>
      </c>
      <c r="CB108" t="s">
        <v>3638</v>
      </c>
      <c r="CC108" t="s">
        <v>744</v>
      </c>
      <c r="CD108" t="s">
        <v>5223</v>
      </c>
      <c r="CE108" t="s">
        <v>287</v>
      </c>
      <c r="CF108" t="s">
        <v>5224</v>
      </c>
      <c r="CG108" t="s">
        <v>335</v>
      </c>
      <c r="CH108" t="s">
        <v>3133</v>
      </c>
      <c r="CI108" t="s">
        <v>752</v>
      </c>
      <c r="CJ108" t="s">
        <v>1121</v>
      </c>
      <c r="CK108" t="s">
        <v>397</v>
      </c>
      <c r="CL108" t="s">
        <v>5225</v>
      </c>
      <c r="CM108" t="s">
        <v>365</v>
      </c>
      <c r="CN108" t="s">
        <v>5226</v>
      </c>
      <c r="CO108" t="s">
        <v>365</v>
      </c>
      <c r="CP108" t="s">
        <v>1781</v>
      </c>
      <c r="CQ108" t="s">
        <v>401</v>
      </c>
      <c r="CR108" t="s">
        <v>5227</v>
      </c>
      <c r="CS108" t="s">
        <v>779</v>
      </c>
      <c r="CT108" t="s">
        <v>5228</v>
      </c>
      <c r="CU108" t="s">
        <v>371</v>
      </c>
      <c r="CV108" t="s">
        <v>5229</v>
      </c>
      <c r="CW108" t="s">
        <v>481</v>
      </c>
      <c r="CX108" t="s">
        <v>2782</v>
      </c>
      <c r="CY108" t="s">
        <v>289</v>
      </c>
      <c r="CZ108" t="s">
        <v>5230</v>
      </c>
      <c r="DA108" t="s">
        <v>271</v>
      </c>
      <c r="DB108" t="s">
        <v>5231</v>
      </c>
      <c r="DC108" t="s">
        <v>242</v>
      </c>
      <c r="DD108" t="s">
        <v>5232</v>
      </c>
      <c r="DF108" t="s">
        <v>5233</v>
      </c>
      <c r="DG108" t="s">
        <v>242</v>
      </c>
      <c r="DH108" t="s">
        <v>2117</v>
      </c>
    </row>
    <row r="109" spans="1:112" x14ac:dyDescent="0.35">
      <c r="A109" t="s">
        <v>227</v>
      </c>
      <c r="B109" t="s">
        <v>5234</v>
      </c>
      <c r="C109" t="s">
        <v>229</v>
      </c>
      <c r="D109" t="s">
        <v>2604</v>
      </c>
      <c r="E109" t="s">
        <v>231</v>
      </c>
      <c r="F109" t="s">
        <v>5235</v>
      </c>
      <c r="G109" t="s">
        <v>40</v>
      </c>
      <c r="H109" t="s">
        <v>1809</v>
      </c>
      <c r="I109" t="s">
        <v>234</v>
      </c>
      <c r="J109" t="s">
        <v>5236</v>
      </c>
      <c r="L109" t="s">
        <v>5237</v>
      </c>
      <c r="M109" t="s">
        <v>18</v>
      </c>
      <c r="N109" t="s">
        <v>5238</v>
      </c>
      <c r="O109" t="s">
        <v>21</v>
      </c>
      <c r="P109" t="s">
        <v>5239</v>
      </c>
      <c r="Q109" t="s">
        <v>40</v>
      </c>
      <c r="R109" t="s">
        <v>5240</v>
      </c>
      <c r="S109" t="s">
        <v>310</v>
      </c>
      <c r="T109" t="s">
        <v>5241</v>
      </c>
      <c r="U109" t="s">
        <v>40</v>
      </c>
      <c r="V109" t="s">
        <v>5242</v>
      </c>
      <c r="W109" t="s">
        <v>40</v>
      </c>
      <c r="X109" t="s">
        <v>5243</v>
      </c>
      <c r="Y109" t="s">
        <v>94</v>
      </c>
      <c r="Z109" t="s">
        <v>5244</v>
      </c>
      <c r="AA109" t="s">
        <v>40</v>
      </c>
      <c r="AB109" t="s">
        <v>5245</v>
      </c>
      <c r="AC109" t="s">
        <v>316</v>
      </c>
      <c r="AD109" t="s">
        <v>727</v>
      </c>
      <c r="AE109" t="s">
        <v>1996</v>
      </c>
      <c r="AF109" t="s">
        <v>5246</v>
      </c>
      <c r="AG109" t="s">
        <v>40</v>
      </c>
      <c r="AH109" t="s">
        <v>5247</v>
      </c>
      <c r="AI109" t="s">
        <v>1941</v>
      </c>
      <c r="AJ109" t="s">
        <v>5248</v>
      </c>
      <c r="AK109" t="s">
        <v>5249</v>
      </c>
      <c r="AL109" t="s">
        <v>5250</v>
      </c>
      <c r="AM109" t="s">
        <v>1074</v>
      </c>
      <c r="AN109" t="s">
        <v>753</v>
      </c>
      <c r="AO109" t="s">
        <v>1607</v>
      </c>
      <c r="AP109" t="s">
        <v>5251</v>
      </c>
      <c r="AQ109" t="s">
        <v>41</v>
      </c>
      <c r="AR109" t="s">
        <v>1870</v>
      </c>
      <c r="AS109" t="s">
        <v>242</v>
      </c>
      <c r="AT109" t="s">
        <v>1102</v>
      </c>
      <c r="AU109" t="s">
        <v>5252</v>
      </c>
      <c r="AV109" t="s">
        <v>5253</v>
      </c>
      <c r="AW109" t="s">
        <v>247</v>
      </c>
      <c r="AX109" t="s">
        <v>5254</v>
      </c>
      <c r="AY109" t="s">
        <v>249</v>
      </c>
      <c r="AZ109" t="s">
        <v>5255</v>
      </c>
      <c r="BA109" t="s">
        <v>242</v>
      </c>
      <c r="BB109" t="s">
        <v>5256</v>
      </c>
      <c r="BC109" t="s">
        <v>356</v>
      </c>
      <c r="BD109" t="s">
        <v>5257</v>
      </c>
      <c r="BE109" t="s">
        <v>454</v>
      </c>
      <c r="BF109" t="s">
        <v>5258</v>
      </c>
      <c r="BG109" t="s">
        <v>752</v>
      </c>
      <c r="BH109" t="s">
        <v>5259</v>
      </c>
      <c r="BI109" t="s">
        <v>473</v>
      </c>
      <c r="BJ109" t="s">
        <v>5260</v>
      </c>
      <c r="BK109" t="s">
        <v>356</v>
      </c>
      <c r="BL109" t="s">
        <v>5261</v>
      </c>
      <c r="BM109" t="s">
        <v>399</v>
      </c>
      <c r="BN109" t="s">
        <v>5262</v>
      </c>
      <c r="BO109" t="s">
        <v>595</v>
      </c>
      <c r="BP109" t="s">
        <v>5263</v>
      </c>
      <c r="BQ109" t="s">
        <v>408</v>
      </c>
      <c r="BR109" t="s">
        <v>5264</v>
      </c>
      <c r="BS109" t="s">
        <v>348</v>
      </c>
      <c r="BT109" t="s">
        <v>1674</v>
      </c>
      <c r="BU109" t="s">
        <v>469</v>
      </c>
      <c r="BV109" t="s">
        <v>5265</v>
      </c>
      <c r="BW109" t="s">
        <v>348</v>
      </c>
      <c r="BX109" t="s">
        <v>2660</v>
      </c>
      <c r="BY109" t="s">
        <v>291</v>
      </c>
      <c r="BZ109" t="s">
        <v>5266</v>
      </c>
      <c r="CA109" t="s">
        <v>585</v>
      </c>
      <c r="CB109" t="s">
        <v>5267</v>
      </c>
      <c r="CC109" t="s">
        <v>752</v>
      </c>
      <c r="CD109" t="s">
        <v>5268</v>
      </c>
      <c r="CE109" t="s">
        <v>583</v>
      </c>
      <c r="CF109" t="s">
        <v>5101</v>
      </c>
      <c r="CG109" t="s">
        <v>779</v>
      </c>
      <c r="CH109" t="s">
        <v>5269</v>
      </c>
      <c r="CI109" t="s">
        <v>664</v>
      </c>
      <c r="CJ109" t="s">
        <v>5270</v>
      </c>
      <c r="CK109" t="s">
        <v>528</v>
      </c>
      <c r="CL109" t="s">
        <v>5271</v>
      </c>
      <c r="CM109" t="s">
        <v>252</v>
      </c>
      <c r="CN109" t="s">
        <v>4612</v>
      </c>
      <c r="CO109" t="s">
        <v>595</v>
      </c>
      <c r="CP109" t="s">
        <v>5272</v>
      </c>
      <c r="CQ109" t="s">
        <v>351</v>
      </c>
      <c r="CR109" t="s">
        <v>5273</v>
      </c>
      <c r="CS109" t="s">
        <v>335</v>
      </c>
      <c r="CT109" t="s">
        <v>5274</v>
      </c>
      <c r="CU109" t="s">
        <v>664</v>
      </c>
      <c r="CV109" t="s">
        <v>5275</v>
      </c>
      <c r="CW109" t="s">
        <v>401</v>
      </c>
      <c r="CX109" t="s">
        <v>5276</v>
      </c>
      <c r="CY109" t="s">
        <v>367</v>
      </c>
      <c r="CZ109" t="s">
        <v>5277</v>
      </c>
      <c r="DA109" t="s">
        <v>424</v>
      </c>
      <c r="DB109" t="s">
        <v>5278</v>
      </c>
      <c r="DC109" t="s">
        <v>242</v>
      </c>
      <c r="DD109" t="s">
        <v>5279</v>
      </c>
      <c r="DF109" t="s">
        <v>5280</v>
      </c>
      <c r="DG109" t="s">
        <v>242</v>
      </c>
      <c r="DH109" t="s">
        <v>5281</v>
      </c>
    </row>
    <row r="110" spans="1:112" x14ac:dyDescent="0.35">
      <c r="A110" t="s">
        <v>227</v>
      </c>
      <c r="B110" t="s">
        <v>5282</v>
      </c>
      <c r="C110" t="s">
        <v>229</v>
      </c>
      <c r="D110" t="s">
        <v>5283</v>
      </c>
      <c r="E110" t="s">
        <v>231</v>
      </c>
      <c r="F110" t="s">
        <v>3621</v>
      </c>
      <c r="G110" t="s">
        <v>40</v>
      </c>
      <c r="H110" t="s">
        <v>5134</v>
      </c>
      <c r="I110" t="s">
        <v>234</v>
      </c>
      <c r="J110" t="s">
        <v>5284</v>
      </c>
      <c r="L110" t="s">
        <v>5285</v>
      </c>
      <c r="M110" t="s">
        <v>18</v>
      </c>
      <c r="N110" t="s">
        <v>5286</v>
      </c>
      <c r="O110" t="s">
        <v>21</v>
      </c>
      <c r="P110" t="s">
        <v>5287</v>
      </c>
      <c r="Q110" t="s">
        <v>40</v>
      </c>
      <c r="R110" t="s">
        <v>5288</v>
      </c>
      <c r="S110" t="s">
        <v>310</v>
      </c>
      <c r="T110" t="s">
        <v>5289</v>
      </c>
      <c r="U110" t="s">
        <v>39</v>
      </c>
      <c r="V110" t="s">
        <v>5290</v>
      </c>
      <c r="W110" t="s">
        <v>44</v>
      </c>
      <c r="X110" t="s">
        <v>5291</v>
      </c>
      <c r="Y110" t="s">
        <v>242</v>
      </c>
      <c r="Z110" t="s">
        <v>243</v>
      </c>
      <c r="AA110" t="s">
        <v>43</v>
      </c>
      <c r="AB110" t="s">
        <v>244</v>
      </c>
      <c r="AC110" t="s">
        <v>242</v>
      </c>
      <c r="AD110" t="s">
        <v>243</v>
      </c>
      <c r="AE110" t="s">
        <v>242</v>
      </c>
      <c r="AF110" t="s">
        <v>243</v>
      </c>
      <c r="AG110" t="s">
        <v>242</v>
      </c>
      <c r="AH110" t="s">
        <v>243</v>
      </c>
      <c r="AI110" t="s">
        <v>242</v>
      </c>
      <c r="AJ110" t="s">
        <v>243</v>
      </c>
      <c r="AK110" t="s">
        <v>242</v>
      </c>
      <c r="AL110" t="s">
        <v>243</v>
      </c>
      <c r="AM110" t="s">
        <v>823</v>
      </c>
      <c r="AN110" t="s">
        <v>244</v>
      </c>
      <c r="AO110" t="s">
        <v>1703</v>
      </c>
      <c r="AP110" t="s">
        <v>4086</v>
      </c>
      <c r="AQ110" t="s">
        <v>41</v>
      </c>
      <c r="AR110" t="s">
        <v>5292</v>
      </c>
      <c r="AS110" t="s">
        <v>242</v>
      </c>
      <c r="AT110" t="s">
        <v>2432</v>
      </c>
      <c r="AU110" t="s">
        <v>4029</v>
      </c>
      <c r="AV110" t="s">
        <v>5293</v>
      </c>
      <c r="AW110" t="s">
        <v>247</v>
      </c>
      <c r="AX110" t="s">
        <v>5294</v>
      </c>
      <c r="AY110" t="s">
        <v>249</v>
      </c>
      <c r="AZ110" t="s">
        <v>5295</v>
      </c>
      <c r="BA110" t="s">
        <v>242</v>
      </c>
      <c r="BB110" t="s">
        <v>5296</v>
      </c>
      <c r="BC110" t="s">
        <v>289</v>
      </c>
      <c r="BD110" t="s">
        <v>5297</v>
      </c>
      <c r="BE110" t="s">
        <v>295</v>
      </c>
      <c r="BF110" t="s">
        <v>5298</v>
      </c>
      <c r="BG110" t="s">
        <v>449</v>
      </c>
      <c r="BH110" t="s">
        <v>5299</v>
      </c>
      <c r="BI110" t="s">
        <v>295</v>
      </c>
      <c r="BJ110" t="s">
        <v>5300</v>
      </c>
      <c r="BK110" t="s">
        <v>532</v>
      </c>
      <c r="BL110" t="s">
        <v>5301</v>
      </c>
      <c r="BM110" t="s">
        <v>285</v>
      </c>
      <c r="BN110" t="s">
        <v>5302</v>
      </c>
      <c r="BO110" t="s">
        <v>575</v>
      </c>
      <c r="BP110" t="s">
        <v>5303</v>
      </c>
      <c r="BQ110" t="s">
        <v>291</v>
      </c>
      <c r="BR110" t="s">
        <v>5304</v>
      </c>
      <c r="BS110" t="s">
        <v>421</v>
      </c>
      <c r="BT110" t="s">
        <v>5305</v>
      </c>
      <c r="BU110" t="s">
        <v>779</v>
      </c>
      <c r="BV110" t="s">
        <v>5306</v>
      </c>
      <c r="BW110" t="s">
        <v>538</v>
      </c>
      <c r="BX110" t="s">
        <v>5307</v>
      </c>
      <c r="BY110" t="s">
        <v>519</v>
      </c>
      <c r="BZ110" t="s">
        <v>5308</v>
      </c>
      <c r="CA110" t="s">
        <v>698</v>
      </c>
      <c r="CB110" t="s">
        <v>5309</v>
      </c>
      <c r="CC110" t="s">
        <v>261</v>
      </c>
      <c r="CD110" t="s">
        <v>5310</v>
      </c>
      <c r="CE110" t="s">
        <v>289</v>
      </c>
      <c r="CF110" t="s">
        <v>5311</v>
      </c>
      <c r="CG110" t="s">
        <v>268</v>
      </c>
      <c r="CH110" t="s">
        <v>5312</v>
      </c>
      <c r="CI110" t="s">
        <v>257</v>
      </c>
      <c r="CJ110" t="s">
        <v>5313</v>
      </c>
      <c r="CK110" t="s">
        <v>257</v>
      </c>
      <c r="CL110" t="s">
        <v>5314</v>
      </c>
      <c r="CM110" t="s">
        <v>473</v>
      </c>
      <c r="CN110" t="s">
        <v>5315</v>
      </c>
      <c r="CO110" t="s">
        <v>271</v>
      </c>
      <c r="CP110" t="s">
        <v>5316</v>
      </c>
      <c r="CQ110" t="s">
        <v>575</v>
      </c>
      <c r="CR110" t="s">
        <v>5317</v>
      </c>
      <c r="CS110" t="s">
        <v>257</v>
      </c>
      <c r="CT110" t="s">
        <v>5318</v>
      </c>
      <c r="CU110" t="s">
        <v>858</v>
      </c>
      <c r="CV110" t="s">
        <v>5319</v>
      </c>
      <c r="CW110" t="s">
        <v>473</v>
      </c>
      <c r="CX110" t="s">
        <v>5320</v>
      </c>
      <c r="CY110" t="s">
        <v>271</v>
      </c>
      <c r="CZ110" t="s">
        <v>5321</v>
      </c>
      <c r="DA110" t="s">
        <v>257</v>
      </c>
      <c r="DB110" t="s">
        <v>5322</v>
      </c>
      <c r="DC110" t="s">
        <v>242</v>
      </c>
      <c r="DD110" t="s">
        <v>5323</v>
      </c>
      <c r="DF110" t="s">
        <v>2159</v>
      </c>
      <c r="DG110" t="s">
        <v>242</v>
      </c>
      <c r="DH110" t="s">
        <v>2032</v>
      </c>
    </row>
    <row r="111" spans="1:112" x14ac:dyDescent="0.35">
      <c r="A111" t="s">
        <v>227</v>
      </c>
      <c r="B111" t="s">
        <v>5324</v>
      </c>
      <c r="C111" t="s">
        <v>229</v>
      </c>
      <c r="D111" t="s">
        <v>5325</v>
      </c>
      <c r="E111" t="s">
        <v>231</v>
      </c>
      <c r="F111" t="s">
        <v>5326</v>
      </c>
      <c r="G111" t="s">
        <v>40</v>
      </c>
      <c r="H111" t="s">
        <v>5327</v>
      </c>
      <c r="I111" t="s">
        <v>234</v>
      </c>
      <c r="J111" t="s">
        <v>5328</v>
      </c>
      <c r="L111" t="s">
        <v>5329</v>
      </c>
      <c r="M111" t="s">
        <v>18</v>
      </c>
      <c r="N111" t="s">
        <v>5330</v>
      </c>
      <c r="O111" t="s">
        <v>21</v>
      </c>
      <c r="P111" t="s">
        <v>1286</v>
      </c>
      <c r="Q111" t="s">
        <v>40</v>
      </c>
      <c r="R111" t="s">
        <v>5331</v>
      </c>
      <c r="S111" t="s">
        <v>310</v>
      </c>
      <c r="T111" t="s">
        <v>5332</v>
      </c>
      <c r="U111" t="s">
        <v>40</v>
      </c>
      <c r="V111" t="s">
        <v>5333</v>
      </c>
      <c r="W111" t="s">
        <v>40</v>
      </c>
      <c r="X111" t="s">
        <v>1372</v>
      </c>
      <c r="Y111" t="s">
        <v>5334</v>
      </c>
      <c r="Z111" t="s">
        <v>5335</v>
      </c>
      <c r="AA111" t="s">
        <v>40</v>
      </c>
      <c r="AB111" t="s">
        <v>5336</v>
      </c>
      <c r="AC111" t="s">
        <v>3377</v>
      </c>
      <c r="AD111" t="s">
        <v>1219</v>
      </c>
      <c r="AE111" t="s">
        <v>318</v>
      </c>
      <c r="AF111" t="s">
        <v>5337</v>
      </c>
      <c r="AG111" t="s">
        <v>43</v>
      </c>
      <c r="AH111" t="s">
        <v>5337</v>
      </c>
      <c r="AI111" t="s">
        <v>321</v>
      </c>
      <c r="AJ111" t="s">
        <v>5338</v>
      </c>
      <c r="AK111" t="s">
        <v>5339</v>
      </c>
      <c r="AL111" t="s">
        <v>5340</v>
      </c>
      <c r="AM111" t="s">
        <v>2884</v>
      </c>
      <c r="AN111" t="s">
        <v>5341</v>
      </c>
      <c r="AO111" t="s">
        <v>5342</v>
      </c>
      <c r="AP111" t="s">
        <v>5343</v>
      </c>
      <c r="AQ111" t="s">
        <v>41</v>
      </c>
      <c r="AR111" t="s">
        <v>5344</v>
      </c>
      <c r="AS111" t="s">
        <v>242</v>
      </c>
      <c r="AT111" t="s">
        <v>5345</v>
      </c>
      <c r="AU111" t="s">
        <v>5346</v>
      </c>
      <c r="AV111" t="s">
        <v>5347</v>
      </c>
      <c r="AW111" t="s">
        <v>247</v>
      </c>
      <c r="AX111" t="s">
        <v>5348</v>
      </c>
      <c r="AY111" t="s">
        <v>249</v>
      </c>
      <c r="AZ111" t="s">
        <v>5349</v>
      </c>
      <c r="BA111" t="s">
        <v>242</v>
      </c>
      <c r="BB111" t="s">
        <v>5350</v>
      </c>
      <c r="BC111" t="s">
        <v>424</v>
      </c>
      <c r="BD111" t="s">
        <v>5351</v>
      </c>
      <c r="BE111" t="s">
        <v>266</v>
      </c>
      <c r="BF111" t="s">
        <v>5352</v>
      </c>
      <c r="BG111" t="s">
        <v>1142</v>
      </c>
      <c r="BH111" t="s">
        <v>5353</v>
      </c>
      <c r="BI111" t="s">
        <v>414</v>
      </c>
      <c r="BJ111" t="s">
        <v>5354</v>
      </c>
      <c r="BK111" t="s">
        <v>351</v>
      </c>
      <c r="BL111" t="s">
        <v>5355</v>
      </c>
      <c r="BM111" t="s">
        <v>575</v>
      </c>
      <c r="BN111" t="s">
        <v>5356</v>
      </c>
      <c r="BO111" t="s">
        <v>519</v>
      </c>
      <c r="BP111" t="s">
        <v>904</v>
      </c>
      <c r="BQ111" t="s">
        <v>424</v>
      </c>
      <c r="BR111" t="s">
        <v>5357</v>
      </c>
      <c r="BS111" t="s">
        <v>900</v>
      </c>
      <c r="BT111" t="s">
        <v>5358</v>
      </c>
      <c r="BU111" t="s">
        <v>779</v>
      </c>
      <c r="BV111" t="s">
        <v>5359</v>
      </c>
      <c r="BW111" t="s">
        <v>252</v>
      </c>
      <c r="BX111" t="s">
        <v>706</v>
      </c>
      <c r="BY111" t="s">
        <v>744</v>
      </c>
      <c r="BZ111" t="s">
        <v>1787</v>
      </c>
      <c r="CA111" t="s">
        <v>259</v>
      </c>
      <c r="CB111" t="s">
        <v>5360</v>
      </c>
      <c r="CC111" t="s">
        <v>365</v>
      </c>
      <c r="CD111" t="s">
        <v>1387</v>
      </c>
      <c r="CE111" t="s">
        <v>266</v>
      </c>
      <c r="CF111" t="s">
        <v>1589</v>
      </c>
      <c r="CG111" t="s">
        <v>287</v>
      </c>
      <c r="CH111" t="s">
        <v>5361</v>
      </c>
      <c r="CI111" t="s">
        <v>583</v>
      </c>
      <c r="CJ111" t="s">
        <v>1985</v>
      </c>
      <c r="CK111" t="s">
        <v>287</v>
      </c>
      <c r="CL111" t="s">
        <v>5362</v>
      </c>
      <c r="CM111" t="s">
        <v>259</v>
      </c>
      <c r="CN111" t="s">
        <v>5363</v>
      </c>
      <c r="CO111" t="s">
        <v>397</v>
      </c>
      <c r="CP111" t="s">
        <v>5364</v>
      </c>
      <c r="CQ111" t="s">
        <v>589</v>
      </c>
      <c r="CR111" t="s">
        <v>4340</v>
      </c>
      <c r="CS111" t="s">
        <v>351</v>
      </c>
      <c r="CT111" t="s">
        <v>5365</v>
      </c>
      <c r="CU111" t="s">
        <v>656</v>
      </c>
      <c r="CV111" t="s">
        <v>328</v>
      </c>
      <c r="CW111" t="s">
        <v>287</v>
      </c>
      <c r="CX111" t="s">
        <v>5366</v>
      </c>
      <c r="CY111" t="s">
        <v>342</v>
      </c>
      <c r="CZ111" t="s">
        <v>5367</v>
      </c>
      <c r="DA111" t="s">
        <v>538</v>
      </c>
      <c r="DB111" t="s">
        <v>5368</v>
      </c>
      <c r="DC111" t="s">
        <v>242</v>
      </c>
      <c r="DD111" t="s">
        <v>5369</v>
      </c>
      <c r="DF111" t="s">
        <v>1608</v>
      </c>
      <c r="DG111" t="s">
        <v>242</v>
      </c>
      <c r="DH111" t="s">
        <v>5370</v>
      </c>
    </row>
    <row r="112" spans="1:112" x14ac:dyDescent="0.35">
      <c r="A112" t="s">
        <v>227</v>
      </c>
      <c r="B112" t="s">
        <v>5371</v>
      </c>
      <c r="C112" t="s">
        <v>229</v>
      </c>
      <c r="D112" t="s">
        <v>2604</v>
      </c>
      <c r="E112" t="s">
        <v>231</v>
      </c>
      <c r="F112" t="s">
        <v>5372</v>
      </c>
      <c r="G112" t="s">
        <v>40</v>
      </c>
      <c r="H112" t="s">
        <v>5373</v>
      </c>
      <c r="I112" t="s">
        <v>234</v>
      </c>
      <c r="J112" t="s">
        <v>5374</v>
      </c>
      <c r="L112" t="s">
        <v>5375</v>
      </c>
      <c r="M112" t="s">
        <v>18</v>
      </c>
      <c r="N112" t="s">
        <v>5376</v>
      </c>
      <c r="O112" t="s">
        <v>21</v>
      </c>
      <c r="P112" t="s">
        <v>2447</v>
      </c>
      <c r="Q112" t="s">
        <v>40</v>
      </c>
      <c r="R112" t="s">
        <v>5377</v>
      </c>
      <c r="S112" t="s">
        <v>240</v>
      </c>
      <c r="T112" t="s">
        <v>1799</v>
      </c>
      <c r="U112" t="s">
        <v>242</v>
      </c>
      <c r="V112" t="s">
        <v>243</v>
      </c>
      <c r="W112" t="s">
        <v>242</v>
      </c>
      <c r="X112" t="s">
        <v>243</v>
      </c>
      <c r="Y112" t="s">
        <v>242</v>
      </c>
      <c r="Z112" t="s">
        <v>243</v>
      </c>
      <c r="AA112" t="s">
        <v>242</v>
      </c>
      <c r="AB112" t="s">
        <v>243</v>
      </c>
      <c r="AC112" t="s">
        <v>242</v>
      </c>
      <c r="AD112" t="s">
        <v>243</v>
      </c>
      <c r="AE112" t="s">
        <v>242</v>
      </c>
      <c r="AF112" t="s">
        <v>243</v>
      </c>
      <c r="AG112" t="s">
        <v>242</v>
      </c>
      <c r="AH112" t="s">
        <v>243</v>
      </c>
      <c r="AI112" t="s">
        <v>242</v>
      </c>
      <c r="AJ112" t="s">
        <v>243</v>
      </c>
      <c r="AK112" t="s">
        <v>242</v>
      </c>
      <c r="AL112" t="s">
        <v>243</v>
      </c>
      <c r="AM112" t="s">
        <v>242</v>
      </c>
      <c r="AN112" t="s">
        <v>243</v>
      </c>
      <c r="AO112" t="s">
        <v>242</v>
      </c>
      <c r="AP112" t="s">
        <v>243</v>
      </c>
      <c r="AQ112" t="s">
        <v>242</v>
      </c>
      <c r="AR112" t="s">
        <v>243</v>
      </c>
      <c r="AS112" t="s">
        <v>242</v>
      </c>
      <c r="AT112" t="s">
        <v>244</v>
      </c>
      <c r="AU112" t="s">
        <v>5378</v>
      </c>
      <c r="AV112" t="s">
        <v>5379</v>
      </c>
      <c r="AW112" t="s">
        <v>247</v>
      </c>
      <c r="AX112" t="s">
        <v>5380</v>
      </c>
      <c r="AY112" t="s">
        <v>249</v>
      </c>
      <c r="AZ112" t="s">
        <v>5381</v>
      </c>
      <c r="BA112" t="s">
        <v>242</v>
      </c>
      <c r="BB112" t="s">
        <v>5382</v>
      </c>
      <c r="BC112" t="s">
        <v>295</v>
      </c>
      <c r="BD112" t="s">
        <v>5383</v>
      </c>
      <c r="BE112" t="s">
        <v>295</v>
      </c>
      <c r="BF112" t="s">
        <v>4280</v>
      </c>
      <c r="BG112" t="s">
        <v>295</v>
      </c>
      <c r="BH112" t="s">
        <v>5384</v>
      </c>
      <c r="BI112" t="s">
        <v>295</v>
      </c>
      <c r="BJ112" t="s">
        <v>5385</v>
      </c>
      <c r="BK112" t="s">
        <v>295</v>
      </c>
      <c r="BL112" t="s">
        <v>5386</v>
      </c>
      <c r="BM112" t="s">
        <v>295</v>
      </c>
      <c r="BN112" t="s">
        <v>5387</v>
      </c>
      <c r="BO112" t="s">
        <v>295</v>
      </c>
      <c r="BP112" t="s">
        <v>5388</v>
      </c>
      <c r="BQ112" t="s">
        <v>295</v>
      </c>
      <c r="BR112" t="s">
        <v>5389</v>
      </c>
      <c r="BS112" t="s">
        <v>295</v>
      </c>
      <c r="BT112" t="s">
        <v>2569</v>
      </c>
      <c r="BU112" t="s">
        <v>295</v>
      </c>
      <c r="BV112" t="s">
        <v>5390</v>
      </c>
      <c r="BW112" t="s">
        <v>295</v>
      </c>
      <c r="BX112" t="s">
        <v>5391</v>
      </c>
      <c r="BY112" t="s">
        <v>295</v>
      </c>
      <c r="BZ112" t="s">
        <v>5392</v>
      </c>
      <c r="CA112" t="s">
        <v>295</v>
      </c>
      <c r="CB112" t="s">
        <v>2681</v>
      </c>
      <c r="CC112" t="s">
        <v>295</v>
      </c>
      <c r="CD112" t="s">
        <v>5393</v>
      </c>
      <c r="CE112" t="s">
        <v>295</v>
      </c>
      <c r="CF112" t="s">
        <v>5394</v>
      </c>
      <c r="CG112" t="s">
        <v>295</v>
      </c>
      <c r="CH112" t="s">
        <v>2683</v>
      </c>
      <c r="CI112" t="s">
        <v>295</v>
      </c>
      <c r="CJ112" t="s">
        <v>5395</v>
      </c>
      <c r="CK112" t="s">
        <v>295</v>
      </c>
      <c r="CL112" t="s">
        <v>5396</v>
      </c>
      <c r="CM112" t="s">
        <v>295</v>
      </c>
      <c r="CN112" t="s">
        <v>5397</v>
      </c>
      <c r="CO112" t="s">
        <v>295</v>
      </c>
      <c r="CP112" t="s">
        <v>1107</v>
      </c>
      <c r="CQ112" t="s">
        <v>295</v>
      </c>
      <c r="CR112" t="s">
        <v>5398</v>
      </c>
      <c r="CS112" t="s">
        <v>295</v>
      </c>
      <c r="CT112" t="s">
        <v>5399</v>
      </c>
      <c r="CU112" t="s">
        <v>295</v>
      </c>
      <c r="CV112" t="s">
        <v>3711</v>
      </c>
      <c r="CW112" t="s">
        <v>295</v>
      </c>
      <c r="CX112" t="s">
        <v>5400</v>
      </c>
      <c r="CY112" t="s">
        <v>295</v>
      </c>
      <c r="CZ112" t="s">
        <v>5401</v>
      </c>
      <c r="DA112" t="s">
        <v>295</v>
      </c>
      <c r="DB112" t="s">
        <v>5402</v>
      </c>
      <c r="DC112" t="s">
        <v>242</v>
      </c>
      <c r="DD112" t="s">
        <v>5403</v>
      </c>
      <c r="DF112" t="s">
        <v>5404</v>
      </c>
      <c r="DG112" t="s">
        <v>242</v>
      </c>
      <c r="DH112" t="s">
        <v>3267</v>
      </c>
    </row>
    <row r="113" spans="1:112" x14ac:dyDescent="0.35">
      <c r="A113" t="s">
        <v>227</v>
      </c>
      <c r="B113" t="s">
        <v>5405</v>
      </c>
      <c r="C113" t="s">
        <v>229</v>
      </c>
      <c r="D113" t="s">
        <v>3773</v>
      </c>
      <c r="E113" t="s">
        <v>231</v>
      </c>
      <c r="F113" t="s">
        <v>5406</v>
      </c>
      <c r="G113" t="s">
        <v>40</v>
      </c>
      <c r="H113" t="s">
        <v>5407</v>
      </c>
      <c r="I113" t="s">
        <v>234</v>
      </c>
      <c r="J113" t="s">
        <v>5408</v>
      </c>
      <c r="L113" t="s">
        <v>5409</v>
      </c>
      <c r="M113" t="s">
        <v>18</v>
      </c>
      <c r="N113" t="s">
        <v>5410</v>
      </c>
      <c r="O113" t="s">
        <v>21</v>
      </c>
      <c r="P113" t="s">
        <v>3770</v>
      </c>
      <c r="Q113" t="s">
        <v>40</v>
      </c>
      <c r="R113" t="s">
        <v>304</v>
      </c>
      <c r="S113" t="s">
        <v>310</v>
      </c>
      <c r="T113" t="s">
        <v>1068</v>
      </c>
      <c r="U113" t="s">
        <v>40</v>
      </c>
      <c r="V113" t="s">
        <v>5411</v>
      </c>
      <c r="W113" t="s">
        <v>40</v>
      </c>
      <c r="X113" t="s">
        <v>4825</v>
      </c>
      <c r="Y113" t="s">
        <v>95</v>
      </c>
      <c r="Z113" t="s">
        <v>5412</v>
      </c>
      <c r="AA113" t="s">
        <v>40</v>
      </c>
      <c r="AB113" t="s">
        <v>5413</v>
      </c>
      <c r="AC113" t="s">
        <v>316</v>
      </c>
      <c r="AD113" t="s">
        <v>366</v>
      </c>
      <c r="AE113" t="s">
        <v>502</v>
      </c>
      <c r="AF113" t="s">
        <v>4606</v>
      </c>
      <c r="AG113" t="s">
        <v>40</v>
      </c>
      <c r="AH113" t="s">
        <v>5101</v>
      </c>
      <c r="AI113" t="s">
        <v>2479</v>
      </c>
      <c r="AJ113" t="s">
        <v>5414</v>
      </c>
      <c r="AK113" t="s">
        <v>5415</v>
      </c>
      <c r="AL113" t="s">
        <v>5416</v>
      </c>
      <c r="AM113" t="s">
        <v>5417</v>
      </c>
      <c r="AN113" t="s">
        <v>5418</v>
      </c>
      <c r="AO113" t="s">
        <v>4254</v>
      </c>
      <c r="AP113" t="s">
        <v>4002</v>
      </c>
      <c r="AQ113" t="s">
        <v>41</v>
      </c>
      <c r="AR113" t="s">
        <v>5419</v>
      </c>
      <c r="AS113" t="s">
        <v>242</v>
      </c>
      <c r="AT113" t="s">
        <v>5420</v>
      </c>
      <c r="AU113" t="s">
        <v>4629</v>
      </c>
      <c r="AV113" t="s">
        <v>5421</v>
      </c>
      <c r="AW113" t="s">
        <v>247</v>
      </c>
      <c r="AX113" t="s">
        <v>5422</v>
      </c>
      <c r="AY113" t="s">
        <v>249</v>
      </c>
      <c r="AZ113" t="s">
        <v>5423</v>
      </c>
      <c r="BA113" t="s">
        <v>242</v>
      </c>
      <c r="BB113" t="s">
        <v>5424</v>
      </c>
      <c r="BC113" t="s">
        <v>575</v>
      </c>
      <c r="BD113" t="s">
        <v>5425</v>
      </c>
      <c r="BE113" t="s">
        <v>295</v>
      </c>
      <c r="BF113" t="s">
        <v>4547</v>
      </c>
      <c r="BG113" t="s">
        <v>397</v>
      </c>
      <c r="BH113" t="s">
        <v>5426</v>
      </c>
      <c r="BI113" t="s">
        <v>731</v>
      </c>
      <c r="BJ113" t="s">
        <v>5427</v>
      </c>
      <c r="BK113" t="s">
        <v>900</v>
      </c>
      <c r="BL113" t="s">
        <v>5428</v>
      </c>
      <c r="BM113" t="s">
        <v>281</v>
      </c>
      <c r="BN113" t="s">
        <v>5429</v>
      </c>
      <c r="BO113" t="s">
        <v>397</v>
      </c>
      <c r="BP113" t="s">
        <v>5430</v>
      </c>
      <c r="BQ113" t="s">
        <v>395</v>
      </c>
      <c r="BR113" t="s">
        <v>5431</v>
      </c>
      <c r="BS113" t="s">
        <v>397</v>
      </c>
      <c r="BT113" t="s">
        <v>5432</v>
      </c>
      <c r="BU113" t="s">
        <v>473</v>
      </c>
      <c r="BV113" t="s">
        <v>2238</v>
      </c>
      <c r="BW113" t="s">
        <v>401</v>
      </c>
      <c r="BX113" t="s">
        <v>5433</v>
      </c>
      <c r="BY113" t="s">
        <v>858</v>
      </c>
      <c r="BZ113" t="s">
        <v>5143</v>
      </c>
      <c r="CA113" t="s">
        <v>752</v>
      </c>
      <c r="CB113" t="s">
        <v>5434</v>
      </c>
      <c r="CC113" t="s">
        <v>268</v>
      </c>
      <c r="CD113" t="s">
        <v>5435</v>
      </c>
      <c r="CE113" t="s">
        <v>348</v>
      </c>
      <c r="CF113" t="s">
        <v>5436</v>
      </c>
      <c r="CG113" t="s">
        <v>532</v>
      </c>
      <c r="CH113" t="s">
        <v>5437</v>
      </c>
      <c r="CI113" t="s">
        <v>252</v>
      </c>
      <c r="CJ113" t="s">
        <v>5438</v>
      </c>
      <c r="CK113" t="s">
        <v>575</v>
      </c>
      <c r="CL113" t="s">
        <v>2763</v>
      </c>
      <c r="CM113" t="s">
        <v>335</v>
      </c>
      <c r="CN113" t="s">
        <v>5439</v>
      </c>
      <c r="CO113" t="s">
        <v>271</v>
      </c>
      <c r="CP113" t="s">
        <v>5440</v>
      </c>
      <c r="CQ113" t="s">
        <v>414</v>
      </c>
      <c r="CR113" t="s">
        <v>5441</v>
      </c>
      <c r="CS113" t="s">
        <v>358</v>
      </c>
      <c r="CT113" t="s">
        <v>5442</v>
      </c>
      <c r="CU113" t="s">
        <v>469</v>
      </c>
      <c r="CV113" t="s">
        <v>5443</v>
      </c>
      <c r="CW113" t="s">
        <v>261</v>
      </c>
      <c r="CX113" t="s">
        <v>5444</v>
      </c>
      <c r="CY113" t="s">
        <v>427</v>
      </c>
      <c r="CZ113" t="s">
        <v>785</v>
      </c>
      <c r="DA113" t="s">
        <v>271</v>
      </c>
      <c r="DB113" t="s">
        <v>4654</v>
      </c>
      <c r="DC113" t="s">
        <v>242</v>
      </c>
      <c r="DD113" t="s">
        <v>5445</v>
      </c>
      <c r="DF113" t="s">
        <v>5446</v>
      </c>
      <c r="DG113" t="s">
        <v>242</v>
      </c>
      <c r="DH113" t="s">
        <v>5447</v>
      </c>
    </row>
    <row r="114" spans="1:112" x14ac:dyDescent="0.35">
      <c r="A114" t="s">
        <v>227</v>
      </c>
      <c r="B114" t="s">
        <v>5448</v>
      </c>
      <c r="C114" t="s">
        <v>229</v>
      </c>
      <c r="D114" t="s">
        <v>681</v>
      </c>
      <c r="E114" t="s">
        <v>231</v>
      </c>
      <c r="F114" t="s">
        <v>5449</v>
      </c>
      <c r="G114" t="s">
        <v>40</v>
      </c>
      <c r="H114" t="s">
        <v>5450</v>
      </c>
      <c r="I114" t="s">
        <v>234</v>
      </c>
      <c r="J114" t="s">
        <v>5451</v>
      </c>
      <c r="L114" t="s">
        <v>5452</v>
      </c>
      <c r="M114" t="s">
        <v>15</v>
      </c>
      <c r="N114" t="s">
        <v>2046</v>
      </c>
      <c r="O114" t="s">
        <v>19</v>
      </c>
      <c r="P114" t="s">
        <v>5453</v>
      </c>
      <c r="Q114" t="s">
        <v>40</v>
      </c>
      <c r="R114" t="s">
        <v>5454</v>
      </c>
      <c r="S114" t="s">
        <v>240</v>
      </c>
      <c r="T114" t="s">
        <v>5455</v>
      </c>
      <c r="U114" t="s">
        <v>242</v>
      </c>
      <c r="V114" t="s">
        <v>243</v>
      </c>
      <c r="W114" t="s">
        <v>242</v>
      </c>
      <c r="X114" t="s">
        <v>243</v>
      </c>
      <c r="Y114" t="s">
        <v>242</v>
      </c>
      <c r="Z114" t="s">
        <v>243</v>
      </c>
      <c r="AA114" t="s">
        <v>242</v>
      </c>
      <c r="AB114" t="s">
        <v>243</v>
      </c>
      <c r="AC114" t="s">
        <v>242</v>
      </c>
      <c r="AD114" t="s">
        <v>243</v>
      </c>
      <c r="AE114" t="s">
        <v>242</v>
      </c>
      <c r="AF114" t="s">
        <v>243</v>
      </c>
      <c r="AG114" t="s">
        <v>242</v>
      </c>
      <c r="AH114" t="s">
        <v>243</v>
      </c>
      <c r="AI114" t="s">
        <v>242</v>
      </c>
      <c r="AJ114" t="s">
        <v>243</v>
      </c>
      <c r="AK114" t="s">
        <v>242</v>
      </c>
      <c r="AL114" t="s">
        <v>243</v>
      </c>
      <c r="AM114" t="s">
        <v>242</v>
      </c>
      <c r="AN114" t="s">
        <v>243</v>
      </c>
      <c r="AO114" t="s">
        <v>242</v>
      </c>
      <c r="AP114" t="s">
        <v>243</v>
      </c>
      <c r="AQ114" t="s">
        <v>242</v>
      </c>
      <c r="AR114" t="s">
        <v>243</v>
      </c>
      <c r="AS114" t="s">
        <v>242</v>
      </c>
      <c r="AT114" t="s">
        <v>244</v>
      </c>
      <c r="AU114" t="s">
        <v>5456</v>
      </c>
      <c r="AV114" t="s">
        <v>5457</v>
      </c>
      <c r="AW114" t="s">
        <v>247</v>
      </c>
      <c r="AX114" t="s">
        <v>5458</v>
      </c>
      <c r="AY114" t="s">
        <v>249</v>
      </c>
      <c r="AZ114" t="s">
        <v>5459</v>
      </c>
      <c r="BA114" t="s">
        <v>242</v>
      </c>
      <c r="BB114" t="s">
        <v>5460</v>
      </c>
      <c r="BC114" t="s">
        <v>752</v>
      </c>
      <c r="BD114" t="s">
        <v>5461</v>
      </c>
      <c r="BE114" t="s">
        <v>454</v>
      </c>
      <c r="BF114" t="s">
        <v>1659</v>
      </c>
      <c r="BG114" t="s">
        <v>252</v>
      </c>
      <c r="BH114" t="s">
        <v>5462</v>
      </c>
      <c r="BI114" t="s">
        <v>344</v>
      </c>
      <c r="BJ114" t="s">
        <v>5463</v>
      </c>
      <c r="BK114" t="s">
        <v>351</v>
      </c>
      <c r="BL114" t="s">
        <v>5464</v>
      </c>
      <c r="BM114" t="s">
        <v>449</v>
      </c>
      <c r="BN114" t="s">
        <v>5465</v>
      </c>
      <c r="BO114" t="s">
        <v>356</v>
      </c>
      <c r="BP114" t="s">
        <v>5466</v>
      </c>
      <c r="BQ114" t="s">
        <v>291</v>
      </c>
      <c r="BR114" t="s">
        <v>5467</v>
      </c>
      <c r="BS114" t="s">
        <v>416</v>
      </c>
      <c r="BT114" t="s">
        <v>618</v>
      </c>
      <c r="BU114" t="s">
        <v>519</v>
      </c>
      <c r="BV114" t="s">
        <v>1782</v>
      </c>
      <c r="BW114" t="s">
        <v>528</v>
      </c>
      <c r="BX114" t="s">
        <v>5468</v>
      </c>
      <c r="BY114" t="s">
        <v>393</v>
      </c>
      <c r="BZ114" t="s">
        <v>5469</v>
      </c>
      <c r="CA114" t="s">
        <v>589</v>
      </c>
      <c r="CB114" t="s">
        <v>3962</v>
      </c>
      <c r="CC114" t="s">
        <v>858</v>
      </c>
      <c r="CD114" t="s">
        <v>4984</v>
      </c>
      <c r="CE114" t="s">
        <v>401</v>
      </c>
      <c r="CF114" t="s">
        <v>5470</v>
      </c>
      <c r="CG114" t="s">
        <v>473</v>
      </c>
      <c r="CH114" t="s">
        <v>5471</v>
      </c>
      <c r="CI114" t="s">
        <v>752</v>
      </c>
      <c r="CJ114" t="s">
        <v>5472</v>
      </c>
      <c r="CK114" t="s">
        <v>473</v>
      </c>
      <c r="CL114" t="s">
        <v>5473</v>
      </c>
      <c r="CM114" t="s">
        <v>287</v>
      </c>
      <c r="CN114" t="s">
        <v>5474</v>
      </c>
      <c r="CO114" t="s">
        <v>369</v>
      </c>
      <c r="CP114" t="s">
        <v>5475</v>
      </c>
      <c r="CQ114" t="s">
        <v>538</v>
      </c>
      <c r="CR114" t="s">
        <v>4412</v>
      </c>
      <c r="CS114" t="s">
        <v>467</v>
      </c>
      <c r="CT114" t="s">
        <v>5476</v>
      </c>
      <c r="CU114" t="s">
        <v>779</v>
      </c>
      <c r="CV114" t="s">
        <v>817</v>
      </c>
      <c r="CW114" t="s">
        <v>575</v>
      </c>
      <c r="CX114" t="s">
        <v>5477</v>
      </c>
      <c r="CY114" t="s">
        <v>532</v>
      </c>
      <c r="CZ114" t="s">
        <v>5478</v>
      </c>
      <c r="DA114" t="s">
        <v>698</v>
      </c>
      <c r="DB114" t="s">
        <v>3475</v>
      </c>
      <c r="DC114" t="s">
        <v>242</v>
      </c>
      <c r="DD114" t="s">
        <v>5479</v>
      </c>
      <c r="DF114" t="s">
        <v>5480</v>
      </c>
      <c r="DG114" t="s">
        <v>242</v>
      </c>
      <c r="DH114" t="s">
        <v>5481</v>
      </c>
    </row>
    <row r="115" spans="1:112" x14ac:dyDescent="0.35">
      <c r="A115" t="s">
        <v>227</v>
      </c>
      <c r="B115" t="s">
        <v>5482</v>
      </c>
      <c r="C115" t="s">
        <v>229</v>
      </c>
      <c r="D115" t="s">
        <v>5483</v>
      </c>
      <c r="E115" t="s">
        <v>231</v>
      </c>
      <c r="F115" t="s">
        <v>5484</v>
      </c>
      <c r="G115" t="s">
        <v>40</v>
      </c>
      <c r="H115" t="s">
        <v>2859</v>
      </c>
      <c r="I115" t="s">
        <v>234</v>
      </c>
      <c r="J115" t="s">
        <v>5485</v>
      </c>
      <c r="L115" t="s">
        <v>5486</v>
      </c>
      <c r="M115" t="s">
        <v>18</v>
      </c>
      <c r="N115" t="s">
        <v>5487</v>
      </c>
      <c r="O115" t="s">
        <v>21</v>
      </c>
      <c r="P115" t="s">
        <v>1375</v>
      </c>
      <c r="Q115" t="s">
        <v>40</v>
      </c>
      <c r="R115" t="s">
        <v>5488</v>
      </c>
      <c r="S115" t="s">
        <v>310</v>
      </c>
      <c r="T115" t="s">
        <v>5489</v>
      </c>
      <c r="U115" t="s">
        <v>40</v>
      </c>
      <c r="V115" t="s">
        <v>4866</v>
      </c>
      <c r="W115" t="s">
        <v>40</v>
      </c>
      <c r="X115" t="s">
        <v>5490</v>
      </c>
      <c r="Y115" t="s">
        <v>5491</v>
      </c>
      <c r="Z115" t="s">
        <v>5492</v>
      </c>
      <c r="AA115" t="s">
        <v>40</v>
      </c>
      <c r="AB115" t="s">
        <v>2443</v>
      </c>
      <c r="AC115" t="s">
        <v>316</v>
      </c>
      <c r="AD115" t="s">
        <v>5493</v>
      </c>
      <c r="AE115" t="s">
        <v>502</v>
      </c>
      <c r="AF115" t="s">
        <v>3808</v>
      </c>
      <c r="AG115" t="s">
        <v>43</v>
      </c>
      <c r="AH115" t="s">
        <v>471</v>
      </c>
      <c r="AI115" t="s">
        <v>2479</v>
      </c>
      <c r="AJ115" t="s">
        <v>2316</v>
      </c>
      <c r="AK115" t="s">
        <v>5494</v>
      </c>
      <c r="AL115" t="s">
        <v>5495</v>
      </c>
      <c r="AM115" t="s">
        <v>5496</v>
      </c>
      <c r="AN115" t="s">
        <v>5497</v>
      </c>
      <c r="AO115" t="s">
        <v>0</v>
      </c>
      <c r="AP115" t="s">
        <v>5498</v>
      </c>
      <c r="AQ115" t="s">
        <v>41</v>
      </c>
      <c r="AR115" t="s">
        <v>5499</v>
      </c>
      <c r="AS115" t="s">
        <v>242</v>
      </c>
      <c r="AT115" t="s">
        <v>3792</v>
      </c>
      <c r="AU115" t="s">
        <v>5500</v>
      </c>
      <c r="AV115" t="s">
        <v>5501</v>
      </c>
      <c r="AW115" t="s">
        <v>247</v>
      </c>
      <c r="AX115" t="s">
        <v>5502</v>
      </c>
      <c r="AY115" t="s">
        <v>249</v>
      </c>
      <c r="AZ115" t="s">
        <v>5503</v>
      </c>
      <c r="BA115" t="s">
        <v>242</v>
      </c>
      <c r="BB115" t="s">
        <v>5504</v>
      </c>
      <c r="BC115" t="s">
        <v>659</v>
      </c>
      <c r="BD115" t="s">
        <v>5505</v>
      </c>
      <c r="BE115" t="s">
        <v>779</v>
      </c>
      <c r="BF115" t="s">
        <v>5506</v>
      </c>
      <c r="BG115" t="s">
        <v>276</v>
      </c>
      <c r="BH115" t="s">
        <v>5507</v>
      </c>
      <c r="BI115" t="s">
        <v>744</v>
      </c>
      <c r="BJ115" t="s">
        <v>5508</v>
      </c>
      <c r="BK115" t="s">
        <v>335</v>
      </c>
      <c r="BL115" t="s">
        <v>5509</v>
      </c>
      <c r="BM115" t="s">
        <v>744</v>
      </c>
      <c r="BN115" t="s">
        <v>2985</v>
      </c>
      <c r="BO115" t="s">
        <v>360</v>
      </c>
      <c r="BP115" t="s">
        <v>5510</v>
      </c>
      <c r="BQ115" t="s">
        <v>365</v>
      </c>
      <c r="BR115" t="s">
        <v>4222</v>
      </c>
      <c r="BS115" t="s">
        <v>416</v>
      </c>
      <c r="BT115" t="s">
        <v>5511</v>
      </c>
      <c r="BU115" t="s">
        <v>900</v>
      </c>
      <c r="BV115" t="s">
        <v>5512</v>
      </c>
      <c r="BW115" t="s">
        <v>252</v>
      </c>
      <c r="BX115" t="s">
        <v>5513</v>
      </c>
      <c r="BY115" t="s">
        <v>421</v>
      </c>
      <c r="BZ115" t="s">
        <v>3734</v>
      </c>
      <c r="CA115" t="s">
        <v>779</v>
      </c>
      <c r="CB115" t="s">
        <v>5514</v>
      </c>
      <c r="CC115" t="s">
        <v>744</v>
      </c>
      <c r="CD115" t="s">
        <v>5515</v>
      </c>
      <c r="CE115" t="s">
        <v>519</v>
      </c>
      <c r="CF115" t="s">
        <v>5516</v>
      </c>
      <c r="CG115" t="s">
        <v>393</v>
      </c>
      <c r="CH115" t="s">
        <v>5517</v>
      </c>
      <c r="CI115" t="s">
        <v>360</v>
      </c>
      <c r="CJ115" t="s">
        <v>5518</v>
      </c>
      <c r="CK115" t="s">
        <v>779</v>
      </c>
      <c r="CL115" t="s">
        <v>5519</v>
      </c>
      <c r="CM115" t="s">
        <v>342</v>
      </c>
      <c r="CN115" t="s">
        <v>5520</v>
      </c>
      <c r="CO115" t="s">
        <v>335</v>
      </c>
      <c r="CP115" t="s">
        <v>5521</v>
      </c>
      <c r="CQ115" t="s">
        <v>365</v>
      </c>
      <c r="CR115" t="s">
        <v>5522</v>
      </c>
      <c r="CS115" t="s">
        <v>744</v>
      </c>
      <c r="CT115" t="s">
        <v>5523</v>
      </c>
      <c r="CU115" t="s">
        <v>427</v>
      </c>
      <c r="CV115" t="s">
        <v>5524</v>
      </c>
      <c r="CW115" t="s">
        <v>427</v>
      </c>
      <c r="CX115" t="s">
        <v>5525</v>
      </c>
      <c r="CY115" t="s">
        <v>532</v>
      </c>
      <c r="CZ115" t="s">
        <v>5526</v>
      </c>
      <c r="DA115" t="s">
        <v>467</v>
      </c>
      <c r="DB115" t="s">
        <v>5527</v>
      </c>
      <c r="DC115" t="s">
        <v>242</v>
      </c>
      <c r="DD115" t="s">
        <v>5528</v>
      </c>
      <c r="DF115" t="s">
        <v>5529</v>
      </c>
      <c r="DG115" t="s">
        <v>242</v>
      </c>
      <c r="DH115" t="s">
        <v>5530</v>
      </c>
    </row>
    <row r="116" spans="1:112" x14ac:dyDescent="0.35">
      <c r="A116" t="s">
        <v>227</v>
      </c>
      <c r="B116" t="s">
        <v>5531</v>
      </c>
      <c r="C116" t="s">
        <v>229</v>
      </c>
      <c r="D116" t="s">
        <v>5532</v>
      </c>
      <c r="E116" t="s">
        <v>231</v>
      </c>
      <c r="F116" t="s">
        <v>5533</v>
      </c>
      <c r="G116" t="s">
        <v>40</v>
      </c>
      <c r="H116" t="s">
        <v>5534</v>
      </c>
      <c r="I116" t="s">
        <v>234</v>
      </c>
      <c r="J116" t="s">
        <v>5535</v>
      </c>
      <c r="L116" t="s">
        <v>5536</v>
      </c>
      <c r="M116" t="s">
        <v>18</v>
      </c>
      <c r="N116" t="s">
        <v>4901</v>
      </c>
      <c r="O116" t="s">
        <v>21</v>
      </c>
      <c r="P116" t="s">
        <v>5537</v>
      </c>
      <c r="Q116" t="s">
        <v>40</v>
      </c>
      <c r="R116" t="s">
        <v>4650</v>
      </c>
      <c r="S116" t="s">
        <v>310</v>
      </c>
      <c r="T116" t="s">
        <v>5538</v>
      </c>
      <c r="U116" t="s">
        <v>40</v>
      </c>
      <c r="V116" t="s">
        <v>5539</v>
      </c>
      <c r="W116" t="s">
        <v>40</v>
      </c>
      <c r="X116" t="s">
        <v>5540</v>
      </c>
      <c r="Y116" t="s">
        <v>5541</v>
      </c>
      <c r="Z116" t="s">
        <v>5542</v>
      </c>
      <c r="AA116" t="s">
        <v>43</v>
      </c>
      <c r="AB116" t="s">
        <v>5543</v>
      </c>
      <c r="AC116" t="s">
        <v>242</v>
      </c>
      <c r="AD116" t="s">
        <v>243</v>
      </c>
      <c r="AE116" t="s">
        <v>242</v>
      </c>
      <c r="AF116" t="s">
        <v>243</v>
      </c>
      <c r="AG116" t="s">
        <v>242</v>
      </c>
      <c r="AH116" t="s">
        <v>243</v>
      </c>
      <c r="AI116" t="s">
        <v>242</v>
      </c>
      <c r="AJ116" t="s">
        <v>243</v>
      </c>
      <c r="AK116" t="s">
        <v>242</v>
      </c>
      <c r="AL116" t="s">
        <v>243</v>
      </c>
      <c r="AM116" t="s">
        <v>5544</v>
      </c>
      <c r="AN116" t="s">
        <v>244</v>
      </c>
      <c r="AO116" t="s">
        <v>825</v>
      </c>
      <c r="AP116" t="s">
        <v>5545</v>
      </c>
      <c r="AQ116" t="s">
        <v>41</v>
      </c>
      <c r="AR116" t="s">
        <v>5546</v>
      </c>
      <c r="AS116" t="s">
        <v>242</v>
      </c>
      <c r="AT116" t="s">
        <v>5547</v>
      </c>
      <c r="AU116" t="s">
        <v>330</v>
      </c>
      <c r="AV116" t="s">
        <v>5548</v>
      </c>
      <c r="AW116" t="s">
        <v>247</v>
      </c>
      <c r="AX116" t="s">
        <v>5549</v>
      </c>
      <c r="AY116" t="s">
        <v>1172</v>
      </c>
      <c r="AZ116" t="s">
        <v>5550</v>
      </c>
      <c r="BA116" t="s">
        <v>242</v>
      </c>
      <c r="BB116" t="s">
        <v>5551</v>
      </c>
      <c r="BC116" t="s">
        <v>295</v>
      </c>
      <c r="BD116" t="s">
        <v>5552</v>
      </c>
      <c r="BE116" t="s">
        <v>243</v>
      </c>
      <c r="BF116" t="s">
        <v>5553</v>
      </c>
      <c r="BG116" t="s">
        <v>295</v>
      </c>
      <c r="BH116" t="s">
        <v>5554</v>
      </c>
      <c r="BI116" t="s">
        <v>243</v>
      </c>
      <c r="BJ116" t="s">
        <v>4938</v>
      </c>
      <c r="BK116" t="s">
        <v>519</v>
      </c>
      <c r="BL116" t="s">
        <v>5555</v>
      </c>
      <c r="BM116" t="s">
        <v>295</v>
      </c>
      <c r="BN116" t="s">
        <v>5556</v>
      </c>
      <c r="BO116" t="s">
        <v>519</v>
      </c>
      <c r="BP116" t="s">
        <v>5557</v>
      </c>
      <c r="BQ116" t="s">
        <v>243</v>
      </c>
      <c r="BR116" t="s">
        <v>3826</v>
      </c>
      <c r="BS116" t="s">
        <v>519</v>
      </c>
      <c r="BT116" t="s">
        <v>1703</v>
      </c>
      <c r="BU116" t="s">
        <v>295</v>
      </c>
      <c r="BV116" t="s">
        <v>5558</v>
      </c>
      <c r="BW116" t="s">
        <v>519</v>
      </c>
      <c r="BX116" t="s">
        <v>5559</v>
      </c>
      <c r="BY116" t="s">
        <v>295</v>
      </c>
      <c r="BZ116" t="s">
        <v>5560</v>
      </c>
      <c r="CA116" t="s">
        <v>519</v>
      </c>
      <c r="CB116" t="s">
        <v>5561</v>
      </c>
      <c r="CC116" t="s">
        <v>243</v>
      </c>
      <c r="CD116" t="s">
        <v>5562</v>
      </c>
      <c r="CE116" t="s">
        <v>519</v>
      </c>
      <c r="CF116" t="s">
        <v>5563</v>
      </c>
      <c r="CG116" t="s">
        <v>295</v>
      </c>
      <c r="CH116" t="s">
        <v>5564</v>
      </c>
      <c r="CI116" t="s">
        <v>519</v>
      </c>
      <c r="CJ116" t="s">
        <v>617</v>
      </c>
      <c r="CK116" t="s">
        <v>243</v>
      </c>
      <c r="CL116" t="s">
        <v>5565</v>
      </c>
      <c r="CM116" t="s">
        <v>519</v>
      </c>
      <c r="CN116" t="s">
        <v>5566</v>
      </c>
      <c r="CO116" t="s">
        <v>243</v>
      </c>
      <c r="CP116" t="s">
        <v>5567</v>
      </c>
      <c r="CQ116" t="s">
        <v>519</v>
      </c>
      <c r="CR116" t="s">
        <v>5568</v>
      </c>
      <c r="CS116" t="s">
        <v>295</v>
      </c>
      <c r="CT116" t="s">
        <v>5569</v>
      </c>
      <c r="CU116" t="s">
        <v>295</v>
      </c>
      <c r="CV116" t="s">
        <v>5570</v>
      </c>
      <c r="CW116" t="s">
        <v>295</v>
      </c>
      <c r="CX116" t="s">
        <v>5571</v>
      </c>
      <c r="CY116" t="s">
        <v>295</v>
      </c>
      <c r="CZ116" t="s">
        <v>5572</v>
      </c>
      <c r="DA116" t="s">
        <v>295</v>
      </c>
      <c r="DB116" t="s">
        <v>5573</v>
      </c>
      <c r="DC116" t="s">
        <v>242</v>
      </c>
      <c r="DD116" t="s">
        <v>5574</v>
      </c>
      <c r="DF116" t="s">
        <v>5575</v>
      </c>
      <c r="DG116" t="s">
        <v>242</v>
      </c>
      <c r="DH116" t="s">
        <v>5576</v>
      </c>
    </row>
    <row r="117" spans="1:112" x14ac:dyDescent="0.35">
      <c r="A117" t="s">
        <v>227</v>
      </c>
      <c r="B117" t="s">
        <v>5577</v>
      </c>
      <c r="C117" t="s">
        <v>229</v>
      </c>
      <c r="D117" t="s">
        <v>5578</v>
      </c>
      <c r="E117" t="s">
        <v>231</v>
      </c>
      <c r="F117" t="s">
        <v>5579</v>
      </c>
      <c r="G117" t="s">
        <v>40</v>
      </c>
      <c r="H117" t="s">
        <v>5580</v>
      </c>
      <c r="I117" t="s">
        <v>234</v>
      </c>
      <c r="J117" t="s">
        <v>5581</v>
      </c>
      <c r="L117" t="s">
        <v>5582</v>
      </c>
      <c r="M117" t="s">
        <v>15</v>
      </c>
      <c r="N117" t="s">
        <v>5583</v>
      </c>
      <c r="O117" t="s">
        <v>21</v>
      </c>
      <c r="P117" t="s">
        <v>5584</v>
      </c>
      <c r="Q117" t="s">
        <v>40</v>
      </c>
      <c r="R117" t="s">
        <v>5585</v>
      </c>
      <c r="S117" t="s">
        <v>310</v>
      </c>
      <c r="T117" t="s">
        <v>5586</v>
      </c>
      <c r="U117" t="s">
        <v>40</v>
      </c>
      <c r="V117" t="s">
        <v>2121</v>
      </c>
      <c r="W117" t="s">
        <v>40</v>
      </c>
      <c r="X117" t="s">
        <v>5587</v>
      </c>
      <c r="Y117" t="s">
        <v>5588</v>
      </c>
      <c r="Z117" t="s">
        <v>5589</v>
      </c>
      <c r="AA117" t="s">
        <v>40</v>
      </c>
      <c r="AB117" t="s">
        <v>5590</v>
      </c>
      <c r="AC117" t="s">
        <v>316</v>
      </c>
      <c r="AD117" t="s">
        <v>5591</v>
      </c>
      <c r="AE117" t="s">
        <v>1996</v>
      </c>
      <c r="AF117" t="s">
        <v>5592</v>
      </c>
      <c r="AG117" t="s">
        <v>40</v>
      </c>
      <c r="AH117" t="s">
        <v>5593</v>
      </c>
      <c r="AI117" t="s">
        <v>321</v>
      </c>
      <c r="AJ117" t="s">
        <v>5594</v>
      </c>
      <c r="AK117" t="s">
        <v>5494</v>
      </c>
      <c r="AL117" t="s">
        <v>5595</v>
      </c>
      <c r="AM117" t="s">
        <v>823</v>
      </c>
      <c r="AN117" t="s">
        <v>5596</v>
      </c>
      <c r="AO117" t="s">
        <v>5597</v>
      </c>
      <c r="AP117" t="s">
        <v>5598</v>
      </c>
      <c r="AQ117" t="s">
        <v>41</v>
      </c>
      <c r="AR117" t="s">
        <v>1831</v>
      </c>
      <c r="AS117" t="s">
        <v>242</v>
      </c>
      <c r="AT117" t="s">
        <v>1486</v>
      </c>
      <c r="AU117" t="s">
        <v>1213</v>
      </c>
      <c r="AV117" t="s">
        <v>5599</v>
      </c>
      <c r="AW117" t="s">
        <v>247</v>
      </c>
      <c r="AX117" t="s">
        <v>5600</v>
      </c>
      <c r="AY117" t="s">
        <v>249</v>
      </c>
      <c r="AZ117" t="s">
        <v>5601</v>
      </c>
      <c r="BA117" t="s">
        <v>242</v>
      </c>
      <c r="BB117" t="s">
        <v>5602</v>
      </c>
      <c r="BC117" t="s">
        <v>688</v>
      </c>
      <c r="BD117" t="s">
        <v>5603</v>
      </c>
      <c r="BE117" t="s">
        <v>731</v>
      </c>
      <c r="BF117" t="s">
        <v>5604</v>
      </c>
      <c r="BG117" t="s">
        <v>344</v>
      </c>
      <c r="BH117" t="s">
        <v>5605</v>
      </c>
      <c r="BI117" t="s">
        <v>369</v>
      </c>
      <c r="BJ117" t="s">
        <v>3381</v>
      </c>
      <c r="BK117" t="s">
        <v>281</v>
      </c>
      <c r="BL117" t="s">
        <v>5606</v>
      </c>
      <c r="BM117" t="s">
        <v>449</v>
      </c>
      <c r="BN117" t="s">
        <v>4548</v>
      </c>
      <c r="BO117" t="s">
        <v>467</v>
      </c>
      <c r="BP117" t="s">
        <v>5607</v>
      </c>
      <c r="BQ117" t="s">
        <v>481</v>
      </c>
      <c r="BR117" t="s">
        <v>499</v>
      </c>
      <c r="BS117" t="s">
        <v>449</v>
      </c>
      <c r="BT117" t="s">
        <v>5608</v>
      </c>
      <c r="BU117" t="s">
        <v>542</v>
      </c>
      <c r="BV117" t="s">
        <v>5609</v>
      </c>
      <c r="BW117" t="s">
        <v>291</v>
      </c>
      <c r="BX117" t="s">
        <v>5610</v>
      </c>
      <c r="BY117" t="s">
        <v>371</v>
      </c>
      <c r="BZ117" t="s">
        <v>5611</v>
      </c>
      <c r="CA117" t="s">
        <v>519</v>
      </c>
      <c r="CB117" t="s">
        <v>5612</v>
      </c>
      <c r="CC117" t="s">
        <v>414</v>
      </c>
      <c r="CD117" t="s">
        <v>361</v>
      </c>
      <c r="CE117" t="s">
        <v>519</v>
      </c>
      <c r="CF117" t="s">
        <v>5613</v>
      </c>
      <c r="CG117" t="s">
        <v>779</v>
      </c>
      <c r="CH117" t="s">
        <v>5614</v>
      </c>
      <c r="CI117" t="s">
        <v>538</v>
      </c>
      <c r="CJ117" t="s">
        <v>5615</v>
      </c>
      <c r="CK117" t="s">
        <v>365</v>
      </c>
      <c r="CL117" t="s">
        <v>5616</v>
      </c>
      <c r="CM117" t="s">
        <v>414</v>
      </c>
      <c r="CN117" t="s">
        <v>5617</v>
      </c>
      <c r="CO117" t="s">
        <v>393</v>
      </c>
      <c r="CP117" t="s">
        <v>5618</v>
      </c>
      <c r="CQ117" t="s">
        <v>467</v>
      </c>
      <c r="CR117" t="s">
        <v>5619</v>
      </c>
      <c r="CS117" t="s">
        <v>481</v>
      </c>
      <c r="CT117" t="s">
        <v>5620</v>
      </c>
      <c r="CU117" t="s">
        <v>2277</v>
      </c>
      <c r="CV117" t="s">
        <v>5621</v>
      </c>
      <c r="CW117" t="s">
        <v>295</v>
      </c>
      <c r="CX117" t="s">
        <v>5622</v>
      </c>
      <c r="CY117" t="s">
        <v>1128</v>
      </c>
      <c r="CZ117" t="s">
        <v>5623</v>
      </c>
      <c r="DA117" t="s">
        <v>1360</v>
      </c>
      <c r="DB117" t="s">
        <v>5624</v>
      </c>
      <c r="DC117" t="s">
        <v>242</v>
      </c>
      <c r="DD117" t="s">
        <v>5330</v>
      </c>
      <c r="DF117" t="s">
        <v>4222</v>
      </c>
      <c r="DG117" t="s">
        <v>242</v>
      </c>
      <c r="DH117" t="s">
        <v>5625</v>
      </c>
    </row>
    <row r="118" spans="1:112" x14ac:dyDescent="0.35">
      <c r="A118" t="s">
        <v>227</v>
      </c>
      <c r="B118" t="s">
        <v>5626</v>
      </c>
      <c r="C118" t="s">
        <v>229</v>
      </c>
      <c r="D118" t="s">
        <v>5242</v>
      </c>
      <c r="E118" t="s">
        <v>231</v>
      </c>
      <c r="F118" t="s">
        <v>5627</v>
      </c>
      <c r="G118" t="s">
        <v>40</v>
      </c>
      <c r="H118" t="s">
        <v>5628</v>
      </c>
      <c r="I118" t="s">
        <v>234</v>
      </c>
      <c r="J118" t="s">
        <v>5629</v>
      </c>
      <c r="L118" t="s">
        <v>5630</v>
      </c>
      <c r="M118" t="s">
        <v>18</v>
      </c>
      <c r="N118" t="s">
        <v>2724</v>
      </c>
      <c r="O118" t="s">
        <v>21</v>
      </c>
      <c r="P118" t="s">
        <v>5367</v>
      </c>
      <c r="Q118" t="s">
        <v>40</v>
      </c>
      <c r="R118" t="s">
        <v>5631</v>
      </c>
      <c r="S118" t="s">
        <v>310</v>
      </c>
      <c r="T118" t="s">
        <v>4714</v>
      </c>
      <c r="U118" t="s">
        <v>40</v>
      </c>
      <c r="V118" t="s">
        <v>5632</v>
      </c>
      <c r="W118" t="s">
        <v>40</v>
      </c>
      <c r="X118" t="s">
        <v>5633</v>
      </c>
      <c r="Y118" t="s">
        <v>96</v>
      </c>
      <c r="Z118" t="s">
        <v>5634</v>
      </c>
      <c r="AA118" t="s">
        <v>40</v>
      </c>
      <c r="AB118" t="s">
        <v>5635</v>
      </c>
      <c r="AC118" t="s">
        <v>316</v>
      </c>
      <c r="AD118" t="s">
        <v>5636</v>
      </c>
      <c r="AE118" t="s">
        <v>502</v>
      </c>
      <c r="AF118" t="s">
        <v>5637</v>
      </c>
      <c r="AG118" t="s">
        <v>40</v>
      </c>
      <c r="AH118" t="s">
        <v>5638</v>
      </c>
      <c r="AI118" t="s">
        <v>621</v>
      </c>
      <c r="AJ118" t="s">
        <v>5639</v>
      </c>
      <c r="AK118" t="s">
        <v>5640</v>
      </c>
      <c r="AL118" t="s">
        <v>5641</v>
      </c>
      <c r="AM118" t="s">
        <v>5642</v>
      </c>
      <c r="AN118" t="s">
        <v>5643</v>
      </c>
      <c r="AO118" t="s">
        <v>5644</v>
      </c>
      <c r="AP118" t="s">
        <v>5645</v>
      </c>
      <c r="AQ118" t="s">
        <v>41</v>
      </c>
      <c r="AR118" t="s">
        <v>5646</v>
      </c>
      <c r="AS118" t="s">
        <v>242</v>
      </c>
      <c r="AT118" t="s">
        <v>5647</v>
      </c>
      <c r="AU118" t="s">
        <v>330</v>
      </c>
      <c r="AV118" t="s">
        <v>5648</v>
      </c>
      <c r="AW118" t="s">
        <v>247</v>
      </c>
      <c r="AX118" t="s">
        <v>5649</v>
      </c>
      <c r="AY118" t="s">
        <v>249</v>
      </c>
      <c r="AZ118" t="s">
        <v>5650</v>
      </c>
      <c r="BA118" t="s">
        <v>242</v>
      </c>
      <c r="BB118" t="s">
        <v>5651</v>
      </c>
      <c r="BC118" t="s">
        <v>399</v>
      </c>
      <c r="BD118" t="s">
        <v>5652</v>
      </c>
      <c r="BE118" t="s">
        <v>473</v>
      </c>
      <c r="BF118" t="s">
        <v>5653</v>
      </c>
      <c r="BG118" t="s">
        <v>287</v>
      </c>
      <c r="BH118" t="s">
        <v>5654</v>
      </c>
      <c r="BI118" t="s">
        <v>408</v>
      </c>
      <c r="BJ118" t="s">
        <v>4590</v>
      </c>
      <c r="BK118" t="s">
        <v>356</v>
      </c>
      <c r="BL118" t="s">
        <v>5655</v>
      </c>
      <c r="BM118" t="s">
        <v>393</v>
      </c>
      <c r="BN118" t="s">
        <v>5656</v>
      </c>
      <c r="BO118" t="s">
        <v>348</v>
      </c>
      <c r="BP118" t="s">
        <v>5657</v>
      </c>
      <c r="BQ118" t="s">
        <v>424</v>
      </c>
      <c r="BR118" t="s">
        <v>5658</v>
      </c>
      <c r="BS118" t="s">
        <v>397</v>
      </c>
      <c r="BT118" t="s">
        <v>5659</v>
      </c>
      <c r="BU118" t="s">
        <v>469</v>
      </c>
      <c r="BV118" t="s">
        <v>2324</v>
      </c>
      <c r="BW118" t="s">
        <v>900</v>
      </c>
      <c r="BX118" t="s">
        <v>4912</v>
      </c>
      <c r="BY118" t="s">
        <v>360</v>
      </c>
      <c r="BZ118" t="s">
        <v>5660</v>
      </c>
      <c r="CA118" t="s">
        <v>266</v>
      </c>
      <c r="CB118" t="s">
        <v>1474</v>
      </c>
      <c r="CC118" t="s">
        <v>397</v>
      </c>
      <c r="CD118" t="s">
        <v>5661</v>
      </c>
      <c r="CE118" t="s">
        <v>348</v>
      </c>
      <c r="CF118" t="s">
        <v>5662</v>
      </c>
      <c r="CG118" t="s">
        <v>401</v>
      </c>
      <c r="CH118" t="s">
        <v>5663</v>
      </c>
      <c r="CI118" t="s">
        <v>421</v>
      </c>
      <c r="CJ118" t="s">
        <v>5664</v>
      </c>
      <c r="CK118" t="s">
        <v>744</v>
      </c>
      <c r="CL118" t="s">
        <v>5665</v>
      </c>
      <c r="CM118" t="s">
        <v>356</v>
      </c>
      <c r="CN118" t="s">
        <v>5666</v>
      </c>
      <c r="CO118" t="s">
        <v>414</v>
      </c>
      <c r="CP118" t="s">
        <v>5667</v>
      </c>
      <c r="CQ118" t="s">
        <v>287</v>
      </c>
      <c r="CR118" t="s">
        <v>5668</v>
      </c>
      <c r="CS118" t="s">
        <v>779</v>
      </c>
      <c r="CT118" t="s">
        <v>5669</v>
      </c>
      <c r="CU118" t="s">
        <v>335</v>
      </c>
      <c r="CV118" t="s">
        <v>5670</v>
      </c>
      <c r="CW118" t="s">
        <v>424</v>
      </c>
      <c r="CX118" t="s">
        <v>2569</v>
      </c>
      <c r="CY118" t="s">
        <v>424</v>
      </c>
      <c r="CZ118" t="s">
        <v>5671</v>
      </c>
      <c r="DA118" t="s">
        <v>532</v>
      </c>
      <c r="DB118" t="s">
        <v>4022</v>
      </c>
      <c r="DC118" t="s">
        <v>242</v>
      </c>
      <c r="DD118" t="s">
        <v>5672</v>
      </c>
      <c r="DF118" t="s">
        <v>5673</v>
      </c>
      <c r="DG118" t="s">
        <v>242</v>
      </c>
      <c r="DH118" t="s">
        <v>5674</v>
      </c>
    </row>
    <row r="119" spans="1:112" x14ac:dyDescent="0.35">
      <c r="A119" t="s">
        <v>227</v>
      </c>
      <c r="B119" t="s">
        <v>5675</v>
      </c>
      <c r="C119" t="s">
        <v>229</v>
      </c>
      <c r="D119" t="s">
        <v>5676</v>
      </c>
      <c r="E119" t="s">
        <v>231</v>
      </c>
      <c r="F119" t="s">
        <v>5677</v>
      </c>
      <c r="G119" t="s">
        <v>40</v>
      </c>
      <c r="H119" t="s">
        <v>720</v>
      </c>
      <c r="I119" t="s">
        <v>234</v>
      </c>
      <c r="J119" t="s">
        <v>2376</v>
      </c>
      <c r="L119" t="s">
        <v>5678</v>
      </c>
      <c r="M119" t="s">
        <v>18</v>
      </c>
      <c r="N119" t="s">
        <v>5679</v>
      </c>
      <c r="O119" t="s">
        <v>21</v>
      </c>
      <c r="P119" t="s">
        <v>5680</v>
      </c>
      <c r="Q119" t="s">
        <v>40</v>
      </c>
      <c r="R119" t="s">
        <v>4540</v>
      </c>
      <c r="S119" t="s">
        <v>310</v>
      </c>
      <c r="T119" t="s">
        <v>5681</v>
      </c>
      <c r="U119" t="s">
        <v>40</v>
      </c>
      <c r="V119" t="s">
        <v>5682</v>
      </c>
      <c r="W119" t="s">
        <v>44</v>
      </c>
      <c r="X119" t="s">
        <v>5532</v>
      </c>
      <c r="Y119" t="s">
        <v>242</v>
      </c>
      <c r="Z119" t="s">
        <v>243</v>
      </c>
      <c r="AA119" t="s">
        <v>40</v>
      </c>
      <c r="AB119" t="s">
        <v>244</v>
      </c>
      <c r="AC119" t="s">
        <v>316</v>
      </c>
      <c r="AD119" t="s">
        <v>2543</v>
      </c>
      <c r="AE119" t="s">
        <v>502</v>
      </c>
      <c r="AF119" t="s">
        <v>5683</v>
      </c>
      <c r="AG119" t="s">
        <v>40</v>
      </c>
      <c r="AH119" t="s">
        <v>5684</v>
      </c>
      <c r="AI119" t="s">
        <v>621</v>
      </c>
      <c r="AJ119" t="s">
        <v>5685</v>
      </c>
      <c r="AK119" t="s">
        <v>5686</v>
      </c>
      <c r="AL119" t="s">
        <v>5687</v>
      </c>
      <c r="AM119" t="s">
        <v>5688</v>
      </c>
      <c r="AN119" t="s">
        <v>5689</v>
      </c>
      <c r="AO119" t="s">
        <v>1760</v>
      </c>
      <c r="AP119" t="s">
        <v>5690</v>
      </c>
      <c r="AQ119" t="s">
        <v>41</v>
      </c>
      <c r="AR119" t="s">
        <v>5691</v>
      </c>
      <c r="AS119" t="s">
        <v>242</v>
      </c>
      <c r="AT119" t="s">
        <v>5692</v>
      </c>
      <c r="AU119" t="s">
        <v>5693</v>
      </c>
      <c r="AV119" t="s">
        <v>5694</v>
      </c>
      <c r="AW119" t="s">
        <v>247</v>
      </c>
      <c r="AX119" t="s">
        <v>5695</v>
      </c>
      <c r="AY119" t="s">
        <v>1172</v>
      </c>
      <c r="AZ119" t="s">
        <v>5696</v>
      </c>
      <c r="BA119" t="s">
        <v>242</v>
      </c>
      <c r="BB119" t="s">
        <v>5697</v>
      </c>
      <c r="BC119" t="s">
        <v>1128</v>
      </c>
      <c r="BD119" t="s">
        <v>5698</v>
      </c>
      <c r="BE119" t="s">
        <v>295</v>
      </c>
      <c r="BF119" t="s">
        <v>5699</v>
      </c>
      <c r="BG119" t="s">
        <v>369</v>
      </c>
      <c r="BH119" t="s">
        <v>5700</v>
      </c>
      <c r="BI119" t="s">
        <v>476</v>
      </c>
      <c r="BJ119" t="s">
        <v>5701</v>
      </c>
      <c r="BK119" t="s">
        <v>285</v>
      </c>
      <c r="BL119" t="s">
        <v>5702</v>
      </c>
      <c r="BM119" t="s">
        <v>274</v>
      </c>
      <c r="BN119" t="s">
        <v>5703</v>
      </c>
      <c r="BO119" t="s">
        <v>542</v>
      </c>
      <c r="BP119" t="s">
        <v>5704</v>
      </c>
      <c r="BQ119" t="s">
        <v>261</v>
      </c>
      <c r="BR119" t="s">
        <v>5705</v>
      </c>
      <c r="BS119" t="s">
        <v>360</v>
      </c>
      <c r="BT119" t="s">
        <v>1154</v>
      </c>
      <c r="BU119" t="s">
        <v>399</v>
      </c>
      <c r="BV119" t="s">
        <v>5706</v>
      </c>
      <c r="BW119" t="s">
        <v>356</v>
      </c>
      <c r="BX119" t="s">
        <v>5707</v>
      </c>
      <c r="BY119" t="s">
        <v>538</v>
      </c>
      <c r="BZ119" t="s">
        <v>5708</v>
      </c>
      <c r="CA119" t="s">
        <v>421</v>
      </c>
      <c r="CB119" t="s">
        <v>5709</v>
      </c>
      <c r="CC119" t="s">
        <v>365</v>
      </c>
      <c r="CD119" t="s">
        <v>5710</v>
      </c>
      <c r="CE119" t="s">
        <v>287</v>
      </c>
      <c r="CF119" t="s">
        <v>5711</v>
      </c>
      <c r="CG119" t="s">
        <v>408</v>
      </c>
      <c r="CH119" t="s">
        <v>1426</v>
      </c>
      <c r="CI119" t="s">
        <v>752</v>
      </c>
      <c r="CJ119" t="s">
        <v>5712</v>
      </c>
      <c r="CK119" t="s">
        <v>291</v>
      </c>
      <c r="CL119" t="s">
        <v>3451</v>
      </c>
      <c r="CM119" t="s">
        <v>360</v>
      </c>
      <c r="CN119" t="s">
        <v>5713</v>
      </c>
      <c r="CO119" t="s">
        <v>424</v>
      </c>
      <c r="CP119" t="s">
        <v>1315</v>
      </c>
      <c r="CQ119" t="s">
        <v>414</v>
      </c>
      <c r="CR119" t="s">
        <v>5714</v>
      </c>
      <c r="CS119" t="s">
        <v>271</v>
      </c>
      <c r="CT119" t="s">
        <v>5715</v>
      </c>
      <c r="CU119" t="s">
        <v>542</v>
      </c>
      <c r="CV119" t="s">
        <v>5716</v>
      </c>
      <c r="CW119" t="s">
        <v>429</v>
      </c>
      <c r="CX119" t="s">
        <v>5717</v>
      </c>
      <c r="CY119" t="s">
        <v>575</v>
      </c>
      <c r="CZ119" t="s">
        <v>797</v>
      </c>
      <c r="DA119" t="s">
        <v>268</v>
      </c>
      <c r="DB119" t="s">
        <v>3462</v>
      </c>
      <c r="DC119" t="s">
        <v>242</v>
      </c>
      <c r="DD119" t="s">
        <v>290</v>
      </c>
      <c r="DF119" t="s">
        <v>5112</v>
      </c>
      <c r="DG119" t="s">
        <v>242</v>
      </c>
      <c r="DH119" t="s">
        <v>5718</v>
      </c>
    </row>
    <row r="120" spans="1:112" x14ac:dyDescent="0.35">
      <c r="A120" t="s">
        <v>227</v>
      </c>
      <c r="B120" t="s">
        <v>5719</v>
      </c>
      <c r="C120" t="s">
        <v>229</v>
      </c>
      <c r="D120" t="s">
        <v>5720</v>
      </c>
      <c r="E120" t="s">
        <v>231</v>
      </c>
      <c r="F120" t="s">
        <v>5721</v>
      </c>
      <c r="G120" t="s">
        <v>40</v>
      </c>
      <c r="H120" t="s">
        <v>5722</v>
      </c>
      <c r="I120" t="s">
        <v>234</v>
      </c>
      <c r="J120" t="s">
        <v>5723</v>
      </c>
      <c r="L120" t="s">
        <v>5724</v>
      </c>
      <c r="M120" t="s">
        <v>18</v>
      </c>
      <c r="N120" t="s">
        <v>1488</v>
      </c>
      <c r="O120" t="s">
        <v>21</v>
      </c>
      <c r="P120" t="s">
        <v>5725</v>
      </c>
      <c r="Q120" t="s">
        <v>40</v>
      </c>
      <c r="R120" t="s">
        <v>2907</v>
      </c>
      <c r="S120" t="s">
        <v>310</v>
      </c>
      <c r="T120" t="s">
        <v>5726</v>
      </c>
      <c r="U120" t="s">
        <v>40</v>
      </c>
      <c r="V120" t="s">
        <v>5727</v>
      </c>
      <c r="W120" t="s">
        <v>40</v>
      </c>
      <c r="X120" t="s">
        <v>5728</v>
      </c>
      <c r="Y120" t="s">
        <v>5729</v>
      </c>
      <c r="Z120" t="s">
        <v>5730</v>
      </c>
      <c r="AA120" t="s">
        <v>40</v>
      </c>
      <c r="AB120" t="s">
        <v>5731</v>
      </c>
      <c r="AC120" t="s">
        <v>316</v>
      </c>
      <c r="AD120" t="s">
        <v>5732</v>
      </c>
      <c r="AE120" t="s">
        <v>502</v>
      </c>
      <c r="AF120" t="s">
        <v>5181</v>
      </c>
      <c r="AG120" t="s">
        <v>43</v>
      </c>
      <c r="AH120" t="s">
        <v>5733</v>
      </c>
      <c r="AI120" t="s">
        <v>2479</v>
      </c>
      <c r="AJ120" t="s">
        <v>5734</v>
      </c>
      <c r="AK120" t="s">
        <v>5735</v>
      </c>
      <c r="AL120" t="s">
        <v>5736</v>
      </c>
      <c r="AM120" t="s">
        <v>3335</v>
      </c>
      <c r="AN120" t="s">
        <v>5737</v>
      </c>
      <c r="AO120" t="s">
        <v>5738</v>
      </c>
      <c r="AP120" t="s">
        <v>5739</v>
      </c>
      <c r="AQ120" t="s">
        <v>41</v>
      </c>
      <c r="AR120" t="s">
        <v>413</v>
      </c>
      <c r="AS120" t="s">
        <v>242</v>
      </c>
      <c r="AT120" t="s">
        <v>5740</v>
      </c>
      <c r="AU120" t="s">
        <v>330</v>
      </c>
      <c r="AV120" t="s">
        <v>5741</v>
      </c>
      <c r="AW120" t="s">
        <v>247</v>
      </c>
      <c r="AX120" t="s">
        <v>4840</v>
      </c>
      <c r="AY120" t="s">
        <v>1081</v>
      </c>
      <c r="AZ120" t="s">
        <v>5742</v>
      </c>
      <c r="BA120" t="s">
        <v>242</v>
      </c>
      <c r="BB120" t="s">
        <v>5743</v>
      </c>
      <c r="BC120" t="s">
        <v>393</v>
      </c>
      <c r="BD120" t="s">
        <v>5744</v>
      </c>
      <c r="BE120" t="s">
        <v>698</v>
      </c>
      <c r="BF120" t="s">
        <v>5745</v>
      </c>
      <c r="BG120" t="s">
        <v>335</v>
      </c>
      <c r="BH120" t="s">
        <v>1419</v>
      </c>
      <c r="BI120" t="s">
        <v>858</v>
      </c>
      <c r="BJ120" t="s">
        <v>5746</v>
      </c>
      <c r="BK120" t="s">
        <v>421</v>
      </c>
      <c r="BL120" t="s">
        <v>5747</v>
      </c>
      <c r="BM120" t="s">
        <v>281</v>
      </c>
      <c r="BN120" t="s">
        <v>5748</v>
      </c>
      <c r="BO120" t="s">
        <v>421</v>
      </c>
      <c r="BP120" t="s">
        <v>5749</v>
      </c>
      <c r="BQ120" t="s">
        <v>257</v>
      </c>
      <c r="BR120" t="s">
        <v>5750</v>
      </c>
      <c r="BS120" t="s">
        <v>356</v>
      </c>
      <c r="BT120" t="s">
        <v>5151</v>
      </c>
      <c r="BU120" t="s">
        <v>271</v>
      </c>
      <c r="BV120" t="s">
        <v>5751</v>
      </c>
      <c r="BW120" t="s">
        <v>287</v>
      </c>
      <c r="BX120" t="s">
        <v>5752</v>
      </c>
      <c r="BY120" t="s">
        <v>289</v>
      </c>
      <c r="BZ120" t="s">
        <v>757</v>
      </c>
      <c r="CA120" t="s">
        <v>351</v>
      </c>
      <c r="CB120" t="s">
        <v>3654</v>
      </c>
      <c r="CC120" t="s">
        <v>481</v>
      </c>
      <c r="CD120" t="s">
        <v>5753</v>
      </c>
      <c r="CE120" t="s">
        <v>348</v>
      </c>
      <c r="CF120" t="s">
        <v>5364</v>
      </c>
      <c r="CG120" t="s">
        <v>575</v>
      </c>
      <c r="CH120" t="s">
        <v>5754</v>
      </c>
      <c r="CI120" t="s">
        <v>339</v>
      </c>
      <c r="CJ120" t="s">
        <v>4806</v>
      </c>
      <c r="CK120" t="s">
        <v>393</v>
      </c>
      <c r="CL120" t="s">
        <v>5755</v>
      </c>
      <c r="CM120" t="s">
        <v>356</v>
      </c>
      <c r="CN120" t="s">
        <v>5756</v>
      </c>
      <c r="CO120" t="s">
        <v>449</v>
      </c>
      <c r="CP120" t="s">
        <v>2615</v>
      </c>
      <c r="CQ120" t="s">
        <v>900</v>
      </c>
      <c r="CR120" t="s">
        <v>5757</v>
      </c>
      <c r="CS120" t="s">
        <v>367</v>
      </c>
      <c r="CT120" t="s">
        <v>5758</v>
      </c>
      <c r="CU120" t="s">
        <v>356</v>
      </c>
      <c r="CV120" t="s">
        <v>5759</v>
      </c>
      <c r="CW120" t="s">
        <v>424</v>
      </c>
      <c r="CX120" t="s">
        <v>2557</v>
      </c>
      <c r="CY120" t="s">
        <v>254</v>
      </c>
      <c r="CZ120" t="s">
        <v>5760</v>
      </c>
      <c r="DA120" t="s">
        <v>451</v>
      </c>
      <c r="DB120" t="s">
        <v>5761</v>
      </c>
      <c r="DC120" t="s">
        <v>242</v>
      </c>
      <c r="DD120" t="s">
        <v>5762</v>
      </c>
      <c r="DF120" t="s">
        <v>5763</v>
      </c>
      <c r="DG120" t="s">
        <v>242</v>
      </c>
      <c r="DH120" t="s">
        <v>2431</v>
      </c>
    </row>
    <row r="121" spans="1:112" x14ac:dyDescent="0.35">
      <c r="A121" t="s">
        <v>227</v>
      </c>
      <c r="B121" t="s">
        <v>5764</v>
      </c>
      <c r="C121" t="s">
        <v>229</v>
      </c>
      <c r="D121" t="s">
        <v>5765</v>
      </c>
      <c r="E121" t="s">
        <v>231</v>
      </c>
      <c r="F121" t="s">
        <v>5766</v>
      </c>
      <c r="G121" t="s">
        <v>40</v>
      </c>
      <c r="H121" t="s">
        <v>5767</v>
      </c>
      <c r="I121" t="s">
        <v>234</v>
      </c>
      <c r="J121" t="s">
        <v>5768</v>
      </c>
      <c r="L121" t="s">
        <v>5769</v>
      </c>
      <c r="M121" t="s">
        <v>18</v>
      </c>
      <c r="N121" t="s">
        <v>5770</v>
      </c>
      <c r="O121" t="s">
        <v>21</v>
      </c>
      <c r="P121" t="s">
        <v>5771</v>
      </c>
      <c r="Q121" t="s">
        <v>40</v>
      </c>
      <c r="R121" t="s">
        <v>5772</v>
      </c>
      <c r="S121" t="s">
        <v>310</v>
      </c>
      <c r="T121" t="s">
        <v>5773</v>
      </c>
      <c r="U121" t="s">
        <v>40</v>
      </c>
      <c r="V121" t="s">
        <v>5774</v>
      </c>
      <c r="W121" t="s">
        <v>40</v>
      </c>
      <c r="X121" t="s">
        <v>729</v>
      </c>
      <c r="Y121" t="s">
        <v>5775</v>
      </c>
      <c r="Z121" t="s">
        <v>5776</v>
      </c>
      <c r="AA121" t="s">
        <v>40</v>
      </c>
      <c r="AB121" t="s">
        <v>5777</v>
      </c>
      <c r="AC121" t="s">
        <v>316</v>
      </c>
      <c r="AD121" t="s">
        <v>5778</v>
      </c>
      <c r="AE121" t="s">
        <v>1996</v>
      </c>
      <c r="AF121" t="s">
        <v>1369</v>
      </c>
      <c r="AG121" t="s">
        <v>40</v>
      </c>
      <c r="AH121" t="s">
        <v>5779</v>
      </c>
      <c r="AI121" t="s">
        <v>621</v>
      </c>
      <c r="AJ121" t="s">
        <v>5780</v>
      </c>
      <c r="AK121" t="s">
        <v>5781</v>
      </c>
      <c r="AL121" t="s">
        <v>5782</v>
      </c>
      <c r="AM121" t="s">
        <v>511</v>
      </c>
      <c r="AN121" t="s">
        <v>5783</v>
      </c>
      <c r="AO121" t="s">
        <v>825</v>
      </c>
      <c r="AP121" t="s">
        <v>2859</v>
      </c>
      <c r="AQ121" t="s">
        <v>45</v>
      </c>
      <c r="AR121" t="s">
        <v>3874</v>
      </c>
      <c r="AS121" t="s">
        <v>242</v>
      </c>
      <c r="AT121" t="s">
        <v>1055</v>
      </c>
      <c r="AU121" t="s">
        <v>2546</v>
      </c>
      <c r="AV121" t="s">
        <v>5784</v>
      </c>
      <c r="AW121" t="s">
        <v>247</v>
      </c>
      <c r="AX121" t="s">
        <v>5785</v>
      </c>
      <c r="AY121" t="s">
        <v>1081</v>
      </c>
      <c r="AZ121" t="s">
        <v>5786</v>
      </c>
      <c r="BA121" t="s">
        <v>242</v>
      </c>
      <c r="BB121" t="s">
        <v>3434</v>
      </c>
      <c r="BC121" t="s">
        <v>293</v>
      </c>
      <c r="BD121" t="s">
        <v>5787</v>
      </c>
      <c r="BE121" t="s">
        <v>243</v>
      </c>
      <c r="BF121" t="s">
        <v>5788</v>
      </c>
      <c r="BG121" t="s">
        <v>295</v>
      </c>
      <c r="BH121" t="s">
        <v>2024</v>
      </c>
      <c r="BI121" t="s">
        <v>293</v>
      </c>
      <c r="BJ121" t="s">
        <v>5789</v>
      </c>
      <c r="BK121" t="s">
        <v>289</v>
      </c>
      <c r="BL121" t="s">
        <v>5790</v>
      </c>
      <c r="BM121" t="s">
        <v>858</v>
      </c>
      <c r="BN121" t="s">
        <v>1536</v>
      </c>
      <c r="BO121" t="s">
        <v>698</v>
      </c>
      <c r="BP121" t="s">
        <v>5245</v>
      </c>
      <c r="BQ121" t="s">
        <v>405</v>
      </c>
      <c r="BR121" t="s">
        <v>5791</v>
      </c>
      <c r="BS121" t="s">
        <v>467</v>
      </c>
      <c r="BT121" t="s">
        <v>5792</v>
      </c>
      <c r="BU121" t="s">
        <v>429</v>
      </c>
      <c r="BV121" t="s">
        <v>5793</v>
      </c>
      <c r="BW121" t="s">
        <v>281</v>
      </c>
      <c r="BX121" t="s">
        <v>1569</v>
      </c>
      <c r="BY121" t="s">
        <v>481</v>
      </c>
      <c r="BZ121" t="s">
        <v>757</v>
      </c>
      <c r="CA121" t="s">
        <v>519</v>
      </c>
      <c r="CB121" t="s">
        <v>5794</v>
      </c>
      <c r="CC121" t="s">
        <v>427</v>
      </c>
      <c r="CD121" t="s">
        <v>4977</v>
      </c>
      <c r="CE121" t="s">
        <v>335</v>
      </c>
      <c r="CF121" t="s">
        <v>5795</v>
      </c>
      <c r="CG121" t="s">
        <v>335</v>
      </c>
      <c r="CH121" t="s">
        <v>5796</v>
      </c>
      <c r="CI121" t="s">
        <v>519</v>
      </c>
      <c r="CJ121" t="s">
        <v>5797</v>
      </c>
      <c r="CK121" t="s">
        <v>371</v>
      </c>
      <c r="CL121" t="s">
        <v>1429</v>
      </c>
      <c r="CM121" t="s">
        <v>779</v>
      </c>
      <c r="CN121" t="s">
        <v>5611</v>
      </c>
      <c r="CO121" t="s">
        <v>367</v>
      </c>
      <c r="CP121" t="s">
        <v>5798</v>
      </c>
      <c r="CQ121" t="s">
        <v>421</v>
      </c>
      <c r="CR121" t="s">
        <v>5799</v>
      </c>
      <c r="CS121" t="s">
        <v>421</v>
      </c>
      <c r="CT121" t="s">
        <v>4627</v>
      </c>
      <c r="CU121" t="s">
        <v>519</v>
      </c>
      <c r="CV121" t="s">
        <v>2635</v>
      </c>
      <c r="CW121" t="s">
        <v>519</v>
      </c>
      <c r="CX121" t="s">
        <v>5800</v>
      </c>
      <c r="CY121" t="s">
        <v>538</v>
      </c>
      <c r="CZ121" t="s">
        <v>5801</v>
      </c>
      <c r="DA121" t="s">
        <v>424</v>
      </c>
      <c r="DB121" t="s">
        <v>2165</v>
      </c>
      <c r="DC121" t="s">
        <v>242</v>
      </c>
      <c r="DD121" t="s">
        <v>1541</v>
      </c>
      <c r="DF121" t="s">
        <v>5802</v>
      </c>
      <c r="DG121" t="s">
        <v>242</v>
      </c>
      <c r="DH121" t="s">
        <v>1522</v>
      </c>
    </row>
    <row r="122" spans="1:112" x14ac:dyDescent="0.35">
      <c r="A122" t="s">
        <v>227</v>
      </c>
      <c r="B122" t="s">
        <v>5803</v>
      </c>
      <c r="C122" t="s">
        <v>229</v>
      </c>
      <c r="D122" t="s">
        <v>5804</v>
      </c>
      <c r="E122" t="s">
        <v>231</v>
      </c>
      <c r="F122" t="s">
        <v>5805</v>
      </c>
      <c r="G122" t="s">
        <v>40</v>
      </c>
      <c r="H122" t="s">
        <v>5806</v>
      </c>
      <c r="I122" t="s">
        <v>234</v>
      </c>
      <c r="J122" t="s">
        <v>5807</v>
      </c>
      <c r="L122" t="s">
        <v>5808</v>
      </c>
      <c r="M122" t="s">
        <v>18</v>
      </c>
      <c r="N122" t="s">
        <v>5809</v>
      </c>
      <c r="O122" t="s">
        <v>21</v>
      </c>
      <c r="P122" t="s">
        <v>4825</v>
      </c>
      <c r="Q122" t="s">
        <v>40</v>
      </c>
      <c r="R122" t="s">
        <v>2872</v>
      </c>
      <c r="S122" t="s">
        <v>310</v>
      </c>
      <c r="T122" t="s">
        <v>5810</v>
      </c>
      <c r="U122" t="s">
        <v>40</v>
      </c>
      <c r="V122" t="s">
        <v>4830</v>
      </c>
      <c r="W122" t="s">
        <v>40</v>
      </c>
      <c r="X122" t="s">
        <v>5811</v>
      </c>
      <c r="Y122" t="s">
        <v>5812</v>
      </c>
      <c r="Z122" t="s">
        <v>5813</v>
      </c>
      <c r="AA122" t="s">
        <v>40</v>
      </c>
      <c r="AB122" t="s">
        <v>5606</v>
      </c>
      <c r="AC122" t="s">
        <v>2236</v>
      </c>
      <c r="AD122" t="s">
        <v>5619</v>
      </c>
      <c r="AE122" t="s">
        <v>502</v>
      </c>
      <c r="AF122" t="s">
        <v>5814</v>
      </c>
      <c r="AG122" t="s">
        <v>40</v>
      </c>
      <c r="AH122" t="s">
        <v>1793</v>
      </c>
      <c r="AI122" t="s">
        <v>621</v>
      </c>
      <c r="AJ122" t="s">
        <v>5815</v>
      </c>
      <c r="AK122" t="s">
        <v>5816</v>
      </c>
      <c r="AL122" t="s">
        <v>5817</v>
      </c>
      <c r="AM122" t="s">
        <v>5818</v>
      </c>
      <c r="AN122" t="s">
        <v>5819</v>
      </c>
      <c r="AO122" t="s">
        <v>1498</v>
      </c>
      <c r="AP122" t="s">
        <v>3998</v>
      </c>
      <c r="AQ122" t="s">
        <v>41</v>
      </c>
      <c r="AR122" t="s">
        <v>5820</v>
      </c>
      <c r="AS122" t="s">
        <v>242</v>
      </c>
      <c r="AT122" t="s">
        <v>5821</v>
      </c>
      <c r="AU122" t="s">
        <v>5822</v>
      </c>
      <c r="AV122" t="s">
        <v>5823</v>
      </c>
      <c r="AW122" t="s">
        <v>247</v>
      </c>
      <c r="AX122" t="s">
        <v>1685</v>
      </c>
      <c r="AY122" t="s">
        <v>249</v>
      </c>
      <c r="AZ122" t="s">
        <v>5824</v>
      </c>
      <c r="BA122" t="s">
        <v>242</v>
      </c>
      <c r="BB122" t="s">
        <v>4942</v>
      </c>
      <c r="BC122" t="s">
        <v>295</v>
      </c>
      <c r="BD122" t="s">
        <v>5825</v>
      </c>
      <c r="BE122" t="s">
        <v>467</v>
      </c>
      <c r="BF122" t="s">
        <v>5826</v>
      </c>
      <c r="BG122" t="s">
        <v>519</v>
      </c>
      <c r="BH122" t="s">
        <v>5827</v>
      </c>
      <c r="BI122" t="s">
        <v>429</v>
      </c>
      <c r="BJ122" t="s">
        <v>5828</v>
      </c>
      <c r="BK122" t="s">
        <v>342</v>
      </c>
      <c r="BL122" t="s">
        <v>5829</v>
      </c>
      <c r="BM122" t="s">
        <v>429</v>
      </c>
      <c r="BN122" t="s">
        <v>5830</v>
      </c>
      <c r="BO122" t="s">
        <v>351</v>
      </c>
      <c r="BP122" t="s">
        <v>5831</v>
      </c>
      <c r="BQ122" t="s">
        <v>424</v>
      </c>
      <c r="BR122" t="s">
        <v>5832</v>
      </c>
      <c r="BS122" t="s">
        <v>348</v>
      </c>
      <c r="BT122" t="s">
        <v>5833</v>
      </c>
      <c r="BU122" t="s">
        <v>473</v>
      </c>
      <c r="BV122" t="s">
        <v>5834</v>
      </c>
      <c r="BW122" t="s">
        <v>591</v>
      </c>
      <c r="BX122" t="s">
        <v>5835</v>
      </c>
      <c r="BY122" t="s">
        <v>473</v>
      </c>
      <c r="BZ122" t="s">
        <v>5836</v>
      </c>
      <c r="CA122" t="s">
        <v>342</v>
      </c>
      <c r="CB122" t="s">
        <v>5837</v>
      </c>
      <c r="CC122" t="s">
        <v>395</v>
      </c>
      <c r="CD122" t="s">
        <v>5838</v>
      </c>
      <c r="CE122" t="s">
        <v>252</v>
      </c>
      <c r="CF122" t="s">
        <v>5839</v>
      </c>
      <c r="CG122" t="s">
        <v>481</v>
      </c>
      <c r="CH122" t="s">
        <v>3311</v>
      </c>
      <c r="CI122" t="s">
        <v>585</v>
      </c>
      <c r="CJ122" t="s">
        <v>5840</v>
      </c>
      <c r="CK122" t="s">
        <v>289</v>
      </c>
      <c r="CL122" t="s">
        <v>5841</v>
      </c>
      <c r="CM122" t="s">
        <v>993</v>
      </c>
      <c r="CN122" t="s">
        <v>1443</v>
      </c>
      <c r="CO122" t="s">
        <v>467</v>
      </c>
      <c r="CP122" t="s">
        <v>5842</v>
      </c>
      <c r="CQ122" t="s">
        <v>283</v>
      </c>
      <c r="CR122" t="s">
        <v>5843</v>
      </c>
      <c r="CS122" t="s">
        <v>289</v>
      </c>
      <c r="CT122" t="s">
        <v>5844</v>
      </c>
      <c r="CU122" t="s">
        <v>348</v>
      </c>
      <c r="CV122" t="s">
        <v>5845</v>
      </c>
      <c r="CW122" t="s">
        <v>271</v>
      </c>
      <c r="CX122" t="s">
        <v>5846</v>
      </c>
      <c r="CY122" t="s">
        <v>585</v>
      </c>
      <c r="CZ122" t="s">
        <v>5847</v>
      </c>
      <c r="DA122" t="s">
        <v>429</v>
      </c>
      <c r="DB122" t="s">
        <v>5848</v>
      </c>
      <c r="DC122" t="s">
        <v>242</v>
      </c>
      <c r="DD122" t="s">
        <v>5849</v>
      </c>
      <c r="DF122" t="s">
        <v>5850</v>
      </c>
      <c r="DG122" t="s">
        <v>242</v>
      </c>
      <c r="DH122" t="s">
        <v>5851</v>
      </c>
    </row>
    <row r="123" spans="1:112" x14ac:dyDescent="0.35">
      <c r="A123" t="s">
        <v>227</v>
      </c>
      <c r="B123" t="s">
        <v>5852</v>
      </c>
      <c r="C123" t="s">
        <v>229</v>
      </c>
      <c r="D123" t="s">
        <v>5853</v>
      </c>
      <c r="E123" t="s">
        <v>231</v>
      </c>
      <c r="F123" t="s">
        <v>5854</v>
      </c>
      <c r="G123" t="s">
        <v>40</v>
      </c>
      <c r="H123" t="s">
        <v>1885</v>
      </c>
      <c r="I123" t="s">
        <v>234</v>
      </c>
      <c r="J123" t="s">
        <v>5855</v>
      </c>
      <c r="L123" t="s">
        <v>5856</v>
      </c>
      <c r="M123" t="s">
        <v>18</v>
      </c>
      <c r="N123" t="s">
        <v>5857</v>
      </c>
      <c r="O123" t="s">
        <v>21</v>
      </c>
      <c r="P123" t="s">
        <v>5240</v>
      </c>
      <c r="Q123" t="s">
        <v>40</v>
      </c>
      <c r="R123" t="s">
        <v>1099</v>
      </c>
      <c r="S123" t="s">
        <v>310</v>
      </c>
      <c r="T123" t="s">
        <v>2433</v>
      </c>
      <c r="U123" t="s">
        <v>40</v>
      </c>
      <c r="V123" t="s">
        <v>5858</v>
      </c>
      <c r="W123" t="s">
        <v>40</v>
      </c>
      <c r="X123" t="s">
        <v>5859</v>
      </c>
      <c r="Y123" t="s">
        <v>5860</v>
      </c>
      <c r="Z123" t="s">
        <v>5861</v>
      </c>
      <c r="AA123" t="s">
        <v>40</v>
      </c>
      <c r="AB123" t="s">
        <v>2846</v>
      </c>
      <c r="AC123" t="s">
        <v>316</v>
      </c>
      <c r="AD123" t="s">
        <v>5862</v>
      </c>
      <c r="AE123" t="s">
        <v>502</v>
      </c>
      <c r="AF123" t="s">
        <v>5863</v>
      </c>
      <c r="AG123" t="s">
        <v>40</v>
      </c>
      <c r="AH123" t="s">
        <v>5189</v>
      </c>
      <c r="AI123" t="s">
        <v>621</v>
      </c>
      <c r="AJ123" t="s">
        <v>5864</v>
      </c>
      <c r="AK123" t="s">
        <v>5865</v>
      </c>
      <c r="AL123" t="s">
        <v>5866</v>
      </c>
      <c r="AM123" t="s">
        <v>5867</v>
      </c>
      <c r="AN123" t="s">
        <v>5868</v>
      </c>
      <c r="AO123" t="s">
        <v>1760</v>
      </c>
      <c r="AP123" t="s">
        <v>2207</v>
      </c>
      <c r="AQ123" t="s">
        <v>45</v>
      </c>
      <c r="AR123" t="s">
        <v>5869</v>
      </c>
      <c r="AS123" t="s">
        <v>242</v>
      </c>
      <c r="AT123" t="s">
        <v>5870</v>
      </c>
      <c r="AU123" t="s">
        <v>330</v>
      </c>
      <c r="AV123" t="s">
        <v>5871</v>
      </c>
      <c r="AW123" t="s">
        <v>247</v>
      </c>
      <c r="AX123" t="s">
        <v>5872</v>
      </c>
      <c r="AY123" t="s">
        <v>249</v>
      </c>
      <c r="AZ123" t="s">
        <v>5873</v>
      </c>
      <c r="BA123" t="s">
        <v>242</v>
      </c>
      <c r="BB123" t="s">
        <v>5874</v>
      </c>
      <c r="BC123" t="s">
        <v>356</v>
      </c>
      <c r="BD123" t="s">
        <v>5875</v>
      </c>
      <c r="BE123" t="s">
        <v>1091</v>
      </c>
      <c r="BF123" t="s">
        <v>5876</v>
      </c>
      <c r="BG123" t="s">
        <v>479</v>
      </c>
      <c r="BH123" t="s">
        <v>4078</v>
      </c>
      <c r="BI123" t="s">
        <v>731</v>
      </c>
      <c r="BJ123" t="s">
        <v>5877</v>
      </c>
      <c r="BK123" t="s">
        <v>454</v>
      </c>
      <c r="BL123" t="s">
        <v>5878</v>
      </c>
      <c r="BM123" t="s">
        <v>405</v>
      </c>
      <c r="BN123" t="s">
        <v>5879</v>
      </c>
      <c r="BO123" t="s">
        <v>405</v>
      </c>
      <c r="BP123" t="s">
        <v>5880</v>
      </c>
      <c r="BQ123" t="s">
        <v>344</v>
      </c>
      <c r="BR123" t="s">
        <v>3974</v>
      </c>
      <c r="BS123" t="s">
        <v>858</v>
      </c>
      <c r="BT123" t="s">
        <v>600</v>
      </c>
      <c r="BU123" t="s">
        <v>858</v>
      </c>
      <c r="BV123" t="s">
        <v>3795</v>
      </c>
      <c r="BW123" t="s">
        <v>257</v>
      </c>
      <c r="BX123" t="s">
        <v>5881</v>
      </c>
      <c r="BY123" t="s">
        <v>261</v>
      </c>
      <c r="BZ123" t="s">
        <v>5882</v>
      </c>
      <c r="CA123" t="s">
        <v>344</v>
      </c>
      <c r="CB123" t="s">
        <v>5883</v>
      </c>
      <c r="CC123" t="s">
        <v>344</v>
      </c>
      <c r="CD123" t="s">
        <v>1584</v>
      </c>
      <c r="CE123" t="s">
        <v>268</v>
      </c>
      <c r="CF123" t="s">
        <v>5884</v>
      </c>
      <c r="CG123" t="s">
        <v>261</v>
      </c>
      <c r="CH123" t="s">
        <v>5885</v>
      </c>
      <c r="CI123" t="s">
        <v>731</v>
      </c>
      <c r="CJ123" t="s">
        <v>5886</v>
      </c>
      <c r="CK123" t="s">
        <v>411</v>
      </c>
      <c r="CL123" t="s">
        <v>5887</v>
      </c>
      <c r="CM123" t="s">
        <v>858</v>
      </c>
      <c r="CN123" t="s">
        <v>5888</v>
      </c>
      <c r="CO123" t="s">
        <v>261</v>
      </c>
      <c r="CP123" t="s">
        <v>5889</v>
      </c>
      <c r="CQ123" t="s">
        <v>261</v>
      </c>
      <c r="CR123" t="s">
        <v>5890</v>
      </c>
      <c r="CS123" t="s">
        <v>369</v>
      </c>
      <c r="CT123" t="s">
        <v>2433</v>
      </c>
      <c r="CU123" t="s">
        <v>369</v>
      </c>
      <c r="CV123" t="s">
        <v>5891</v>
      </c>
      <c r="CW123" t="s">
        <v>261</v>
      </c>
      <c r="CX123" t="s">
        <v>1037</v>
      </c>
      <c r="CY123" t="s">
        <v>405</v>
      </c>
      <c r="CZ123" t="s">
        <v>723</v>
      </c>
      <c r="DA123" t="s">
        <v>454</v>
      </c>
      <c r="DB123" t="s">
        <v>3559</v>
      </c>
      <c r="DC123" t="s">
        <v>242</v>
      </c>
      <c r="DD123" t="s">
        <v>5892</v>
      </c>
      <c r="DF123" t="s">
        <v>5893</v>
      </c>
      <c r="DG123" t="s">
        <v>242</v>
      </c>
      <c r="DH123" t="s">
        <v>5474</v>
      </c>
    </row>
    <row r="124" spans="1:112" x14ac:dyDescent="0.35">
      <c r="A124" t="s">
        <v>227</v>
      </c>
      <c r="B124" t="s">
        <v>5894</v>
      </c>
      <c r="C124" t="s">
        <v>229</v>
      </c>
      <c r="D124" t="s">
        <v>5670</v>
      </c>
      <c r="E124" t="s">
        <v>231</v>
      </c>
      <c r="F124" t="s">
        <v>5895</v>
      </c>
      <c r="G124" t="s">
        <v>40</v>
      </c>
      <c r="H124" t="s">
        <v>5896</v>
      </c>
      <c r="I124" t="s">
        <v>234</v>
      </c>
      <c r="J124" t="s">
        <v>4571</v>
      </c>
      <c r="L124" t="s">
        <v>5897</v>
      </c>
      <c r="M124" t="s">
        <v>20</v>
      </c>
      <c r="N124" t="s">
        <v>5898</v>
      </c>
      <c r="O124" t="s">
        <v>21</v>
      </c>
      <c r="P124" t="s">
        <v>5899</v>
      </c>
      <c r="Q124" t="s">
        <v>40</v>
      </c>
      <c r="R124" t="s">
        <v>681</v>
      </c>
      <c r="S124" t="s">
        <v>310</v>
      </c>
      <c r="T124" t="s">
        <v>955</v>
      </c>
      <c r="U124" t="s">
        <v>40</v>
      </c>
      <c r="V124" t="s">
        <v>5900</v>
      </c>
      <c r="W124" t="s">
        <v>44</v>
      </c>
      <c r="X124" t="s">
        <v>4020</v>
      </c>
      <c r="Y124" t="s">
        <v>242</v>
      </c>
      <c r="Z124" t="s">
        <v>243</v>
      </c>
      <c r="AA124" t="s">
        <v>40</v>
      </c>
      <c r="AB124" t="s">
        <v>244</v>
      </c>
      <c r="AC124" t="s">
        <v>316</v>
      </c>
      <c r="AD124" t="s">
        <v>5901</v>
      </c>
      <c r="AE124" t="s">
        <v>502</v>
      </c>
      <c r="AF124" t="s">
        <v>1994</v>
      </c>
      <c r="AG124" t="s">
        <v>40</v>
      </c>
      <c r="AH124" t="s">
        <v>5902</v>
      </c>
      <c r="AI124" t="s">
        <v>621</v>
      </c>
      <c r="AJ124" t="s">
        <v>5903</v>
      </c>
      <c r="AK124" t="s">
        <v>5904</v>
      </c>
      <c r="AL124" t="s">
        <v>5905</v>
      </c>
      <c r="AM124" t="s">
        <v>1605</v>
      </c>
      <c r="AN124" t="s">
        <v>5906</v>
      </c>
      <c r="AO124" t="s">
        <v>2301</v>
      </c>
      <c r="AP124" t="s">
        <v>5907</v>
      </c>
      <c r="AQ124" t="s">
        <v>41</v>
      </c>
      <c r="AR124" t="s">
        <v>5908</v>
      </c>
      <c r="AS124" t="s">
        <v>242</v>
      </c>
      <c r="AT124" t="s">
        <v>5909</v>
      </c>
      <c r="AU124" t="s">
        <v>5910</v>
      </c>
      <c r="AV124" t="s">
        <v>5911</v>
      </c>
      <c r="AW124" t="s">
        <v>247</v>
      </c>
      <c r="AX124" t="s">
        <v>5912</v>
      </c>
      <c r="AY124" t="s">
        <v>249</v>
      </c>
      <c r="AZ124" t="s">
        <v>5913</v>
      </c>
      <c r="BA124" t="s">
        <v>242</v>
      </c>
      <c r="BB124" t="s">
        <v>5914</v>
      </c>
      <c r="BC124" t="s">
        <v>414</v>
      </c>
      <c r="BD124" t="s">
        <v>5915</v>
      </c>
      <c r="BE124" t="s">
        <v>473</v>
      </c>
      <c r="BF124" t="s">
        <v>5916</v>
      </c>
      <c r="BG124" t="s">
        <v>287</v>
      </c>
      <c r="BH124" t="s">
        <v>5917</v>
      </c>
      <c r="BI124" t="s">
        <v>429</v>
      </c>
      <c r="BJ124" t="s">
        <v>5918</v>
      </c>
      <c r="BK124" t="s">
        <v>351</v>
      </c>
      <c r="BL124" t="s">
        <v>5416</v>
      </c>
      <c r="BM124" t="s">
        <v>744</v>
      </c>
      <c r="BN124" t="s">
        <v>5919</v>
      </c>
      <c r="BO124" t="s">
        <v>900</v>
      </c>
      <c r="BP124" t="s">
        <v>5920</v>
      </c>
      <c r="BQ124" t="s">
        <v>424</v>
      </c>
      <c r="BR124" t="s">
        <v>5921</v>
      </c>
      <c r="BS124" t="s">
        <v>287</v>
      </c>
      <c r="BT124" t="s">
        <v>5922</v>
      </c>
      <c r="BU124" t="s">
        <v>424</v>
      </c>
      <c r="BV124" t="s">
        <v>5923</v>
      </c>
      <c r="BW124" t="s">
        <v>595</v>
      </c>
      <c r="BX124" t="s">
        <v>5924</v>
      </c>
      <c r="BY124" t="s">
        <v>291</v>
      </c>
      <c r="BZ124" t="s">
        <v>5925</v>
      </c>
      <c r="CA124" t="s">
        <v>397</v>
      </c>
      <c r="CB124" t="s">
        <v>5926</v>
      </c>
      <c r="CC124" t="s">
        <v>335</v>
      </c>
      <c r="CD124" t="s">
        <v>5927</v>
      </c>
      <c r="CE124" t="s">
        <v>427</v>
      </c>
      <c r="CF124" t="s">
        <v>5928</v>
      </c>
      <c r="CG124" t="s">
        <v>371</v>
      </c>
      <c r="CH124" t="s">
        <v>5929</v>
      </c>
      <c r="CI124" t="s">
        <v>595</v>
      </c>
      <c r="CJ124" t="s">
        <v>5930</v>
      </c>
      <c r="CK124" t="s">
        <v>744</v>
      </c>
      <c r="CL124" t="s">
        <v>5931</v>
      </c>
      <c r="CM124" t="s">
        <v>900</v>
      </c>
      <c r="CN124" t="s">
        <v>4433</v>
      </c>
      <c r="CO124" t="s">
        <v>360</v>
      </c>
      <c r="CP124" t="s">
        <v>5932</v>
      </c>
      <c r="CQ124" t="s">
        <v>335</v>
      </c>
      <c r="CR124" t="s">
        <v>5933</v>
      </c>
      <c r="CS124" t="s">
        <v>399</v>
      </c>
      <c r="CT124" t="s">
        <v>1003</v>
      </c>
      <c r="CU124" t="s">
        <v>519</v>
      </c>
      <c r="CV124" t="s">
        <v>5934</v>
      </c>
      <c r="CW124" t="s">
        <v>371</v>
      </c>
      <c r="CX124" t="s">
        <v>1688</v>
      </c>
      <c r="CY124" t="s">
        <v>421</v>
      </c>
      <c r="CZ124" t="s">
        <v>3131</v>
      </c>
      <c r="DA124" t="s">
        <v>414</v>
      </c>
      <c r="DB124" t="s">
        <v>5172</v>
      </c>
      <c r="DC124" t="s">
        <v>242</v>
      </c>
      <c r="DD124" t="s">
        <v>5935</v>
      </c>
      <c r="DF124" t="s">
        <v>5936</v>
      </c>
      <c r="DG124" t="s">
        <v>242</v>
      </c>
      <c r="DH124" t="s">
        <v>5937</v>
      </c>
    </row>
    <row r="125" spans="1:112" x14ac:dyDescent="0.35">
      <c r="A125" t="s">
        <v>227</v>
      </c>
      <c r="B125" t="s">
        <v>5938</v>
      </c>
      <c r="C125" t="s">
        <v>229</v>
      </c>
      <c r="D125" t="s">
        <v>1583</v>
      </c>
      <c r="E125" t="s">
        <v>231</v>
      </c>
      <c r="F125" t="s">
        <v>5939</v>
      </c>
      <c r="G125" t="s">
        <v>40</v>
      </c>
      <c r="H125" t="s">
        <v>5940</v>
      </c>
      <c r="I125" t="s">
        <v>234</v>
      </c>
      <c r="J125" t="s">
        <v>5941</v>
      </c>
      <c r="L125" t="s">
        <v>5942</v>
      </c>
      <c r="M125" t="s">
        <v>15</v>
      </c>
      <c r="N125" t="s">
        <v>5943</v>
      </c>
      <c r="O125" t="s">
        <v>21</v>
      </c>
      <c r="P125" t="s">
        <v>5944</v>
      </c>
      <c r="Q125" t="s">
        <v>40</v>
      </c>
      <c r="R125" t="s">
        <v>5945</v>
      </c>
      <c r="S125" t="s">
        <v>310</v>
      </c>
      <c r="T125" t="s">
        <v>5946</v>
      </c>
      <c r="U125" t="s">
        <v>40</v>
      </c>
      <c r="V125" t="s">
        <v>3734</v>
      </c>
      <c r="W125" t="s">
        <v>40</v>
      </c>
      <c r="X125" t="s">
        <v>5947</v>
      </c>
      <c r="Y125" t="s">
        <v>5948</v>
      </c>
      <c r="Z125" t="s">
        <v>5949</v>
      </c>
      <c r="AA125" t="s">
        <v>40</v>
      </c>
      <c r="AB125" t="s">
        <v>5950</v>
      </c>
      <c r="AC125" t="s">
        <v>316</v>
      </c>
      <c r="AD125" t="s">
        <v>5951</v>
      </c>
      <c r="AE125" t="s">
        <v>502</v>
      </c>
      <c r="AF125" t="s">
        <v>5952</v>
      </c>
      <c r="AG125" t="s">
        <v>40</v>
      </c>
      <c r="AH125" t="s">
        <v>5953</v>
      </c>
      <c r="AI125" t="s">
        <v>621</v>
      </c>
      <c r="AJ125" t="s">
        <v>5954</v>
      </c>
      <c r="AK125" t="s">
        <v>5955</v>
      </c>
      <c r="AL125" t="s">
        <v>5956</v>
      </c>
      <c r="AM125" t="s">
        <v>5957</v>
      </c>
      <c r="AN125" t="s">
        <v>5958</v>
      </c>
      <c r="AO125" t="s">
        <v>5959</v>
      </c>
      <c r="AP125" t="s">
        <v>5960</v>
      </c>
      <c r="AQ125" t="s">
        <v>41</v>
      </c>
      <c r="AR125" t="s">
        <v>5961</v>
      </c>
      <c r="AS125" t="s">
        <v>242</v>
      </c>
      <c r="AT125" t="s">
        <v>5962</v>
      </c>
      <c r="AU125" t="s">
        <v>330</v>
      </c>
      <c r="AV125" t="s">
        <v>5963</v>
      </c>
      <c r="AW125" t="s">
        <v>247</v>
      </c>
      <c r="AX125" t="s">
        <v>5964</v>
      </c>
      <c r="AY125" t="s">
        <v>249</v>
      </c>
      <c r="AZ125" t="s">
        <v>5965</v>
      </c>
      <c r="BA125" t="s">
        <v>242</v>
      </c>
      <c r="BB125" t="s">
        <v>5543</v>
      </c>
      <c r="BC125" t="s">
        <v>291</v>
      </c>
      <c r="BD125" t="s">
        <v>5966</v>
      </c>
      <c r="BE125" t="s">
        <v>429</v>
      </c>
      <c r="BF125" t="s">
        <v>5967</v>
      </c>
      <c r="BG125" t="s">
        <v>367</v>
      </c>
      <c r="BH125" t="s">
        <v>5968</v>
      </c>
      <c r="BI125" t="s">
        <v>399</v>
      </c>
      <c r="BJ125" t="s">
        <v>5969</v>
      </c>
      <c r="BK125" t="s">
        <v>365</v>
      </c>
      <c r="BL125" t="s">
        <v>5970</v>
      </c>
      <c r="BM125" t="s">
        <v>469</v>
      </c>
      <c r="BN125" t="s">
        <v>5971</v>
      </c>
      <c r="BO125" t="s">
        <v>421</v>
      </c>
      <c r="BP125" t="s">
        <v>5972</v>
      </c>
      <c r="BQ125" t="s">
        <v>367</v>
      </c>
      <c r="BR125" t="s">
        <v>5973</v>
      </c>
      <c r="BS125" t="s">
        <v>421</v>
      </c>
      <c r="BT125" t="s">
        <v>5974</v>
      </c>
      <c r="BU125" t="s">
        <v>365</v>
      </c>
      <c r="BV125" t="s">
        <v>5975</v>
      </c>
      <c r="BW125" t="s">
        <v>595</v>
      </c>
      <c r="BX125" t="s">
        <v>5976</v>
      </c>
      <c r="BY125" t="s">
        <v>365</v>
      </c>
      <c r="BZ125" t="s">
        <v>5977</v>
      </c>
      <c r="CA125" t="s">
        <v>335</v>
      </c>
      <c r="CB125" t="s">
        <v>5978</v>
      </c>
      <c r="CC125" t="s">
        <v>538</v>
      </c>
      <c r="CD125" t="s">
        <v>5979</v>
      </c>
      <c r="CE125" t="s">
        <v>408</v>
      </c>
      <c r="CF125" t="s">
        <v>5980</v>
      </c>
      <c r="CG125" t="s">
        <v>399</v>
      </c>
      <c r="CH125" t="s">
        <v>5981</v>
      </c>
      <c r="CI125" t="s">
        <v>393</v>
      </c>
      <c r="CJ125" t="s">
        <v>5982</v>
      </c>
      <c r="CK125" t="s">
        <v>367</v>
      </c>
      <c r="CL125" t="s">
        <v>5983</v>
      </c>
      <c r="CM125" t="s">
        <v>744</v>
      </c>
      <c r="CN125" t="s">
        <v>3263</v>
      </c>
      <c r="CO125" t="s">
        <v>469</v>
      </c>
      <c r="CP125" t="s">
        <v>5984</v>
      </c>
      <c r="CQ125" t="s">
        <v>367</v>
      </c>
      <c r="CR125" t="s">
        <v>3078</v>
      </c>
      <c r="CS125" t="s">
        <v>367</v>
      </c>
      <c r="CT125" t="s">
        <v>5985</v>
      </c>
      <c r="CU125" t="s">
        <v>371</v>
      </c>
      <c r="CV125" t="s">
        <v>5986</v>
      </c>
      <c r="CW125" t="s">
        <v>542</v>
      </c>
      <c r="CX125" t="s">
        <v>5987</v>
      </c>
      <c r="CY125" t="s">
        <v>285</v>
      </c>
      <c r="CZ125" t="s">
        <v>5988</v>
      </c>
      <c r="DA125" t="s">
        <v>358</v>
      </c>
      <c r="DB125" t="s">
        <v>5989</v>
      </c>
      <c r="DC125" t="s">
        <v>242</v>
      </c>
      <c r="DD125" t="s">
        <v>5990</v>
      </c>
      <c r="DF125" t="s">
        <v>5991</v>
      </c>
      <c r="DG125" t="s">
        <v>242</v>
      </c>
      <c r="DH125" t="s">
        <v>5992</v>
      </c>
    </row>
    <row r="126" spans="1:112" x14ac:dyDescent="0.35">
      <c r="A126" t="s">
        <v>227</v>
      </c>
      <c r="B126" t="s">
        <v>5993</v>
      </c>
      <c r="C126" t="s">
        <v>229</v>
      </c>
      <c r="D126" t="s">
        <v>5994</v>
      </c>
      <c r="E126" t="s">
        <v>231</v>
      </c>
      <c r="F126" t="s">
        <v>4742</v>
      </c>
      <c r="G126" t="s">
        <v>40</v>
      </c>
      <c r="H126" t="s">
        <v>5995</v>
      </c>
      <c r="I126" t="s">
        <v>1800</v>
      </c>
      <c r="J126" t="s">
        <v>5996</v>
      </c>
      <c r="L126" t="s">
        <v>243</v>
      </c>
      <c r="M126" t="s">
        <v>242</v>
      </c>
      <c r="N126" t="s">
        <v>243</v>
      </c>
      <c r="O126" t="s">
        <v>242</v>
      </c>
      <c r="P126" t="s">
        <v>243</v>
      </c>
      <c r="Q126" t="s">
        <v>242</v>
      </c>
      <c r="R126" t="s">
        <v>243</v>
      </c>
      <c r="S126" t="s">
        <v>242</v>
      </c>
      <c r="T126" t="s">
        <v>243</v>
      </c>
      <c r="U126" t="s">
        <v>242</v>
      </c>
      <c r="V126" t="s">
        <v>243</v>
      </c>
      <c r="W126" t="s">
        <v>242</v>
      </c>
      <c r="X126" t="s">
        <v>243</v>
      </c>
      <c r="Y126" t="s">
        <v>242</v>
      </c>
      <c r="Z126" t="s">
        <v>243</v>
      </c>
      <c r="AA126" t="s">
        <v>242</v>
      </c>
      <c r="AB126" t="s">
        <v>243</v>
      </c>
      <c r="AC126" t="s">
        <v>242</v>
      </c>
      <c r="AD126" t="s">
        <v>243</v>
      </c>
      <c r="AE126" t="s">
        <v>242</v>
      </c>
      <c r="AF126" t="s">
        <v>243</v>
      </c>
      <c r="AG126" t="s">
        <v>242</v>
      </c>
      <c r="AH126" t="s">
        <v>243</v>
      </c>
      <c r="AI126" t="s">
        <v>242</v>
      </c>
      <c r="AJ126" t="s">
        <v>243</v>
      </c>
      <c r="AK126" t="s">
        <v>242</v>
      </c>
      <c r="AL126" t="s">
        <v>243</v>
      </c>
      <c r="AM126" t="s">
        <v>242</v>
      </c>
      <c r="AN126" t="s">
        <v>243</v>
      </c>
      <c r="AO126" t="s">
        <v>242</v>
      </c>
      <c r="AP126" t="s">
        <v>243</v>
      </c>
      <c r="AQ126" t="s">
        <v>242</v>
      </c>
      <c r="AR126" t="s">
        <v>243</v>
      </c>
      <c r="AS126" t="s">
        <v>242</v>
      </c>
      <c r="AT126" t="s">
        <v>243</v>
      </c>
      <c r="AU126" t="s">
        <v>242</v>
      </c>
      <c r="AV126" t="s">
        <v>243</v>
      </c>
      <c r="AW126" t="s">
        <v>242</v>
      </c>
      <c r="AX126" t="s">
        <v>243</v>
      </c>
      <c r="AY126" t="s">
        <v>242</v>
      </c>
      <c r="AZ126" t="s">
        <v>243</v>
      </c>
      <c r="BA126" t="s">
        <v>242</v>
      </c>
      <c r="BB126" t="s">
        <v>243</v>
      </c>
      <c r="BC126" t="s">
        <v>519</v>
      </c>
      <c r="BD126" t="s">
        <v>243</v>
      </c>
      <c r="BE126" t="s">
        <v>243</v>
      </c>
      <c r="BF126" t="s">
        <v>243</v>
      </c>
      <c r="BG126" t="s">
        <v>519</v>
      </c>
      <c r="BH126" t="s">
        <v>243</v>
      </c>
      <c r="BI126" t="s">
        <v>243</v>
      </c>
      <c r="BJ126" t="s">
        <v>243</v>
      </c>
      <c r="BK126" t="s">
        <v>519</v>
      </c>
      <c r="BL126" t="s">
        <v>243</v>
      </c>
      <c r="BM126" t="s">
        <v>243</v>
      </c>
      <c r="BN126" t="s">
        <v>243</v>
      </c>
      <c r="BO126" t="s">
        <v>519</v>
      </c>
      <c r="BP126" t="s">
        <v>243</v>
      </c>
      <c r="BQ126" t="s">
        <v>243</v>
      </c>
      <c r="BR126" t="s">
        <v>243</v>
      </c>
      <c r="BS126" t="s">
        <v>519</v>
      </c>
      <c r="BT126" t="s">
        <v>243</v>
      </c>
      <c r="BU126" t="s">
        <v>243</v>
      </c>
      <c r="BV126" t="s">
        <v>243</v>
      </c>
      <c r="BW126" t="s">
        <v>519</v>
      </c>
      <c r="BX126" t="s">
        <v>243</v>
      </c>
      <c r="BY126" t="s">
        <v>243</v>
      </c>
      <c r="BZ126" t="s">
        <v>243</v>
      </c>
      <c r="CA126" t="s">
        <v>519</v>
      </c>
      <c r="CB126" t="s">
        <v>243</v>
      </c>
      <c r="CC126" t="s">
        <v>243</v>
      </c>
      <c r="CD126" t="s">
        <v>243</v>
      </c>
      <c r="CE126" t="s">
        <v>519</v>
      </c>
      <c r="CF126" t="s">
        <v>243</v>
      </c>
      <c r="CG126" t="s">
        <v>243</v>
      </c>
      <c r="CH126" t="s">
        <v>243</v>
      </c>
      <c r="CI126" t="s">
        <v>519</v>
      </c>
      <c r="CJ126" t="s">
        <v>243</v>
      </c>
      <c r="CK126" t="s">
        <v>243</v>
      </c>
      <c r="CL126" t="s">
        <v>243</v>
      </c>
      <c r="CM126" t="s">
        <v>519</v>
      </c>
      <c r="CN126" t="s">
        <v>243</v>
      </c>
      <c r="CO126" t="s">
        <v>243</v>
      </c>
      <c r="CP126" t="s">
        <v>243</v>
      </c>
      <c r="CQ126" t="s">
        <v>519</v>
      </c>
      <c r="CR126" t="s">
        <v>243</v>
      </c>
      <c r="CS126" t="s">
        <v>243</v>
      </c>
      <c r="CT126" t="s">
        <v>243</v>
      </c>
      <c r="CU126" t="s">
        <v>519</v>
      </c>
      <c r="CV126" t="s">
        <v>243</v>
      </c>
      <c r="CW126" t="s">
        <v>243</v>
      </c>
      <c r="CX126" t="s">
        <v>243</v>
      </c>
      <c r="CY126" t="s">
        <v>519</v>
      </c>
      <c r="CZ126" t="s">
        <v>243</v>
      </c>
      <c r="DA126" t="s">
        <v>243</v>
      </c>
      <c r="DB126" t="s">
        <v>243</v>
      </c>
      <c r="DC126" t="s">
        <v>242</v>
      </c>
      <c r="DD126" t="s">
        <v>243</v>
      </c>
      <c r="DF126" t="s">
        <v>243</v>
      </c>
      <c r="DG126" t="s">
        <v>242</v>
      </c>
      <c r="DH126" t="s">
        <v>244</v>
      </c>
    </row>
    <row r="127" spans="1:112" x14ac:dyDescent="0.35">
      <c r="A127" t="s">
        <v>227</v>
      </c>
      <c r="B127" t="s">
        <v>5997</v>
      </c>
      <c r="C127" t="s">
        <v>229</v>
      </c>
      <c r="D127" t="s">
        <v>2684</v>
      </c>
      <c r="E127" t="s">
        <v>231</v>
      </c>
      <c r="F127" t="s">
        <v>5998</v>
      </c>
      <c r="G127" t="s">
        <v>40</v>
      </c>
      <c r="H127" t="s">
        <v>5999</v>
      </c>
      <c r="I127" t="s">
        <v>234</v>
      </c>
      <c r="J127" t="s">
        <v>5767</v>
      </c>
      <c r="L127" t="s">
        <v>6000</v>
      </c>
      <c r="M127" t="s">
        <v>18</v>
      </c>
      <c r="N127" t="s">
        <v>6001</v>
      </c>
      <c r="O127" t="s">
        <v>21</v>
      </c>
      <c r="P127" t="s">
        <v>6002</v>
      </c>
      <c r="Q127" t="s">
        <v>40</v>
      </c>
      <c r="R127" t="s">
        <v>5169</v>
      </c>
      <c r="S127" t="s">
        <v>310</v>
      </c>
      <c r="T127" t="s">
        <v>6003</v>
      </c>
      <c r="U127" t="s">
        <v>40</v>
      </c>
      <c r="V127" t="s">
        <v>6004</v>
      </c>
      <c r="W127" t="s">
        <v>40</v>
      </c>
      <c r="X127" t="s">
        <v>6005</v>
      </c>
      <c r="Y127" t="s">
        <v>6006</v>
      </c>
      <c r="Z127" t="s">
        <v>6007</v>
      </c>
      <c r="AA127" t="s">
        <v>40</v>
      </c>
      <c r="AB127" t="s">
        <v>5434</v>
      </c>
      <c r="AC127" t="s">
        <v>316</v>
      </c>
      <c r="AD127" t="s">
        <v>6008</v>
      </c>
      <c r="AE127" t="s">
        <v>502</v>
      </c>
      <c r="AF127" t="s">
        <v>6009</v>
      </c>
      <c r="AG127" t="s">
        <v>40</v>
      </c>
      <c r="AH127" t="s">
        <v>2585</v>
      </c>
      <c r="AI127" t="s">
        <v>1941</v>
      </c>
      <c r="AJ127" t="s">
        <v>6010</v>
      </c>
      <c r="AK127" t="s">
        <v>6011</v>
      </c>
      <c r="AL127" t="s">
        <v>6012</v>
      </c>
      <c r="AM127" t="s">
        <v>511</v>
      </c>
      <c r="AN127" t="s">
        <v>6013</v>
      </c>
      <c r="AO127" t="s">
        <v>1498</v>
      </c>
      <c r="AP127" t="s">
        <v>5685</v>
      </c>
      <c r="AQ127" t="s">
        <v>45</v>
      </c>
      <c r="AR127" t="s">
        <v>6014</v>
      </c>
      <c r="AS127" t="s">
        <v>242</v>
      </c>
      <c r="AT127" t="s">
        <v>6015</v>
      </c>
      <c r="AU127" t="s">
        <v>1213</v>
      </c>
      <c r="AV127" t="s">
        <v>6016</v>
      </c>
      <c r="AW127" t="s">
        <v>247</v>
      </c>
      <c r="AX127" t="s">
        <v>6017</v>
      </c>
      <c r="AY127" t="s">
        <v>249</v>
      </c>
      <c r="AZ127" t="s">
        <v>6018</v>
      </c>
      <c r="BA127" t="s">
        <v>242</v>
      </c>
      <c r="BB127" t="s">
        <v>6019</v>
      </c>
      <c r="BC127" t="s">
        <v>519</v>
      </c>
      <c r="BD127" t="s">
        <v>6020</v>
      </c>
      <c r="BE127" t="s">
        <v>243</v>
      </c>
      <c r="BF127" t="s">
        <v>6021</v>
      </c>
      <c r="BG127" t="s">
        <v>295</v>
      </c>
      <c r="BH127" t="s">
        <v>6022</v>
      </c>
      <c r="BI127" t="s">
        <v>243</v>
      </c>
      <c r="BJ127" t="s">
        <v>6023</v>
      </c>
      <c r="BK127" t="s">
        <v>519</v>
      </c>
      <c r="BL127" t="s">
        <v>374</v>
      </c>
      <c r="BM127" t="s">
        <v>295</v>
      </c>
      <c r="BN127" t="s">
        <v>5222</v>
      </c>
      <c r="BO127" t="s">
        <v>519</v>
      </c>
      <c r="BP127" t="s">
        <v>6024</v>
      </c>
      <c r="BQ127" t="s">
        <v>243</v>
      </c>
      <c r="BR127" t="s">
        <v>6025</v>
      </c>
      <c r="BS127" t="s">
        <v>295</v>
      </c>
      <c r="BT127" t="s">
        <v>3403</v>
      </c>
      <c r="BU127" t="s">
        <v>243</v>
      </c>
      <c r="BV127" t="s">
        <v>6026</v>
      </c>
      <c r="BW127" t="s">
        <v>519</v>
      </c>
      <c r="BX127" t="s">
        <v>1168</v>
      </c>
      <c r="BY127" t="s">
        <v>295</v>
      </c>
      <c r="BZ127" t="s">
        <v>3403</v>
      </c>
      <c r="CA127" t="s">
        <v>519</v>
      </c>
      <c r="CB127" t="s">
        <v>6027</v>
      </c>
      <c r="CC127" t="s">
        <v>295</v>
      </c>
      <c r="CD127" t="s">
        <v>6028</v>
      </c>
      <c r="CE127" t="s">
        <v>519</v>
      </c>
      <c r="CF127" t="s">
        <v>536</v>
      </c>
      <c r="CG127" t="s">
        <v>295</v>
      </c>
      <c r="CH127" t="s">
        <v>6029</v>
      </c>
      <c r="CI127" t="s">
        <v>295</v>
      </c>
      <c r="CJ127" t="s">
        <v>6030</v>
      </c>
      <c r="CK127" t="s">
        <v>243</v>
      </c>
      <c r="CL127" t="s">
        <v>5287</v>
      </c>
      <c r="CM127" t="s">
        <v>295</v>
      </c>
      <c r="CN127" t="s">
        <v>6031</v>
      </c>
      <c r="CO127" t="s">
        <v>243</v>
      </c>
      <c r="CP127" t="s">
        <v>6032</v>
      </c>
      <c r="CQ127" t="s">
        <v>519</v>
      </c>
      <c r="CR127" t="s">
        <v>4378</v>
      </c>
      <c r="CS127" t="s">
        <v>243</v>
      </c>
      <c r="CT127" t="s">
        <v>6033</v>
      </c>
      <c r="CU127" t="s">
        <v>519</v>
      </c>
      <c r="CV127" t="s">
        <v>4522</v>
      </c>
      <c r="CW127" t="s">
        <v>243</v>
      </c>
      <c r="CX127" t="s">
        <v>6034</v>
      </c>
      <c r="CY127" t="s">
        <v>519</v>
      </c>
      <c r="CZ127" t="s">
        <v>6035</v>
      </c>
      <c r="DA127" t="s">
        <v>295</v>
      </c>
      <c r="DB127" t="s">
        <v>6036</v>
      </c>
      <c r="DC127" t="s">
        <v>242</v>
      </c>
      <c r="DD127" t="s">
        <v>657</v>
      </c>
      <c r="DF127" t="s">
        <v>6037</v>
      </c>
      <c r="DG127" t="s">
        <v>242</v>
      </c>
      <c r="DH127" t="s">
        <v>6038</v>
      </c>
    </row>
    <row r="128" spans="1:112" x14ac:dyDescent="0.35">
      <c r="A128" t="s">
        <v>227</v>
      </c>
      <c r="B128" t="s">
        <v>6039</v>
      </c>
      <c r="C128" t="s">
        <v>229</v>
      </c>
      <c r="D128" t="s">
        <v>6040</v>
      </c>
      <c r="E128" t="s">
        <v>231</v>
      </c>
      <c r="F128" t="s">
        <v>6041</v>
      </c>
      <c r="G128" t="s">
        <v>40</v>
      </c>
      <c r="H128" t="s">
        <v>5196</v>
      </c>
      <c r="I128" t="s">
        <v>234</v>
      </c>
      <c r="J128" t="s">
        <v>6042</v>
      </c>
      <c r="L128" t="s">
        <v>6043</v>
      </c>
      <c r="M128" t="s">
        <v>18</v>
      </c>
      <c r="N128" t="s">
        <v>6044</v>
      </c>
      <c r="O128" t="s">
        <v>21</v>
      </c>
      <c r="P128" t="s">
        <v>1221</v>
      </c>
      <c r="Q128" t="s">
        <v>40</v>
      </c>
      <c r="R128" t="s">
        <v>6045</v>
      </c>
      <c r="S128" t="s">
        <v>310</v>
      </c>
      <c r="T128" t="s">
        <v>6046</v>
      </c>
      <c r="U128" t="s">
        <v>40</v>
      </c>
      <c r="V128" t="s">
        <v>6047</v>
      </c>
      <c r="W128" t="s">
        <v>40</v>
      </c>
      <c r="X128" t="s">
        <v>6048</v>
      </c>
      <c r="Y128" t="s">
        <v>75</v>
      </c>
      <c r="Z128" t="s">
        <v>6049</v>
      </c>
      <c r="AA128" t="s">
        <v>40</v>
      </c>
      <c r="AB128" t="s">
        <v>2355</v>
      </c>
      <c r="AC128" t="s">
        <v>316</v>
      </c>
      <c r="AD128" t="s">
        <v>6050</v>
      </c>
      <c r="AE128" t="s">
        <v>502</v>
      </c>
      <c r="AF128" t="s">
        <v>6051</v>
      </c>
      <c r="AG128" t="s">
        <v>40</v>
      </c>
      <c r="AH128" t="s">
        <v>6052</v>
      </c>
      <c r="AI128" t="s">
        <v>621</v>
      </c>
      <c r="AJ128" t="s">
        <v>6053</v>
      </c>
      <c r="AK128" t="s">
        <v>6054</v>
      </c>
      <c r="AL128" t="s">
        <v>6055</v>
      </c>
      <c r="AM128" t="s">
        <v>2884</v>
      </c>
      <c r="AN128" t="s">
        <v>4373</v>
      </c>
      <c r="AO128" t="s">
        <v>1760</v>
      </c>
      <c r="AP128" t="s">
        <v>6056</v>
      </c>
      <c r="AQ128" t="s">
        <v>41</v>
      </c>
      <c r="AR128" t="s">
        <v>6057</v>
      </c>
      <c r="AS128" t="s">
        <v>242</v>
      </c>
      <c r="AT128" t="s">
        <v>5411</v>
      </c>
      <c r="AU128" t="s">
        <v>6058</v>
      </c>
      <c r="AV128" t="s">
        <v>6059</v>
      </c>
      <c r="AW128" t="s">
        <v>247</v>
      </c>
      <c r="AX128" t="s">
        <v>6060</v>
      </c>
      <c r="AY128" t="s">
        <v>249</v>
      </c>
      <c r="AZ128" t="s">
        <v>6061</v>
      </c>
      <c r="BA128" t="s">
        <v>242</v>
      </c>
      <c r="BB128" t="s">
        <v>6062</v>
      </c>
      <c r="BC128" t="s">
        <v>469</v>
      </c>
      <c r="BD128" t="s">
        <v>6063</v>
      </c>
      <c r="BE128" t="s">
        <v>519</v>
      </c>
      <c r="BF128" t="s">
        <v>6064</v>
      </c>
      <c r="BG128" t="s">
        <v>287</v>
      </c>
      <c r="BH128" t="s">
        <v>6065</v>
      </c>
      <c r="BI128" t="s">
        <v>365</v>
      </c>
      <c r="BJ128" t="s">
        <v>6066</v>
      </c>
      <c r="BK128" t="s">
        <v>401</v>
      </c>
      <c r="BL128" t="s">
        <v>6067</v>
      </c>
      <c r="BM128" t="s">
        <v>397</v>
      </c>
      <c r="BN128" t="s">
        <v>6068</v>
      </c>
      <c r="BO128" t="s">
        <v>397</v>
      </c>
      <c r="BP128" t="s">
        <v>6069</v>
      </c>
      <c r="BQ128" t="s">
        <v>401</v>
      </c>
      <c r="BR128" t="s">
        <v>6070</v>
      </c>
      <c r="BS128" t="s">
        <v>351</v>
      </c>
      <c r="BT128" t="s">
        <v>6071</v>
      </c>
      <c r="BU128" t="s">
        <v>365</v>
      </c>
      <c r="BV128" t="s">
        <v>6072</v>
      </c>
      <c r="BW128" t="s">
        <v>287</v>
      </c>
      <c r="BX128" t="s">
        <v>4423</v>
      </c>
      <c r="BY128" t="s">
        <v>421</v>
      </c>
      <c r="BZ128" t="s">
        <v>6073</v>
      </c>
      <c r="CA128" t="s">
        <v>397</v>
      </c>
      <c r="CB128" t="s">
        <v>2448</v>
      </c>
      <c r="CC128" t="s">
        <v>339</v>
      </c>
      <c r="CD128" t="s">
        <v>6074</v>
      </c>
      <c r="CE128" t="s">
        <v>348</v>
      </c>
      <c r="CF128" t="s">
        <v>6075</v>
      </c>
      <c r="CG128" t="s">
        <v>263</v>
      </c>
      <c r="CH128" t="s">
        <v>6076</v>
      </c>
      <c r="CI128" t="s">
        <v>342</v>
      </c>
      <c r="CJ128" t="s">
        <v>2834</v>
      </c>
      <c r="CK128" t="s">
        <v>252</v>
      </c>
      <c r="CL128" t="s">
        <v>6077</v>
      </c>
      <c r="CM128" t="s">
        <v>589</v>
      </c>
      <c r="CN128" t="s">
        <v>6078</v>
      </c>
      <c r="CO128" t="s">
        <v>589</v>
      </c>
      <c r="CP128" t="s">
        <v>1031</v>
      </c>
      <c r="CQ128" t="s">
        <v>348</v>
      </c>
      <c r="CR128" t="s">
        <v>6079</v>
      </c>
      <c r="CS128" t="s">
        <v>339</v>
      </c>
      <c r="CT128" t="s">
        <v>2666</v>
      </c>
      <c r="CU128" t="s">
        <v>528</v>
      </c>
      <c r="CV128" t="s">
        <v>6080</v>
      </c>
      <c r="CW128" t="s">
        <v>595</v>
      </c>
      <c r="CX128" t="s">
        <v>2359</v>
      </c>
      <c r="CY128" t="s">
        <v>339</v>
      </c>
      <c r="CZ128" t="s">
        <v>6081</v>
      </c>
      <c r="DA128" t="s">
        <v>595</v>
      </c>
      <c r="DB128" t="s">
        <v>6082</v>
      </c>
      <c r="DC128" t="s">
        <v>242</v>
      </c>
      <c r="DD128" t="s">
        <v>6083</v>
      </c>
      <c r="DF128" t="s">
        <v>307</v>
      </c>
      <c r="DG128" t="s">
        <v>242</v>
      </c>
      <c r="DH128" t="s">
        <v>6084</v>
      </c>
    </row>
    <row r="129" spans="1:112" x14ac:dyDescent="0.35">
      <c r="A129" t="s">
        <v>227</v>
      </c>
      <c r="B129" t="s">
        <v>6085</v>
      </c>
      <c r="C129" t="s">
        <v>229</v>
      </c>
      <c r="D129" t="s">
        <v>6086</v>
      </c>
      <c r="E129" t="s">
        <v>231</v>
      </c>
      <c r="F129" t="s">
        <v>6087</v>
      </c>
      <c r="G129" t="s">
        <v>40</v>
      </c>
      <c r="H129" t="s">
        <v>6088</v>
      </c>
      <c r="I129" t="s">
        <v>234</v>
      </c>
      <c r="J129" t="s">
        <v>4868</v>
      </c>
      <c r="L129" t="s">
        <v>6089</v>
      </c>
      <c r="M129" t="s">
        <v>18</v>
      </c>
      <c r="N129" t="s">
        <v>6090</v>
      </c>
      <c r="O129" t="s">
        <v>21</v>
      </c>
      <c r="P129" t="s">
        <v>6091</v>
      </c>
      <c r="Q129" t="s">
        <v>40</v>
      </c>
      <c r="R129" t="s">
        <v>6083</v>
      </c>
      <c r="S129" t="s">
        <v>310</v>
      </c>
      <c r="T129" t="s">
        <v>6092</v>
      </c>
      <c r="U129" t="s">
        <v>40</v>
      </c>
      <c r="V129" t="s">
        <v>5239</v>
      </c>
      <c r="W129" t="s">
        <v>40</v>
      </c>
      <c r="X129" t="s">
        <v>6093</v>
      </c>
      <c r="Y129" t="s">
        <v>97</v>
      </c>
      <c r="Z129" t="s">
        <v>6094</v>
      </c>
      <c r="AA129" t="s">
        <v>40</v>
      </c>
      <c r="AB129" t="s">
        <v>1267</v>
      </c>
      <c r="AC129" t="s">
        <v>316</v>
      </c>
      <c r="AD129" t="s">
        <v>4645</v>
      </c>
      <c r="AE129" t="s">
        <v>502</v>
      </c>
      <c r="AF129" t="s">
        <v>6095</v>
      </c>
      <c r="AG129" t="s">
        <v>40</v>
      </c>
      <c r="AH129" t="s">
        <v>6096</v>
      </c>
      <c r="AI129" t="s">
        <v>1941</v>
      </c>
      <c r="AJ129" t="s">
        <v>6097</v>
      </c>
      <c r="AK129" t="s">
        <v>6098</v>
      </c>
      <c r="AL129" t="s">
        <v>6099</v>
      </c>
      <c r="AM129" t="s">
        <v>823</v>
      </c>
      <c r="AN129" t="s">
        <v>3919</v>
      </c>
      <c r="AO129" t="s">
        <v>325</v>
      </c>
      <c r="AP129" t="s">
        <v>1922</v>
      </c>
      <c r="AQ129" t="s">
        <v>41</v>
      </c>
      <c r="AR129" t="s">
        <v>6100</v>
      </c>
      <c r="AS129" t="s">
        <v>242</v>
      </c>
      <c r="AT129" t="s">
        <v>6101</v>
      </c>
      <c r="AU129" t="s">
        <v>6102</v>
      </c>
      <c r="AV129" t="s">
        <v>6103</v>
      </c>
      <c r="AW129" t="s">
        <v>247</v>
      </c>
      <c r="AX129" t="s">
        <v>6104</v>
      </c>
      <c r="AY129" t="s">
        <v>249</v>
      </c>
      <c r="AZ129" t="s">
        <v>6105</v>
      </c>
      <c r="BA129" t="s">
        <v>242</v>
      </c>
      <c r="BB129" t="s">
        <v>6106</v>
      </c>
      <c r="BC129" t="s">
        <v>532</v>
      </c>
      <c r="BD129" t="s">
        <v>6107</v>
      </c>
      <c r="BE129" t="s">
        <v>295</v>
      </c>
      <c r="BF129" t="s">
        <v>6108</v>
      </c>
      <c r="BG129" t="s">
        <v>900</v>
      </c>
      <c r="BH129" t="s">
        <v>6109</v>
      </c>
      <c r="BI129" t="s">
        <v>295</v>
      </c>
      <c r="BJ129" t="s">
        <v>6110</v>
      </c>
      <c r="BK129" t="s">
        <v>335</v>
      </c>
      <c r="BL129" t="s">
        <v>6111</v>
      </c>
      <c r="BM129" t="s">
        <v>271</v>
      </c>
      <c r="BN129" t="s">
        <v>6112</v>
      </c>
      <c r="BO129" t="s">
        <v>538</v>
      </c>
      <c r="BP129" t="s">
        <v>6113</v>
      </c>
      <c r="BQ129" t="s">
        <v>467</v>
      </c>
      <c r="BR129" t="s">
        <v>6114</v>
      </c>
      <c r="BS129" t="s">
        <v>335</v>
      </c>
      <c r="BT129" t="s">
        <v>6115</v>
      </c>
      <c r="BU129" t="s">
        <v>393</v>
      </c>
      <c r="BV129" t="s">
        <v>6116</v>
      </c>
      <c r="BW129" t="s">
        <v>360</v>
      </c>
      <c r="BX129" t="s">
        <v>6117</v>
      </c>
      <c r="BY129" t="s">
        <v>371</v>
      </c>
      <c r="BZ129" t="s">
        <v>6118</v>
      </c>
      <c r="CA129" t="s">
        <v>399</v>
      </c>
      <c r="CB129" t="s">
        <v>1007</v>
      </c>
      <c r="CC129" t="s">
        <v>429</v>
      </c>
      <c r="CD129" t="s">
        <v>6119</v>
      </c>
      <c r="CE129" t="s">
        <v>538</v>
      </c>
      <c r="CF129" t="s">
        <v>4398</v>
      </c>
      <c r="CG129" t="s">
        <v>367</v>
      </c>
      <c r="CH129" t="s">
        <v>6120</v>
      </c>
      <c r="CI129" t="s">
        <v>519</v>
      </c>
      <c r="CJ129" t="s">
        <v>6121</v>
      </c>
      <c r="CK129" t="s">
        <v>399</v>
      </c>
      <c r="CL129" t="s">
        <v>6122</v>
      </c>
      <c r="CM129" t="s">
        <v>367</v>
      </c>
      <c r="CN129" t="s">
        <v>5176</v>
      </c>
      <c r="CO129" t="s">
        <v>469</v>
      </c>
      <c r="CP129" t="s">
        <v>6123</v>
      </c>
      <c r="CQ129" t="s">
        <v>408</v>
      </c>
      <c r="CR129" t="s">
        <v>6124</v>
      </c>
      <c r="CS129" t="s">
        <v>408</v>
      </c>
      <c r="CT129" t="s">
        <v>6125</v>
      </c>
      <c r="CU129" t="s">
        <v>575</v>
      </c>
      <c r="CV129" t="s">
        <v>6126</v>
      </c>
      <c r="CW129" t="s">
        <v>532</v>
      </c>
      <c r="CX129" t="s">
        <v>6127</v>
      </c>
      <c r="CY129" t="s">
        <v>542</v>
      </c>
      <c r="CZ129" t="s">
        <v>6128</v>
      </c>
      <c r="DA129" t="s">
        <v>399</v>
      </c>
      <c r="DB129" t="s">
        <v>6129</v>
      </c>
      <c r="DC129" t="s">
        <v>242</v>
      </c>
      <c r="DD129" t="s">
        <v>6130</v>
      </c>
      <c r="DF129" t="s">
        <v>6131</v>
      </c>
      <c r="DG129" t="s">
        <v>242</v>
      </c>
      <c r="DH129" t="s">
        <v>1049</v>
      </c>
    </row>
    <row r="130" spans="1:112" x14ac:dyDescent="0.35">
      <c r="A130" t="s">
        <v>227</v>
      </c>
      <c r="B130" t="s">
        <v>6132</v>
      </c>
      <c r="C130" t="s">
        <v>229</v>
      </c>
      <c r="D130" t="s">
        <v>6133</v>
      </c>
      <c r="E130" t="s">
        <v>231</v>
      </c>
      <c r="F130" t="s">
        <v>6134</v>
      </c>
      <c r="G130" t="s">
        <v>40</v>
      </c>
      <c r="H130" t="s">
        <v>6135</v>
      </c>
      <c r="I130" t="s">
        <v>234</v>
      </c>
      <c r="J130" t="s">
        <v>6136</v>
      </c>
      <c r="L130" t="s">
        <v>6137</v>
      </c>
      <c r="M130" t="s">
        <v>18</v>
      </c>
      <c r="N130" t="s">
        <v>2904</v>
      </c>
      <c r="O130" t="s">
        <v>21</v>
      </c>
      <c r="P130" t="s">
        <v>503</v>
      </c>
      <c r="Q130" t="s">
        <v>40</v>
      </c>
      <c r="R130" t="s">
        <v>3405</v>
      </c>
      <c r="S130" t="s">
        <v>310</v>
      </c>
      <c r="T130" t="s">
        <v>6138</v>
      </c>
      <c r="U130" t="s">
        <v>40</v>
      </c>
      <c r="V130" t="s">
        <v>6139</v>
      </c>
      <c r="W130" t="s">
        <v>40</v>
      </c>
      <c r="X130" t="s">
        <v>6140</v>
      </c>
      <c r="Y130" t="s">
        <v>6141</v>
      </c>
      <c r="Z130" t="s">
        <v>6142</v>
      </c>
      <c r="AA130" t="s">
        <v>40</v>
      </c>
      <c r="AB130" t="s">
        <v>6143</v>
      </c>
      <c r="AC130" t="s">
        <v>316</v>
      </c>
      <c r="AD130" t="s">
        <v>6144</v>
      </c>
      <c r="AE130" t="s">
        <v>502</v>
      </c>
      <c r="AF130" t="s">
        <v>506</v>
      </c>
      <c r="AG130" t="s">
        <v>40</v>
      </c>
      <c r="AH130" t="s">
        <v>2411</v>
      </c>
      <c r="AI130" t="s">
        <v>1941</v>
      </c>
      <c r="AJ130" t="s">
        <v>6145</v>
      </c>
      <c r="AK130" t="s">
        <v>6146</v>
      </c>
      <c r="AL130" t="s">
        <v>6147</v>
      </c>
      <c r="AM130" t="s">
        <v>325</v>
      </c>
      <c r="AN130" t="s">
        <v>6148</v>
      </c>
      <c r="AO130" t="s">
        <v>1760</v>
      </c>
      <c r="AP130" t="s">
        <v>6149</v>
      </c>
      <c r="AQ130" t="s">
        <v>41</v>
      </c>
      <c r="AR130" t="s">
        <v>6150</v>
      </c>
      <c r="AS130" t="s">
        <v>242</v>
      </c>
      <c r="AT130" t="s">
        <v>6151</v>
      </c>
      <c r="AU130" t="s">
        <v>6152</v>
      </c>
      <c r="AV130" t="s">
        <v>6153</v>
      </c>
      <c r="AW130" t="s">
        <v>247</v>
      </c>
      <c r="AX130" t="s">
        <v>2287</v>
      </c>
      <c r="AY130" t="s">
        <v>1081</v>
      </c>
      <c r="AZ130" t="s">
        <v>6154</v>
      </c>
      <c r="BA130" t="s">
        <v>242</v>
      </c>
      <c r="BB130" t="s">
        <v>6155</v>
      </c>
      <c r="BC130" t="s">
        <v>685</v>
      </c>
      <c r="BD130" t="s">
        <v>6156</v>
      </c>
      <c r="BE130" t="s">
        <v>356</v>
      </c>
      <c r="BF130" t="s">
        <v>6157</v>
      </c>
      <c r="BG130" t="s">
        <v>342</v>
      </c>
      <c r="BH130" t="s">
        <v>6158</v>
      </c>
      <c r="BI130" t="s">
        <v>752</v>
      </c>
      <c r="BJ130" t="s">
        <v>6159</v>
      </c>
      <c r="BK130" t="s">
        <v>528</v>
      </c>
      <c r="BL130" t="s">
        <v>6160</v>
      </c>
      <c r="BM130" t="s">
        <v>900</v>
      </c>
      <c r="BN130" t="s">
        <v>5231</v>
      </c>
      <c r="BO130" t="s">
        <v>900</v>
      </c>
      <c r="BP130" t="s">
        <v>6161</v>
      </c>
      <c r="BQ130" t="s">
        <v>365</v>
      </c>
      <c r="BR130" t="s">
        <v>6162</v>
      </c>
      <c r="BS130" t="s">
        <v>595</v>
      </c>
      <c r="BT130" t="s">
        <v>6163</v>
      </c>
      <c r="BU130" t="s">
        <v>416</v>
      </c>
      <c r="BV130" t="s">
        <v>6164</v>
      </c>
      <c r="BW130" t="s">
        <v>528</v>
      </c>
      <c r="BX130" t="s">
        <v>6165</v>
      </c>
      <c r="BY130" t="s">
        <v>342</v>
      </c>
      <c r="BZ130" t="s">
        <v>6166</v>
      </c>
      <c r="CA130" t="s">
        <v>528</v>
      </c>
      <c r="CB130" t="s">
        <v>6167</v>
      </c>
      <c r="CC130" t="s">
        <v>342</v>
      </c>
      <c r="CD130" t="s">
        <v>6168</v>
      </c>
      <c r="CE130" t="s">
        <v>591</v>
      </c>
      <c r="CF130" t="s">
        <v>6169</v>
      </c>
      <c r="CG130" t="s">
        <v>339</v>
      </c>
      <c r="CH130" t="s">
        <v>6170</v>
      </c>
      <c r="CI130" t="s">
        <v>252</v>
      </c>
      <c r="CJ130" t="s">
        <v>4647</v>
      </c>
      <c r="CK130" t="s">
        <v>252</v>
      </c>
      <c r="CL130" t="s">
        <v>6171</v>
      </c>
      <c r="CM130" t="s">
        <v>664</v>
      </c>
      <c r="CN130" t="s">
        <v>1785</v>
      </c>
      <c r="CO130" t="s">
        <v>656</v>
      </c>
      <c r="CP130" t="s">
        <v>6172</v>
      </c>
      <c r="CQ130" t="s">
        <v>252</v>
      </c>
      <c r="CR130" t="s">
        <v>6173</v>
      </c>
      <c r="CS130" t="s">
        <v>528</v>
      </c>
      <c r="CT130" t="s">
        <v>6174</v>
      </c>
      <c r="CU130" t="s">
        <v>351</v>
      </c>
      <c r="CV130" t="s">
        <v>6175</v>
      </c>
      <c r="CW130" t="s">
        <v>252</v>
      </c>
      <c r="CX130" t="s">
        <v>6176</v>
      </c>
      <c r="CY130" t="s">
        <v>351</v>
      </c>
      <c r="CZ130" t="s">
        <v>6177</v>
      </c>
      <c r="DA130" t="s">
        <v>519</v>
      </c>
      <c r="DB130" t="s">
        <v>2566</v>
      </c>
      <c r="DC130" t="s">
        <v>242</v>
      </c>
      <c r="DD130" t="s">
        <v>6178</v>
      </c>
      <c r="DF130" t="s">
        <v>2729</v>
      </c>
      <c r="DG130" t="s">
        <v>242</v>
      </c>
      <c r="DH130" t="s">
        <v>6179</v>
      </c>
    </row>
    <row r="131" spans="1:112" x14ac:dyDescent="0.35">
      <c r="A131" t="s">
        <v>227</v>
      </c>
      <c r="B131" t="s">
        <v>6180</v>
      </c>
      <c r="C131" t="s">
        <v>229</v>
      </c>
      <c r="D131" t="s">
        <v>6181</v>
      </c>
      <c r="E131" t="s">
        <v>231</v>
      </c>
      <c r="F131" t="s">
        <v>6182</v>
      </c>
      <c r="G131" t="s">
        <v>40</v>
      </c>
      <c r="H131" t="s">
        <v>433</v>
      </c>
      <c r="I131" t="s">
        <v>234</v>
      </c>
      <c r="J131" t="s">
        <v>5216</v>
      </c>
      <c r="L131" t="s">
        <v>6183</v>
      </c>
      <c r="M131" t="s">
        <v>15</v>
      </c>
      <c r="N131" t="s">
        <v>3405</v>
      </c>
      <c r="O131" t="s">
        <v>21</v>
      </c>
      <c r="P131" t="s">
        <v>6184</v>
      </c>
      <c r="Q131" t="s">
        <v>40</v>
      </c>
      <c r="R131" t="s">
        <v>6185</v>
      </c>
      <c r="S131" t="s">
        <v>310</v>
      </c>
      <c r="T131" t="s">
        <v>6186</v>
      </c>
      <c r="U131" t="s">
        <v>40</v>
      </c>
      <c r="V131" t="s">
        <v>6187</v>
      </c>
      <c r="W131" t="s">
        <v>40</v>
      </c>
      <c r="X131" t="s">
        <v>6188</v>
      </c>
      <c r="Y131" t="s">
        <v>75</v>
      </c>
      <c r="Z131" t="s">
        <v>6189</v>
      </c>
      <c r="AA131" t="s">
        <v>40</v>
      </c>
      <c r="AB131" t="s">
        <v>2805</v>
      </c>
      <c r="AC131" t="s">
        <v>316</v>
      </c>
      <c r="AD131" t="s">
        <v>6190</v>
      </c>
      <c r="AE131" t="s">
        <v>1996</v>
      </c>
      <c r="AF131" t="s">
        <v>6191</v>
      </c>
      <c r="AG131" t="s">
        <v>40</v>
      </c>
      <c r="AH131" t="s">
        <v>6192</v>
      </c>
      <c r="AI131" t="s">
        <v>621</v>
      </c>
      <c r="AJ131" t="s">
        <v>6193</v>
      </c>
      <c r="AK131" t="s">
        <v>5339</v>
      </c>
      <c r="AL131" t="s">
        <v>6194</v>
      </c>
      <c r="AM131" t="s">
        <v>325</v>
      </c>
      <c r="AN131" t="s">
        <v>6195</v>
      </c>
      <c r="AO131" t="s">
        <v>1498</v>
      </c>
      <c r="AP131" t="s">
        <v>6196</v>
      </c>
      <c r="AQ131" t="s">
        <v>41</v>
      </c>
      <c r="AR131" t="s">
        <v>6197</v>
      </c>
      <c r="AS131" t="s">
        <v>242</v>
      </c>
      <c r="AT131" t="s">
        <v>6198</v>
      </c>
      <c r="AU131" t="s">
        <v>4029</v>
      </c>
      <c r="AV131" t="s">
        <v>6199</v>
      </c>
      <c r="AW131" t="s">
        <v>247</v>
      </c>
      <c r="AX131" t="s">
        <v>4646</v>
      </c>
      <c r="AY131" t="s">
        <v>249</v>
      </c>
      <c r="AZ131" t="s">
        <v>6200</v>
      </c>
      <c r="BA131" t="s">
        <v>242</v>
      </c>
      <c r="BB131" t="s">
        <v>1571</v>
      </c>
      <c r="BC131" t="s">
        <v>731</v>
      </c>
      <c r="BD131" t="s">
        <v>6201</v>
      </c>
      <c r="BE131" t="s">
        <v>1131</v>
      </c>
      <c r="BF131" t="s">
        <v>6202</v>
      </c>
      <c r="BG131" t="s">
        <v>369</v>
      </c>
      <c r="BH131" t="s">
        <v>6203</v>
      </c>
      <c r="BI131" t="s">
        <v>698</v>
      </c>
      <c r="BJ131" t="s">
        <v>6204</v>
      </c>
      <c r="BK131" t="s">
        <v>532</v>
      </c>
      <c r="BL131" t="s">
        <v>6205</v>
      </c>
      <c r="BM131" t="s">
        <v>469</v>
      </c>
      <c r="BN131" t="s">
        <v>6206</v>
      </c>
      <c r="BO131" t="s">
        <v>469</v>
      </c>
      <c r="BP131" t="s">
        <v>6207</v>
      </c>
      <c r="BQ131" t="s">
        <v>371</v>
      </c>
      <c r="BR131" t="s">
        <v>6208</v>
      </c>
      <c r="BS131" t="s">
        <v>519</v>
      </c>
      <c r="BT131" t="s">
        <v>4414</v>
      </c>
      <c r="BU131" t="s">
        <v>469</v>
      </c>
      <c r="BV131" t="s">
        <v>6209</v>
      </c>
      <c r="BW131" t="s">
        <v>360</v>
      </c>
      <c r="BX131" t="s">
        <v>6210</v>
      </c>
      <c r="BY131" t="s">
        <v>752</v>
      </c>
      <c r="BZ131" t="s">
        <v>6211</v>
      </c>
      <c r="CA131" t="s">
        <v>252</v>
      </c>
      <c r="CB131" t="s">
        <v>6212</v>
      </c>
      <c r="CC131" t="s">
        <v>528</v>
      </c>
      <c r="CD131" t="s">
        <v>6213</v>
      </c>
      <c r="CE131" t="s">
        <v>356</v>
      </c>
      <c r="CF131" t="s">
        <v>6214</v>
      </c>
      <c r="CG131" t="s">
        <v>421</v>
      </c>
      <c r="CH131" t="s">
        <v>3525</v>
      </c>
      <c r="CI131" t="s">
        <v>287</v>
      </c>
      <c r="CJ131" t="s">
        <v>1150</v>
      </c>
      <c r="CK131" t="s">
        <v>356</v>
      </c>
      <c r="CL131" t="s">
        <v>6215</v>
      </c>
      <c r="CM131" t="s">
        <v>360</v>
      </c>
      <c r="CN131" t="s">
        <v>5707</v>
      </c>
      <c r="CO131" t="s">
        <v>744</v>
      </c>
      <c r="CP131" t="s">
        <v>4565</v>
      </c>
      <c r="CQ131" t="s">
        <v>358</v>
      </c>
      <c r="CR131" t="s">
        <v>6216</v>
      </c>
      <c r="CS131" t="s">
        <v>358</v>
      </c>
      <c r="CT131" t="s">
        <v>6217</v>
      </c>
      <c r="CU131" t="s">
        <v>405</v>
      </c>
      <c r="CV131" t="s">
        <v>6218</v>
      </c>
      <c r="CW131" t="s">
        <v>1131</v>
      </c>
      <c r="CX131" t="s">
        <v>6219</v>
      </c>
      <c r="CY131" t="s">
        <v>479</v>
      </c>
      <c r="CZ131" t="s">
        <v>6220</v>
      </c>
      <c r="DA131" t="s">
        <v>295</v>
      </c>
      <c r="DB131" t="s">
        <v>4143</v>
      </c>
      <c r="DC131" t="s">
        <v>242</v>
      </c>
      <c r="DD131" t="s">
        <v>6221</v>
      </c>
      <c r="DF131" t="s">
        <v>6222</v>
      </c>
      <c r="DG131" t="s">
        <v>242</v>
      </c>
      <c r="DH131" t="s">
        <v>6223</v>
      </c>
    </row>
    <row r="132" spans="1:112" x14ac:dyDescent="0.35">
      <c r="A132" t="s">
        <v>227</v>
      </c>
      <c r="B132" t="s">
        <v>6224</v>
      </c>
      <c r="C132" t="s">
        <v>229</v>
      </c>
      <c r="D132" t="s">
        <v>6225</v>
      </c>
      <c r="E132" t="s">
        <v>231</v>
      </c>
      <c r="F132" t="s">
        <v>4901</v>
      </c>
      <c r="G132" t="s">
        <v>40</v>
      </c>
      <c r="H132" t="s">
        <v>6226</v>
      </c>
      <c r="I132" t="s">
        <v>234</v>
      </c>
      <c r="J132" t="s">
        <v>1385</v>
      </c>
      <c r="L132" t="s">
        <v>6227</v>
      </c>
      <c r="M132" t="s">
        <v>15</v>
      </c>
      <c r="N132" t="s">
        <v>6228</v>
      </c>
      <c r="O132" t="s">
        <v>21</v>
      </c>
      <c r="P132" t="s">
        <v>6229</v>
      </c>
      <c r="Q132" t="s">
        <v>40</v>
      </c>
      <c r="R132" t="s">
        <v>6230</v>
      </c>
      <c r="S132" t="s">
        <v>310</v>
      </c>
      <c r="T132" t="s">
        <v>6231</v>
      </c>
      <c r="U132" t="s">
        <v>40</v>
      </c>
      <c r="V132" t="s">
        <v>6232</v>
      </c>
      <c r="W132" t="s">
        <v>40</v>
      </c>
      <c r="X132" t="s">
        <v>6233</v>
      </c>
      <c r="Y132" t="s">
        <v>96</v>
      </c>
      <c r="Z132" t="s">
        <v>6234</v>
      </c>
      <c r="AA132" t="s">
        <v>40</v>
      </c>
      <c r="AB132" t="s">
        <v>6235</v>
      </c>
      <c r="AC132" t="s">
        <v>3377</v>
      </c>
      <c r="AD132" t="s">
        <v>1632</v>
      </c>
      <c r="AE132" t="s">
        <v>502</v>
      </c>
      <c r="AF132" t="s">
        <v>3906</v>
      </c>
      <c r="AG132" t="s">
        <v>40</v>
      </c>
      <c r="AH132" t="s">
        <v>511</v>
      </c>
      <c r="AI132" t="s">
        <v>621</v>
      </c>
      <c r="AJ132" t="s">
        <v>6236</v>
      </c>
      <c r="AK132" t="s">
        <v>6237</v>
      </c>
      <c r="AL132" t="s">
        <v>6238</v>
      </c>
      <c r="AM132" t="s">
        <v>1605</v>
      </c>
      <c r="AN132" t="s">
        <v>6239</v>
      </c>
      <c r="AO132" t="s">
        <v>1760</v>
      </c>
      <c r="AP132" t="s">
        <v>6240</v>
      </c>
      <c r="AQ132" t="s">
        <v>45</v>
      </c>
      <c r="AR132" t="s">
        <v>6241</v>
      </c>
      <c r="AS132" t="s">
        <v>242</v>
      </c>
      <c r="AT132" t="s">
        <v>6242</v>
      </c>
      <c r="AU132" t="s">
        <v>330</v>
      </c>
      <c r="AV132" t="s">
        <v>6243</v>
      </c>
      <c r="AW132" t="s">
        <v>247</v>
      </c>
      <c r="AX132" t="s">
        <v>6244</v>
      </c>
      <c r="AY132" t="s">
        <v>249</v>
      </c>
      <c r="AZ132" t="s">
        <v>6245</v>
      </c>
      <c r="BA132" t="s">
        <v>242</v>
      </c>
      <c r="BB132" t="s">
        <v>6246</v>
      </c>
      <c r="BC132" t="s">
        <v>451</v>
      </c>
      <c r="BD132" t="s">
        <v>6247</v>
      </c>
      <c r="BE132" t="s">
        <v>1091</v>
      </c>
      <c r="BF132" t="s">
        <v>6248</v>
      </c>
      <c r="BG132" t="s">
        <v>395</v>
      </c>
      <c r="BH132" t="s">
        <v>6249</v>
      </c>
      <c r="BI132" t="s">
        <v>858</v>
      </c>
      <c r="BJ132" t="s">
        <v>6250</v>
      </c>
      <c r="BK132" t="s">
        <v>371</v>
      </c>
      <c r="BL132" t="s">
        <v>6251</v>
      </c>
      <c r="BM132" t="s">
        <v>399</v>
      </c>
      <c r="BN132" t="s">
        <v>6252</v>
      </c>
      <c r="BO132" t="s">
        <v>519</v>
      </c>
      <c r="BP132" t="s">
        <v>6253</v>
      </c>
      <c r="BQ132" t="s">
        <v>473</v>
      </c>
      <c r="BR132" t="s">
        <v>6254</v>
      </c>
      <c r="BS132" t="s">
        <v>519</v>
      </c>
      <c r="BT132" t="s">
        <v>4360</v>
      </c>
      <c r="BU132" t="s">
        <v>268</v>
      </c>
      <c r="BV132" t="s">
        <v>6255</v>
      </c>
      <c r="BW132" t="s">
        <v>281</v>
      </c>
      <c r="BX132" t="s">
        <v>6256</v>
      </c>
      <c r="BY132" t="s">
        <v>858</v>
      </c>
      <c r="BZ132" t="s">
        <v>6257</v>
      </c>
      <c r="CA132" t="s">
        <v>519</v>
      </c>
      <c r="CB132" t="s">
        <v>6258</v>
      </c>
      <c r="CC132" t="s">
        <v>291</v>
      </c>
      <c r="CD132" t="s">
        <v>3752</v>
      </c>
      <c r="CE132" t="s">
        <v>360</v>
      </c>
      <c r="CF132" t="s">
        <v>2295</v>
      </c>
      <c r="CG132" t="s">
        <v>469</v>
      </c>
      <c r="CH132" t="s">
        <v>6259</v>
      </c>
      <c r="CI132" t="s">
        <v>779</v>
      </c>
      <c r="CJ132" t="s">
        <v>6260</v>
      </c>
      <c r="CK132" t="s">
        <v>243</v>
      </c>
      <c r="CL132" t="s">
        <v>6261</v>
      </c>
      <c r="CM132" t="s">
        <v>481</v>
      </c>
      <c r="CN132" t="s">
        <v>6262</v>
      </c>
      <c r="CO132" t="s">
        <v>408</v>
      </c>
      <c r="CP132" t="s">
        <v>1783</v>
      </c>
      <c r="CQ132" t="s">
        <v>519</v>
      </c>
      <c r="CR132" t="s">
        <v>5454</v>
      </c>
      <c r="CS132" t="s">
        <v>481</v>
      </c>
      <c r="CT132" t="s">
        <v>1875</v>
      </c>
      <c r="CU132" t="s">
        <v>519</v>
      </c>
      <c r="CV132" t="s">
        <v>3711</v>
      </c>
      <c r="CW132" t="s">
        <v>257</v>
      </c>
      <c r="CX132" t="s">
        <v>6263</v>
      </c>
      <c r="CY132" t="s">
        <v>454</v>
      </c>
      <c r="CZ132" t="s">
        <v>6264</v>
      </c>
      <c r="DA132" t="s">
        <v>405</v>
      </c>
      <c r="DB132" t="s">
        <v>6265</v>
      </c>
      <c r="DC132" t="s">
        <v>242</v>
      </c>
      <c r="DD132" t="s">
        <v>951</v>
      </c>
      <c r="DF132" t="s">
        <v>1594</v>
      </c>
      <c r="DG132" t="s">
        <v>242</v>
      </c>
      <c r="DH132" t="s">
        <v>4499</v>
      </c>
    </row>
    <row r="133" spans="1:112" x14ac:dyDescent="0.35">
      <c r="A133" t="s">
        <v>227</v>
      </c>
      <c r="B133" t="s">
        <v>6266</v>
      </c>
      <c r="C133" t="s">
        <v>229</v>
      </c>
      <c r="D133" t="s">
        <v>6267</v>
      </c>
      <c r="E133" t="s">
        <v>231</v>
      </c>
      <c r="F133" t="s">
        <v>6268</v>
      </c>
      <c r="G133" t="s">
        <v>40</v>
      </c>
      <c r="H133" t="s">
        <v>6269</v>
      </c>
      <c r="I133" t="s">
        <v>234</v>
      </c>
      <c r="J133" t="s">
        <v>6270</v>
      </c>
      <c r="L133" t="s">
        <v>6271</v>
      </c>
      <c r="M133" t="s">
        <v>18</v>
      </c>
      <c r="N133" t="s">
        <v>1701</v>
      </c>
      <c r="O133" t="s">
        <v>21</v>
      </c>
      <c r="P133" t="s">
        <v>6272</v>
      </c>
      <c r="Q133" t="s">
        <v>40</v>
      </c>
      <c r="R133" t="s">
        <v>6273</v>
      </c>
      <c r="S133" t="s">
        <v>310</v>
      </c>
      <c r="T133" t="s">
        <v>4880</v>
      </c>
      <c r="U133" t="s">
        <v>40</v>
      </c>
      <c r="V133" t="s">
        <v>2736</v>
      </c>
      <c r="W133" t="s">
        <v>40</v>
      </c>
      <c r="X133" t="s">
        <v>1370</v>
      </c>
      <c r="Y133" t="s">
        <v>6274</v>
      </c>
      <c r="Z133" t="s">
        <v>6275</v>
      </c>
      <c r="AA133" t="s">
        <v>40</v>
      </c>
      <c r="AB133" t="s">
        <v>5707</v>
      </c>
      <c r="AC133" t="s">
        <v>3377</v>
      </c>
      <c r="AD133" t="s">
        <v>1398</v>
      </c>
      <c r="AE133" t="s">
        <v>502</v>
      </c>
      <c r="AF133" t="s">
        <v>6276</v>
      </c>
      <c r="AG133" t="s">
        <v>40</v>
      </c>
      <c r="AH133" t="s">
        <v>6277</v>
      </c>
      <c r="AI133" t="s">
        <v>1941</v>
      </c>
      <c r="AJ133" t="s">
        <v>6278</v>
      </c>
      <c r="AK133" t="s">
        <v>6279</v>
      </c>
      <c r="AL133" t="s">
        <v>6280</v>
      </c>
      <c r="AM133" t="s">
        <v>6281</v>
      </c>
      <c r="AN133" t="s">
        <v>5497</v>
      </c>
      <c r="AO133" t="s">
        <v>2542</v>
      </c>
      <c r="AP133" t="s">
        <v>6282</v>
      </c>
      <c r="AQ133" t="s">
        <v>41</v>
      </c>
      <c r="AR133" t="s">
        <v>6283</v>
      </c>
      <c r="AS133" t="s">
        <v>242</v>
      </c>
      <c r="AT133" t="s">
        <v>4282</v>
      </c>
      <c r="AU133" t="s">
        <v>4029</v>
      </c>
      <c r="AV133" t="s">
        <v>6284</v>
      </c>
      <c r="AW133" t="s">
        <v>247</v>
      </c>
      <c r="AX133" t="s">
        <v>6285</v>
      </c>
      <c r="AY133" t="s">
        <v>249</v>
      </c>
      <c r="AZ133" t="s">
        <v>6286</v>
      </c>
      <c r="BA133" t="s">
        <v>242</v>
      </c>
      <c r="BB133" t="s">
        <v>919</v>
      </c>
      <c r="BC133" t="s">
        <v>365</v>
      </c>
      <c r="BD133" t="s">
        <v>6287</v>
      </c>
      <c r="BE133" t="s">
        <v>401</v>
      </c>
      <c r="BF133" t="s">
        <v>6288</v>
      </c>
      <c r="BG133" t="s">
        <v>589</v>
      </c>
      <c r="BH133" t="s">
        <v>6289</v>
      </c>
      <c r="BI133" t="s">
        <v>591</v>
      </c>
      <c r="BJ133" t="s">
        <v>6290</v>
      </c>
      <c r="BK133" t="s">
        <v>348</v>
      </c>
      <c r="BL133" t="s">
        <v>6291</v>
      </c>
      <c r="BM133" t="s">
        <v>585</v>
      </c>
      <c r="BN133" t="s">
        <v>6292</v>
      </c>
      <c r="BO133" t="s">
        <v>351</v>
      </c>
      <c r="BP133" t="s">
        <v>6293</v>
      </c>
      <c r="BQ133" t="s">
        <v>696</v>
      </c>
      <c r="BR133" t="s">
        <v>6294</v>
      </c>
      <c r="BS133" t="s">
        <v>519</v>
      </c>
      <c r="BT133" t="s">
        <v>6295</v>
      </c>
      <c r="BU133" t="s">
        <v>339</v>
      </c>
      <c r="BV133" t="s">
        <v>6296</v>
      </c>
      <c r="BW133" t="s">
        <v>696</v>
      </c>
      <c r="BX133" t="s">
        <v>6297</v>
      </c>
      <c r="BY133" t="s">
        <v>993</v>
      </c>
      <c r="BZ133" t="s">
        <v>6298</v>
      </c>
      <c r="CA133" t="s">
        <v>1137</v>
      </c>
      <c r="CB133" t="s">
        <v>1753</v>
      </c>
      <c r="CC133" t="s">
        <v>1788</v>
      </c>
      <c r="CD133" t="s">
        <v>6299</v>
      </c>
      <c r="CE133" t="s">
        <v>276</v>
      </c>
      <c r="CF133" t="s">
        <v>6300</v>
      </c>
      <c r="CG133" t="s">
        <v>266</v>
      </c>
      <c r="CH133" t="s">
        <v>6301</v>
      </c>
      <c r="CI133" t="s">
        <v>339</v>
      </c>
      <c r="CJ133" t="s">
        <v>6302</v>
      </c>
      <c r="CK133" t="s">
        <v>416</v>
      </c>
      <c r="CL133" t="s">
        <v>6303</v>
      </c>
      <c r="CM133" t="s">
        <v>259</v>
      </c>
      <c r="CN133" t="s">
        <v>6304</v>
      </c>
      <c r="CO133" t="s">
        <v>243</v>
      </c>
      <c r="CP133" t="s">
        <v>6305</v>
      </c>
      <c r="CQ133" t="s">
        <v>653</v>
      </c>
      <c r="CR133" t="s">
        <v>6306</v>
      </c>
      <c r="CS133" t="s">
        <v>243</v>
      </c>
      <c r="CT133" t="s">
        <v>6307</v>
      </c>
      <c r="CU133" t="s">
        <v>259</v>
      </c>
      <c r="CV133" t="s">
        <v>6308</v>
      </c>
      <c r="CW133" t="s">
        <v>243</v>
      </c>
      <c r="CX133" t="s">
        <v>6309</v>
      </c>
      <c r="CY133" t="s">
        <v>339</v>
      </c>
      <c r="CZ133" t="s">
        <v>6310</v>
      </c>
      <c r="DA133" t="s">
        <v>243</v>
      </c>
      <c r="DB133" t="s">
        <v>6311</v>
      </c>
      <c r="DC133" t="s">
        <v>242</v>
      </c>
      <c r="DD133" t="s">
        <v>2138</v>
      </c>
      <c r="DF133" t="s">
        <v>6312</v>
      </c>
      <c r="DG133" t="s">
        <v>242</v>
      </c>
      <c r="DH133" t="s">
        <v>6313</v>
      </c>
    </row>
    <row r="134" spans="1:112" x14ac:dyDescent="0.35">
      <c r="A134" t="s">
        <v>227</v>
      </c>
      <c r="B134" t="s">
        <v>6314</v>
      </c>
      <c r="C134" t="s">
        <v>229</v>
      </c>
      <c r="D134" t="s">
        <v>6315</v>
      </c>
      <c r="E134" t="s">
        <v>231</v>
      </c>
      <c r="F134" t="s">
        <v>3382</v>
      </c>
      <c r="G134" t="s">
        <v>40</v>
      </c>
      <c r="H134" t="s">
        <v>6316</v>
      </c>
      <c r="I134" t="s">
        <v>1800</v>
      </c>
      <c r="J134" t="s">
        <v>6317</v>
      </c>
      <c r="L134" t="s">
        <v>243</v>
      </c>
      <c r="M134" t="s">
        <v>242</v>
      </c>
      <c r="N134" t="s">
        <v>243</v>
      </c>
      <c r="O134" t="s">
        <v>242</v>
      </c>
      <c r="P134" t="s">
        <v>243</v>
      </c>
      <c r="Q134" t="s">
        <v>242</v>
      </c>
      <c r="R134" t="s">
        <v>243</v>
      </c>
      <c r="S134" t="s">
        <v>242</v>
      </c>
      <c r="T134" t="s">
        <v>243</v>
      </c>
      <c r="U134" t="s">
        <v>242</v>
      </c>
      <c r="V134" t="s">
        <v>243</v>
      </c>
      <c r="W134" t="s">
        <v>242</v>
      </c>
      <c r="X134" t="s">
        <v>243</v>
      </c>
      <c r="Y134" t="s">
        <v>242</v>
      </c>
      <c r="Z134" t="s">
        <v>243</v>
      </c>
      <c r="AA134" t="s">
        <v>242</v>
      </c>
      <c r="AB134" t="s">
        <v>243</v>
      </c>
      <c r="AC134" t="s">
        <v>242</v>
      </c>
      <c r="AD134" t="s">
        <v>243</v>
      </c>
      <c r="AE134" t="s">
        <v>242</v>
      </c>
      <c r="AF134" t="s">
        <v>243</v>
      </c>
      <c r="AG134" t="s">
        <v>242</v>
      </c>
      <c r="AH134" t="s">
        <v>243</v>
      </c>
      <c r="AI134" t="s">
        <v>242</v>
      </c>
      <c r="AJ134" t="s">
        <v>243</v>
      </c>
      <c r="AK134" t="s">
        <v>242</v>
      </c>
      <c r="AL134" t="s">
        <v>243</v>
      </c>
      <c r="AM134" t="s">
        <v>242</v>
      </c>
      <c r="AN134" t="s">
        <v>243</v>
      </c>
      <c r="AO134" t="s">
        <v>242</v>
      </c>
      <c r="AP134" t="s">
        <v>243</v>
      </c>
      <c r="AQ134" t="s">
        <v>242</v>
      </c>
      <c r="AR134" t="s">
        <v>243</v>
      </c>
      <c r="AS134" t="s">
        <v>242</v>
      </c>
      <c r="AT134" t="s">
        <v>243</v>
      </c>
      <c r="AU134" t="s">
        <v>242</v>
      </c>
      <c r="AV134" t="s">
        <v>243</v>
      </c>
      <c r="AW134" t="s">
        <v>242</v>
      </c>
      <c r="AX134" t="s">
        <v>243</v>
      </c>
      <c r="AY134" t="s">
        <v>242</v>
      </c>
      <c r="AZ134" t="s">
        <v>243</v>
      </c>
      <c r="BA134" t="s">
        <v>242</v>
      </c>
      <c r="BB134" t="s">
        <v>243</v>
      </c>
      <c r="BC134" t="s">
        <v>519</v>
      </c>
      <c r="BD134" t="s">
        <v>243</v>
      </c>
      <c r="BE134" t="s">
        <v>243</v>
      </c>
      <c r="BF134" t="s">
        <v>243</v>
      </c>
      <c r="BG134" t="s">
        <v>519</v>
      </c>
      <c r="BH134" t="s">
        <v>243</v>
      </c>
      <c r="BI134" t="s">
        <v>243</v>
      </c>
      <c r="BJ134" t="s">
        <v>243</v>
      </c>
      <c r="BK134" t="s">
        <v>519</v>
      </c>
      <c r="BL134" t="s">
        <v>243</v>
      </c>
      <c r="BM134" t="s">
        <v>243</v>
      </c>
      <c r="BN134" t="s">
        <v>243</v>
      </c>
      <c r="BO134" t="s">
        <v>519</v>
      </c>
      <c r="BP134" t="s">
        <v>243</v>
      </c>
      <c r="BQ134" t="s">
        <v>243</v>
      </c>
      <c r="BR134" t="s">
        <v>243</v>
      </c>
      <c r="BS134" t="s">
        <v>519</v>
      </c>
      <c r="BT134" t="s">
        <v>243</v>
      </c>
      <c r="BU134" t="s">
        <v>243</v>
      </c>
      <c r="BV134" t="s">
        <v>243</v>
      </c>
      <c r="BW134" t="s">
        <v>519</v>
      </c>
      <c r="BX134" t="s">
        <v>243</v>
      </c>
      <c r="BY134" t="s">
        <v>243</v>
      </c>
      <c r="BZ134" t="s">
        <v>243</v>
      </c>
      <c r="CA134" t="s">
        <v>519</v>
      </c>
      <c r="CB134" t="s">
        <v>243</v>
      </c>
      <c r="CC134" t="s">
        <v>243</v>
      </c>
      <c r="CD134" t="s">
        <v>243</v>
      </c>
      <c r="CE134" t="s">
        <v>519</v>
      </c>
      <c r="CF134" t="s">
        <v>243</v>
      </c>
      <c r="CG134" t="s">
        <v>243</v>
      </c>
      <c r="CH134" t="s">
        <v>243</v>
      </c>
      <c r="CI134" t="s">
        <v>519</v>
      </c>
      <c r="CJ134" t="s">
        <v>243</v>
      </c>
      <c r="CK134" t="s">
        <v>243</v>
      </c>
      <c r="CL134" t="s">
        <v>243</v>
      </c>
      <c r="CM134" t="s">
        <v>519</v>
      </c>
      <c r="CN134" t="s">
        <v>243</v>
      </c>
      <c r="CO134" t="s">
        <v>243</v>
      </c>
      <c r="CP134" t="s">
        <v>243</v>
      </c>
      <c r="CQ134" t="s">
        <v>519</v>
      </c>
      <c r="CR134" t="s">
        <v>243</v>
      </c>
      <c r="CS134" t="s">
        <v>243</v>
      </c>
      <c r="CT134" t="s">
        <v>243</v>
      </c>
      <c r="CU134" t="s">
        <v>519</v>
      </c>
      <c r="CV134" t="s">
        <v>243</v>
      </c>
      <c r="CW134" t="s">
        <v>243</v>
      </c>
      <c r="CX134" t="s">
        <v>243</v>
      </c>
      <c r="CY134" t="s">
        <v>519</v>
      </c>
      <c r="CZ134" t="s">
        <v>243</v>
      </c>
      <c r="DA134" t="s">
        <v>243</v>
      </c>
      <c r="DB134" t="s">
        <v>243</v>
      </c>
      <c r="DC134" t="s">
        <v>242</v>
      </c>
      <c r="DD134" t="s">
        <v>243</v>
      </c>
      <c r="DF134" t="s">
        <v>243</v>
      </c>
      <c r="DG134" t="s">
        <v>242</v>
      </c>
      <c r="DH134" t="s">
        <v>244</v>
      </c>
    </row>
    <row r="135" spans="1:112" x14ac:dyDescent="0.35">
      <c r="A135" t="s">
        <v>227</v>
      </c>
      <c r="B135" t="s">
        <v>6318</v>
      </c>
      <c r="C135" t="s">
        <v>229</v>
      </c>
      <c r="D135" t="s">
        <v>6319</v>
      </c>
      <c r="E135" t="s">
        <v>231</v>
      </c>
      <c r="F135" t="s">
        <v>6320</v>
      </c>
      <c r="G135" t="s">
        <v>40</v>
      </c>
      <c r="H135" t="s">
        <v>5725</v>
      </c>
      <c r="I135" t="s">
        <v>1800</v>
      </c>
      <c r="J135" t="s">
        <v>6321</v>
      </c>
      <c r="K135" t="s">
        <v>242</v>
      </c>
      <c r="L135" t="s">
        <v>243</v>
      </c>
      <c r="M135" t="s">
        <v>242</v>
      </c>
      <c r="N135" t="s">
        <v>243</v>
      </c>
      <c r="O135" t="s">
        <v>242</v>
      </c>
      <c r="P135" t="s">
        <v>243</v>
      </c>
      <c r="Q135" t="s">
        <v>242</v>
      </c>
      <c r="R135" t="s">
        <v>243</v>
      </c>
      <c r="S135" t="s">
        <v>242</v>
      </c>
      <c r="T135" t="s">
        <v>243</v>
      </c>
      <c r="U135" t="s">
        <v>242</v>
      </c>
      <c r="V135" t="s">
        <v>243</v>
      </c>
      <c r="W135" t="s">
        <v>242</v>
      </c>
      <c r="X135" t="s">
        <v>243</v>
      </c>
      <c r="Y135" t="s">
        <v>242</v>
      </c>
      <c r="Z135" t="s">
        <v>243</v>
      </c>
      <c r="AA135" t="s">
        <v>242</v>
      </c>
      <c r="AB135" t="s">
        <v>243</v>
      </c>
      <c r="AC135" t="s">
        <v>242</v>
      </c>
      <c r="AD135" t="s">
        <v>243</v>
      </c>
      <c r="AE135" t="s">
        <v>242</v>
      </c>
      <c r="AF135" t="s">
        <v>243</v>
      </c>
      <c r="AG135" t="s">
        <v>242</v>
      </c>
      <c r="AH135" t="s">
        <v>243</v>
      </c>
      <c r="AI135" t="s">
        <v>242</v>
      </c>
      <c r="AJ135" t="s">
        <v>243</v>
      </c>
      <c r="AK135" t="s">
        <v>242</v>
      </c>
      <c r="AL135" t="s">
        <v>243</v>
      </c>
      <c r="AM135" t="s">
        <v>242</v>
      </c>
      <c r="AN135" t="s">
        <v>243</v>
      </c>
      <c r="AO135" t="s">
        <v>242</v>
      </c>
      <c r="AP135" t="s">
        <v>243</v>
      </c>
      <c r="AQ135" t="s">
        <v>242</v>
      </c>
      <c r="AR135" t="s">
        <v>243</v>
      </c>
      <c r="AS135" t="s">
        <v>242</v>
      </c>
      <c r="AT135" t="s">
        <v>243</v>
      </c>
      <c r="AU135" t="s">
        <v>242</v>
      </c>
      <c r="AV135" t="s">
        <v>243</v>
      </c>
      <c r="AW135" t="s">
        <v>242</v>
      </c>
      <c r="AX135" t="s">
        <v>243</v>
      </c>
      <c r="AY135" t="s">
        <v>242</v>
      </c>
      <c r="AZ135" t="s">
        <v>243</v>
      </c>
      <c r="BA135" t="s">
        <v>242</v>
      </c>
      <c r="BB135" t="s">
        <v>243</v>
      </c>
      <c r="BC135" t="s">
        <v>519</v>
      </c>
      <c r="BD135" t="s">
        <v>243</v>
      </c>
      <c r="BE135" t="s">
        <v>243</v>
      </c>
      <c r="BF135" t="s">
        <v>243</v>
      </c>
      <c r="BG135" t="s">
        <v>519</v>
      </c>
      <c r="BH135" t="s">
        <v>243</v>
      </c>
      <c r="BI135" t="s">
        <v>243</v>
      </c>
      <c r="BJ135" t="s">
        <v>243</v>
      </c>
      <c r="BK135" t="s">
        <v>519</v>
      </c>
      <c r="BL135" t="s">
        <v>243</v>
      </c>
      <c r="BM135" t="s">
        <v>243</v>
      </c>
      <c r="BN135" t="s">
        <v>243</v>
      </c>
      <c r="BO135" t="s">
        <v>519</v>
      </c>
      <c r="BP135" t="s">
        <v>243</v>
      </c>
      <c r="BQ135" t="s">
        <v>243</v>
      </c>
      <c r="BR135" t="s">
        <v>243</v>
      </c>
      <c r="BS135" t="s">
        <v>519</v>
      </c>
      <c r="BT135" t="s">
        <v>243</v>
      </c>
      <c r="BU135" t="s">
        <v>243</v>
      </c>
      <c r="BV135" t="s">
        <v>243</v>
      </c>
      <c r="BW135" t="s">
        <v>519</v>
      </c>
      <c r="BX135" t="s">
        <v>243</v>
      </c>
      <c r="BY135" t="s">
        <v>243</v>
      </c>
      <c r="BZ135" t="s">
        <v>243</v>
      </c>
      <c r="CA135" t="s">
        <v>519</v>
      </c>
      <c r="CB135" t="s">
        <v>243</v>
      </c>
      <c r="CC135" t="s">
        <v>243</v>
      </c>
      <c r="CD135" t="s">
        <v>243</v>
      </c>
      <c r="CE135" t="s">
        <v>519</v>
      </c>
      <c r="CF135" t="s">
        <v>243</v>
      </c>
      <c r="CG135" t="s">
        <v>243</v>
      </c>
      <c r="CH135" t="s">
        <v>243</v>
      </c>
      <c r="CI135" t="s">
        <v>519</v>
      </c>
      <c r="CJ135" t="s">
        <v>243</v>
      </c>
      <c r="CK135" t="s">
        <v>243</v>
      </c>
      <c r="CL135" t="s">
        <v>243</v>
      </c>
      <c r="CM135" t="s">
        <v>519</v>
      </c>
      <c r="CN135" t="s">
        <v>243</v>
      </c>
      <c r="CO135" t="s">
        <v>243</v>
      </c>
      <c r="CP135" t="s">
        <v>243</v>
      </c>
      <c r="CQ135" t="s">
        <v>519</v>
      </c>
      <c r="CR135" t="s">
        <v>243</v>
      </c>
      <c r="CS135" t="s">
        <v>243</v>
      </c>
      <c r="CT135" t="s">
        <v>243</v>
      </c>
      <c r="CU135" t="s">
        <v>519</v>
      </c>
      <c r="CV135" t="s">
        <v>243</v>
      </c>
      <c r="CW135" t="s">
        <v>243</v>
      </c>
      <c r="CX135" t="s">
        <v>243</v>
      </c>
      <c r="CY135" t="s">
        <v>519</v>
      </c>
      <c r="CZ135" t="s">
        <v>243</v>
      </c>
      <c r="DA135" t="s">
        <v>243</v>
      </c>
      <c r="DB135" t="s">
        <v>243</v>
      </c>
      <c r="DC135" t="s">
        <v>242</v>
      </c>
      <c r="DD135" t="s">
        <v>243</v>
      </c>
      <c r="DE135" t="s">
        <v>242</v>
      </c>
      <c r="DF135" t="s">
        <v>243</v>
      </c>
      <c r="DG135" t="s">
        <v>242</v>
      </c>
      <c r="DH135" t="s">
        <v>244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9E2-E770-45DF-BD28-1EBA796FA424}">
  <dimension ref="A1:M14"/>
  <sheetViews>
    <sheetView workbookViewId="0">
      <selection activeCell="K20" sqref="K2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0.51</v>
      </c>
      <c r="B2" s="1">
        <v>0.42000000000000004</v>
      </c>
      <c r="C2" s="1">
        <v>0.32</v>
      </c>
      <c r="D2" s="1">
        <v>0.22999999999999998</v>
      </c>
      <c r="E2" s="1">
        <v>0.19999999999999998</v>
      </c>
      <c r="F2" s="1">
        <v>0.31999999999999995</v>
      </c>
      <c r="G2" s="1">
        <v>0.54999999999999993</v>
      </c>
      <c r="H2" s="1">
        <v>0.52999999999999992</v>
      </c>
      <c r="I2" s="1">
        <v>0.30000000000000004</v>
      </c>
      <c r="J2" s="1">
        <v>0.36000000000000004</v>
      </c>
      <c r="K2" s="1">
        <v>0.26</v>
      </c>
      <c r="L2" s="1">
        <v>0.38</v>
      </c>
      <c r="M2" s="1">
        <v>0.38</v>
      </c>
    </row>
    <row r="3" spans="1:13" x14ac:dyDescent="0.35">
      <c r="A3" s="2">
        <v>5.0000000000000017E-2</v>
      </c>
      <c r="B3" s="2">
        <v>0.09</v>
      </c>
      <c r="C3" s="2">
        <v>9.9999999999999978E-2</v>
      </c>
      <c r="D3" s="2">
        <v>2.0000000000000018E-2</v>
      </c>
      <c r="E3" s="2">
        <v>4.0000000000000008E-2</v>
      </c>
      <c r="F3" s="2">
        <v>9.9999999999999978E-2</v>
      </c>
      <c r="G3" s="2">
        <v>0.12</v>
      </c>
      <c r="H3" s="2">
        <v>1.0000000000000009E-2</v>
      </c>
      <c r="I3" s="2">
        <v>0.03</v>
      </c>
      <c r="J3" s="2">
        <v>0</v>
      </c>
      <c r="K3" s="2">
        <v>3.999999999999998E-2</v>
      </c>
      <c r="L3" s="2">
        <v>1.0000000000000009E-2</v>
      </c>
      <c r="M3" s="2">
        <v>6.9999999999999951E-2</v>
      </c>
    </row>
    <row r="4" spans="1:13" x14ac:dyDescent="0.35">
      <c r="A4" s="1">
        <v>0.21000000000000002</v>
      </c>
      <c r="B4" s="1">
        <v>0.18</v>
      </c>
      <c r="C4" s="1">
        <v>4.9999999999999989E-2</v>
      </c>
      <c r="D4" s="1">
        <v>7.0000000000000007E-2</v>
      </c>
      <c r="E4" s="1">
        <v>0.12</v>
      </c>
      <c r="F4" s="1">
        <v>0.10000000000000003</v>
      </c>
      <c r="G4" s="1">
        <v>4.0000000000000008E-2</v>
      </c>
      <c r="H4" s="1">
        <v>9.9999999999999992E-2</v>
      </c>
      <c r="I4" s="1">
        <v>1.0000000000000009E-2</v>
      </c>
      <c r="J4" s="1">
        <v>0.09</v>
      </c>
      <c r="K4" s="1">
        <v>5.0000000000000044E-2</v>
      </c>
      <c r="L4" s="1">
        <v>8.0000000000000016E-2</v>
      </c>
      <c r="M4" s="1">
        <v>3.999999999999998E-2</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0.22999999999999998</v>
      </c>
      <c r="B8" s="12">
        <v>4.0000000000000036E-2</v>
      </c>
      <c r="C8" s="12">
        <v>7.0000000000000062E-2</v>
      </c>
      <c r="D8" s="12">
        <v>0</v>
      </c>
      <c r="E8" s="12">
        <v>8.0000000000000071E-2</v>
      </c>
      <c r="F8" s="12">
        <v>9.0000000000000024E-2</v>
      </c>
      <c r="G8" s="12">
        <v>8.0000000000000016E-2</v>
      </c>
      <c r="H8" s="12">
        <v>4.9999999999999989E-2</v>
      </c>
      <c r="I8" s="12">
        <v>0.12</v>
      </c>
      <c r="J8" s="12">
        <v>9.9999999999999534E-3</v>
      </c>
      <c r="K8" s="12">
        <v>7.999999999999996E-2</v>
      </c>
      <c r="L8" s="12">
        <v>6.0000000000000053E-2</v>
      </c>
      <c r="M8" s="12">
        <v>5.9999999999999942E-2</v>
      </c>
    </row>
    <row r="9" spans="1:13" x14ac:dyDescent="0.35">
      <c r="A9" s="12">
        <v>0.31999999999999995</v>
      </c>
      <c r="B9" s="12">
        <v>0.31999999999999995</v>
      </c>
      <c r="C9" s="12">
        <v>0.33999999999999997</v>
      </c>
      <c r="D9" s="12">
        <v>0.45</v>
      </c>
      <c r="E9" s="12">
        <v>0.52</v>
      </c>
      <c r="F9" s="12">
        <v>0.52</v>
      </c>
      <c r="G9" s="12">
        <v>0.48</v>
      </c>
      <c r="H9" s="12">
        <v>0.61</v>
      </c>
      <c r="I9" s="12">
        <v>0.5</v>
      </c>
      <c r="J9" s="12">
        <v>0.33</v>
      </c>
      <c r="K9" s="12">
        <v>0.47</v>
      </c>
      <c r="L9" s="12">
        <v>0.14000000000000001</v>
      </c>
      <c r="M9" s="12">
        <v>0.41</v>
      </c>
    </row>
    <row r="10" spans="1:13" x14ac:dyDescent="0.35">
      <c r="A10" s="12">
        <v>9.9999999999999978E-2</v>
      </c>
      <c r="B10" s="12">
        <v>0.12000000000000005</v>
      </c>
      <c r="C10" s="12">
        <v>0.10999999999999999</v>
      </c>
      <c r="D10" s="12">
        <v>9.9999999999999978E-2</v>
      </c>
      <c r="E10" s="12">
        <v>0.14000000000000001</v>
      </c>
      <c r="F10" s="12">
        <v>0.13</v>
      </c>
      <c r="G10" s="12">
        <v>0.12</v>
      </c>
      <c r="H10" s="12">
        <v>8.0000000000000016E-2</v>
      </c>
      <c r="I10" s="12">
        <v>8.0000000000000016E-2</v>
      </c>
      <c r="J10" s="12">
        <v>0.13</v>
      </c>
      <c r="K10" s="12">
        <v>9.9999999999999978E-2</v>
      </c>
      <c r="L10" s="12">
        <v>3.999999999999998E-2</v>
      </c>
      <c r="M10" s="12">
        <v>0.11000000000000004</v>
      </c>
    </row>
    <row r="11" spans="1:13" x14ac:dyDescent="0.35">
      <c r="A11" s="24">
        <v>0.24</v>
      </c>
      <c r="B11" s="24">
        <v>0.26</v>
      </c>
      <c r="C11" s="24">
        <v>0.26999999999999996</v>
      </c>
      <c r="D11" s="24">
        <v>0.33999999999999997</v>
      </c>
      <c r="E11" s="24">
        <v>0.21000000000000002</v>
      </c>
      <c r="F11" s="24">
        <v>0.14000000000000001</v>
      </c>
      <c r="G11" s="24">
        <v>0.19</v>
      </c>
      <c r="H11" s="24">
        <v>0.16000000000000003</v>
      </c>
      <c r="I11" s="24">
        <v>0.16999999999999998</v>
      </c>
      <c r="J11" s="24">
        <v>0.15999999999999998</v>
      </c>
      <c r="K11" s="24">
        <v>0.19</v>
      </c>
      <c r="L11" s="24">
        <v>0.16999999999999993</v>
      </c>
      <c r="M11" s="24">
        <v>4.0000000000000036E-2</v>
      </c>
    </row>
    <row r="12" spans="1:13" s="10" customFormat="1" x14ac:dyDescent="0.35">
      <c r="A12" s="43">
        <v>0.36</v>
      </c>
      <c r="B12" s="43">
        <v>0.4</v>
      </c>
      <c r="C12" s="43">
        <v>0.29000000000000004</v>
      </c>
      <c r="D12" s="43">
        <v>0.36</v>
      </c>
      <c r="E12" s="43">
        <v>0.31000000000000005</v>
      </c>
      <c r="F12" s="43">
        <v>0.31999999999999995</v>
      </c>
      <c r="G12" s="43">
        <v>0.47</v>
      </c>
      <c r="H12" s="43">
        <v>0.43</v>
      </c>
      <c r="I12" s="43">
        <v>0.41000000000000003</v>
      </c>
      <c r="J12" s="43">
        <v>0.18000000000000005</v>
      </c>
      <c r="K12" s="43">
        <v>0.21999999999999997</v>
      </c>
      <c r="L12" s="43">
        <v>0.22999999999999998</v>
      </c>
      <c r="M12" s="43">
        <v>6.0000000000000053E-2</v>
      </c>
    </row>
    <row r="13" spans="1:13" s="11" customFormat="1" x14ac:dyDescent="0.35">
      <c r="A13" s="60">
        <f>AVERAGE(Table15[100])</f>
        <v>0.24363636363636365</v>
      </c>
      <c r="B13" s="60">
        <f>SUBTOTAL(101,Table15[200])</f>
        <v>0.25272727272727269</v>
      </c>
      <c r="C13" s="60">
        <f>SUBTOTAL(101,Table15[400])</f>
        <v>0.24545454545454548</v>
      </c>
      <c r="D13" s="60">
        <f>SUBTOTAL(101,Table15[500])</f>
        <v>0.21454545454545454</v>
      </c>
      <c r="E13" s="60">
        <f>SUBTOTAL(101,Table15[800])</f>
        <v>0.23363636363636367</v>
      </c>
      <c r="F13" s="60">
        <f>SUBTOTAL(101,Table15[1000])</f>
        <v>0.22545454545454546</v>
      </c>
      <c r="G13" s="60">
        <f>SUBTOTAL(101,Table15[2000])</f>
        <v>0.24818181818181823</v>
      </c>
      <c r="H13" s="60">
        <f>SUBTOTAL(101,Table15[3000])</f>
        <v>0.22545454545454549</v>
      </c>
      <c r="I13" s="60">
        <f>SUBTOTAL(101,Table15[4000])</f>
        <v>0.2009090909090909</v>
      </c>
      <c r="J13" s="60">
        <f>SUBTOTAL(101,Table15[6000])</f>
        <v>0.15090909090909091</v>
      </c>
      <c r="K13" s="60">
        <f>SUBTOTAL(101,Table15[8000])</f>
        <v>0.17727272727272728</v>
      </c>
      <c r="L13" s="60">
        <f>SUBTOTAL(101,Table15[10000])</f>
        <v>0.13363636363636366</v>
      </c>
      <c r="M13" s="60">
        <f>SUBTOTAL(101,Table15[12000])</f>
        <v>0.15727272727272726</v>
      </c>
    </row>
    <row r="14" spans="1:13" x14ac:dyDescent="0.35">
      <c r="A14" s="11">
        <f>STDEV(Table15[100])/SQRT(COUNT(Table15[100]))</f>
        <v>4.8416239335629496E-2</v>
      </c>
      <c r="B14" s="11">
        <f>STDEV(Table15[200])/SQRT(COUNT(Table15[100]))</f>
        <v>4.22565951623027E-2</v>
      </c>
      <c r="C14" s="11">
        <f>STDEV(Table15[400])/SQRT(COUNT(Table15[100]))</f>
        <v>4.1128703455541669E-2</v>
      </c>
      <c r="D14" s="11">
        <f>STDEV(Table15[500])/SQRT(COUNT(Table15[100]))</f>
        <v>4.5153548866136907E-2</v>
      </c>
      <c r="E14" s="11">
        <f>STDEV(Table15[800])/SQRT(COUNT(Table15[100]))</f>
        <v>4.4909458960582363E-2</v>
      </c>
      <c r="F14" s="11">
        <f>STDEV(Table15[1000])/SQRT(COUNT(Table15[100]))</f>
        <v>4.1786549300933409E-2</v>
      </c>
      <c r="G14" s="11">
        <f>STDEV(Table15[2000])/SQRT(COUNT(Table15[100]))</f>
        <v>5.4084415194602477E-2</v>
      </c>
      <c r="H14" s="11">
        <f>STDEV(Table15[3000])/SQRT(COUNT(Table15[100]))</f>
        <v>6.1339052314516342E-2</v>
      </c>
      <c r="I14" s="11">
        <f>STDEV(Table15[4000])/SQRT(COUNT(Table15[100]))</f>
        <v>4.6091895273652567E-2</v>
      </c>
      <c r="J14" s="11">
        <f>STDEV(Table15[6000])/SQRT(COUNT(Table15[100]))</f>
        <v>3.5121983415067337E-2</v>
      </c>
      <c r="K14" s="11">
        <f>STDEV(Table15[8000])/SQRT(COUNT(Table15[100]))</f>
        <v>3.7003461977862397E-2</v>
      </c>
      <c r="L14" s="11">
        <f>STDEV(Table15[10000])/SQRT(COUNT(Table15[100]))</f>
        <v>3.1601862064606447E-2</v>
      </c>
      <c r="M14" s="11">
        <f>STDEV(Table15[12000])/SQRT(COUNT(Table15[100]))</f>
        <v>4.0047492466976774E-2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2B4A-499E-4C7D-B4F9-F5A4F1D1ED4A}">
  <dimension ref="A1:M47"/>
  <sheetViews>
    <sheetView workbookViewId="0">
      <selection activeCell="G2" sqref="G2:G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0.20000000000000007</v>
      </c>
      <c r="B4" s="1">
        <v>0.4</v>
      </c>
      <c r="C4" s="1">
        <v>0.41</v>
      </c>
      <c r="D4" s="1">
        <v>0.41999999999999993</v>
      </c>
      <c r="E4" s="1">
        <v>0.26</v>
      </c>
      <c r="F4" s="1">
        <v>0.25</v>
      </c>
      <c r="G4" s="1">
        <v>0.33999999999999997</v>
      </c>
      <c r="H4" s="1">
        <v>0.4</v>
      </c>
      <c r="I4" s="1">
        <v>0.47</v>
      </c>
      <c r="J4" s="1">
        <v>0.32999999999999996</v>
      </c>
      <c r="K4" s="1">
        <v>0.17000000000000004</v>
      </c>
      <c r="L4" s="1">
        <v>0.18000000000000005</v>
      </c>
      <c r="M4" s="1">
        <v>7.0000000000000007E-2</v>
      </c>
    </row>
    <row r="5" spans="1:13" x14ac:dyDescent="0.35">
      <c r="A5" s="2">
        <v>0.33000000000000007</v>
      </c>
      <c r="B5" s="2">
        <v>0.06</v>
      </c>
      <c r="C5" s="2">
        <v>0.42000000000000004</v>
      </c>
      <c r="D5" s="2">
        <v>0.38</v>
      </c>
      <c r="E5" s="2">
        <v>0.4</v>
      </c>
      <c r="F5" s="2">
        <v>0.34</v>
      </c>
      <c r="G5" s="2">
        <v>0.3</v>
      </c>
      <c r="H5" s="2">
        <v>4.9999999999999989E-2</v>
      </c>
      <c r="I5" s="2">
        <v>0.15999999999999998</v>
      </c>
      <c r="J5" s="2">
        <v>0.25</v>
      </c>
      <c r="K5" s="2">
        <v>0.14000000000000001</v>
      </c>
      <c r="L5" s="2">
        <v>0.15999999999999998</v>
      </c>
      <c r="M5" s="2">
        <v>7.999999999999996E-2</v>
      </c>
    </row>
    <row r="6" spans="1:13" x14ac:dyDescent="0.35">
      <c r="A6" s="1">
        <v>0.31999999999999995</v>
      </c>
      <c r="B6" s="1">
        <v>0.41000000000000003</v>
      </c>
      <c r="C6" s="1">
        <v>0.58000000000000007</v>
      </c>
      <c r="D6" s="1">
        <v>0.4</v>
      </c>
      <c r="E6" s="1">
        <v>0.54</v>
      </c>
      <c r="F6" s="1">
        <v>0.49000000000000005</v>
      </c>
      <c r="G6" s="1">
        <v>0.45000000000000007</v>
      </c>
      <c r="H6" s="1">
        <v>0.46</v>
      </c>
      <c r="I6" s="1">
        <v>0.35000000000000009</v>
      </c>
      <c r="J6" s="1">
        <v>0.32</v>
      </c>
      <c r="K6" s="1">
        <v>0.39</v>
      </c>
      <c r="L6" s="1">
        <v>0.21999999999999997</v>
      </c>
      <c r="M6" s="1">
        <v>0.12000000000000005</v>
      </c>
    </row>
    <row r="7" spans="1:13" x14ac:dyDescent="0.35">
      <c r="A7" s="2">
        <v>1</v>
      </c>
      <c r="B7" s="2">
        <v>0</v>
      </c>
      <c r="C7" s="2">
        <v>0</v>
      </c>
      <c r="D7" s="2">
        <v>0</v>
      </c>
      <c r="E7" s="2">
        <v>0</v>
      </c>
      <c r="F7" s="2">
        <v>0.5</v>
      </c>
      <c r="G7" s="2">
        <v>0.5</v>
      </c>
      <c r="H7" s="2">
        <v>0</v>
      </c>
      <c r="I7" s="2">
        <v>0.5</v>
      </c>
      <c r="J7" s="2">
        <v>0.5</v>
      </c>
      <c r="K7" s="2">
        <v>0</v>
      </c>
      <c r="L7" s="2">
        <v>0</v>
      </c>
      <c r="M7" s="2">
        <v>0</v>
      </c>
    </row>
    <row r="8" spans="1:13" x14ac:dyDescent="0.35">
      <c r="A8" s="1">
        <v>0.35000000000000003</v>
      </c>
      <c r="B8" s="1">
        <v>0.35000000000000003</v>
      </c>
      <c r="C8" s="1">
        <v>0.33</v>
      </c>
      <c r="D8" s="1">
        <v>0.4</v>
      </c>
      <c r="E8" s="1">
        <v>0.35000000000000003</v>
      </c>
      <c r="F8" s="1">
        <v>0.38</v>
      </c>
      <c r="G8" s="1">
        <v>0.33</v>
      </c>
      <c r="H8" s="1">
        <v>0.35000000000000003</v>
      </c>
      <c r="I8" s="1">
        <v>0.33</v>
      </c>
      <c r="J8" s="1">
        <v>0.15000000000000002</v>
      </c>
      <c r="K8" s="1">
        <v>0.1399999999999999</v>
      </c>
      <c r="L8" s="1">
        <v>0.56000000000000005</v>
      </c>
      <c r="M8" s="1">
        <v>0.10000000000000009</v>
      </c>
    </row>
    <row r="9" spans="1:13" x14ac:dyDescent="0.35">
      <c r="A9" s="2">
        <v>0</v>
      </c>
      <c r="B9" s="2">
        <v>0.39</v>
      </c>
      <c r="C9" s="2">
        <v>0.33999999999999997</v>
      </c>
      <c r="D9" s="2">
        <v>0.28999999999999992</v>
      </c>
      <c r="E9" s="2">
        <v>0.32999999999999996</v>
      </c>
      <c r="F9" s="2">
        <v>0.25999999999999995</v>
      </c>
      <c r="G9" s="2">
        <v>0.32999999999999996</v>
      </c>
      <c r="H9" s="2">
        <v>0.35</v>
      </c>
      <c r="I9" s="2">
        <v>0.35000000000000003</v>
      </c>
      <c r="J9" s="2">
        <v>0.14000000000000001</v>
      </c>
      <c r="K9" s="2">
        <v>0.24999999999999994</v>
      </c>
      <c r="L9" s="2">
        <v>8.0000000000000071E-2</v>
      </c>
      <c r="M9" s="2">
        <v>0.14999999999999997</v>
      </c>
    </row>
    <row r="10" spans="1:13" x14ac:dyDescent="0.35">
      <c r="A10" s="1">
        <v>0</v>
      </c>
      <c r="B10" s="1">
        <v>0</v>
      </c>
      <c r="C10" s="1">
        <v>0</v>
      </c>
      <c r="D10" s="1">
        <v>0</v>
      </c>
      <c r="E10" s="1">
        <v>0</v>
      </c>
      <c r="F10" s="1">
        <v>0.5</v>
      </c>
      <c r="G10" s="1">
        <v>0.5</v>
      </c>
      <c r="H10" s="1">
        <v>0.5</v>
      </c>
      <c r="I10" s="1">
        <v>0.5</v>
      </c>
      <c r="J10" s="1">
        <v>0.5</v>
      </c>
      <c r="K10" s="1">
        <v>0.5</v>
      </c>
      <c r="L10" s="1">
        <v>0</v>
      </c>
      <c r="M10" s="1">
        <v>0</v>
      </c>
    </row>
    <row r="11" spans="1:13" x14ac:dyDescent="0.35">
      <c r="A11" s="2">
        <v>0.19999999999999996</v>
      </c>
      <c r="B11" s="2">
        <v>5.9999999999999942E-2</v>
      </c>
      <c r="C11" s="2">
        <v>0.18000000000000005</v>
      </c>
      <c r="D11" s="2">
        <v>0.44999999999999996</v>
      </c>
      <c r="E11" s="2">
        <v>0.26</v>
      </c>
      <c r="F11" s="2">
        <v>0.36</v>
      </c>
      <c r="G11" s="2">
        <v>0.47</v>
      </c>
      <c r="H11" s="2">
        <v>0.26</v>
      </c>
      <c r="I11" s="2">
        <v>0.20999999999999996</v>
      </c>
      <c r="J11" s="2">
        <v>7.999999999999996E-2</v>
      </c>
      <c r="K11" s="2">
        <v>1.0000000000000009E-2</v>
      </c>
      <c r="L11" s="2">
        <v>0</v>
      </c>
      <c r="M11" s="2">
        <v>0</v>
      </c>
    </row>
    <row r="12" spans="1:13" x14ac:dyDescent="0.35">
      <c r="A12" s="1">
        <v>0.13</v>
      </c>
      <c r="B12" s="1">
        <v>0.10000000000000009</v>
      </c>
      <c r="C12" s="1">
        <v>0.38</v>
      </c>
      <c r="D12" s="1">
        <v>0.25999999999999995</v>
      </c>
      <c r="E12" s="1">
        <v>0.21999999999999997</v>
      </c>
      <c r="F12" s="1">
        <v>0.10999999999999999</v>
      </c>
      <c r="G12" s="1">
        <v>0.13</v>
      </c>
      <c r="H12" s="1">
        <v>0.10000000000000003</v>
      </c>
      <c r="I12" s="1">
        <v>0.15000000000000002</v>
      </c>
      <c r="J12" s="1">
        <v>1.0000000000000009E-2</v>
      </c>
      <c r="K12" s="1">
        <v>9.9999999999999978E-2</v>
      </c>
      <c r="L12" s="1">
        <v>8.9999999999999969E-2</v>
      </c>
      <c r="M12" s="1">
        <v>0.15000000000000002</v>
      </c>
    </row>
    <row r="13" spans="1:13" x14ac:dyDescent="0.35">
      <c r="A13" s="2">
        <v>0.33000000000000007</v>
      </c>
      <c r="B13" s="2">
        <v>0.53</v>
      </c>
      <c r="C13" s="2">
        <v>0.51</v>
      </c>
      <c r="D13" s="2">
        <v>0.5</v>
      </c>
      <c r="E13" s="2">
        <v>0.57999999999999996</v>
      </c>
      <c r="F13" s="2">
        <v>0.54</v>
      </c>
      <c r="G13" s="2">
        <v>0.45</v>
      </c>
      <c r="H13" s="2">
        <v>0.36</v>
      </c>
      <c r="I13" s="2">
        <v>0.38000000000000006</v>
      </c>
      <c r="J13" s="2">
        <v>0.26000000000000006</v>
      </c>
      <c r="K13" s="2">
        <v>0.28999999999999998</v>
      </c>
      <c r="L13" s="2">
        <v>0.21000000000000008</v>
      </c>
      <c r="M13" s="2">
        <v>0.24</v>
      </c>
    </row>
    <row r="14" spans="1:13" x14ac:dyDescent="0.35">
      <c r="A14" s="1">
        <v>0.31999999999999995</v>
      </c>
      <c r="B14" s="1">
        <v>0.56000000000000005</v>
      </c>
      <c r="C14" s="1">
        <v>0.48</v>
      </c>
      <c r="D14" s="1">
        <v>0.59000000000000008</v>
      </c>
      <c r="E14" s="1">
        <v>0.45999999999999996</v>
      </c>
      <c r="F14" s="1">
        <v>0.38999999999999996</v>
      </c>
      <c r="G14" s="1">
        <v>0.28999999999999998</v>
      </c>
      <c r="H14" s="1">
        <v>0.25</v>
      </c>
      <c r="I14" s="1">
        <v>0.27</v>
      </c>
      <c r="J14" s="1">
        <v>0.24</v>
      </c>
      <c r="K14" s="1">
        <v>0.18999999999999995</v>
      </c>
      <c r="L14" s="1">
        <v>0.20999999999999996</v>
      </c>
      <c r="M14" s="1">
        <v>0.12000000000000011</v>
      </c>
    </row>
    <row r="15" spans="1:13" x14ac:dyDescent="0.35">
      <c r="A15" s="2">
        <v>0.28000000000000003</v>
      </c>
      <c r="B15" s="2">
        <v>0.26</v>
      </c>
      <c r="C15" s="2">
        <v>0.31000000000000005</v>
      </c>
      <c r="D15" s="2">
        <v>0.16999999999999998</v>
      </c>
      <c r="E15" s="2">
        <v>0.34</v>
      </c>
      <c r="F15" s="2">
        <v>0.17000000000000004</v>
      </c>
      <c r="G15" s="2">
        <v>0.22999999999999998</v>
      </c>
      <c r="H15" s="2">
        <v>0.16000000000000003</v>
      </c>
      <c r="I15" s="2">
        <v>0.31</v>
      </c>
      <c r="J15" s="2">
        <v>0.14000000000000001</v>
      </c>
      <c r="K15" s="2">
        <v>0.22999999999999998</v>
      </c>
      <c r="L15" s="2">
        <v>0.14999999999999991</v>
      </c>
      <c r="M15" s="2">
        <v>0.15000000000000002</v>
      </c>
    </row>
    <row r="16" spans="1:13" x14ac:dyDescent="0.35">
      <c r="A16" s="1">
        <v>0</v>
      </c>
      <c r="B16" s="1">
        <v>0.5</v>
      </c>
      <c r="C16" s="1">
        <v>0.5</v>
      </c>
      <c r="D16" s="1">
        <v>0.5</v>
      </c>
      <c r="E16" s="1">
        <v>1</v>
      </c>
      <c r="F16" s="1">
        <v>0.5</v>
      </c>
      <c r="G16" s="1">
        <v>1</v>
      </c>
      <c r="H16" s="1">
        <v>0.5</v>
      </c>
      <c r="I16" s="1">
        <v>0.5</v>
      </c>
      <c r="J16" s="1">
        <v>0.5</v>
      </c>
      <c r="K16" s="1">
        <v>0.5</v>
      </c>
      <c r="L16" s="1">
        <v>0</v>
      </c>
      <c r="M16" s="1">
        <v>0</v>
      </c>
    </row>
    <row r="17" spans="1:13" x14ac:dyDescent="0.35">
      <c r="A17" s="2">
        <v>0.37000000000000005</v>
      </c>
      <c r="B17" s="2">
        <v>0.37000000000000005</v>
      </c>
      <c r="C17" s="2">
        <v>0.33999999999999997</v>
      </c>
      <c r="D17" s="2">
        <v>0.32999999999999996</v>
      </c>
      <c r="E17" s="2">
        <v>0.3</v>
      </c>
      <c r="F17" s="2">
        <v>0.31</v>
      </c>
      <c r="G17" s="2">
        <v>0.20999999999999996</v>
      </c>
      <c r="H17" s="2">
        <v>0.21999999999999997</v>
      </c>
      <c r="I17" s="2">
        <v>0.35</v>
      </c>
      <c r="J17" s="2">
        <v>0.26999999999999996</v>
      </c>
      <c r="K17" s="2">
        <v>0.18</v>
      </c>
      <c r="L17" s="2">
        <v>0.20000000000000007</v>
      </c>
      <c r="M17" s="2">
        <v>0.21999999999999997</v>
      </c>
    </row>
    <row r="18" spans="1:13" x14ac:dyDescent="0.35">
      <c r="A18" s="12">
        <v>0.48000000000000004</v>
      </c>
      <c r="B18" s="12">
        <v>0.51</v>
      </c>
      <c r="C18" s="12">
        <v>0.49</v>
      </c>
      <c r="D18" s="12">
        <v>0.33999999999999997</v>
      </c>
      <c r="E18" s="12">
        <v>0.39</v>
      </c>
      <c r="F18" s="12">
        <v>0.37000000000000005</v>
      </c>
      <c r="G18" s="12">
        <v>0.47</v>
      </c>
      <c r="H18" s="12">
        <v>0.43000000000000005</v>
      </c>
      <c r="I18" s="12">
        <v>0.26999999999999996</v>
      </c>
      <c r="J18" s="12">
        <v>0.3</v>
      </c>
      <c r="K18" s="12">
        <v>0.31</v>
      </c>
      <c r="L18" s="12">
        <v>0.27</v>
      </c>
      <c r="M18" s="12">
        <v>0.20999999999999996</v>
      </c>
    </row>
    <row r="19" spans="1:13" x14ac:dyDescent="0.35">
      <c r="A19" s="23">
        <v>0.21999999999999997</v>
      </c>
      <c r="B19" s="23">
        <v>0.27</v>
      </c>
      <c r="C19" s="23">
        <v>0.22999999999999998</v>
      </c>
      <c r="D19" s="23">
        <v>0.19999999999999996</v>
      </c>
      <c r="E19" s="23">
        <v>0.23000000000000004</v>
      </c>
      <c r="F19" s="23">
        <v>0.36</v>
      </c>
      <c r="G19" s="23">
        <v>0.38</v>
      </c>
      <c r="H19" s="23">
        <v>0.28000000000000003</v>
      </c>
      <c r="I19" s="23">
        <v>0.26999999999999996</v>
      </c>
      <c r="J19" s="23">
        <v>0.11000000000000004</v>
      </c>
      <c r="K19" s="23">
        <v>0.25000000000000006</v>
      </c>
      <c r="L19" s="23">
        <v>0.15000000000000002</v>
      </c>
      <c r="M19" s="23">
        <v>0.10999999999999999</v>
      </c>
    </row>
    <row r="20" spans="1:13" x14ac:dyDescent="0.35">
      <c r="A20" s="12">
        <v>0.52</v>
      </c>
      <c r="B20" s="12">
        <v>0.36000000000000004</v>
      </c>
      <c r="C20" s="12">
        <v>0.24000000000000005</v>
      </c>
      <c r="D20" s="12">
        <v>0.25</v>
      </c>
      <c r="E20" s="12">
        <v>0.18</v>
      </c>
      <c r="F20" s="12">
        <v>0.13</v>
      </c>
      <c r="G20" s="12">
        <v>2.0000000000000018E-2</v>
      </c>
      <c r="H20" s="12">
        <v>0.12000000000000002</v>
      </c>
      <c r="I20" s="12">
        <v>0.12999999999999998</v>
      </c>
      <c r="J20" s="12">
        <v>8.9999999999999969E-2</v>
      </c>
      <c r="K20" s="12">
        <v>9.0000000000000024E-2</v>
      </c>
      <c r="L20" s="12">
        <v>7.0000000000000007E-2</v>
      </c>
      <c r="M20" s="12">
        <v>0.18000000000000005</v>
      </c>
    </row>
    <row r="21" spans="1:13" x14ac:dyDescent="0.35">
      <c r="A21" s="12">
        <v>0.27</v>
      </c>
      <c r="B21" s="12">
        <v>0.20999999999999996</v>
      </c>
      <c r="C21" s="12">
        <v>0.25000000000000006</v>
      </c>
      <c r="D21" s="12">
        <v>0.18999999999999995</v>
      </c>
      <c r="E21" s="12">
        <v>0.14000000000000007</v>
      </c>
      <c r="F21" s="12">
        <v>0.17999999999999994</v>
      </c>
      <c r="G21" s="12">
        <v>0.19999999999999996</v>
      </c>
      <c r="H21" s="12">
        <v>0.15000000000000002</v>
      </c>
      <c r="I21" s="12">
        <v>0.18</v>
      </c>
      <c r="J21" s="12">
        <v>8.0000000000000016E-2</v>
      </c>
      <c r="K21" s="12">
        <v>0.10000000000000003</v>
      </c>
      <c r="L21" s="12">
        <v>8.0000000000000071E-2</v>
      </c>
      <c r="M21" s="12">
        <v>8.9999999999999969E-2</v>
      </c>
    </row>
    <row r="22" spans="1:13" x14ac:dyDescent="0.35">
      <c r="A22" s="12">
        <v>0.27999999999999992</v>
      </c>
      <c r="B22" s="12">
        <v>0.16999999999999993</v>
      </c>
      <c r="C22" s="12">
        <v>0.14999999999999991</v>
      </c>
      <c r="D22" s="12">
        <v>0.21999999999999997</v>
      </c>
      <c r="E22" s="12">
        <v>0.27</v>
      </c>
      <c r="F22" s="12">
        <v>0.15000000000000002</v>
      </c>
      <c r="G22" s="12">
        <v>0.14999999999999991</v>
      </c>
      <c r="H22" s="12">
        <v>0.10999999999999999</v>
      </c>
      <c r="I22" s="12">
        <v>0.17999999999999994</v>
      </c>
      <c r="J22" s="12">
        <v>0.22999999999999998</v>
      </c>
      <c r="K22" s="12">
        <v>0.19000000000000006</v>
      </c>
      <c r="L22" s="12">
        <v>6.0000000000000053E-2</v>
      </c>
      <c r="M22" s="12">
        <v>0</v>
      </c>
    </row>
    <row r="23" spans="1:13" x14ac:dyDescent="0.35">
      <c r="A23" s="12">
        <v>0.28000000000000003</v>
      </c>
      <c r="B23" s="12">
        <v>0.28999999999999992</v>
      </c>
      <c r="C23" s="12">
        <v>0.36</v>
      </c>
      <c r="D23" s="12">
        <v>0.42000000000000004</v>
      </c>
      <c r="E23" s="12">
        <v>0.41000000000000003</v>
      </c>
      <c r="F23" s="12">
        <v>0.32</v>
      </c>
      <c r="G23" s="12">
        <v>0.35</v>
      </c>
      <c r="H23" s="12">
        <v>0.21999999999999997</v>
      </c>
      <c r="I23" s="12">
        <v>0.37</v>
      </c>
      <c r="J23" s="12">
        <v>0.35000000000000003</v>
      </c>
      <c r="K23" s="12">
        <v>0.24</v>
      </c>
      <c r="L23" s="12">
        <v>0.31000000000000005</v>
      </c>
      <c r="M23" s="12">
        <v>3.0000000000000027E-2</v>
      </c>
    </row>
    <row r="24" spans="1:13" x14ac:dyDescent="0.35">
      <c r="A24" s="12">
        <v>0.37</v>
      </c>
      <c r="B24" s="12">
        <v>0.36000000000000004</v>
      </c>
      <c r="C24" s="12">
        <v>0.21000000000000002</v>
      </c>
      <c r="D24" s="12">
        <v>0.2</v>
      </c>
      <c r="E24" s="12">
        <v>0.14000000000000007</v>
      </c>
      <c r="F24" s="12">
        <v>0.15000000000000002</v>
      </c>
      <c r="G24" s="12">
        <v>0.16999999999999998</v>
      </c>
      <c r="H24" s="12">
        <v>0.21999999999999997</v>
      </c>
      <c r="I24" s="12">
        <v>0.24</v>
      </c>
      <c r="J24" s="12">
        <v>0.2</v>
      </c>
      <c r="K24" s="12">
        <v>0.25999999999999995</v>
      </c>
      <c r="L24" s="12">
        <v>0.33000000000000007</v>
      </c>
      <c r="M24" s="12">
        <v>0.19999999999999996</v>
      </c>
    </row>
    <row r="25" spans="1:13" x14ac:dyDescent="0.35">
      <c r="A25" s="23">
        <v>0.27</v>
      </c>
      <c r="B25" s="23">
        <v>0.35000000000000003</v>
      </c>
      <c r="C25" s="23">
        <v>0.33999999999999997</v>
      </c>
      <c r="D25" s="23">
        <v>0.34999999999999992</v>
      </c>
      <c r="E25" s="23">
        <v>0.35</v>
      </c>
      <c r="F25" s="23">
        <v>0.38</v>
      </c>
      <c r="G25" s="23">
        <v>0.36</v>
      </c>
      <c r="H25" s="23">
        <v>0.45</v>
      </c>
      <c r="I25" s="23">
        <v>0.47</v>
      </c>
      <c r="J25" s="23">
        <v>0.45999999999999996</v>
      </c>
      <c r="K25" s="23">
        <v>0.4</v>
      </c>
      <c r="L25" s="23">
        <v>0.44999999999999996</v>
      </c>
      <c r="M25" s="23">
        <v>0.47</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0.18999999999999995</v>
      </c>
      <c r="B28" s="12">
        <v>7.999999999999996E-2</v>
      </c>
      <c r="C28" s="12">
        <v>0.17000000000000004</v>
      </c>
      <c r="D28" s="12">
        <v>0.15000000000000002</v>
      </c>
      <c r="E28" s="12">
        <v>0.20999999999999996</v>
      </c>
      <c r="F28" s="12">
        <v>0.15000000000000002</v>
      </c>
      <c r="G28" s="12">
        <v>0.13</v>
      </c>
      <c r="H28" s="12">
        <v>2.9999999999999971E-2</v>
      </c>
      <c r="I28" s="12">
        <v>5.0000000000000017E-2</v>
      </c>
      <c r="J28" s="12">
        <v>3.999999999999998E-2</v>
      </c>
      <c r="K28" s="12">
        <v>8.0000000000000016E-2</v>
      </c>
      <c r="L28" s="12">
        <v>9.0000000000000024E-2</v>
      </c>
      <c r="M28" s="12">
        <v>3.0000000000000027E-2</v>
      </c>
    </row>
    <row r="29" spans="1:13" x14ac:dyDescent="0.35">
      <c r="A29" s="12">
        <v>3.0000000000000027E-2</v>
      </c>
      <c r="B29" s="12">
        <v>0.16000000000000003</v>
      </c>
      <c r="C29" s="12">
        <v>0.14000000000000001</v>
      </c>
      <c r="D29" s="12">
        <v>0.19000000000000006</v>
      </c>
      <c r="E29" s="12">
        <v>0.22999999999999993</v>
      </c>
      <c r="F29" s="12">
        <v>0.11000000000000004</v>
      </c>
      <c r="G29" s="12">
        <v>8.0000000000000016E-2</v>
      </c>
      <c r="H29" s="12">
        <v>4.9999999999999989E-2</v>
      </c>
      <c r="I29" s="12">
        <v>9.0000000000000024E-2</v>
      </c>
      <c r="J29" s="12">
        <v>1.0000000000000009E-2</v>
      </c>
      <c r="K29" s="12">
        <v>4.9999999999999933E-2</v>
      </c>
      <c r="L29" s="12">
        <v>0</v>
      </c>
      <c r="M29" s="12">
        <v>0</v>
      </c>
    </row>
    <row r="30" spans="1:13" x14ac:dyDescent="0.35">
      <c r="A30" s="12">
        <v>0.63</v>
      </c>
      <c r="B30" s="12">
        <v>0.25</v>
      </c>
      <c r="C30" s="12">
        <v>5.9999999999999942E-2</v>
      </c>
      <c r="D30" s="12">
        <v>7.999999999999996E-2</v>
      </c>
      <c r="E30" s="12">
        <v>0.26000000000000006</v>
      </c>
      <c r="F30" s="12">
        <v>0.7</v>
      </c>
      <c r="G30" s="12">
        <v>0.41999999999999993</v>
      </c>
      <c r="H30" s="12">
        <v>0.39</v>
      </c>
      <c r="I30" s="12">
        <v>0.45999999999999996</v>
      </c>
      <c r="J30" s="12">
        <v>0.39</v>
      </c>
      <c r="K30" s="12">
        <v>0.37999999999999995</v>
      </c>
      <c r="L30" s="12">
        <v>0.37</v>
      </c>
      <c r="M30" s="12">
        <v>0.33000000000000007</v>
      </c>
    </row>
    <row r="31" spans="1:13" x14ac:dyDescent="0.35">
      <c r="A31" s="12">
        <v>0.36</v>
      </c>
      <c r="B31" s="12">
        <v>7.0000000000000062E-2</v>
      </c>
      <c r="C31" s="12">
        <v>2.0000000000000018E-2</v>
      </c>
      <c r="D31" s="12">
        <v>5.0000000000000044E-2</v>
      </c>
      <c r="E31" s="12">
        <v>0.13</v>
      </c>
      <c r="F31" s="12">
        <v>0.13</v>
      </c>
      <c r="G31" s="12">
        <v>9.9999999999999978E-2</v>
      </c>
      <c r="H31" s="12">
        <v>0.18999999999999995</v>
      </c>
      <c r="I31" s="12">
        <v>7.999999999999996E-2</v>
      </c>
      <c r="J31" s="12">
        <v>0.22999999999999998</v>
      </c>
      <c r="K31" s="12">
        <v>0.15000000000000002</v>
      </c>
      <c r="L31" s="12">
        <v>2.0000000000000018E-2</v>
      </c>
      <c r="M31" s="12">
        <v>5.9999999999999942E-2</v>
      </c>
    </row>
    <row r="32" spans="1:13" x14ac:dyDescent="0.35">
      <c r="A32" s="12">
        <v>0.12</v>
      </c>
      <c r="B32" s="12">
        <v>0.4</v>
      </c>
      <c r="C32" s="12">
        <v>0.47</v>
      </c>
      <c r="D32" s="12">
        <v>0.44</v>
      </c>
      <c r="E32" s="12">
        <v>0.25999999999999995</v>
      </c>
      <c r="F32" s="12">
        <v>0.3</v>
      </c>
      <c r="G32" s="12">
        <v>0.27999999999999997</v>
      </c>
      <c r="H32" s="12">
        <v>0.38999999999999996</v>
      </c>
      <c r="I32" s="12">
        <v>0.32000000000000006</v>
      </c>
      <c r="J32" s="12">
        <v>0.37</v>
      </c>
      <c r="K32" s="12">
        <v>0.35</v>
      </c>
      <c r="L32" s="12">
        <v>0.48000000000000004</v>
      </c>
      <c r="M32" s="12">
        <v>0.4</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23">
        <v>0.46000000000000008</v>
      </c>
      <c r="B39" s="23">
        <v>0.27</v>
      </c>
      <c r="C39" s="23">
        <v>0.21999999999999997</v>
      </c>
      <c r="D39" s="23">
        <v>0.25999999999999995</v>
      </c>
      <c r="E39" s="23">
        <v>0.19999999999999996</v>
      </c>
      <c r="F39" s="23">
        <v>0.27</v>
      </c>
      <c r="G39" s="23">
        <v>0.17</v>
      </c>
      <c r="H39" s="23">
        <v>0.21999999999999997</v>
      </c>
      <c r="I39" s="23">
        <v>6.9999999999999979E-2</v>
      </c>
      <c r="J39" s="23">
        <v>7.0000000000000007E-2</v>
      </c>
      <c r="K39" s="23">
        <v>9.9999999999999978E-2</v>
      </c>
      <c r="L39" s="23">
        <v>0.17</v>
      </c>
      <c r="M39" s="23">
        <v>5.0000000000000044E-2</v>
      </c>
    </row>
    <row r="40" spans="1:13" x14ac:dyDescent="0.35">
      <c r="A40" s="12">
        <v>0.4</v>
      </c>
      <c r="B40" s="12">
        <v>0.45999999999999996</v>
      </c>
      <c r="C40" s="12">
        <v>0.35000000000000003</v>
      </c>
      <c r="D40" s="12">
        <v>0.4</v>
      </c>
      <c r="E40" s="12">
        <v>0.29000000000000004</v>
      </c>
      <c r="F40" s="12">
        <v>0.32999999999999996</v>
      </c>
      <c r="G40" s="12">
        <v>0.32999999999999996</v>
      </c>
      <c r="H40" s="12">
        <v>0.32999999999999996</v>
      </c>
      <c r="I40" s="12">
        <v>0.35</v>
      </c>
      <c r="J40" s="12">
        <v>0.28999999999999998</v>
      </c>
      <c r="K40" s="12">
        <v>0.27</v>
      </c>
      <c r="L40" s="12">
        <v>0.22999999999999998</v>
      </c>
      <c r="M40" s="12">
        <v>0.16999999999999993</v>
      </c>
    </row>
    <row r="41" spans="1:13" x14ac:dyDescent="0.35">
      <c r="A41" s="23">
        <v>9.000000000000008E-2</v>
      </c>
      <c r="B41" s="23">
        <v>0.21999999999999997</v>
      </c>
      <c r="C41" s="23">
        <v>0.14000000000000001</v>
      </c>
      <c r="D41" s="23">
        <v>0.24</v>
      </c>
      <c r="E41" s="23">
        <v>0.10999999999999999</v>
      </c>
      <c r="F41" s="23">
        <v>9.9999999999999978E-2</v>
      </c>
      <c r="G41" s="23">
        <v>0.21</v>
      </c>
      <c r="H41" s="23">
        <v>0.12</v>
      </c>
      <c r="I41" s="23">
        <v>8.0000000000000016E-2</v>
      </c>
      <c r="J41" s="23">
        <v>0.16000000000000003</v>
      </c>
      <c r="K41" s="23">
        <v>0.06</v>
      </c>
      <c r="L41" s="23">
        <v>0.11000000000000004</v>
      </c>
      <c r="M41" s="23">
        <v>8.9999999999999969E-2</v>
      </c>
    </row>
    <row r="42" spans="1:13" x14ac:dyDescent="0.35">
      <c r="A42" s="12">
        <v>0.15000000000000002</v>
      </c>
      <c r="B42" s="12">
        <v>0.29000000000000004</v>
      </c>
      <c r="C42" s="12">
        <v>0.15000000000000002</v>
      </c>
      <c r="D42" s="12">
        <v>0.19</v>
      </c>
      <c r="E42" s="12">
        <v>0.16000000000000003</v>
      </c>
      <c r="F42" s="12">
        <v>0.23000000000000004</v>
      </c>
      <c r="G42" s="12">
        <v>3.999999999999998E-2</v>
      </c>
      <c r="H42" s="12">
        <v>1.0000000000000009E-2</v>
      </c>
      <c r="I42" s="12">
        <v>0.14000000000000001</v>
      </c>
      <c r="J42" s="12">
        <v>9.9999999999999978E-2</v>
      </c>
      <c r="K42" s="12">
        <v>0.15999999999999998</v>
      </c>
      <c r="L42" s="12">
        <v>4.0000000000000036E-2</v>
      </c>
      <c r="M42" s="12">
        <v>0.13</v>
      </c>
    </row>
    <row r="43" spans="1:13" s="10" customFormat="1" x14ac:dyDescent="0.35">
      <c r="A43" s="13">
        <v>0.39</v>
      </c>
      <c r="B43" s="13">
        <v>0.66999999999999993</v>
      </c>
      <c r="C43" s="13">
        <v>0.28999999999999998</v>
      </c>
      <c r="D43" s="13">
        <v>0.19</v>
      </c>
      <c r="E43" s="13">
        <v>8.0000000000000016E-2</v>
      </c>
      <c r="F43" s="13">
        <v>0.11000000000000004</v>
      </c>
      <c r="G43" s="13">
        <v>8.0000000000000071E-2</v>
      </c>
      <c r="H43" s="13">
        <v>1.9999999999999962E-2</v>
      </c>
      <c r="I43" s="13">
        <v>6.9999999999999951E-2</v>
      </c>
      <c r="J43" s="13">
        <v>1.0000000000000009E-2</v>
      </c>
      <c r="K43" s="13">
        <v>0</v>
      </c>
      <c r="L43" s="13">
        <v>1.0000000000000009E-2</v>
      </c>
      <c r="M43" s="13">
        <v>9.9999999999998979E-3</v>
      </c>
    </row>
    <row r="44" spans="1:13"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s="11" customFormat="1"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60">
        <f>AVERAGE(Table14[100])</f>
        <v>0.30840909090909097</v>
      </c>
      <c r="B46" s="60">
        <f>SUBTOTAL(101,Table14[200])</f>
        <v>0.29613636363636375</v>
      </c>
      <c r="C46" s="60">
        <f>SUBTOTAL(101,Table14[400])</f>
        <v>0.28863636363636369</v>
      </c>
      <c r="D46" s="60">
        <f>SUBTOTAL(101,Table14[500])</f>
        <v>0.28522727272727266</v>
      </c>
      <c r="E46" s="60">
        <f>SUBTOTAL(101,Table14[800])</f>
        <v>0.28090909090909094</v>
      </c>
      <c r="F46" s="60">
        <f>SUBTOTAL(101,Table14[1000])</f>
        <v>0.3</v>
      </c>
      <c r="G46" s="60">
        <f>SUBTOTAL(101,Table14[2000])</f>
        <v>0.29022727272727267</v>
      </c>
      <c r="H46" s="60">
        <f>SUBTOTAL(101,Table14[3000])</f>
        <v>0.25295454545454543</v>
      </c>
      <c r="I46" s="60">
        <f>SUBTOTAL(101,Table14[4000])</f>
        <v>0.2843181818181818</v>
      </c>
      <c r="J46" s="60">
        <f>SUBTOTAL(101,Table14[6000])</f>
        <v>0.2459090909090908</v>
      </c>
      <c r="K46" s="60">
        <f>SUBTOTAL(101,Table14[8000])</f>
        <v>0.22</v>
      </c>
      <c r="L46" s="60">
        <f>SUBTOTAL(101,Table14[10000])</f>
        <v>0.17545454545454547</v>
      </c>
      <c r="M46" s="60">
        <f>SUBTOTAL(101,Table14[12000])</f>
        <v>0.15477272727272728</v>
      </c>
    </row>
    <row r="47" spans="1:13" x14ac:dyDescent="0.35">
      <c r="A47" s="11">
        <f>STDEV(Table14[100])/SQRT(COUNT(Table14[100]))</f>
        <v>3.2621448445957768E-2</v>
      </c>
      <c r="B47" s="11">
        <f>STDEV(Table14[200])/SQRT(COUNT(Table14[100]))</f>
        <v>2.9319656779850874E-2</v>
      </c>
      <c r="C47" s="11">
        <f>STDEV(Table14[400])/SQRT(COUNT(Table14[100]))</f>
        <v>2.7170262061597172E-2</v>
      </c>
      <c r="D47" s="11">
        <f>STDEV(Table14[500])/SQRT(COUNT(Table14[100]))</f>
        <v>2.1021705877707492E-2</v>
      </c>
      <c r="E47" s="11">
        <f>STDEV(Table14[800])/SQRT(COUNT(Table14[100]))</f>
        <v>2.6582708661258815E-2</v>
      </c>
      <c r="F47" s="11">
        <f>STDEV(Table14[1000])/SQRT(COUNT(Table14[100]))</f>
        <v>2.1696055311223136E-2</v>
      </c>
      <c r="G47" s="11">
        <f>STDEV(Table14[2000])/SQRT(COUNT(Table14[100]))</f>
        <v>2.6055901516622623E-2</v>
      </c>
      <c r="H47" s="11">
        <f>STDEV(Table14[3000])/SQRT(COUNT(Table14[100]))</f>
        <v>2.168284643051353E-2</v>
      </c>
      <c r="I47" s="11">
        <f>STDEV(Table14[4000])/SQRT(COUNT(Table14[100]))</f>
        <v>2.5632377713316636E-2</v>
      </c>
      <c r="J47" s="11">
        <f>STDEV(Table14[6000])/SQRT(COUNT(Table14[100]))</f>
        <v>2.6817285970632373E-2</v>
      </c>
      <c r="K47" s="11">
        <f>STDEV(Table14[8000])/SQRT(COUNT(Table14[100]))</f>
        <v>1.936628137053217E-2</v>
      </c>
      <c r="L47" s="11">
        <f>STDEV(Table14[10000])/SQRT(COUNT(Table14[100]))</f>
        <v>2.1663031870830848E-2</v>
      </c>
      <c r="M47" s="11">
        <f>STDEV(Table14[12000])/SQRT(COUNT(Table14[100]))</f>
        <v>2.6209613321878943E-2</v>
      </c>
    </row>
  </sheetData>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01A9-CC08-46C9-9BB2-20B6852F09F5}">
  <dimension ref="A1:S30"/>
  <sheetViews>
    <sheetView workbookViewId="0">
      <selection activeCell="Q14" sqref="Q14"/>
    </sheetView>
  </sheetViews>
  <sheetFormatPr defaultRowHeight="14.5" x14ac:dyDescent="0.35"/>
  <cols>
    <col min="1" max="1" width="9.1796875" bestFit="1" customWidth="1"/>
    <col min="2" max="2" width="8.81640625" bestFit="1" customWidth="1"/>
  </cols>
  <sheetData>
    <row r="1" spans="1:19" x14ac:dyDescent="0.35">
      <c r="G1" s="9" t="s">
        <v>109</v>
      </c>
      <c r="H1" s="9"/>
      <c r="I1" s="9"/>
      <c r="J1" s="9"/>
      <c r="K1" s="9"/>
      <c r="L1" s="9"/>
      <c r="M1" s="9"/>
      <c r="N1" s="9"/>
      <c r="O1" s="9"/>
      <c r="P1" s="9"/>
      <c r="Q1" s="9"/>
      <c r="R1" s="9"/>
      <c r="S1" s="9"/>
    </row>
    <row r="2" spans="1:19" x14ac:dyDescent="0.35">
      <c r="A2" t="s">
        <v>9192</v>
      </c>
      <c r="B2" t="s">
        <v>9193</v>
      </c>
    </row>
    <row r="3" spans="1:19" x14ac:dyDescent="0.35">
      <c r="A3" s="61">
        <f>AVERAGE(Table15[100])</f>
        <v>0.24363636363636365</v>
      </c>
      <c r="B3" s="61">
        <f>AVERAGE(Table14[100])</f>
        <v>0.30840909090909097</v>
      </c>
    </row>
    <row r="4" spans="1:19" x14ac:dyDescent="0.35">
      <c r="A4" s="62">
        <f>SUBTOTAL(101,Table15[200])</f>
        <v>0.25272727272727269</v>
      </c>
      <c r="B4" s="62">
        <f>SUBTOTAL(101,Table14[200])</f>
        <v>0.29613636363636375</v>
      </c>
      <c r="D4" t="s">
        <v>47</v>
      </c>
    </row>
    <row r="5" spans="1:19" ht="15" thickBot="1" x14ac:dyDescent="0.4">
      <c r="A5" s="62">
        <f>SUBTOTAL(101,Table15[400])</f>
        <v>0.24545454545454548</v>
      </c>
      <c r="B5" s="62">
        <f>SUBTOTAL(101,Table14[400])</f>
        <v>0.28863636363636369</v>
      </c>
    </row>
    <row r="6" spans="1:19" x14ac:dyDescent="0.35">
      <c r="A6" s="62">
        <f>SUBTOTAL(101,Table15[500])</f>
        <v>0.21454545454545454</v>
      </c>
      <c r="B6" s="62">
        <f>SUBTOTAL(101,Table14[500])</f>
        <v>0.28522727272727266</v>
      </c>
      <c r="D6" s="6"/>
      <c r="E6" s="6" t="s">
        <v>69</v>
      </c>
      <c r="F6" s="6" t="s">
        <v>70</v>
      </c>
    </row>
    <row r="7" spans="1:19" x14ac:dyDescent="0.35">
      <c r="A7" s="62">
        <f>SUBTOTAL(101,Table15[800])</f>
        <v>0.23363636363636367</v>
      </c>
      <c r="B7" s="62">
        <f>SUBTOTAL(101,Table14[800])</f>
        <v>0.28090909090909094</v>
      </c>
      <c r="D7" s="4" t="s">
        <v>48</v>
      </c>
      <c r="E7" s="4">
        <v>0.20839160839160842</v>
      </c>
      <c r="F7" s="4">
        <v>0.2602272727272727</v>
      </c>
    </row>
    <row r="8" spans="1:19" x14ac:dyDescent="0.35">
      <c r="A8" s="62">
        <f>SUBTOTAL(101,Table15[1000])</f>
        <v>0.22545454545454546</v>
      </c>
      <c r="B8" s="62">
        <f>SUBTOTAL(101,Table14[1000])</f>
        <v>0.3</v>
      </c>
      <c r="D8" s="4" t="s">
        <v>49</v>
      </c>
      <c r="E8" s="4">
        <v>1.6626933672388156E-3</v>
      </c>
      <c r="F8" s="4">
        <v>2.3930182506886979E-3</v>
      </c>
    </row>
    <row r="9" spans="1:19" x14ac:dyDescent="0.35">
      <c r="A9" s="62">
        <f>SUBTOTAL(101,Table15[2000])</f>
        <v>0.24818181818181823</v>
      </c>
      <c r="B9" s="62">
        <f>SUBTOTAL(101,Table14[2000])</f>
        <v>0.29022727272727267</v>
      </c>
      <c r="D9" s="4" t="s">
        <v>50</v>
      </c>
      <c r="E9" s="4">
        <v>13</v>
      </c>
      <c r="F9" s="4">
        <v>13</v>
      </c>
    </row>
    <row r="10" spans="1:19" x14ac:dyDescent="0.35">
      <c r="A10" s="62">
        <f>SUBTOTAL(101,Table15[3000])</f>
        <v>0.22545454545454549</v>
      </c>
      <c r="B10" s="62">
        <f>SUBTOTAL(101,Table14[3000])</f>
        <v>0.25295454545454543</v>
      </c>
      <c r="D10" s="4" t="s">
        <v>51</v>
      </c>
      <c r="E10" s="4">
        <v>2.0278558089637569E-3</v>
      </c>
      <c r="F10" s="4"/>
    </row>
    <row r="11" spans="1:19" x14ac:dyDescent="0.35">
      <c r="A11" s="62">
        <f>SUBTOTAL(101,Table15[4000])</f>
        <v>0.2009090909090909</v>
      </c>
      <c r="B11" s="62">
        <f>SUBTOTAL(101,Table14[4000])</f>
        <v>0.2843181818181818</v>
      </c>
      <c r="D11" s="4" t="s">
        <v>52</v>
      </c>
      <c r="E11" s="4">
        <v>0</v>
      </c>
      <c r="F11" s="4"/>
    </row>
    <row r="12" spans="1:19" x14ac:dyDescent="0.35">
      <c r="A12" s="62">
        <f>SUBTOTAL(101,Table15[6000])</f>
        <v>0.15090909090909091</v>
      </c>
      <c r="B12" s="62">
        <f>SUBTOTAL(101,Table14[6000])</f>
        <v>0.2459090909090908</v>
      </c>
      <c r="D12" s="4" t="s">
        <v>53</v>
      </c>
      <c r="E12" s="4">
        <v>24</v>
      </c>
      <c r="F12" s="4"/>
    </row>
    <row r="13" spans="1:19" x14ac:dyDescent="0.35">
      <c r="A13" s="62">
        <f>SUBTOTAL(101,Table15[8000])</f>
        <v>0.17727272727272728</v>
      </c>
      <c r="B13" s="62">
        <f>SUBTOTAL(101,Table14[8000])</f>
        <v>0.22</v>
      </c>
      <c r="D13" s="4" t="s">
        <v>54</v>
      </c>
      <c r="E13" s="4">
        <v>-2.9347209452000986</v>
      </c>
      <c r="F13" s="4"/>
    </row>
    <row r="14" spans="1:19" x14ac:dyDescent="0.35">
      <c r="A14" s="62">
        <f>SUBTOTAL(101,Table15[10000])</f>
        <v>0.13363636363636366</v>
      </c>
      <c r="B14" s="62">
        <f>SUBTOTAL(101,Table14[10000])</f>
        <v>0.17545454545454547</v>
      </c>
      <c r="D14" s="4" t="s">
        <v>55</v>
      </c>
      <c r="E14" s="4">
        <v>3.6215256995010448E-3</v>
      </c>
      <c r="F14" s="4"/>
    </row>
    <row r="15" spans="1:19" x14ac:dyDescent="0.35">
      <c r="A15" s="63">
        <f>SUBTOTAL(101,Table15[12000])</f>
        <v>0.15727272727272726</v>
      </c>
      <c r="B15" s="63">
        <f>SUBTOTAL(101,Table14[12000])</f>
        <v>0.15477272727272728</v>
      </c>
      <c r="D15" s="4" t="s">
        <v>56</v>
      </c>
      <c r="E15" s="4">
        <v>1.7108820799094284</v>
      </c>
      <c r="F15" s="4"/>
    </row>
    <row r="16" spans="1:19" x14ac:dyDescent="0.35">
      <c r="D16" s="4" t="s">
        <v>57</v>
      </c>
      <c r="E16" s="4">
        <v>7.2430513990020895E-3</v>
      </c>
      <c r="F16" s="4"/>
    </row>
    <row r="17" spans="1:6" ht="15" thickBot="1" x14ac:dyDescent="0.4">
      <c r="A17" t="s">
        <v>106</v>
      </c>
      <c r="B17" t="s">
        <v>107</v>
      </c>
      <c r="D17" s="5" t="s">
        <v>58</v>
      </c>
      <c r="E17" s="5">
        <v>2.0638985616280254</v>
      </c>
      <c r="F17" s="5"/>
    </row>
    <row r="18" spans="1:6" x14ac:dyDescent="0.35">
      <c r="A18" s="11">
        <f>STDEV(Table15[100])/SQRT(COUNT(Table15[100]))</f>
        <v>4.8416239335629496E-2</v>
      </c>
      <c r="B18" s="11">
        <f>STDEV(Table14[100])/SQRT(COUNT(Table14[100]))</f>
        <v>3.2621448445957768E-2</v>
      </c>
    </row>
    <row r="19" spans="1:6" x14ac:dyDescent="0.35">
      <c r="A19" s="11">
        <f>STDEV(Table15[200])/SQRT(COUNT(Table15[100]))</f>
        <v>4.22565951623027E-2</v>
      </c>
      <c r="B19" s="11">
        <f>STDEV(Table14[200])/SQRT(COUNT(Table14[100]))</f>
        <v>2.9319656779850874E-2</v>
      </c>
    </row>
    <row r="20" spans="1:6" x14ac:dyDescent="0.35">
      <c r="A20" s="11">
        <f>STDEV(Table15[400])/SQRT(COUNT(Table15[100]))</f>
        <v>4.1128703455541669E-2</v>
      </c>
      <c r="B20" s="11">
        <f>STDEV(Table14[400])/SQRT(COUNT(Table14[100]))</f>
        <v>2.7170262061597172E-2</v>
      </c>
    </row>
    <row r="21" spans="1:6" x14ac:dyDescent="0.35">
      <c r="A21" s="11">
        <f>STDEV(Table15[500])/SQRT(COUNT(Table15[100]))</f>
        <v>4.5153548866136907E-2</v>
      </c>
      <c r="B21" s="11">
        <f>STDEV(Table14[500])/SQRT(COUNT(Table14[100]))</f>
        <v>2.1021705877707492E-2</v>
      </c>
    </row>
    <row r="22" spans="1:6" x14ac:dyDescent="0.35">
      <c r="A22" s="11">
        <f>STDEV(Table15[800])/SQRT(COUNT(Table15[100]))</f>
        <v>4.4909458960582363E-2</v>
      </c>
      <c r="B22" s="11">
        <f>STDEV(Table14[800])/SQRT(COUNT(Table14[100]))</f>
        <v>2.6582708661258815E-2</v>
      </c>
    </row>
    <row r="23" spans="1:6" x14ac:dyDescent="0.35">
      <c r="A23" s="11">
        <f>STDEV(Table15[1000])/SQRT(COUNT(Table15[100]))</f>
        <v>4.1786549300933409E-2</v>
      </c>
      <c r="B23" s="11">
        <f>STDEV(Table14[1000])/SQRT(COUNT(Table14[100]))</f>
        <v>2.1696055311223136E-2</v>
      </c>
    </row>
    <row r="24" spans="1:6" x14ac:dyDescent="0.35">
      <c r="A24" s="11">
        <f>STDEV(Table15[2000])/SQRT(COUNT(Table15[100]))</f>
        <v>5.4084415194602477E-2</v>
      </c>
      <c r="B24" s="11">
        <f>STDEV(Table14[2000])/SQRT(COUNT(Table14[100]))</f>
        <v>2.6055901516622623E-2</v>
      </c>
    </row>
    <row r="25" spans="1:6" x14ac:dyDescent="0.35">
      <c r="A25" s="11">
        <f>STDEV(Table15[3000])/SQRT(COUNT(Table15[100]))</f>
        <v>6.1339052314516342E-2</v>
      </c>
      <c r="B25" s="11">
        <f>STDEV(Table14[3000])/SQRT(COUNT(Table14[100]))</f>
        <v>2.168284643051353E-2</v>
      </c>
    </row>
    <row r="26" spans="1:6" x14ac:dyDescent="0.35">
      <c r="A26" s="11">
        <f>STDEV(Table15[4000])/SQRT(COUNT(Table15[100]))</f>
        <v>4.6091895273652567E-2</v>
      </c>
      <c r="B26" s="11">
        <f>STDEV(Table14[4000])/SQRT(COUNT(Table14[100]))</f>
        <v>2.5632377713316636E-2</v>
      </c>
    </row>
    <row r="27" spans="1:6" x14ac:dyDescent="0.35">
      <c r="A27" s="11">
        <f>STDEV(Table15[6000])/SQRT(COUNT(Table15[100]))</f>
        <v>3.5121983415067337E-2</v>
      </c>
      <c r="B27" s="11">
        <f>STDEV(Table14[6000])/SQRT(COUNT(Table14[100]))</f>
        <v>2.6817285970632373E-2</v>
      </c>
    </row>
    <row r="28" spans="1:6" x14ac:dyDescent="0.35">
      <c r="A28" s="11">
        <f>STDEV(Table15[8000])/SQRT(COUNT(Table15[100]))</f>
        <v>3.7003461977862397E-2</v>
      </c>
      <c r="B28" s="11">
        <f>STDEV(Table14[8000])/SQRT(COUNT(Table14[100]))</f>
        <v>1.936628137053217E-2</v>
      </c>
    </row>
    <row r="29" spans="1:6" x14ac:dyDescent="0.35">
      <c r="A29" s="11">
        <f>STDEV(Table15[10000])/SQRT(COUNT(Table15[100]))</f>
        <v>3.1601862064606447E-2</v>
      </c>
      <c r="B29" s="11">
        <f>STDEV(Table14[10000])/SQRT(COUNT(Table14[100]))</f>
        <v>2.1663031870830848E-2</v>
      </c>
    </row>
    <row r="30" spans="1:6" x14ac:dyDescent="0.35">
      <c r="A30" s="11">
        <f>STDEV(Table15[12000])/SQRT(COUNT(Table15[100]))</f>
        <v>4.0047492466976774E-2</v>
      </c>
      <c r="B30" s="11">
        <f>STDEV(Table14[12000])/SQRT(COUNT(Table14[100]))</f>
        <v>2.6209613321878943E-2</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90BA-8643-4919-8A40-C41BB44D9D69}">
  <dimension ref="A1:M79"/>
  <sheetViews>
    <sheetView workbookViewId="0">
      <selection activeCell="G71" sqref="G71"/>
    </sheetView>
  </sheetViews>
  <sheetFormatPr defaultRowHeight="14.5" x14ac:dyDescent="0.35"/>
  <sheetData>
    <row r="1" spans="1:13" x14ac:dyDescent="0.35">
      <c r="A1" t="s">
        <v>47</v>
      </c>
      <c r="F1" t="s">
        <v>47</v>
      </c>
      <c r="K1" t="s">
        <v>47</v>
      </c>
    </row>
    <row r="2" spans="1:13" ht="15" thickBot="1" x14ac:dyDescent="0.4"/>
    <row r="3" spans="1:13" x14ac:dyDescent="0.35">
      <c r="A3" s="6"/>
      <c r="B3" s="6" t="s">
        <v>0</v>
      </c>
      <c r="C3" s="6" t="s">
        <v>0</v>
      </c>
      <c r="F3" s="6"/>
      <c r="G3" s="6" t="s">
        <v>1</v>
      </c>
      <c r="H3" s="6" t="s">
        <v>1</v>
      </c>
      <c r="K3" s="6"/>
      <c r="L3" s="6" t="s">
        <v>2</v>
      </c>
      <c r="M3" s="6" t="s">
        <v>2</v>
      </c>
    </row>
    <row r="4" spans="1:13" x14ac:dyDescent="0.35">
      <c r="A4" s="4" t="s">
        <v>48</v>
      </c>
      <c r="B4" s="4">
        <v>0.24363636363636365</v>
      </c>
      <c r="C4" s="4">
        <v>0.30840909090909097</v>
      </c>
      <c r="F4" s="4" t="s">
        <v>48</v>
      </c>
      <c r="G4" s="4">
        <v>0.25272727272727269</v>
      </c>
      <c r="H4" s="4">
        <v>0.29613636363636375</v>
      </c>
      <c r="K4" s="4" t="s">
        <v>48</v>
      </c>
      <c r="L4" s="4">
        <v>0.24545454545454548</v>
      </c>
      <c r="M4" s="4">
        <v>0.28863636363636369</v>
      </c>
    </row>
    <row r="5" spans="1:13" x14ac:dyDescent="0.35">
      <c r="A5" s="4" t="s">
        <v>49</v>
      </c>
      <c r="B5" s="4">
        <v>2.5785454545454521E-2</v>
      </c>
      <c r="C5" s="4">
        <v>4.6822991543340339E-2</v>
      </c>
      <c r="F5" s="4" t="s">
        <v>49</v>
      </c>
      <c r="G5" s="4">
        <v>1.9641818181818184E-2</v>
      </c>
      <c r="H5" s="4">
        <v>3.7824260042283238E-2</v>
      </c>
      <c r="K5" s="4" t="s">
        <v>49</v>
      </c>
      <c r="L5" s="4">
        <v>1.860727272727274E-2</v>
      </c>
      <c r="M5" s="4">
        <v>3.2481818181818126E-2</v>
      </c>
    </row>
    <row r="6" spans="1:13" x14ac:dyDescent="0.35">
      <c r="A6" s="4" t="s">
        <v>50</v>
      </c>
      <c r="B6" s="4">
        <v>11</v>
      </c>
      <c r="C6" s="4">
        <v>44</v>
      </c>
      <c r="F6" s="4" t="s">
        <v>50</v>
      </c>
      <c r="G6" s="4">
        <v>11</v>
      </c>
      <c r="H6" s="4">
        <v>44</v>
      </c>
      <c r="K6" s="4" t="s">
        <v>50</v>
      </c>
      <c r="L6" s="4">
        <v>11</v>
      </c>
      <c r="M6" s="4">
        <v>44</v>
      </c>
    </row>
    <row r="7" spans="1:13" x14ac:dyDescent="0.35">
      <c r="A7" s="4" t="s">
        <v>51</v>
      </c>
      <c r="B7" s="4">
        <v>4.2853644939965657E-2</v>
      </c>
      <c r="C7" s="4"/>
      <c r="F7" s="4" t="s">
        <v>51</v>
      </c>
      <c r="G7" s="4">
        <v>3.4393610634648325E-2</v>
      </c>
      <c r="H7" s="4"/>
      <c r="K7" s="4" t="s">
        <v>51</v>
      </c>
      <c r="L7" s="4">
        <v>2.9863979416809561E-2</v>
      </c>
      <c r="M7" s="4"/>
    </row>
    <row r="8" spans="1:13" x14ac:dyDescent="0.35">
      <c r="A8" s="4" t="s">
        <v>52</v>
      </c>
      <c r="B8" s="4">
        <v>0</v>
      </c>
      <c r="C8" s="4"/>
      <c r="F8" s="4" t="s">
        <v>52</v>
      </c>
      <c r="G8" s="4">
        <v>0</v>
      </c>
      <c r="H8" s="4"/>
      <c r="K8" s="4" t="s">
        <v>52</v>
      </c>
      <c r="L8" s="4">
        <v>0</v>
      </c>
      <c r="M8" s="4"/>
    </row>
    <row r="9" spans="1:13" x14ac:dyDescent="0.35">
      <c r="A9" s="4" t="s">
        <v>53</v>
      </c>
      <c r="B9" s="4">
        <v>53</v>
      </c>
      <c r="C9" s="4"/>
      <c r="F9" s="4" t="s">
        <v>53</v>
      </c>
      <c r="G9" s="4">
        <v>53</v>
      </c>
      <c r="H9" s="4"/>
      <c r="K9" s="4" t="s">
        <v>53</v>
      </c>
      <c r="L9" s="4">
        <v>53</v>
      </c>
      <c r="M9" s="4"/>
    </row>
    <row r="10" spans="1:13" x14ac:dyDescent="0.35">
      <c r="A10" s="4" t="s">
        <v>54</v>
      </c>
      <c r="B10" s="4">
        <v>-0.92819587942236004</v>
      </c>
      <c r="C10" s="4"/>
      <c r="F10" s="4" t="s">
        <v>54</v>
      </c>
      <c r="G10" s="4">
        <v>-0.69435751730195483</v>
      </c>
      <c r="H10" s="4"/>
      <c r="K10" s="4" t="s">
        <v>54</v>
      </c>
      <c r="L10" s="4">
        <v>-0.74125634139633467</v>
      </c>
      <c r="M10" s="4"/>
    </row>
    <row r="11" spans="1:13" x14ac:dyDescent="0.35">
      <c r="A11" s="4" t="s">
        <v>55</v>
      </c>
      <c r="B11" s="4">
        <v>0.1787570117748235</v>
      </c>
      <c r="C11" s="4"/>
      <c r="F11" s="4" t="s">
        <v>55</v>
      </c>
      <c r="G11" s="4">
        <v>0.2452453273747815</v>
      </c>
      <c r="H11" s="4"/>
      <c r="K11" s="4" t="s">
        <v>55</v>
      </c>
      <c r="L11" s="4">
        <v>0.23090496338810007</v>
      </c>
      <c r="M11" s="4"/>
    </row>
    <row r="12" spans="1:13" x14ac:dyDescent="0.35">
      <c r="A12" s="4" t="s">
        <v>56</v>
      </c>
      <c r="B12" s="4">
        <v>1.6741162367030993</v>
      </c>
      <c r="C12" s="4"/>
      <c r="F12" s="4" t="s">
        <v>56</v>
      </c>
      <c r="G12" s="4">
        <v>1.6741162367030993</v>
      </c>
      <c r="H12" s="4"/>
      <c r="K12" s="4" t="s">
        <v>56</v>
      </c>
      <c r="L12" s="4">
        <v>1.6741162367030993</v>
      </c>
      <c r="M12" s="4"/>
    </row>
    <row r="13" spans="1:13" x14ac:dyDescent="0.35">
      <c r="A13" s="4" t="s">
        <v>57</v>
      </c>
      <c r="B13" s="4">
        <v>0.35751402354964701</v>
      </c>
      <c r="C13" s="4"/>
      <c r="F13" s="4" t="s">
        <v>57</v>
      </c>
      <c r="G13" s="4">
        <v>0.49049065474956299</v>
      </c>
      <c r="H13" s="4"/>
      <c r="K13" s="4" t="s">
        <v>57</v>
      </c>
      <c r="L13" s="4">
        <v>0.46180992677620014</v>
      </c>
      <c r="M13" s="4"/>
    </row>
    <row r="14" spans="1:13" ht="15" thickBot="1" x14ac:dyDescent="0.4">
      <c r="A14" s="5" t="s">
        <v>58</v>
      </c>
      <c r="B14" s="5">
        <v>2.0057459953178696</v>
      </c>
      <c r="C14" s="5"/>
      <c r="F14" s="5" t="s">
        <v>58</v>
      </c>
      <c r="G14" s="5">
        <v>2.0057459953178696</v>
      </c>
      <c r="H14" s="5"/>
      <c r="K14" s="5" t="s">
        <v>58</v>
      </c>
      <c r="L14" s="5">
        <v>2.0057459953178696</v>
      </c>
      <c r="M14" s="5"/>
    </row>
    <row r="18" spans="1:13" x14ac:dyDescent="0.35">
      <c r="A18" t="s">
        <v>47</v>
      </c>
      <c r="F18" t="s">
        <v>47</v>
      </c>
      <c r="K18" t="s">
        <v>47</v>
      </c>
    </row>
    <row r="19" spans="1:13" ht="15" thickBot="1" x14ac:dyDescent="0.4"/>
    <row r="20" spans="1:13" x14ac:dyDescent="0.35">
      <c r="A20" s="6"/>
      <c r="B20" s="6" t="s">
        <v>3</v>
      </c>
      <c r="C20" s="6" t="s">
        <v>3</v>
      </c>
      <c r="F20" s="6"/>
      <c r="G20" s="6" t="s">
        <v>4</v>
      </c>
      <c r="H20" s="6" t="s">
        <v>4</v>
      </c>
      <c r="K20" s="6"/>
      <c r="L20" s="6" t="s">
        <v>5</v>
      </c>
      <c r="M20" s="6" t="s">
        <v>5</v>
      </c>
    </row>
    <row r="21" spans="1:13" x14ac:dyDescent="0.35">
      <c r="A21" s="4" t="s">
        <v>48</v>
      </c>
      <c r="B21" s="4">
        <v>0.21454545454545454</v>
      </c>
      <c r="C21" s="4">
        <v>0.28522727272727266</v>
      </c>
      <c r="F21" s="4" t="s">
        <v>48</v>
      </c>
      <c r="G21" s="4">
        <v>0.23363636363636367</v>
      </c>
      <c r="H21" s="4">
        <v>0.28090909090909094</v>
      </c>
      <c r="K21" s="4" t="s">
        <v>48</v>
      </c>
      <c r="L21" s="4">
        <v>0.22545454545454546</v>
      </c>
      <c r="M21" s="4">
        <v>0.3</v>
      </c>
    </row>
    <row r="22" spans="1:13" x14ac:dyDescent="0.35">
      <c r="A22" s="4" t="s">
        <v>49</v>
      </c>
      <c r="B22" s="4">
        <v>2.2427272727272751E-2</v>
      </c>
      <c r="C22" s="4">
        <v>1.9444133192389041E-2</v>
      </c>
      <c r="F22" s="4" t="s">
        <v>49</v>
      </c>
      <c r="G22" s="4">
        <v>2.2185454545454543E-2</v>
      </c>
      <c r="H22" s="4">
        <v>3.1092177589852041E-2</v>
      </c>
      <c r="K22" s="4" t="s">
        <v>49</v>
      </c>
      <c r="L22" s="4">
        <v>1.9207272727272719E-2</v>
      </c>
      <c r="M22" s="4">
        <v>2.0711627906976757E-2</v>
      </c>
    </row>
    <row r="23" spans="1:13" x14ac:dyDescent="0.35">
      <c r="A23" s="4" t="s">
        <v>50</v>
      </c>
      <c r="B23" s="4">
        <v>11</v>
      </c>
      <c r="C23" s="4">
        <v>44</v>
      </c>
      <c r="F23" s="4" t="s">
        <v>50</v>
      </c>
      <c r="G23" s="4">
        <v>11</v>
      </c>
      <c r="H23" s="4">
        <v>44</v>
      </c>
      <c r="K23" s="4" t="s">
        <v>50</v>
      </c>
      <c r="L23" s="4">
        <v>11</v>
      </c>
      <c r="M23" s="4">
        <v>44</v>
      </c>
    </row>
    <row r="24" spans="1:13" x14ac:dyDescent="0.35">
      <c r="A24" s="4" t="s">
        <v>51</v>
      </c>
      <c r="B24" s="4">
        <v>2.0006989708404834E-2</v>
      </c>
      <c r="C24" s="4"/>
      <c r="F24" s="4" t="s">
        <v>51</v>
      </c>
      <c r="G24" s="4">
        <v>2.9411663807890249E-2</v>
      </c>
      <c r="H24" s="4"/>
      <c r="K24" s="4" t="s">
        <v>51</v>
      </c>
      <c r="L24" s="4">
        <v>2.0427787307032604E-2</v>
      </c>
      <c r="M24" s="4"/>
    </row>
    <row r="25" spans="1:13" x14ac:dyDescent="0.35">
      <c r="A25" s="4" t="s">
        <v>52</v>
      </c>
      <c r="B25" s="4">
        <v>0</v>
      </c>
      <c r="C25" s="4"/>
      <c r="F25" s="4" t="s">
        <v>52</v>
      </c>
      <c r="G25" s="4">
        <v>0</v>
      </c>
      <c r="H25" s="4"/>
      <c r="K25" s="4" t="s">
        <v>52</v>
      </c>
      <c r="L25" s="4">
        <v>0</v>
      </c>
      <c r="M25" s="4"/>
    </row>
    <row r="26" spans="1:13" x14ac:dyDescent="0.35">
      <c r="A26" s="4" t="s">
        <v>53</v>
      </c>
      <c r="B26" s="4">
        <v>53</v>
      </c>
      <c r="C26" s="4"/>
      <c r="F26" s="4" t="s">
        <v>53</v>
      </c>
      <c r="G26" s="4">
        <v>53</v>
      </c>
      <c r="H26" s="4"/>
      <c r="K26" s="4" t="s">
        <v>53</v>
      </c>
      <c r="L26" s="4">
        <v>53</v>
      </c>
      <c r="M26" s="4"/>
    </row>
    <row r="27" spans="1:13" x14ac:dyDescent="0.35">
      <c r="A27" s="4" t="s">
        <v>54</v>
      </c>
      <c r="B27" s="4">
        <v>-1.4823753146252228</v>
      </c>
      <c r="C27" s="4"/>
      <c r="F27" s="4" t="s">
        <v>54</v>
      </c>
      <c r="G27" s="4">
        <v>-0.81769661139946115</v>
      </c>
      <c r="H27" s="4"/>
      <c r="K27" s="4" t="s">
        <v>54</v>
      </c>
      <c r="L27" s="4">
        <v>-1.5472191769604149</v>
      </c>
      <c r="M27" s="4"/>
    </row>
    <row r="28" spans="1:13" x14ac:dyDescent="0.35">
      <c r="A28" s="4" t="s">
        <v>55</v>
      </c>
      <c r="B28" s="4">
        <v>7.2081210411940919E-2</v>
      </c>
      <c r="C28" s="4"/>
      <c r="F28" s="4" t="s">
        <v>55</v>
      </c>
      <c r="G28" s="4">
        <v>0.20859570363526364</v>
      </c>
      <c r="H28" s="4"/>
      <c r="K28" s="4" t="s">
        <v>55</v>
      </c>
      <c r="L28" s="4">
        <v>6.388068659841363E-2</v>
      </c>
      <c r="M28" s="4"/>
    </row>
    <row r="29" spans="1:13" x14ac:dyDescent="0.35">
      <c r="A29" s="4" t="s">
        <v>56</v>
      </c>
      <c r="B29" s="4">
        <v>1.6741162367030993</v>
      </c>
      <c r="C29" s="4"/>
      <c r="F29" s="4" t="s">
        <v>56</v>
      </c>
      <c r="G29" s="4">
        <v>1.6741162367030993</v>
      </c>
      <c r="H29" s="4"/>
      <c r="K29" s="4" t="s">
        <v>56</v>
      </c>
      <c r="L29" s="4">
        <v>1.6741162367030993</v>
      </c>
      <c r="M29" s="4"/>
    </row>
    <row r="30" spans="1:13" x14ac:dyDescent="0.35">
      <c r="A30" s="4" t="s">
        <v>57</v>
      </c>
      <c r="B30" s="4">
        <v>0.14416242082388184</v>
      </c>
      <c r="C30" s="4"/>
      <c r="F30" s="4" t="s">
        <v>57</v>
      </c>
      <c r="G30" s="4">
        <v>0.41719140727052728</v>
      </c>
      <c r="H30" s="4"/>
      <c r="K30" s="4" t="s">
        <v>57</v>
      </c>
      <c r="L30" s="4">
        <v>0.12776137319682726</v>
      </c>
      <c r="M30" s="4"/>
    </row>
    <row r="31" spans="1:13" ht="15" thickBot="1" x14ac:dyDescent="0.4">
      <c r="A31" s="5" t="s">
        <v>58</v>
      </c>
      <c r="B31" s="5">
        <v>2.0057459953178696</v>
      </c>
      <c r="C31" s="5"/>
      <c r="F31" s="5" t="s">
        <v>58</v>
      </c>
      <c r="G31" s="5">
        <v>2.0057459953178696</v>
      </c>
      <c r="H31" s="5"/>
      <c r="K31" s="5" t="s">
        <v>58</v>
      </c>
      <c r="L31" s="5">
        <v>2.0057459953178696</v>
      </c>
      <c r="M31" s="5"/>
    </row>
    <row r="34" spans="1:13" x14ac:dyDescent="0.35">
      <c r="A34" t="s">
        <v>47</v>
      </c>
      <c r="F34" t="s">
        <v>47</v>
      </c>
      <c r="K34" t="s">
        <v>47</v>
      </c>
    </row>
    <row r="35" spans="1:13" ht="15" thickBot="1" x14ac:dyDescent="0.4"/>
    <row r="36" spans="1:13" x14ac:dyDescent="0.35">
      <c r="A36" s="6"/>
      <c r="B36" s="6" t="s">
        <v>6</v>
      </c>
      <c r="C36" s="6" t="s">
        <v>6</v>
      </c>
      <c r="F36" s="6"/>
      <c r="G36" s="6" t="s">
        <v>7</v>
      </c>
      <c r="H36" s="6" t="s">
        <v>7</v>
      </c>
      <c r="K36" s="6"/>
      <c r="L36" s="6" t="s">
        <v>8</v>
      </c>
      <c r="M36" s="6" t="s">
        <v>8</v>
      </c>
    </row>
    <row r="37" spans="1:13" x14ac:dyDescent="0.35">
      <c r="A37" s="4" t="s">
        <v>48</v>
      </c>
      <c r="B37" s="4">
        <v>0.24818181818181823</v>
      </c>
      <c r="C37" s="4">
        <v>0.29022727272727267</v>
      </c>
      <c r="F37" s="4" t="s">
        <v>48</v>
      </c>
      <c r="G37" s="4">
        <v>0.22545454545454549</v>
      </c>
      <c r="H37" s="4">
        <v>0.25295454545454543</v>
      </c>
      <c r="K37" s="4" t="s">
        <v>48</v>
      </c>
      <c r="L37" s="4">
        <v>0.2009090909090909</v>
      </c>
      <c r="M37" s="4">
        <v>0.2843181818181818</v>
      </c>
    </row>
    <row r="38" spans="1:13" x14ac:dyDescent="0.35">
      <c r="A38" s="4" t="s">
        <v>49</v>
      </c>
      <c r="B38" s="4">
        <v>3.2176363636363614E-2</v>
      </c>
      <c r="C38" s="4">
        <v>2.9872040169133227E-2</v>
      </c>
      <c r="F38" s="4" t="s">
        <v>49</v>
      </c>
      <c r="G38" s="4">
        <v>4.1387272727272703E-2</v>
      </c>
      <c r="H38" s="4">
        <v>2.0686416490486269E-2</v>
      </c>
      <c r="K38" s="4" t="s">
        <v>49</v>
      </c>
      <c r="L38" s="4">
        <v>2.3369090909090916E-2</v>
      </c>
      <c r="M38" s="4">
        <v>2.890882663847778E-2</v>
      </c>
    </row>
    <row r="39" spans="1:13" x14ac:dyDescent="0.35">
      <c r="A39" s="4" t="s">
        <v>50</v>
      </c>
      <c r="B39" s="4">
        <v>11</v>
      </c>
      <c r="C39" s="4">
        <v>44</v>
      </c>
      <c r="F39" s="4" t="s">
        <v>50</v>
      </c>
      <c r="G39" s="4">
        <v>11</v>
      </c>
      <c r="H39" s="4">
        <v>44</v>
      </c>
      <c r="K39" s="4" t="s">
        <v>50</v>
      </c>
      <c r="L39" s="4">
        <v>11</v>
      </c>
      <c r="M39" s="4">
        <v>44</v>
      </c>
    </row>
    <row r="40" spans="1:13" x14ac:dyDescent="0.35">
      <c r="A40" s="4" t="s">
        <v>51</v>
      </c>
      <c r="B40" s="4">
        <v>3.0306818181818206E-2</v>
      </c>
      <c r="C40" s="4"/>
      <c r="F40" s="4" t="s">
        <v>51</v>
      </c>
      <c r="G40" s="4">
        <v>2.459223842195541E-2</v>
      </c>
      <c r="H40" s="4"/>
      <c r="K40" s="4" t="s">
        <v>51</v>
      </c>
      <c r="L40" s="4">
        <v>2.786359348198969E-2</v>
      </c>
      <c r="M40" s="4"/>
    </row>
    <row r="41" spans="1:13" x14ac:dyDescent="0.35">
      <c r="A41" s="4" t="s">
        <v>52</v>
      </c>
      <c r="B41" s="4">
        <v>0</v>
      </c>
      <c r="C41" s="4"/>
      <c r="F41" s="4" t="s">
        <v>52</v>
      </c>
      <c r="G41" s="4">
        <v>0</v>
      </c>
      <c r="H41" s="4"/>
      <c r="K41" s="4" t="s">
        <v>52</v>
      </c>
      <c r="L41" s="4">
        <v>0</v>
      </c>
      <c r="M41" s="4"/>
    </row>
    <row r="42" spans="1:13" x14ac:dyDescent="0.35">
      <c r="A42" s="4" t="s">
        <v>53</v>
      </c>
      <c r="B42" s="4">
        <v>53</v>
      </c>
      <c r="C42" s="4"/>
      <c r="F42" s="4" t="s">
        <v>53</v>
      </c>
      <c r="G42" s="4">
        <v>53</v>
      </c>
      <c r="H42" s="4"/>
      <c r="K42" s="4" t="s">
        <v>53</v>
      </c>
      <c r="L42" s="4">
        <v>53</v>
      </c>
      <c r="M42" s="4"/>
    </row>
    <row r="43" spans="1:13" x14ac:dyDescent="0.35">
      <c r="A43" s="4" t="s">
        <v>54</v>
      </c>
      <c r="B43" s="4">
        <v>-0.71645714187624565</v>
      </c>
      <c r="C43" s="4"/>
      <c r="F43" s="4" t="s">
        <v>54</v>
      </c>
      <c r="G43" s="4">
        <v>-0.52020557187401872</v>
      </c>
      <c r="H43" s="4"/>
      <c r="K43" s="4" t="s">
        <v>54</v>
      </c>
      <c r="L43" s="4">
        <v>-1.482300179427307</v>
      </c>
      <c r="M43" s="4"/>
    </row>
    <row r="44" spans="1:13" x14ac:dyDescent="0.35">
      <c r="A44" s="4" t="s">
        <v>55</v>
      </c>
      <c r="B44" s="4">
        <v>0.23842720549831758</v>
      </c>
      <c r="C44" s="4"/>
      <c r="F44" s="4" t="s">
        <v>55</v>
      </c>
      <c r="G44" s="4">
        <v>0.3025432975890755</v>
      </c>
      <c r="H44" s="4"/>
      <c r="K44" s="4" t="s">
        <v>55</v>
      </c>
      <c r="L44" s="4">
        <v>7.2091172873466836E-2</v>
      </c>
      <c r="M44" s="4"/>
    </row>
    <row r="45" spans="1:13" x14ac:dyDescent="0.35">
      <c r="A45" s="4" t="s">
        <v>56</v>
      </c>
      <c r="B45" s="4">
        <v>1.6741162367030993</v>
      </c>
      <c r="C45" s="4"/>
      <c r="F45" s="4" t="s">
        <v>56</v>
      </c>
      <c r="G45" s="4">
        <v>1.6741162367030993</v>
      </c>
      <c r="H45" s="4"/>
      <c r="K45" s="4" t="s">
        <v>56</v>
      </c>
      <c r="L45" s="4">
        <v>1.6741162367030993</v>
      </c>
      <c r="M45" s="4"/>
    </row>
    <row r="46" spans="1:13" x14ac:dyDescent="0.35">
      <c r="A46" s="4" t="s">
        <v>57</v>
      </c>
      <c r="B46" s="4">
        <v>0.47685441099663517</v>
      </c>
      <c r="C46" s="4"/>
      <c r="F46" s="4" t="s">
        <v>57</v>
      </c>
      <c r="G46" s="4">
        <v>0.605086595178151</v>
      </c>
      <c r="H46" s="4"/>
      <c r="K46" s="4" t="s">
        <v>57</v>
      </c>
      <c r="L46" s="4">
        <v>0.14418234574693367</v>
      </c>
      <c r="M46" s="4"/>
    </row>
    <row r="47" spans="1:13" ht="15" thickBot="1" x14ac:dyDescent="0.4">
      <c r="A47" s="5" t="s">
        <v>58</v>
      </c>
      <c r="B47" s="5">
        <v>2.0057459953178696</v>
      </c>
      <c r="C47" s="5"/>
      <c r="F47" s="5" t="s">
        <v>58</v>
      </c>
      <c r="G47" s="5">
        <v>2.0057459953178696</v>
      </c>
      <c r="H47" s="5"/>
      <c r="K47" s="5" t="s">
        <v>58</v>
      </c>
      <c r="L47" s="5">
        <v>2.0057459953178696</v>
      </c>
      <c r="M47" s="5"/>
    </row>
    <row r="50" spans="1:13" x14ac:dyDescent="0.35">
      <c r="A50" t="s">
        <v>47</v>
      </c>
      <c r="F50" t="s">
        <v>47</v>
      </c>
      <c r="K50" t="s">
        <v>47</v>
      </c>
    </row>
    <row r="51" spans="1:13" ht="15" thickBot="1" x14ac:dyDescent="0.4"/>
    <row r="52" spans="1:13" x14ac:dyDescent="0.35">
      <c r="A52" s="6"/>
      <c r="B52" s="6" t="s">
        <v>9</v>
      </c>
      <c r="C52" s="6" t="s">
        <v>9</v>
      </c>
      <c r="F52" s="6"/>
      <c r="G52" s="6" t="s">
        <v>10</v>
      </c>
      <c r="H52" s="6" t="s">
        <v>10</v>
      </c>
      <c r="K52" s="6"/>
      <c r="L52" s="6" t="s">
        <v>11</v>
      </c>
      <c r="M52" s="6" t="s">
        <v>11</v>
      </c>
    </row>
    <row r="53" spans="1:13" x14ac:dyDescent="0.35">
      <c r="A53" s="4" t="s">
        <v>48</v>
      </c>
      <c r="B53" s="4">
        <v>0.15090909090909091</v>
      </c>
      <c r="C53" s="4">
        <v>0.2459090909090908</v>
      </c>
      <c r="F53" s="4" t="s">
        <v>48</v>
      </c>
      <c r="G53" s="4">
        <v>0.17727272727272728</v>
      </c>
      <c r="H53" s="4">
        <v>0.22</v>
      </c>
      <c r="K53" s="4" t="s">
        <v>48</v>
      </c>
      <c r="L53" s="4">
        <v>0.13363636363636366</v>
      </c>
      <c r="M53" s="4">
        <v>0.17545454545454547</v>
      </c>
    </row>
    <row r="54" spans="1:13" x14ac:dyDescent="0.35">
      <c r="A54" s="4" t="s">
        <v>49</v>
      </c>
      <c r="B54" s="4">
        <v>1.3569090909090914E-2</v>
      </c>
      <c r="C54" s="4">
        <v>3.1643340380549743E-2</v>
      </c>
      <c r="F54" s="4" t="s">
        <v>49</v>
      </c>
      <c r="G54" s="4">
        <v>1.5061818181818187E-2</v>
      </c>
      <c r="H54" s="4">
        <v>1.650232558139534E-2</v>
      </c>
      <c r="K54" s="4" t="s">
        <v>49</v>
      </c>
      <c r="L54" s="4">
        <v>1.0985454545454534E-2</v>
      </c>
      <c r="M54" s="4">
        <v>2.0648625792811855E-2</v>
      </c>
    </row>
    <row r="55" spans="1:13" x14ac:dyDescent="0.35">
      <c r="A55" s="4" t="s">
        <v>50</v>
      </c>
      <c r="B55" s="4">
        <v>11</v>
      </c>
      <c r="C55" s="4">
        <v>44</v>
      </c>
      <c r="F55" s="4" t="s">
        <v>50</v>
      </c>
      <c r="G55" s="4">
        <v>11</v>
      </c>
      <c r="H55" s="4">
        <v>44</v>
      </c>
      <c r="K55" s="4" t="s">
        <v>50</v>
      </c>
      <c r="L55" s="4">
        <v>11</v>
      </c>
      <c r="M55" s="4">
        <v>44</v>
      </c>
    </row>
    <row r="56" spans="1:13" x14ac:dyDescent="0.35">
      <c r="A56" s="4" t="s">
        <v>51</v>
      </c>
      <c r="B56" s="4">
        <v>2.8233104631217889E-2</v>
      </c>
      <c r="C56" s="4"/>
      <c r="F56" s="4" t="s">
        <v>51</v>
      </c>
      <c r="G56" s="4">
        <v>1.6230531732418518E-2</v>
      </c>
      <c r="H56" s="4"/>
      <c r="K56" s="4" t="s">
        <v>51</v>
      </c>
      <c r="L56" s="4">
        <v>1.8825385934819906E-2</v>
      </c>
      <c r="M56" s="4"/>
    </row>
    <row r="57" spans="1:13" x14ac:dyDescent="0.35">
      <c r="A57" s="4" t="s">
        <v>52</v>
      </c>
      <c r="B57" s="4">
        <v>0</v>
      </c>
      <c r="C57" s="4"/>
      <c r="F57" s="4" t="s">
        <v>52</v>
      </c>
      <c r="G57" s="4">
        <v>0</v>
      </c>
      <c r="H57" s="4"/>
      <c r="K57" s="4" t="s">
        <v>52</v>
      </c>
      <c r="L57" s="4">
        <v>0</v>
      </c>
      <c r="M57" s="4"/>
    </row>
    <row r="58" spans="1:13" x14ac:dyDescent="0.35">
      <c r="A58" s="4" t="s">
        <v>53</v>
      </c>
      <c r="B58" s="4">
        <v>53</v>
      </c>
      <c r="C58" s="4"/>
      <c r="F58" s="4" t="s">
        <v>53</v>
      </c>
      <c r="G58" s="4">
        <v>53</v>
      </c>
      <c r="H58" s="4"/>
      <c r="K58" s="4" t="s">
        <v>53</v>
      </c>
      <c r="L58" s="4">
        <v>53</v>
      </c>
      <c r="M58" s="4"/>
    </row>
    <row r="59" spans="1:13" x14ac:dyDescent="0.35">
      <c r="A59" s="4" t="s">
        <v>54</v>
      </c>
      <c r="B59" s="4">
        <v>-1.677202969104663</v>
      </c>
      <c r="C59" s="4"/>
      <c r="F59" s="4" t="s">
        <v>54</v>
      </c>
      <c r="G59" s="4">
        <v>-0.99490161262450527</v>
      </c>
      <c r="H59" s="4"/>
      <c r="K59" s="4" t="s">
        <v>54</v>
      </c>
      <c r="L59" s="4">
        <v>-0.90413761662597003</v>
      </c>
      <c r="M59" s="4"/>
    </row>
    <row r="60" spans="1:13" x14ac:dyDescent="0.35">
      <c r="A60" s="4" t="s">
        <v>55</v>
      </c>
      <c r="B60" s="4">
        <v>4.9695883735415121E-2</v>
      </c>
      <c r="C60" s="4"/>
      <c r="F60" s="4" t="s">
        <v>55</v>
      </c>
      <c r="G60" s="4">
        <v>0.16215242403787911</v>
      </c>
      <c r="H60" s="4"/>
      <c r="K60" s="4" t="s">
        <v>55</v>
      </c>
      <c r="L60" s="4">
        <v>0.18500694985544436</v>
      </c>
      <c r="M60" s="4"/>
    </row>
    <row r="61" spans="1:13" x14ac:dyDescent="0.35">
      <c r="A61" s="4" t="s">
        <v>56</v>
      </c>
      <c r="B61" s="4">
        <v>1.6741162367030993</v>
      </c>
      <c r="C61" s="4"/>
      <c r="F61" s="4" t="s">
        <v>56</v>
      </c>
      <c r="G61" s="4">
        <v>1.6741162367030993</v>
      </c>
      <c r="H61" s="4"/>
      <c r="K61" s="4" t="s">
        <v>56</v>
      </c>
      <c r="L61" s="4">
        <v>1.6741162367030993</v>
      </c>
      <c r="M61" s="4"/>
    </row>
    <row r="62" spans="1:13" x14ac:dyDescent="0.35">
      <c r="A62" s="4" t="s">
        <v>57</v>
      </c>
      <c r="B62" s="4">
        <v>9.9391767470830242E-2</v>
      </c>
      <c r="C62" s="4"/>
      <c r="F62" s="4" t="s">
        <v>57</v>
      </c>
      <c r="G62" s="4">
        <v>0.32430484807575821</v>
      </c>
      <c r="H62" s="4"/>
      <c r="K62" s="4" t="s">
        <v>57</v>
      </c>
      <c r="L62" s="4">
        <v>0.37001389971088872</v>
      </c>
      <c r="M62" s="4"/>
    </row>
    <row r="63" spans="1:13" ht="15" thickBot="1" x14ac:dyDescent="0.4">
      <c r="A63" s="5" t="s">
        <v>58</v>
      </c>
      <c r="B63" s="5">
        <v>2.0057459953178696</v>
      </c>
      <c r="C63" s="5"/>
      <c r="F63" s="5" t="s">
        <v>58</v>
      </c>
      <c r="G63" s="5">
        <v>2.0057459953178696</v>
      </c>
      <c r="H63" s="5"/>
      <c r="K63" s="5" t="s">
        <v>58</v>
      </c>
      <c r="L63" s="5">
        <v>2.0057459953178696</v>
      </c>
      <c r="M63" s="5"/>
    </row>
    <row r="66" spans="1:3" x14ac:dyDescent="0.35">
      <c r="A66" t="s">
        <v>47</v>
      </c>
    </row>
    <row r="67" spans="1:3" ht="15" thickBot="1" x14ac:dyDescent="0.4"/>
    <row r="68" spans="1:3" x14ac:dyDescent="0.35">
      <c r="A68" s="6"/>
      <c r="B68" s="6" t="s">
        <v>12</v>
      </c>
      <c r="C68" s="6" t="s">
        <v>12</v>
      </c>
    </row>
    <row r="69" spans="1:3" x14ac:dyDescent="0.35">
      <c r="A69" s="4" t="s">
        <v>48</v>
      </c>
      <c r="B69" s="4">
        <v>0.15727272727272726</v>
      </c>
      <c r="C69" s="4">
        <v>0.15477272727272728</v>
      </c>
    </row>
    <row r="70" spans="1:3" x14ac:dyDescent="0.35">
      <c r="A70" s="4" t="s">
        <v>49</v>
      </c>
      <c r="B70" s="4">
        <v>1.7641818181818175E-2</v>
      </c>
      <c r="C70" s="4">
        <v>3.0225528541226222E-2</v>
      </c>
    </row>
    <row r="71" spans="1:3" x14ac:dyDescent="0.35">
      <c r="A71" s="4" t="s">
        <v>50</v>
      </c>
      <c r="B71" s="4">
        <v>11</v>
      </c>
      <c r="C71" s="4">
        <v>44</v>
      </c>
    </row>
    <row r="72" spans="1:3" x14ac:dyDescent="0.35">
      <c r="A72" s="4" t="s">
        <v>51</v>
      </c>
      <c r="B72" s="4">
        <v>2.7851243567753006E-2</v>
      </c>
      <c r="C72" s="4"/>
    </row>
    <row r="73" spans="1:3" x14ac:dyDescent="0.35">
      <c r="A73" s="4" t="s">
        <v>52</v>
      </c>
      <c r="B73" s="4">
        <v>0</v>
      </c>
      <c r="C73" s="4"/>
    </row>
    <row r="74" spans="1:3" x14ac:dyDescent="0.35">
      <c r="A74" s="4" t="s">
        <v>53</v>
      </c>
      <c r="B74" s="4">
        <v>53</v>
      </c>
      <c r="C74" s="4"/>
    </row>
    <row r="75" spans="1:3" x14ac:dyDescent="0.35">
      <c r="A75" s="4" t="s">
        <v>54</v>
      </c>
      <c r="B75" s="4">
        <v>4.4438465001190988E-2</v>
      </c>
      <c r="C75" s="4"/>
    </row>
    <row r="76" spans="1:3" x14ac:dyDescent="0.35">
      <c r="A76" s="4" t="s">
        <v>55</v>
      </c>
      <c r="B76" s="4">
        <v>0.48236095522791866</v>
      </c>
      <c r="C76" s="4"/>
    </row>
    <row r="77" spans="1:3" x14ac:dyDescent="0.35">
      <c r="A77" s="4" t="s">
        <v>56</v>
      </c>
      <c r="B77" s="4">
        <v>1.6741162367030993</v>
      </c>
      <c r="C77" s="4"/>
    </row>
    <row r="78" spans="1:3" x14ac:dyDescent="0.35">
      <c r="A78" s="4" t="s">
        <v>57</v>
      </c>
      <c r="B78" s="4">
        <v>0.96472191045583733</v>
      </c>
      <c r="C78" s="4"/>
    </row>
    <row r="79" spans="1:3" ht="15" thickBot="1" x14ac:dyDescent="0.4">
      <c r="A79" s="5" t="s">
        <v>58</v>
      </c>
      <c r="B79" s="5">
        <v>2.0057459953178696</v>
      </c>
      <c r="C79" s="5"/>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3286-D794-4191-8656-56CDDEC22C98}">
  <dimension ref="A1:M13"/>
  <sheetViews>
    <sheetView workbookViewId="0">
      <selection activeCell="H11" sqref="H11"/>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8">
        <v>0.21999999999999997</v>
      </c>
      <c r="B2" s="18">
        <v>0.27</v>
      </c>
      <c r="C2" s="18">
        <v>0.22999999999999998</v>
      </c>
      <c r="D2" s="18">
        <v>0.19999999999999996</v>
      </c>
      <c r="E2" s="18">
        <v>0.23000000000000004</v>
      </c>
      <c r="F2" s="18">
        <v>0.36</v>
      </c>
      <c r="G2" s="18">
        <v>0.38</v>
      </c>
      <c r="H2" s="18">
        <v>0.28000000000000003</v>
      </c>
      <c r="I2" s="18">
        <v>0.26999999999999996</v>
      </c>
      <c r="J2" s="18">
        <v>0.11000000000000004</v>
      </c>
      <c r="K2" s="18">
        <v>0.25000000000000006</v>
      </c>
      <c r="L2" s="18">
        <v>0.15000000000000002</v>
      </c>
      <c r="M2" s="20">
        <v>0.10999999999999999</v>
      </c>
    </row>
    <row r="3" spans="1:13" x14ac:dyDescent="0.35">
      <c r="A3" s="18">
        <v>0.27999999999999992</v>
      </c>
      <c r="B3" s="18">
        <v>0.16999999999999993</v>
      </c>
      <c r="C3" s="18">
        <v>0.14999999999999991</v>
      </c>
      <c r="D3" s="18">
        <v>0.21999999999999997</v>
      </c>
      <c r="E3" s="18">
        <v>0.27</v>
      </c>
      <c r="F3" s="18">
        <v>0.15000000000000002</v>
      </c>
      <c r="G3" s="18">
        <v>0.14999999999999991</v>
      </c>
      <c r="H3" s="18">
        <v>0.10999999999999999</v>
      </c>
      <c r="I3" s="18">
        <v>0.17999999999999994</v>
      </c>
      <c r="J3" s="18">
        <v>0.22999999999999998</v>
      </c>
      <c r="K3" s="18">
        <v>0.19000000000000006</v>
      </c>
      <c r="L3" s="18">
        <v>6.0000000000000053E-2</v>
      </c>
      <c r="M3" s="20">
        <v>0</v>
      </c>
    </row>
    <row r="4" spans="1:13" x14ac:dyDescent="0.35">
      <c r="A4" s="17">
        <v>0.28000000000000003</v>
      </c>
      <c r="B4" s="17">
        <v>0.28999999999999992</v>
      </c>
      <c r="C4" s="17">
        <v>0.36</v>
      </c>
      <c r="D4" s="17">
        <v>0.42000000000000004</v>
      </c>
      <c r="E4" s="17">
        <v>0.41000000000000003</v>
      </c>
      <c r="F4" s="17">
        <v>0.32</v>
      </c>
      <c r="G4" s="17">
        <v>0.35</v>
      </c>
      <c r="H4" s="17">
        <v>0.21999999999999997</v>
      </c>
      <c r="I4" s="17">
        <v>0.37</v>
      </c>
      <c r="J4" s="17">
        <v>0.35000000000000003</v>
      </c>
      <c r="K4" s="17">
        <v>0.24</v>
      </c>
      <c r="L4" s="17">
        <v>0.31000000000000005</v>
      </c>
      <c r="M4" s="19">
        <v>3.0000000000000027E-2</v>
      </c>
    </row>
    <row r="5" spans="1:13" x14ac:dyDescent="0.35">
      <c r="A5" s="18">
        <v>0.22999999999999998</v>
      </c>
      <c r="B5" s="18">
        <v>4.0000000000000036E-2</v>
      </c>
      <c r="C5" s="18">
        <v>7.0000000000000062E-2</v>
      </c>
      <c r="D5" s="18">
        <v>0</v>
      </c>
      <c r="E5" s="18">
        <v>8.0000000000000071E-2</v>
      </c>
      <c r="F5" s="18">
        <v>9.0000000000000024E-2</v>
      </c>
      <c r="G5" s="18">
        <v>8.0000000000000016E-2</v>
      </c>
      <c r="H5" s="18">
        <v>4.9999999999999989E-2</v>
      </c>
      <c r="I5" s="18">
        <v>0.12</v>
      </c>
      <c r="J5" s="18">
        <v>9.9999999999999534E-3</v>
      </c>
      <c r="K5" s="18">
        <v>7.999999999999996E-2</v>
      </c>
      <c r="L5" s="18">
        <v>6.0000000000000053E-2</v>
      </c>
      <c r="M5" s="20">
        <v>5.9999999999999942E-2</v>
      </c>
    </row>
    <row r="6" spans="1:13" x14ac:dyDescent="0.35">
      <c r="A6" s="17">
        <v>0.20999999999999996</v>
      </c>
      <c r="B6" s="17">
        <v>0.16999999999999998</v>
      </c>
      <c r="C6" s="17">
        <v>0.23999999999999994</v>
      </c>
      <c r="D6" s="17">
        <v>0.27999999999999997</v>
      </c>
      <c r="E6" s="17">
        <v>0.17000000000000004</v>
      </c>
      <c r="F6" s="17">
        <v>0.21999999999999997</v>
      </c>
      <c r="G6" s="17">
        <v>7.0000000000000007E-2</v>
      </c>
      <c r="H6" s="17">
        <v>0.22999999999999998</v>
      </c>
      <c r="I6" s="17">
        <v>0.21</v>
      </c>
      <c r="J6" s="17">
        <v>0.16</v>
      </c>
      <c r="K6" s="17">
        <v>0.24999999999999997</v>
      </c>
      <c r="L6" s="17">
        <v>0.10999999999999999</v>
      </c>
      <c r="M6" s="19">
        <v>0.06</v>
      </c>
    </row>
    <row r="7" spans="1:13" x14ac:dyDescent="0.35">
      <c r="A7" s="17">
        <v>3.0000000000000027E-2</v>
      </c>
      <c r="B7" s="17">
        <v>0.16000000000000003</v>
      </c>
      <c r="C7" s="17">
        <v>0.14000000000000001</v>
      </c>
      <c r="D7" s="17">
        <v>0.19000000000000006</v>
      </c>
      <c r="E7" s="17">
        <v>0.22999999999999993</v>
      </c>
      <c r="F7" s="17">
        <v>0.11000000000000004</v>
      </c>
      <c r="G7" s="17">
        <v>8.0000000000000016E-2</v>
      </c>
      <c r="H7" s="17">
        <v>4.9999999999999989E-2</v>
      </c>
      <c r="I7" s="17">
        <v>9.0000000000000024E-2</v>
      </c>
      <c r="J7" s="17">
        <v>1.0000000000000009E-2</v>
      </c>
      <c r="K7" s="17">
        <v>4.9999999999999933E-2</v>
      </c>
      <c r="L7" s="17">
        <v>0</v>
      </c>
      <c r="M7" s="19">
        <v>0</v>
      </c>
    </row>
    <row r="8" spans="1:13" x14ac:dyDescent="0.35">
      <c r="A8" s="17">
        <v>0.36</v>
      </c>
      <c r="B8" s="17">
        <v>0.35</v>
      </c>
      <c r="C8" s="17">
        <v>0.26</v>
      </c>
      <c r="D8" s="17">
        <v>0.34000000000000008</v>
      </c>
      <c r="E8" s="17">
        <v>0.33000000000000007</v>
      </c>
      <c r="F8" s="17">
        <v>0.31000000000000005</v>
      </c>
      <c r="G8" s="17">
        <v>0.25</v>
      </c>
      <c r="H8" s="17">
        <v>0.39</v>
      </c>
      <c r="I8" s="17">
        <v>0.35</v>
      </c>
      <c r="J8" s="17">
        <v>0.25</v>
      </c>
      <c r="K8" s="17">
        <v>0.27</v>
      </c>
      <c r="L8" s="17">
        <v>0.25</v>
      </c>
      <c r="M8" s="19">
        <v>0.14999999999999991</v>
      </c>
    </row>
    <row r="9" spans="1:13" x14ac:dyDescent="0.35">
      <c r="A9" s="18">
        <v>0.46000000000000008</v>
      </c>
      <c r="B9" s="18">
        <v>0.27</v>
      </c>
      <c r="C9" s="18">
        <v>0.21999999999999997</v>
      </c>
      <c r="D9" s="18">
        <v>0.25999999999999995</v>
      </c>
      <c r="E9" s="18">
        <v>0.19999999999999996</v>
      </c>
      <c r="F9" s="18">
        <v>0.27</v>
      </c>
      <c r="G9" s="18">
        <v>0.17</v>
      </c>
      <c r="H9" s="18">
        <v>0.21999999999999997</v>
      </c>
      <c r="I9" s="18">
        <v>6.9999999999999979E-2</v>
      </c>
      <c r="J9" s="18">
        <v>7.0000000000000007E-2</v>
      </c>
      <c r="K9" s="18">
        <v>9.9999999999999978E-2</v>
      </c>
      <c r="L9" s="18">
        <v>0.17</v>
      </c>
      <c r="M9" s="20">
        <v>5.0000000000000044E-2</v>
      </c>
    </row>
    <row r="10" spans="1:13" x14ac:dyDescent="0.35">
      <c r="A10" s="17">
        <v>0.15000000000000002</v>
      </c>
      <c r="B10" s="17">
        <v>0.29000000000000004</v>
      </c>
      <c r="C10" s="17">
        <v>0.15000000000000002</v>
      </c>
      <c r="D10" s="17">
        <v>0.19</v>
      </c>
      <c r="E10" s="17">
        <v>0.16000000000000003</v>
      </c>
      <c r="F10" s="17">
        <v>0.23000000000000004</v>
      </c>
      <c r="G10" s="17">
        <v>3.999999999999998E-2</v>
      </c>
      <c r="H10" s="17">
        <v>1.0000000000000009E-2</v>
      </c>
      <c r="I10" s="17">
        <v>0.14000000000000001</v>
      </c>
      <c r="J10" s="17">
        <v>9.9999999999999978E-2</v>
      </c>
      <c r="K10" s="17">
        <v>0.15999999999999998</v>
      </c>
      <c r="L10" s="17">
        <v>4.0000000000000036E-2</v>
      </c>
      <c r="M10" s="19">
        <v>0.13</v>
      </c>
    </row>
    <row r="11" spans="1:13" x14ac:dyDescent="0.35">
      <c r="A11" s="21">
        <v>0.39</v>
      </c>
      <c r="B11" s="21">
        <v>0.66999999999999993</v>
      </c>
      <c r="C11" s="21">
        <v>0.28999999999999998</v>
      </c>
      <c r="D11" s="21">
        <v>0.19</v>
      </c>
      <c r="E11" s="21">
        <v>8.0000000000000016E-2</v>
      </c>
      <c r="F11" s="21">
        <v>0.11000000000000004</v>
      </c>
      <c r="G11" s="21">
        <v>8.0000000000000071E-2</v>
      </c>
      <c r="H11" s="21">
        <v>1.9999999999999962E-2</v>
      </c>
      <c r="I11" s="21">
        <v>6.9999999999999951E-2</v>
      </c>
      <c r="J11" s="21">
        <v>1.0000000000000009E-2</v>
      </c>
      <c r="K11" s="21">
        <v>0</v>
      </c>
      <c r="L11" s="21">
        <v>1.0000000000000009E-2</v>
      </c>
      <c r="M11" s="22">
        <v>9.9999999999998979E-3</v>
      </c>
    </row>
    <row r="12" spans="1:13" x14ac:dyDescent="0.35">
      <c r="A12" s="13">
        <f>AVERAGE(Table21[100])</f>
        <v>0.26100000000000001</v>
      </c>
      <c r="B12" s="13">
        <f>SUBTOTAL(101,Table21[200])</f>
        <v>0.26800000000000002</v>
      </c>
      <c r="C12" s="13">
        <f>SUBTOTAL(101,Table21[400])</f>
        <v>0.21099999999999999</v>
      </c>
      <c r="D12" s="13">
        <f>SUBTOTAL(101,Table21[500])</f>
        <v>0.22900000000000001</v>
      </c>
      <c r="E12" s="13">
        <f>SUBTOTAL(101,Table21[800])</f>
        <v>0.21600000000000003</v>
      </c>
      <c r="F12" s="13">
        <f>SUBTOTAL(101,Table21[1000])</f>
        <v>0.21700000000000003</v>
      </c>
      <c r="G12" s="13">
        <f>SUBTOTAL(101,Table21[2000])</f>
        <v>0.16500000000000001</v>
      </c>
      <c r="H12" s="13">
        <f>SUBTOTAL(101,Table21[3000])</f>
        <v>0.158</v>
      </c>
      <c r="I12" s="13">
        <f>SUBTOTAL(101,Table21[4000])</f>
        <v>0.18699999999999997</v>
      </c>
      <c r="J12" s="13">
        <f>SUBTOTAL(101,Table21[6000])</f>
        <v>0.13</v>
      </c>
      <c r="K12" s="13">
        <f>SUBTOTAL(101,Table21[8000])</f>
        <v>0.159</v>
      </c>
      <c r="L12" s="13">
        <f>SUBTOTAL(101,Table21[10000])</f>
        <v>0.11600000000000002</v>
      </c>
      <c r="M12" s="13">
        <f>SUBTOTAL(101,Table21[12000])</f>
        <v>5.9999999999999977E-2</v>
      </c>
    </row>
    <row r="13" spans="1:13" s="11" customFormat="1" x14ac:dyDescent="0.35">
      <c r="A13" s="11">
        <f>STDEV(Table21[100])/SQRT(COUNT(Table21[100]))</f>
        <v>3.9113794099893837E-2</v>
      </c>
      <c r="B13" s="11">
        <f>STDEV(Table21[200])/SQRT(COUNT(Table21[100]))</f>
        <v>5.2931821976744536E-2</v>
      </c>
      <c r="C13" s="11">
        <f>STDEV(Table21[400])/SQRT(COUNT(Table21[100]))</f>
        <v>2.6768555350551788E-2</v>
      </c>
      <c r="D13" s="11">
        <f>STDEV(Table21[500])/SQRT(COUNT(Table21[100]))</f>
        <v>3.5006348630561915E-2</v>
      </c>
      <c r="E13" s="11">
        <f>STDEV(Table21[800])/SQRT(COUNT(Table21[100]))</f>
        <v>3.2734623192509131E-2</v>
      </c>
      <c r="F13" s="11">
        <f>STDEV(Table21[1000])/SQRT(COUNT(Table21[100]))</f>
        <v>3.0949780110509469E-2</v>
      </c>
      <c r="G13" s="11">
        <f>STDEV(Table21[2000])/SQRT(COUNT(Table21[100]))</f>
        <v>3.8622100754188211E-2</v>
      </c>
      <c r="H13" s="11">
        <f>STDEV(Table21[3000])/SQRT(COUNT(Table21[100]))</f>
        <v>4.0573664145874495E-2</v>
      </c>
      <c r="I13" s="11">
        <f>STDEV(Table21[4000])/SQRT(COUNT(Table21[100]))</f>
        <v>3.5120427737207936E-2</v>
      </c>
      <c r="J13" s="11">
        <f>STDEV(Table21[6000])/SQRT(COUNT(Table21[100]))</f>
        <v>3.6787679096857054E-2</v>
      </c>
      <c r="K13" s="11">
        <f>STDEV(Table21[8000])/SQRT(COUNT(Table21[100]))</f>
        <v>3.0421118395687632E-2</v>
      </c>
      <c r="L13" s="11">
        <f>STDEV(Table21[10000])/SQRT(COUNT(Table21[100]))</f>
        <v>3.273462319250911E-2</v>
      </c>
      <c r="M13" s="11">
        <f>STDEV(Table21[12000])/SQRT(COUNT(Table21[100]))</f>
        <v>1.7061978522759636E-2</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2F0D-DE3E-4ECD-8117-A6658D9B96D7}">
  <dimension ref="A1:M29"/>
  <sheetViews>
    <sheetView topLeftCell="A10" workbookViewId="0">
      <selection activeCell="G2" sqref="G2:G2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0.69000000000000006</v>
      </c>
      <c r="B2">
        <v>0.49999999999999994</v>
      </c>
      <c r="C2">
        <v>0.43000000000000005</v>
      </c>
      <c r="D2">
        <v>0.45</v>
      </c>
      <c r="E2">
        <v>0.53</v>
      </c>
      <c r="F2">
        <v>0.49</v>
      </c>
      <c r="G2">
        <v>0.34999999999999992</v>
      </c>
      <c r="H2">
        <v>0.4</v>
      </c>
      <c r="I2">
        <v>0.36</v>
      </c>
      <c r="J2">
        <v>0.4</v>
      </c>
      <c r="K2">
        <v>0.27999999999999997</v>
      </c>
      <c r="L2">
        <v>0.22000000000000003</v>
      </c>
      <c r="M2">
        <v>0.26</v>
      </c>
    </row>
    <row r="3" spans="1:13" x14ac:dyDescent="0.35">
      <c r="A3">
        <v>1</v>
      </c>
      <c r="B3">
        <v>1</v>
      </c>
      <c r="C3">
        <v>1</v>
      </c>
      <c r="D3">
        <v>0.5</v>
      </c>
      <c r="E3">
        <v>0.5</v>
      </c>
      <c r="F3">
        <v>0.5</v>
      </c>
      <c r="G3">
        <v>0.5</v>
      </c>
      <c r="H3">
        <v>0.5</v>
      </c>
      <c r="I3">
        <v>1</v>
      </c>
      <c r="J3">
        <v>1</v>
      </c>
      <c r="K3">
        <v>0.5</v>
      </c>
      <c r="L3">
        <v>0.5</v>
      </c>
      <c r="M3">
        <v>1</v>
      </c>
    </row>
    <row r="4" spans="1:13" x14ac:dyDescent="0.35">
      <c r="A4">
        <v>0.51</v>
      </c>
      <c r="B4">
        <v>0.42000000000000004</v>
      </c>
      <c r="C4">
        <v>0.32</v>
      </c>
      <c r="D4">
        <v>0.22999999999999998</v>
      </c>
      <c r="E4">
        <v>0.19999999999999998</v>
      </c>
      <c r="F4">
        <v>0.31999999999999995</v>
      </c>
      <c r="G4">
        <v>0.54999999999999993</v>
      </c>
      <c r="H4">
        <v>0.52999999999999992</v>
      </c>
      <c r="I4">
        <v>0.30000000000000004</v>
      </c>
      <c r="J4">
        <v>0.36000000000000004</v>
      </c>
      <c r="K4">
        <v>0.26</v>
      </c>
      <c r="L4">
        <v>0.38</v>
      </c>
      <c r="M4">
        <v>0.38</v>
      </c>
    </row>
    <row r="5" spans="1:13" x14ac:dyDescent="0.35">
      <c r="A5">
        <v>0.20000000000000007</v>
      </c>
      <c r="B5">
        <v>0.4</v>
      </c>
      <c r="C5">
        <v>0.41</v>
      </c>
      <c r="D5">
        <v>0.41999999999999993</v>
      </c>
      <c r="E5">
        <v>0.26</v>
      </c>
      <c r="F5">
        <v>0.25</v>
      </c>
      <c r="G5">
        <v>0.33999999999999997</v>
      </c>
      <c r="H5">
        <v>0.4</v>
      </c>
      <c r="I5">
        <v>0.47</v>
      </c>
      <c r="J5">
        <v>0.32999999999999996</v>
      </c>
      <c r="K5">
        <v>0.17000000000000004</v>
      </c>
      <c r="L5">
        <v>0.18000000000000005</v>
      </c>
      <c r="M5">
        <v>7.0000000000000007E-2</v>
      </c>
    </row>
    <row r="6" spans="1:13" x14ac:dyDescent="0.35">
      <c r="A6">
        <v>0.33000000000000007</v>
      </c>
      <c r="B6">
        <v>0.06</v>
      </c>
      <c r="C6">
        <v>0.42000000000000004</v>
      </c>
      <c r="D6">
        <v>0.38</v>
      </c>
      <c r="E6">
        <v>0.4</v>
      </c>
      <c r="F6">
        <v>0.34</v>
      </c>
      <c r="G6">
        <v>0.3</v>
      </c>
      <c r="H6">
        <v>4.9999999999999989E-2</v>
      </c>
      <c r="I6">
        <v>0.15999999999999998</v>
      </c>
      <c r="J6">
        <v>0.25</v>
      </c>
      <c r="K6">
        <v>0.14000000000000001</v>
      </c>
      <c r="L6">
        <v>0.15999999999999998</v>
      </c>
      <c r="M6">
        <v>7.999999999999996E-2</v>
      </c>
    </row>
    <row r="7" spans="1:13" x14ac:dyDescent="0.35">
      <c r="A7">
        <v>0.31999999999999995</v>
      </c>
      <c r="B7">
        <v>0.41000000000000003</v>
      </c>
      <c r="C7">
        <v>0.58000000000000007</v>
      </c>
      <c r="D7">
        <v>0.4</v>
      </c>
      <c r="E7">
        <v>0.54</v>
      </c>
      <c r="F7">
        <v>0.49000000000000005</v>
      </c>
      <c r="G7">
        <v>0.45000000000000007</v>
      </c>
      <c r="H7">
        <v>0.46</v>
      </c>
      <c r="I7">
        <v>0.35000000000000009</v>
      </c>
      <c r="J7">
        <v>0.32</v>
      </c>
      <c r="K7">
        <v>0.39</v>
      </c>
      <c r="L7">
        <v>0.21999999999999997</v>
      </c>
      <c r="M7">
        <v>0.12000000000000005</v>
      </c>
    </row>
    <row r="8" spans="1:13" x14ac:dyDescent="0.35">
      <c r="A8">
        <v>5.0000000000000017E-2</v>
      </c>
      <c r="B8">
        <v>0.09</v>
      </c>
      <c r="C8">
        <v>9.9999999999999978E-2</v>
      </c>
      <c r="D8">
        <v>2.0000000000000018E-2</v>
      </c>
      <c r="E8">
        <v>4.0000000000000008E-2</v>
      </c>
      <c r="F8">
        <v>9.9999999999999978E-2</v>
      </c>
      <c r="G8">
        <v>0.12</v>
      </c>
      <c r="H8">
        <v>1.0000000000000009E-2</v>
      </c>
      <c r="I8">
        <v>0.03</v>
      </c>
      <c r="J8">
        <v>0</v>
      </c>
      <c r="K8">
        <v>3.999999999999998E-2</v>
      </c>
      <c r="L8">
        <v>1.0000000000000009E-2</v>
      </c>
      <c r="M8">
        <v>6.9999999999999951E-2</v>
      </c>
    </row>
    <row r="9" spans="1:13" x14ac:dyDescent="0.35">
      <c r="A9">
        <v>0.35000000000000003</v>
      </c>
      <c r="B9">
        <v>0.35000000000000003</v>
      </c>
      <c r="C9">
        <v>0.33</v>
      </c>
      <c r="D9">
        <v>0.4</v>
      </c>
      <c r="E9">
        <v>0.35000000000000003</v>
      </c>
      <c r="F9">
        <v>0.38</v>
      </c>
      <c r="G9">
        <v>0.33</v>
      </c>
      <c r="H9">
        <v>0.35000000000000003</v>
      </c>
      <c r="I9">
        <v>0.33</v>
      </c>
      <c r="J9">
        <v>0.15000000000000002</v>
      </c>
      <c r="K9">
        <v>0.1399999999999999</v>
      </c>
      <c r="L9">
        <v>0.56000000000000005</v>
      </c>
      <c r="M9">
        <v>0.10000000000000009</v>
      </c>
    </row>
    <row r="10" spans="1:13" x14ac:dyDescent="0.35">
      <c r="A10">
        <v>0</v>
      </c>
      <c r="B10">
        <v>0.39</v>
      </c>
      <c r="C10">
        <v>0.33999999999999997</v>
      </c>
      <c r="D10">
        <v>0.28999999999999992</v>
      </c>
      <c r="E10">
        <v>0.32999999999999996</v>
      </c>
      <c r="F10">
        <v>0.25999999999999995</v>
      </c>
      <c r="G10">
        <v>0.32999999999999996</v>
      </c>
      <c r="H10">
        <v>0.35</v>
      </c>
      <c r="I10">
        <v>0.35000000000000003</v>
      </c>
      <c r="J10">
        <v>0.14000000000000001</v>
      </c>
      <c r="K10">
        <v>0.24999999999999994</v>
      </c>
      <c r="L10">
        <v>8.0000000000000071E-2</v>
      </c>
      <c r="M10">
        <v>0.14999999999999997</v>
      </c>
    </row>
    <row r="11" spans="1:13" x14ac:dyDescent="0.35">
      <c r="A11">
        <v>0.13</v>
      </c>
      <c r="B11">
        <v>0.10000000000000009</v>
      </c>
      <c r="C11">
        <v>0.38</v>
      </c>
      <c r="D11">
        <v>0.25999999999999995</v>
      </c>
      <c r="E11">
        <v>0.21999999999999997</v>
      </c>
      <c r="F11">
        <v>0.10999999999999999</v>
      </c>
      <c r="G11">
        <v>0.13</v>
      </c>
      <c r="H11">
        <v>0.10000000000000003</v>
      </c>
      <c r="I11">
        <v>0.15000000000000002</v>
      </c>
      <c r="J11">
        <v>1.0000000000000009E-2</v>
      </c>
      <c r="K11">
        <v>9.9999999999999978E-2</v>
      </c>
      <c r="L11">
        <v>8.9999999999999969E-2</v>
      </c>
      <c r="M11">
        <v>0.15000000000000002</v>
      </c>
    </row>
    <row r="12" spans="1:13" x14ac:dyDescent="0.35">
      <c r="A12">
        <v>0.33000000000000007</v>
      </c>
      <c r="B12">
        <v>0.53</v>
      </c>
      <c r="C12">
        <v>0.51</v>
      </c>
      <c r="D12">
        <v>0.5</v>
      </c>
      <c r="E12">
        <v>0.57999999999999996</v>
      </c>
      <c r="F12">
        <v>0.54</v>
      </c>
      <c r="G12">
        <v>0.45</v>
      </c>
      <c r="H12">
        <v>0.36</v>
      </c>
      <c r="I12">
        <v>0.38000000000000006</v>
      </c>
      <c r="J12">
        <v>0.26000000000000006</v>
      </c>
      <c r="K12">
        <v>0.28999999999999998</v>
      </c>
      <c r="L12">
        <v>0.21000000000000008</v>
      </c>
      <c r="M12">
        <v>0.24</v>
      </c>
    </row>
    <row r="13" spans="1:13" x14ac:dyDescent="0.35">
      <c r="A13">
        <v>0</v>
      </c>
      <c r="B13">
        <v>0.5</v>
      </c>
      <c r="C13">
        <v>0.5</v>
      </c>
      <c r="D13">
        <v>0.5</v>
      </c>
      <c r="E13">
        <v>1</v>
      </c>
      <c r="F13">
        <v>0.5</v>
      </c>
      <c r="G13">
        <v>1</v>
      </c>
      <c r="H13">
        <v>0.5</v>
      </c>
      <c r="I13">
        <v>0.5</v>
      </c>
      <c r="J13">
        <v>0.5</v>
      </c>
      <c r="K13">
        <v>0.5</v>
      </c>
      <c r="L13">
        <v>0</v>
      </c>
      <c r="M13">
        <v>0</v>
      </c>
    </row>
    <row r="14" spans="1:13" x14ac:dyDescent="0.35">
      <c r="A14" s="17">
        <v>0.48000000000000004</v>
      </c>
      <c r="B14" s="17">
        <v>0.51</v>
      </c>
      <c r="C14" s="17">
        <v>0.49</v>
      </c>
      <c r="D14" s="17">
        <v>0.33999999999999997</v>
      </c>
      <c r="E14" s="17">
        <v>0.39</v>
      </c>
      <c r="F14" s="17">
        <v>0.37000000000000005</v>
      </c>
      <c r="G14" s="17">
        <v>0.47</v>
      </c>
      <c r="H14" s="17">
        <v>0.43000000000000005</v>
      </c>
      <c r="I14" s="17">
        <v>0.26999999999999996</v>
      </c>
      <c r="J14" s="17">
        <v>0.3</v>
      </c>
      <c r="K14" s="17">
        <v>0.31</v>
      </c>
      <c r="L14" s="17">
        <v>0.27</v>
      </c>
      <c r="M14" s="19">
        <v>0.20999999999999996</v>
      </c>
    </row>
    <row r="15" spans="1:13" x14ac:dyDescent="0.35">
      <c r="A15" s="17">
        <v>0.19999999999999996</v>
      </c>
      <c r="B15" s="17">
        <v>0.24</v>
      </c>
      <c r="C15" s="17">
        <v>0.37000000000000005</v>
      </c>
      <c r="D15" s="17">
        <v>0.23000000000000004</v>
      </c>
      <c r="E15" s="17">
        <v>0.30999999999999994</v>
      </c>
      <c r="F15" s="17">
        <v>0.16999999999999993</v>
      </c>
      <c r="G15" s="17">
        <v>0.14000000000000001</v>
      </c>
      <c r="H15" s="17">
        <v>0.19999999999999996</v>
      </c>
      <c r="I15" s="17">
        <v>0.18</v>
      </c>
      <c r="J15" s="17">
        <v>8.9999999999999969E-2</v>
      </c>
      <c r="K15" s="17">
        <v>0.14000000000000001</v>
      </c>
      <c r="L15" s="17">
        <v>9.9999999999999978E-2</v>
      </c>
      <c r="M15" s="19">
        <v>0.14000000000000001</v>
      </c>
    </row>
    <row r="16" spans="1:13" x14ac:dyDescent="0.35">
      <c r="A16" s="17">
        <v>0</v>
      </c>
      <c r="B16" s="17">
        <v>0.24</v>
      </c>
      <c r="C16" s="17">
        <v>0.35000000000000003</v>
      </c>
      <c r="D16" s="17">
        <v>0.23000000000000004</v>
      </c>
      <c r="E16" s="17">
        <v>0.2</v>
      </c>
      <c r="F16" s="17">
        <v>0.23000000000000004</v>
      </c>
      <c r="G16" s="17">
        <v>0.20999999999999996</v>
      </c>
      <c r="H16" s="17">
        <v>0.12000000000000002</v>
      </c>
      <c r="I16" s="17">
        <v>0.17</v>
      </c>
      <c r="J16" s="17">
        <v>0.09</v>
      </c>
      <c r="K16" s="17">
        <v>0.15999999999999998</v>
      </c>
      <c r="L16" s="17">
        <v>7.999999999999996E-2</v>
      </c>
      <c r="M16" s="19">
        <v>0.22999999999999998</v>
      </c>
    </row>
    <row r="17" spans="1:13" x14ac:dyDescent="0.35">
      <c r="A17" s="17">
        <v>0.45999999999999996</v>
      </c>
      <c r="B17" s="17">
        <v>0.47</v>
      </c>
      <c r="C17" s="17">
        <v>0.43000000000000005</v>
      </c>
      <c r="D17" s="17">
        <v>0.33000000000000007</v>
      </c>
      <c r="E17" s="17">
        <v>0.44000000000000006</v>
      </c>
      <c r="F17" s="17">
        <v>0.36000000000000004</v>
      </c>
      <c r="G17" s="17">
        <v>0.33</v>
      </c>
      <c r="H17" s="17">
        <v>0.19</v>
      </c>
      <c r="I17" s="17">
        <v>0.24000000000000002</v>
      </c>
      <c r="J17" s="17">
        <v>0.22000000000000003</v>
      </c>
      <c r="K17" s="17">
        <v>0.24000000000000002</v>
      </c>
      <c r="L17" s="17">
        <v>0.18000000000000002</v>
      </c>
      <c r="M17" s="19">
        <v>0.19</v>
      </c>
    </row>
    <row r="18" spans="1:13" x14ac:dyDescent="0.35">
      <c r="A18" s="17">
        <v>0.27</v>
      </c>
      <c r="B18" s="17">
        <v>0.20999999999999996</v>
      </c>
      <c r="C18" s="17">
        <v>0.25000000000000006</v>
      </c>
      <c r="D18" s="17">
        <v>0.18999999999999995</v>
      </c>
      <c r="E18" s="17">
        <v>0.14000000000000007</v>
      </c>
      <c r="F18" s="17">
        <v>0.17999999999999994</v>
      </c>
      <c r="G18" s="17">
        <v>0.19999999999999996</v>
      </c>
      <c r="H18" s="17">
        <v>0.15000000000000002</v>
      </c>
      <c r="I18" s="17">
        <v>0.18</v>
      </c>
      <c r="J18" s="17">
        <v>8.0000000000000016E-2</v>
      </c>
      <c r="K18" s="17">
        <v>0.10000000000000003</v>
      </c>
      <c r="L18" s="17">
        <v>8.0000000000000071E-2</v>
      </c>
      <c r="M18" s="19">
        <v>8.9999999999999969E-2</v>
      </c>
    </row>
    <row r="19" spans="1:13" x14ac:dyDescent="0.35">
      <c r="A19" s="18">
        <v>0.27</v>
      </c>
      <c r="B19" s="18">
        <v>0.35000000000000003</v>
      </c>
      <c r="C19" s="18">
        <v>0.33999999999999997</v>
      </c>
      <c r="D19" s="18">
        <v>0.34999999999999992</v>
      </c>
      <c r="E19" s="18">
        <v>0.35</v>
      </c>
      <c r="F19" s="18">
        <v>0.38</v>
      </c>
      <c r="G19" s="18">
        <v>0.36</v>
      </c>
      <c r="H19" s="18">
        <v>0.45</v>
      </c>
      <c r="I19" s="18">
        <v>0.47</v>
      </c>
      <c r="J19" s="18">
        <v>0.45999999999999996</v>
      </c>
      <c r="K19" s="18">
        <v>0.4</v>
      </c>
      <c r="L19" s="18">
        <v>0.44999999999999996</v>
      </c>
      <c r="M19" s="20">
        <v>0.47</v>
      </c>
    </row>
    <row r="20" spans="1:13" x14ac:dyDescent="0.35">
      <c r="A20" s="17">
        <v>0.31999999999999995</v>
      </c>
      <c r="B20" s="17">
        <v>0.31999999999999995</v>
      </c>
      <c r="C20" s="17">
        <v>0.33999999999999997</v>
      </c>
      <c r="D20" s="17">
        <v>0.45</v>
      </c>
      <c r="E20" s="17">
        <v>0.52</v>
      </c>
      <c r="F20" s="17">
        <v>0.52</v>
      </c>
      <c r="G20" s="17">
        <v>0.48</v>
      </c>
      <c r="H20" s="17">
        <v>0.61</v>
      </c>
      <c r="I20" s="17">
        <v>0.5</v>
      </c>
      <c r="J20" s="17">
        <v>0.33</v>
      </c>
      <c r="K20" s="17">
        <v>0.47</v>
      </c>
      <c r="L20" s="17">
        <v>0.14000000000000001</v>
      </c>
      <c r="M20" s="19">
        <v>0.41</v>
      </c>
    </row>
    <row r="21" spans="1:13" x14ac:dyDescent="0.35">
      <c r="A21" s="17">
        <v>0.18999999999999995</v>
      </c>
      <c r="B21" s="17">
        <v>7.999999999999996E-2</v>
      </c>
      <c r="C21" s="17">
        <v>0.17000000000000004</v>
      </c>
      <c r="D21" s="17">
        <v>0.15000000000000002</v>
      </c>
      <c r="E21" s="17">
        <v>0.20999999999999996</v>
      </c>
      <c r="F21" s="17">
        <v>0.15000000000000002</v>
      </c>
      <c r="G21" s="17">
        <v>0.13</v>
      </c>
      <c r="H21" s="17">
        <v>2.9999999999999971E-2</v>
      </c>
      <c r="I21" s="17">
        <v>5.0000000000000017E-2</v>
      </c>
      <c r="J21" s="17">
        <v>3.999999999999998E-2</v>
      </c>
      <c r="K21" s="17">
        <v>8.0000000000000016E-2</v>
      </c>
      <c r="L21" s="17">
        <v>9.0000000000000024E-2</v>
      </c>
      <c r="M21" s="19">
        <v>3.0000000000000027E-2</v>
      </c>
    </row>
    <row r="22" spans="1:13" x14ac:dyDescent="0.35">
      <c r="A22" s="18">
        <v>9.9999999999999978E-2</v>
      </c>
      <c r="B22" s="18">
        <v>0.12000000000000005</v>
      </c>
      <c r="C22" s="18">
        <v>0.10999999999999999</v>
      </c>
      <c r="D22" s="18">
        <v>9.9999999999999978E-2</v>
      </c>
      <c r="E22" s="18">
        <v>0.14000000000000001</v>
      </c>
      <c r="F22" s="18">
        <v>0.13</v>
      </c>
      <c r="G22" s="18">
        <v>0.12</v>
      </c>
      <c r="H22" s="18">
        <v>8.0000000000000016E-2</v>
      </c>
      <c r="I22" s="18">
        <v>8.0000000000000016E-2</v>
      </c>
      <c r="J22" s="18">
        <v>0.13</v>
      </c>
      <c r="K22" s="18">
        <v>9.9999999999999978E-2</v>
      </c>
      <c r="L22" s="18">
        <v>3.999999999999998E-2</v>
      </c>
      <c r="M22" s="20">
        <v>0.11000000000000004</v>
      </c>
    </row>
    <row r="23" spans="1:13" x14ac:dyDescent="0.35">
      <c r="A23" s="18">
        <v>0.12</v>
      </c>
      <c r="B23" s="18">
        <v>0.4</v>
      </c>
      <c r="C23" s="18">
        <v>0.47</v>
      </c>
      <c r="D23" s="18">
        <v>0.44</v>
      </c>
      <c r="E23" s="18">
        <v>0.25999999999999995</v>
      </c>
      <c r="F23" s="18">
        <v>0.3</v>
      </c>
      <c r="G23" s="18">
        <v>0.27999999999999997</v>
      </c>
      <c r="H23" s="18">
        <v>0.38999999999999996</v>
      </c>
      <c r="I23" s="18">
        <v>0.32000000000000006</v>
      </c>
      <c r="J23" s="18">
        <v>0.37</v>
      </c>
      <c r="K23" s="18">
        <v>0.35</v>
      </c>
      <c r="L23" s="18">
        <v>0.48000000000000004</v>
      </c>
      <c r="M23" s="20">
        <v>0.4</v>
      </c>
    </row>
    <row r="24" spans="1:13" x14ac:dyDescent="0.35">
      <c r="A24" s="17">
        <v>0.36</v>
      </c>
      <c r="B24" s="17">
        <v>0.3</v>
      </c>
      <c r="C24" s="17">
        <v>0.21999999999999997</v>
      </c>
      <c r="D24" s="17">
        <v>0.34</v>
      </c>
      <c r="E24" s="17">
        <v>0.32</v>
      </c>
      <c r="F24" s="17">
        <v>0.3</v>
      </c>
      <c r="G24" s="17">
        <v>0.28999999999999998</v>
      </c>
      <c r="H24" s="17">
        <v>0.10999999999999999</v>
      </c>
      <c r="I24" s="17">
        <v>0.28999999999999998</v>
      </c>
      <c r="J24" s="17">
        <v>0.27000000000000007</v>
      </c>
      <c r="K24" s="17">
        <v>0.25000000000000006</v>
      </c>
      <c r="L24" s="17">
        <v>0.24999999999999994</v>
      </c>
      <c r="M24" s="19">
        <v>0.19000000000000006</v>
      </c>
    </row>
    <row r="25" spans="1:13" x14ac:dyDescent="0.35">
      <c r="A25" s="18">
        <v>8.9999999999999969E-2</v>
      </c>
      <c r="B25" s="18">
        <v>0.13</v>
      </c>
      <c r="C25" s="18">
        <v>0.19</v>
      </c>
      <c r="D25" s="18">
        <v>0.24</v>
      </c>
      <c r="E25" s="18">
        <v>0.17000000000000004</v>
      </c>
      <c r="F25" s="18">
        <v>0.12000000000000005</v>
      </c>
      <c r="G25" s="18">
        <v>0.25</v>
      </c>
      <c r="H25" s="18">
        <v>0.26</v>
      </c>
      <c r="I25" s="18">
        <v>0.12999999999999995</v>
      </c>
      <c r="J25" s="18">
        <v>0.17000000000000004</v>
      </c>
      <c r="K25" s="18">
        <v>0.19</v>
      </c>
      <c r="L25" s="18">
        <v>0.14999999999999991</v>
      </c>
      <c r="M25" s="20">
        <v>3.9999999999999925E-2</v>
      </c>
    </row>
    <row r="26" spans="1:13" x14ac:dyDescent="0.35">
      <c r="A26" s="18">
        <v>0.32999999999999996</v>
      </c>
      <c r="B26" s="18">
        <v>0.18000000000000005</v>
      </c>
      <c r="C26" s="18">
        <v>0.20000000000000007</v>
      </c>
      <c r="D26" s="18">
        <v>0.18999999999999995</v>
      </c>
      <c r="E26" s="18">
        <v>0.22000000000000003</v>
      </c>
      <c r="F26" s="18">
        <v>0.28999999999999998</v>
      </c>
      <c r="G26" s="18">
        <v>0.27</v>
      </c>
      <c r="H26" s="18">
        <v>0.26</v>
      </c>
      <c r="I26" s="18">
        <v>0.16999999999999998</v>
      </c>
      <c r="J26" s="18">
        <v>0.16000000000000003</v>
      </c>
      <c r="K26" s="18">
        <v>0.31</v>
      </c>
      <c r="L26" s="18">
        <v>0.21999999999999997</v>
      </c>
      <c r="M26" s="20">
        <v>0.19999999999999996</v>
      </c>
    </row>
    <row r="27" spans="1:13" x14ac:dyDescent="0.35">
      <c r="A27" s="43">
        <v>0.25</v>
      </c>
      <c r="B27" s="43">
        <v>0.20999999999999996</v>
      </c>
      <c r="C27" s="43">
        <v>0.25</v>
      </c>
      <c r="D27" s="43">
        <v>0.3</v>
      </c>
      <c r="E27" s="43">
        <v>0.32</v>
      </c>
      <c r="F27" s="43">
        <v>0.41999999999999993</v>
      </c>
      <c r="G27" s="43">
        <v>0.34</v>
      </c>
      <c r="H27" s="43">
        <v>0.36000000000000004</v>
      </c>
      <c r="I27" s="43">
        <v>0.33</v>
      </c>
      <c r="J27" s="43">
        <v>0.35000000000000003</v>
      </c>
      <c r="K27" s="43">
        <v>0.28999999999999998</v>
      </c>
      <c r="L27" s="43">
        <v>0.18</v>
      </c>
      <c r="M27" s="43">
        <v>0.39</v>
      </c>
    </row>
    <row r="28" spans="1:13" s="11" customFormat="1" x14ac:dyDescent="0.35">
      <c r="A28" s="24">
        <f>SUBTOTAL(101,Table20[100])</f>
        <v>0.28269230769230769</v>
      </c>
      <c r="B28" s="24">
        <f>SUBTOTAL(101,Table20[200])</f>
        <v>0.32730769230769236</v>
      </c>
      <c r="C28" s="24">
        <f>SUBTOTAL(101,Table20[400])</f>
        <v>0.36538461538461536</v>
      </c>
      <c r="D28" s="24">
        <f>SUBTOTAL(101,Table20[500])</f>
        <v>0.31653846153846155</v>
      </c>
      <c r="E28" s="24">
        <f>SUBTOTAL(101,Table20[800])</f>
        <v>0.3438461538461538</v>
      </c>
      <c r="F28" s="24">
        <f>SUBTOTAL(101,Table20[1000])</f>
        <v>0.31538461538461537</v>
      </c>
      <c r="G28" s="24">
        <f>SUBTOTAL(101,Table20[2000])</f>
        <v>0.33538461538461534</v>
      </c>
      <c r="H28" s="24">
        <f>SUBTOTAL(101,Table20[3000])</f>
        <v>0.2942307692307693</v>
      </c>
      <c r="I28" s="24">
        <f>SUBTOTAL(101,Table20[4000])</f>
        <v>0.29846153846153844</v>
      </c>
      <c r="J28" s="24">
        <f>SUBTOTAL(101,Table20[6000])</f>
        <v>0.26076923076923075</v>
      </c>
      <c r="K28" s="24">
        <f>SUBTOTAL(101,Table20[8000])</f>
        <v>0.24807692307692308</v>
      </c>
      <c r="L28" s="24">
        <f>SUBTOTAL(101,Table20[10000])</f>
        <v>0.20461538461538467</v>
      </c>
      <c r="M28" s="24">
        <f>SUBTOTAL(101,Table20[12000])</f>
        <v>0.22000000000000006</v>
      </c>
    </row>
    <row r="29" spans="1:13" x14ac:dyDescent="0.35">
      <c r="A29" s="11">
        <f>STDEV(Table20[100])/SQRT(COUNT(Table20[100]))</f>
        <v>4.4033405823333351E-2</v>
      </c>
      <c r="B29" s="11">
        <f>STDEV(Table20[200])/SQRT(COUNT(Table20[100]))</f>
        <v>3.9724271566377256E-2</v>
      </c>
      <c r="C29" s="11">
        <f>STDEV(Table20[400])/SQRT(COUNT(Table20[100]))</f>
        <v>3.5367219804310207E-2</v>
      </c>
      <c r="D29" s="11">
        <f>STDEV(Table20[500])/SQRT(COUNT(Table20[100]))</f>
        <v>2.5114766160367483E-2</v>
      </c>
      <c r="E29" s="11">
        <f>STDEV(Table20[800])/SQRT(COUNT(Table20[100]))</f>
        <v>3.8060991227954623E-2</v>
      </c>
      <c r="F29" s="11">
        <f>STDEV(Table20[1000])/SQRT(COUNT(Table20[100]))</f>
        <v>2.745755196231656E-2</v>
      </c>
      <c r="G29" s="11">
        <f>STDEV(Table20[2000])/SQRT(COUNT(Table20[100]))</f>
        <v>3.6128960338597201E-2</v>
      </c>
      <c r="H29" s="11">
        <f>STDEV(Table20[3000])/SQRT(COUNT(Table20[100]))</f>
        <v>3.4140763260014119E-2</v>
      </c>
      <c r="I29" s="11">
        <f>STDEV(Table20[4000])/SQRT(COUNT(Table20[100]))</f>
        <v>3.8569387253832493E-2</v>
      </c>
      <c r="J29" s="11">
        <f>STDEV(Table20[6000])/SQRT(COUNT(Table20[100]))</f>
        <v>4.0038147490085885E-2</v>
      </c>
      <c r="K29" s="11">
        <f>STDEV(Table20[8000])/SQRT(COUNT(Table20[100]))</f>
        <v>2.5774281938930058E-2</v>
      </c>
      <c r="L29" s="11">
        <f>STDEV(Table20[10000])/SQRT(COUNT(Table20[100]))</f>
        <v>3.0103568759716929E-2</v>
      </c>
      <c r="M29" s="11">
        <f>STDEV(Table20[12000])/SQRT(COUNT(Table20[100]))</f>
        <v>4.0180362597437277E-2</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8182-B35B-422F-B4E4-B27C0B794808}">
  <dimension ref="A1:G34"/>
  <sheetViews>
    <sheetView workbookViewId="0">
      <selection activeCell="H1" sqref="H1"/>
    </sheetView>
  </sheetViews>
  <sheetFormatPr defaultRowHeight="14.5" x14ac:dyDescent="0.35"/>
  <cols>
    <col min="2" max="2" width="20" bestFit="1" customWidth="1"/>
    <col min="5" max="5" width="12" bestFit="1" customWidth="1"/>
  </cols>
  <sheetData>
    <row r="1" spans="1:7" x14ac:dyDescent="0.35">
      <c r="D1" s="9" t="s">
        <v>111</v>
      </c>
      <c r="E1" s="9"/>
      <c r="F1" s="9"/>
      <c r="G1" s="9"/>
    </row>
    <row r="2" spans="1:7" x14ac:dyDescent="0.35">
      <c r="A2" t="s">
        <v>61</v>
      </c>
      <c r="B2" t="s">
        <v>62</v>
      </c>
    </row>
    <row r="3" spans="1:7" x14ac:dyDescent="0.35">
      <c r="A3" s="38">
        <f>AVERAGE(Table21[100])</f>
        <v>0.26100000000000001</v>
      </c>
      <c r="B3" s="27">
        <f>SUBTOTAL(101,Table20[100])</f>
        <v>0.28269230769230769</v>
      </c>
    </row>
    <row r="4" spans="1:7" x14ac:dyDescent="0.35">
      <c r="A4" s="39">
        <f>SUBTOTAL(101,Table21[200])</f>
        <v>0.26800000000000002</v>
      </c>
      <c r="B4" s="28">
        <f>SUBTOTAL(101,Table20[200])</f>
        <v>0.32730769230769236</v>
      </c>
    </row>
    <row r="5" spans="1:7" x14ac:dyDescent="0.35">
      <c r="A5" s="39">
        <f>SUBTOTAL(101,Table21[400])</f>
        <v>0.21099999999999999</v>
      </c>
      <c r="B5" s="28">
        <f>SUBTOTAL(101,Table20[400])</f>
        <v>0.36538461538461536</v>
      </c>
    </row>
    <row r="6" spans="1:7" x14ac:dyDescent="0.35">
      <c r="A6" s="39">
        <f>SUBTOTAL(101,Table21[500])</f>
        <v>0.22900000000000001</v>
      </c>
      <c r="B6" s="28">
        <f>SUBTOTAL(101,Table20[500])</f>
        <v>0.31653846153846155</v>
      </c>
    </row>
    <row r="7" spans="1:7" x14ac:dyDescent="0.35">
      <c r="A7" s="39">
        <f>SUBTOTAL(101,Table21[800])</f>
        <v>0.21600000000000003</v>
      </c>
      <c r="B7" s="28">
        <f>SUBTOTAL(101,Table20[800])</f>
        <v>0.3438461538461538</v>
      </c>
    </row>
    <row r="8" spans="1:7" x14ac:dyDescent="0.35">
      <c r="A8" s="39">
        <f>SUBTOTAL(101,Table21[1000])</f>
        <v>0.21700000000000003</v>
      </c>
      <c r="B8" s="28">
        <f>SUBTOTAL(101,Table20[1000])</f>
        <v>0.31538461538461537</v>
      </c>
    </row>
    <row r="9" spans="1:7" x14ac:dyDescent="0.35">
      <c r="A9" s="39">
        <f>SUBTOTAL(101,Table21[2000])</f>
        <v>0.16500000000000001</v>
      </c>
      <c r="B9" s="28">
        <f>SUBTOTAL(101,Table20[2000])</f>
        <v>0.33538461538461534</v>
      </c>
    </row>
    <row r="10" spans="1:7" x14ac:dyDescent="0.35">
      <c r="A10" s="39">
        <f>SUBTOTAL(101,Table21[3000])</f>
        <v>0.158</v>
      </c>
      <c r="B10" s="28">
        <f>SUBTOTAL(101,Table20[3000])</f>
        <v>0.2942307692307693</v>
      </c>
    </row>
    <row r="11" spans="1:7" x14ac:dyDescent="0.35">
      <c r="A11" s="39">
        <f>SUBTOTAL(101,Table21[4000])</f>
        <v>0.18699999999999997</v>
      </c>
      <c r="B11" s="28">
        <f>SUBTOTAL(101,Table20[4000])</f>
        <v>0.29846153846153844</v>
      </c>
    </row>
    <row r="12" spans="1:7" x14ac:dyDescent="0.35">
      <c r="A12" s="39">
        <f>SUBTOTAL(101,Table21[6000])</f>
        <v>0.13</v>
      </c>
      <c r="B12" s="28">
        <f>SUBTOTAL(101,Table20[6000])</f>
        <v>0.26076923076923075</v>
      </c>
    </row>
    <row r="13" spans="1:7" x14ac:dyDescent="0.35">
      <c r="A13" s="39">
        <f>SUBTOTAL(101,Table21[8000])</f>
        <v>0.159</v>
      </c>
      <c r="B13" s="28">
        <f>SUBTOTAL(101,Table20[8000])</f>
        <v>0.24807692307692308</v>
      </c>
    </row>
    <row r="14" spans="1:7" x14ac:dyDescent="0.35">
      <c r="A14" s="39">
        <f>SUBTOTAL(101,Table21[10000])</f>
        <v>0.11600000000000002</v>
      </c>
      <c r="B14" s="28">
        <f>SUBTOTAL(101,Table20[10000])</f>
        <v>0.20461538461538467</v>
      </c>
    </row>
    <row r="15" spans="1:7" x14ac:dyDescent="0.35">
      <c r="A15" s="40">
        <f>SUBTOTAL(101,Table21[12000])</f>
        <v>5.9999999999999977E-2</v>
      </c>
      <c r="B15" s="29">
        <f>SUBTOTAL(101,Table20[12000])</f>
        <v>0.22000000000000006</v>
      </c>
    </row>
    <row r="16" spans="1:7" x14ac:dyDescent="0.35">
      <c r="A16" s="65"/>
      <c r="B16" s="30"/>
    </row>
    <row r="17" spans="1:7" x14ac:dyDescent="0.35">
      <c r="A17" t="s">
        <v>63</v>
      </c>
      <c r="B17" t="s">
        <v>64</v>
      </c>
    </row>
    <row r="18" spans="1:7" x14ac:dyDescent="0.35">
      <c r="A18" s="67">
        <f>STDEV(Table21[100])/SQRT(COUNT(Table21[100]))</f>
        <v>3.9113794099893837E-2</v>
      </c>
      <c r="B18" s="67">
        <f>STDEV(Table20[100])/SQRT(COUNT(Table20[100]))</f>
        <v>4.4033405823333351E-2</v>
      </c>
    </row>
    <row r="19" spans="1:7" x14ac:dyDescent="0.35">
      <c r="A19" s="67">
        <f>STDEV(Table21[200])/SQRT(COUNT(Table21[100]))</f>
        <v>5.2931821976744536E-2</v>
      </c>
      <c r="B19" s="67">
        <f>STDEV(Table20[200])/SQRT(COUNT(Table20[100]))</f>
        <v>3.9724271566377256E-2</v>
      </c>
    </row>
    <row r="20" spans="1:7" x14ac:dyDescent="0.35">
      <c r="A20" s="67">
        <f>STDEV(Table21[400])/SQRT(COUNT(Table21[100]))</f>
        <v>2.6768555350551788E-2</v>
      </c>
      <c r="B20" s="67">
        <f>STDEV(Table20[400])/SQRT(COUNT(Table20[100]))</f>
        <v>3.5367219804310207E-2</v>
      </c>
    </row>
    <row r="21" spans="1:7" x14ac:dyDescent="0.35">
      <c r="A21" s="67">
        <f>STDEV(Table21[500])/SQRT(COUNT(Table21[100]))</f>
        <v>3.5006348630561915E-2</v>
      </c>
      <c r="B21" s="67">
        <f>STDEV(Table20[500])/SQRT(COUNT(Table20[100]))</f>
        <v>2.5114766160367483E-2</v>
      </c>
      <c r="E21" t="s">
        <v>47</v>
      </c>
    </row>
    <row r="22" spans="1:7" ht="15" thickBot="1" x14ac:dyDescent="0.4">
      <c r="A22" s="67">
        <f>STDEV(Table21[800])/SQRT(COUNT(Table21[100]))</f>
        <v>3.2734623192509131E-2</v>
      </c>
      <c r="B22" s="67">
        <f>STDEV(Table20[800])/SQRT(COUNT(Table20[100]))</f>
        <v>3.8060991227954623E-2</v>
      </c>
    </row>
    <row r="23" spans="1:7" x14ac:dyDescent="0.35">
      <c r="A23" s="67">
        <f>STDEV(Table21[1000])/SQRT(COUNT(Table21[100]))</f>
        <v>3.0949780110509469E-2</v>
      </c>
      <c r="B23" s="67">
        <f>STDEV(Table20[1000])/SQRT(COUNT(Table20[100]))</f>
        <v>2.745755196231656E-2</v>
      </c>
      <c r="E23" s="6"/>
      <c r="F23" s="6" t="s">
        <v>61</v>
      </c>
      <c r="G23" s="6" t="s">
        <v>62</v>
      </c>
    </row>
    <row r="24" spans="1:7" x14ac:dyDescent="0.35">
      <c r="A24" s="67">
        <f>STDEV(Table21[2000])/SQRT(COUNT(Table21[100]))</f>
        <v>3.8622100754188211E-2</v>
      </c>
      <c r="B24" s="67">
        <f>STDEV(Table20[2000])/SQRT(COUNT(Table20[100]))</f>
        <v>3.6128960338597201E-2</v>
      </c>
      <c r="E24" s="4" t="s">
        <v>48</v>
      </c>
      <c r="F24" s="4">
        <v>0.18284615384615385</v>
      </c>
      <c r="G24" s="4">
        <v>0.29328402366863904</v>
      </c>
    </row>
    <row r="25" spans="1:7" x14ac:dyDescent="0.35">
      <c r="A25" s="67">
        <f>STDEV(Table21[3000])/SQRT(COUNT(Table21[100]))</f>
        <v>4.0573664145874495E-2</v>
      </c>
      <c r="B25" s="67">
        <f>STDEV(Table20[3000])/SQRT(COUNT(Table20[100]))</f>
        <v>3.4140763260014119E-2</v>
      </c>
      <c r="E25" s="4" t="s">
        <v>49</v>
      </c>
      <c r="F25" s="4">
        <v>3.5351410256410274E-3</v>
      </c>
      <c r="G25" s="4">
        <v>2.3489796692459284E-3</v>
      </c>
    </row>
    <row r="26" spans="1:7" x14ac:dyDescent="0.35">
      <c r="A26" s="67">
        <f>STDEV(Table21[4000])/SQRT(COUNT(Table21[100]))</f>
        <v>3.5120427737207936E-2</v>
      </c>
      <c r="B26" s="67">
        <f>STDEV(Table20[4000])/SQRT(COUNT(Table20[100]))</f>
        <v>3.8569387253832493E-2</v>
      </c>
      <c r="E26" s="4" t="s">
        <v>50</v>
      </c>
      <c r="F26" s="4">
        <v>13</v>
      </c>
      <c r="G26" s="4">
        <v>13</v>
      </c>
    </row>
    <row r="27" spans="1:7" x14ac:dyDescent="0.35">
      <c r="A27" s="67">
        <f>STDEV(Table21[6000])/SQRT(COUNT(Table21[100]))</f>
        <v>3.6787679096857054E-2</v>
      </c>
      <c r="B27" s="67">
        <f>STDEV(Table20[6000])/SQRT(COUNT(Table20[100]))</f>
        <v>4.0038147490085885E-2</v>
      </c>
      <c r="E27" s="4" t="s">
        <v>51</v>
      </c>
      <c r="F27" s="4">
        <v>2.9420603474434779E-3</v>
      </c>
      <c r="G27" s="4"/>
    </row>
    <row r="28" spans="1:7" x14ac:dyDescent="0.35">
      <c r="A28" s="67">
        <f>STDEV(Table21[8000])/SQRT(COUNT(Table21[100]))</f>
        <v>3.0421118395687632E-2</v>
      </c>
      <c r="B28" s="67">
        <f>STDEV(Table20[8000])/SQRT(COUNT(Table20[100]))</f>
        <v>2.5774281938930058E-2</v>
      </c>
      <c r="E28" s="4" t="s">
        <v>52</v>
      </c>
      <c r="F28" s="4">
        <v>0</v>
      </c>
      <c r="G28" s="4"/>
    </row>
    <row r="29" spans="1:7" x14ac:dyDescent="0.35">
      <c r="A29" s="67">
        <f>STDEV(Table21[10000])/SQRT(COUNT(Table21[100]))</f>
        <v>3.273462319250911E-2</v>
      </c>
      <c r="B29" s="67">
        <f>STDEV(Table20[10000])/SQRT(COUNT(Table20[100]))</f>
        <v>3.0103568759716929E-2</v>
      </c>
      <c r="E29" s="4" t="s">
        <v>53</v>
      </c>
      <c r="F29" s="4">
        <v>24</v>
      </c>
      <c r="G29" s="4"/>
    </row>
    <row r="30" spans="1:7" x14ac:dyDescent="0.35">
      <c r="A30" s="67">
        <f>STDEV(Table21[12000])/SQRT(COUNT(Table21[100]))</f>
        <v>1.7061978522759636E-2</v>
      </c>
      <c r="B30" s="67">
        <f>STDEV(Table20[12000])/SQRT(COUNT(Table20[100]))</f>
        <v>4.0180362597437277E-2</v>
      </c>
      <c r="E30" s="4" t="s">
        <v>54</v>
      </c>
      <c r="F30" s="4">
        <v>-5.1909746872649087</v>
      </c>
      <c r="G30" s="4"/>
    </row>
    <row r="31" spans="1:7" x14ac:dyDescent="0.35">
      <c r="E31" s="4" t="s">
        <v>55</v>
      </c>
      <c r="F31" s="66">
        <v>1.2821145832944262E-5</v>
      </c>
      <c r="G31" s="4"/>
    </row>
    <row r="32" spans="1:7" x14ac:dyDescent="0.35">
      <c r="E32" s="4" t="s">
        <v>56</v>
      </c>
      <c r="F32" s="4">
        <v>1.7108820799094284</v>
      </c>
      <c r="G32" s="4"/>
    </row>
    <row r="33" spans="5:7" x14ac:dyDescent="0.35">
      <c r="E33" s="4" t="s">
        <v>57</v>
      </c>
      <c r="F33" s="4">
        <v>2.5642291665888523E-5</v>
      </c>
      <c r="G33" s="4"/>
    </row>
    <row r="34" spans="5:7" ht="15" thickBot="1" x14ac:dyDescent="0.4">
      <c r="E34" s="5" t="s">
        <v>58</v>
      </c>
      <c r="F34" s="5">
        <v>2.0638985616280254</v>
      </c>
      <c r="G34" s="5"/>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7704-520B-484A-9978-418EE07BC5BA}">
  <dimension ref="A1:M78"/>
  <sheetViews>
    <sheetView topLeftCell="A10" workbookViewId="0">
      <selection activeCell="G59" sqref="G59"/>
    </sheetView>
  </sheetViews>
  <sheetFormatPr defaultRowHeight="14.5" x14ac:dyDescent="0.35"/>
  <sheetData>
    <row r="1" spans="1:13" x14ac:dyDescent="0.35">
      <c r="A1" t="s">
        <v>47</v>
      </c>
      <c r="F1" t="s">
        <v>47</v>
      </c>
      <c r="K1" t="s">
        <v>47</v>
      </c>
    </row>
    <row r="2" spans="1:13" ht="15" thickBot="1" x14ac:dyDescent="0.4"/>
    <row r="3" spans="1:13" x14ac:dyDescent="0.35">
      <c r="A3" s="6"/>
      <c r="B3" s="6" t="s">
        <v>0</v>
      </c>
      <c r="C3" s="6" t="s">
        <v>0</v>
      </c>
      <c r="F3" s="6"/>
      <c r="G3" s="6" t="s">
        <v>1</v>
      </c>
      <c r="H3" s="6" t="s">
        <v>1</v>
      </c>
      <c r="K3" s="6"/>
      <c r="L3" s="6" t="s">
        <v>2</v>
      </c>
      <c r="M3" s="6" t="s">
        <v>2</v>
      </c>
    </row>
    <row r="4" spans="1:13" x14ac:dyDescent="0.35">
      <c r="A4" s="4" t="s">
        <v>48</v>
      </c>
      <c r="B4" s="4">
        <v>0.26100000000000001</v>
      </c>
      <c r="C4" s="4">
        <v>0.28269230769230769</v>
      </c>
      <c r="F4" s="4" t="s">
        <v>48</v>
      </c>
      <c r="G4" s="4">
        <v>0.26800000000000002</v>
      </c>
      <c r="H4" s="4">
        <v>0.32730769230769236</v>
      </c>
      <c r="K4" s="4" t="s">
        <v>48</v>
      </c>
      <c r="L4" s="4">
        <v>0.21099999999999999</v>
      </c>
      <c r="M4" s="4">
        <v>0.36538461538461536</v>
      </c>
    </row>
    <row r="5" spans="1:13" x14ac:dyDescent="0.35">
      <c r="A5" s="4" t="s">
        <v>49</v>
      </c>
      <c r="B5" s="4">
        <v>1.5298888888888898E-2</v>
      </c>
      <c r="C5" s="4">
        <v>5.0412461538461545E-2</v>
      </c>
      <c r="F5" s="4" t="s">
        <v>49</v>
      </c>
      <c r="G5" s="4">
        <v>2.801777777777776E-2</v>
      </c>
      <c r="H5" s="4">
        <v>4.1028461538461493E-2</v>
      </c>
      <c r="K5" s="4" t="s">
        <v>49</v>
      </c>
      <c r="L5" s="4">
        <v>7.1655555555555483E-3</v>
      </c>
      <c r="M5" s="4">
        <v>3.2521846153846193E-2</v>
      </c>
    </row>
    <row r="6" spans="1:13" x14ac:dyDescent="0.35">
      <c r="A6" s="4" t="s">
        <v>50</v>
      </c>
      <c r="B6" s="4">
        <v>10</v>
      </c>
      <c r="C6" s="4">
        <v>26</v>
      </c>
      <c r="F6" s="4" t="s">
        <v>50</v>
      </c>
      <c r="G6" s="4">
        <v>10</v>
      </c>
      <c r="H6" s="4">
        <v>26</v>
      </c>
      <c r="K6" s="4" t="s">
        <v>50</v>
      </c>
      <c r="L6" s="4">
        <v>10</v>
      </c>
      <c r="M6" s="4">
        <v>26</v>
      </c>
    </row>
    <row r="7" spans="1:13" x14ac:dyDescent="0.35">
      <c r="A7" s="4" t="s">
        <v>51</v>
      </c>
      <c r="B7" s="4">
        <v>4.1117692307692313E-2</v>
      </c>
      <c r="C7" s="4"/>
      <c r="F7" s="4" t="s">
        <v>51</v>
      </c>
      <c r="G7" s="4">
        <v>3.7584457013574629E-2</v>
      </c>
      <c r="H7" s="4"/>
      <c r="K7" s="4" t="s">
        <v>51</v>
      </c>
      <c r="L7" s="4">
        <v>2.5809886877828082E-2</v>
      </c>
      <c r="M7" s="4"/>
    </row>
    <row r="8" spans="1:13" x14ac:dyDescent="0.35">
      <c r="A8" s="4" t="s">
        <v>52</v>
      </c>
      <c r="B8" s="4">
        <v>0</v>
      </c>
      <c r="C8" s="4"/>
      <c r="F8" s="4" t="s">
        <v>52</v>
      </c>
      <c r="G8" s="4">
        <v>0</v>
      </c>
      <c r="H8" s="4"/>
      <c r="K8" s="4" t="s">
        <v>52</v>
      </c>
      <c r="L8" s="4">
        <v>0</v>
      </c>
      <c r="M8" s="4"/>
    </row>
    <row r="9" spans="1:13" x14ac:dyDescent="0.35">
      <c r="A9" s="4" t="s">
        <v>53</v>
      </c>
      <c r="B9" s="4">
        <v>34</v>
      </c>
      <c r="C9" s="4"/>
      <c r="F9" s="4" t="s">
        <v>53</v>
      </c>
      <c r="G9" s="4">
        <v>34</v>
      </c>
      <c r="H9" s="4"/>
      <c r="K9" s="4" t="s">
        <v>53</v>
      </c>
      <c r="L9" s="4">
        <v>34</v>
      </c>
      <c r="M9" s="4"/>
    </row>
    <row r="10" spans="1:13" x14ac:dyDescent="0.35">
      <c r="A10" s="4" t="s">
        <v>54</v>
      </c>
      <c r="B10" s="4">
        <v>-0.28749269462721133</v>
      </c>
      <c r="C10" s="4"/>
      <c r="F10" s="4" t="s">
        <v>54</v>
      </c>
      <c r="G10" s="4">
        <v>-0.82213343211435552</v>
      </c>
      <c r="H10" s="4"/>
      <c r="K10" s="4" t="s">
        <v>54</v>
      </c>
      <c r="L10" s="4">
        <v>-2.5825360537389739</v>
      </c>
      <c r="M10" s="4"/>
    </row>
    <row r="11" spans="1:13" x14ac:dyDescent="0.35">
      <c r="A11" s="4" t="s">
        <v>55</v>
      </c>
      <c r="B11" s="4">
        <v>0.38774007789542347</v>
      </c>
      <c r="C11" s="4"/>
      <c r="F11" s="4" t="s">
        <v>55</v>
      </c>
      <c r="G11" s="4">
        <v>0.20836470842344124</v>
      </c>
      <c r="H11" s="4"/>
      <c r="K11" s="4" t="s">
        <v>55</v>
      </c>
      <c r="L11" s="64">
        <v>7.1430252793764255E-3</v>
      </c>
      <c r="M11" s="4"/>
    </row>
    <row r="12" spans="1:13" x14ac:dyDescent="0.35">
      <c r="A12" s="4" t="s">
        <v>56</v>
      </c>
      <c r="B12" s="4">
        <v>1.6909242551868542</v>
      </c>
      <c r="C12" s="4"/>
      <c r="F12" s="4" t="s">
        <v>56</v>
      </c>
      <c r="G12" s="4">
        <v>1.6909242551868542</v>
      </c>
      <c r="H12" s="4"/>
      <c r="K12" s="4" t="s">
        <v>56</v>
      </c>
      <c r="L12" s="4">
        <v>1.6909242551868542</v>
      </c>
      <c r="M12" s="4"/>
    </row>
    <row r="13" spans="1:13" x14ac:dyDescent="0.35">
      <c r="A13" s="4" t="s">
        <v>57</v>
      </c>
      <c r="B13" s="4">
        <v>0.77548015579084695</v>
      </c>
      <c r="C13" s="4"/>
      <c r="F13" s="4" t="s">
        <v>57</v>
      </c>
      <c r="G13" s="4">
        <v>0.41672941684688247</v>
      </c>
      <c r="H13" s="4"/>
      <c r="K13" s="4" t="s">
        <v>57</v>
      </c>
      <c r="L13" s="4">
        <v>1.4286050558752851E-2</v>
      </c>
      <c r="M13" s="4"/>
    </row>
    <row r="14" spans="1:13" ht="15" thickBot="1" x14ac:dyDescent="0.4">
      <c r="A14" s="5" t="s">
        <v>58</v>
      </c>
      <c r="B14" s="5">
        <v>2.0322445093177191</v>
      </c>
      <c r="C14" s="5"/>
      <c r="F14" s="5" t="s">
        <v>58</v>
      </c>
      <c r="G14" s="5">
        <v>2.0322445093177191</v>
      </c>
      <c r="H14" s="5"/>
      <c r="K14" s="5" t="s">
        <v>58</v>
      </c>
      <c r="L14" s="5">
        <v>2.0322445093177191</v>
      </c>
      <c r="M14" s="5"/>
    </row>
    <row r="17" spans="1:13" x14ac:dyDescent="0.35">
      <c r="A17" t="s">
        <v>47</v>
      </c>
      <c r="F17" t="s">
        <v>47</v>
      </c>
      <c r="K17" t="s">
        <v>47</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48</v>
      </c>
      <c r="B20" s="4">
        <v>0.22900000000000001</v>
      </c>
      <c r="C20" s="4">
        <v>0.31653846153846155</v>
      </c>
      <c r="F20" s="4" t="s">
        <v>48</v>
      </c>
      <c r="G20" s="4">
        <v>0.21600000000000003</v>
      </c>
      <c r="H20" s="4">
        <v>0.3438461538461538</v>
      </c>
      <c r="K20" s="4" t="s">
        <v>48</v>
      </c>
      <c r="L20" s="4">
        <v>0.21700000000000003</v>
      </c>
      <c r="M20" s="4">
        <v>0.31538461538461537</v>
      </c>
    </row>
    <row r="21" spans="1:13" x14ac:dyDescent="0.35">
      <c r="A21" s="4" t="s">
        <v>49</v>
      </c>
      <c r="B21" s="4">
        <v>1.2254444444444445E-2</v>
      </c>
      <c r="C21" s="4">
        <v>1.6399538461538424E-2</v>
      </c>
      <c r="F21" s="4" t="s">
        <v>49</v>
      </c>
      <c r="G21" s="4">
        <v>1.071555555555557E-2</v>
      </c>
      <c r="H21" s="4">
        <v>3.7664615384615401E-2</v>
      </c>
      <c r="K21" s="4" t="s">
        <v>49</v>
      </c>
      <c r="L21" s="4">
        <v>9.5788888888888781E-3</v>
      </c>
      <c r="M21" s="4">
        <v>1.9601846153846161E-2</v>
      </c>
    </row>
    <row r="22" spans="1:13" x14ac:dyDescent="0.35">
      <c r="A22" s="4" t="s">
        <v>50</v>
      </c>
      <c r="B22" s="4">
        <v>10</v>
      </c>
      <c r="C22" s="4">
        <v>26</v>
      </c>
      <c r="F22" s="4" t="s">
        <v>50</v>
      </c>
      <c r="G22" s="4">
        <v>10</v>
      </c>
      <c r="H22" s="4">
        <v>26</v>
      </c>
      <c r="K22" s="4" t="s">
        <v>50</v>
      </c>
      <c r="L22" s="4">
        <v>10</v>
      </c>
      <c r="M22" s="4">
        <v>26</v>
      </c>
    </row>
    <row r="23" spans="1:13" x14ac:dyDescent="0.35">
      <c r="A23" s="4" t="s">
        <v>51</v>
      </c>
      <c r="B23" s="4">
        <v>1.5302307692307664E-2</v>
      </c>
      <c r="C23" s="4"/>
      <c r="F23" s="4" t="s">
        <v>51</v>
      </c>
      <c r="G23" s="4">
        <v>3.0531040723981911E-2</v>
      </c>
      <c r="H23" s="4"/>
      <c r="K23" s="4" t="s">
        <v>51</v>
      </c>
      <c r="L23" s="4">
        <v>1.6948710407239821E-2</v>
      </c>
      <c r="M23" s="4"/>
    </row>
    <row r="24" spans="1:13" x14ac:dyDescent="0.35">
      <c r="A24" s="4" t="s">
        <v>52</v>
      </c>
      <c r="B24" s="4">
        <v>0</v>
      </c>
      <c r="C24" s="4"/>
      <c r="F24" s="4" t="s">
        <v>52</v>
      </c>
      <c r="G24" s="4">
        <v>0</v>
      </c>
      <c r="H24" s="4"/>
      <c r="K24" s="4" t="s">
        <v>52</v>
      </c>
      <c r="L24" s="4">
        <v>0</v>
      </c>
      <c r="M24" s="4"/>
    </row>
    <row r="25" spans="1:13" x14ac:dyDescent="0.35">
      <c r="A25" s="4" t="s">
        <v>53</v>
      </c>
      <c r="B25" s="4">
        <v>34</v>
      </c>
      <c r="C25" s="4"/>
      <c r="F25" s="4" t="s">
        <v>53</v>
      </c>
      <c r="G25" s="4">
        <v>34</v>
      </c>
      <c r="H25" s="4"/>
      <c r="K25" s="4" t="s">
        <v>53</v>
      </c>
      <c r="L25" s="4">
        <v>34</v>
      </c>
      <c r="M25" s="4"/>
    </row>
    <row r="26" spans="1:13" x14ac:dyDescent="0.35">
      <c r="A26" s="4" t="s">
        <v>54</v>
      </c>
      <c r="B26" s="4">
        <v>-1.90176069894171</v>
      </c>
      <c r="C26" s="4"/>
      <c r="F26" s="4" t="s">
        <v>54</v>
      </c>
      <c r="G26" s="4">
        <v>-1.9663113518606223</v>
      </c>
      <c r="H26" s="4"/>
      <c r="K26" s="4" t="s">
        <v>54</v>
      </c>
      <c r="L26" s="4">
        <v>-2.0309268729802978</v>
      </c>
      <c r="M26" s="4"/>
    </row>
    <row r="27" spans="1:13" x14ac:dyDescent="0.35">
      <c r="A27" s="4" t="s">
        <v>55</v>
      </c>
      <c r="B27" s="64">
        <v>3.2851606572729272E-2</v>
      </c>
      <c r="C27" s="4"/>
      <c r="F27" s="4" t="s">
        <v>55</v>
      </c>
      <c r="G27" s="64">
        <v>2.873487658037132E-2</v>
      </c>
      <c r="H27" s="4"/>
      <c r="K27" s="4" t="s">
        <v>55</v>
      </c>
      <c r="L27" s="64">
        <v>2.507026756779587E-2</v>
      </c>
      <c r="M27" s="4"/>
    </row>
    <row r="28" spans="1:13" x14ac:dyDescent="0.35">
      <c r="A28" s="4" t="s">
        <v>56</v>
      </c>
      <c r="B28" s="4">
        <v>1.6909242551868542</v>
      </c>
      <c r="C28" s="4"/>
      <c r="F28" s="4" t="s">
        <v>56</v>
      </c>
      <c r="G28" s="4">
        <v>1.6909242551868542</v>
      </c>
      <c r="H28" s="4"/>
      <c r="K28" s="4" t="s">
        <v>56</v>
      </c>
      <c r="L28" s="4">
        <v>1.6909242551868542</v>
      </c>
      <c r="M28" s="4"/>
    </row>
    <row r="29" spans="1:13" x14ac:dyDescent="0.35">
      <c r="A29" s="4" t="s">
        <v>57</v>
      </c>
      <c r="B29" s="4">
        <v>6.5703213145458544E-2</v>
      </c>
      <c r="C29" s="4"/>
      <c r="F29" s="4" t="s">
        <v>57</v>
      </c>
      <c r="G29" s="4">
        <v>5.746975316074264E-2</v>
      </c>
      <c r="H29" s="4"/>
      <c r="K29" s="4" t="s">
        <v>57</v>
      </c>
      <c r="L29" s="4">
        <v>5.0140535135591739E-2</v>
      </c>
      <c r="M29" s="4"/>
    </row>
    <row r="30" spans="1:13" ht="15" thickBot="1" x14ac:dyDescent="0.4">
      <c r="A30" s="5" t="s">
        <v>58</v>
      </c>
      <c r="B30" s="5">
        <v>2.0322445093177191</v>
      </c>
      <c r="C30" s="5"/>
      <c r="F30" s="5" t="s">
        <v>58</v>
      </c>
      <c r="G30" s="5">
        <v>2.0322445093177191</v>
      </c>
      <c r="H30" s="5"/>
      <c r="K30" s="5" t="s">
        <v>58</v>
      </c>
      <c r="L30" s="5">
        <v>2.0322445093177191</v>
      </c>
      <c r="M30" s="5"/>
    </row>
    <row r="33" spans="1:13" x14ac:dyDescent="0.35">
      <c r="A33" t="s">
        <v>47</v>
      </c>
      <c r="F33" t="s">
        <v>47</v>
      </c>
      <c r="K33" t="s">
        <v>47</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48</v>
      </c>
      <c r="B36" s="4">
        <v>0.16500000000000001</v>
      </c>
      <c r="C36" s="4">
        <v>0.33538461538461534</v>
      </c>
      <c r="F36" s="4" t="s">
        <v>48</v>
      </c>
      <c r="G36" s="4">
        <v>0.158</v>
      </c>
      <c r="H36" s="4">
        <v>0.2942307692307693</v>
      </c>
      <c r="K36" s="4" t="s">
        <v>48</v>
      </c>
      <c r="L36" s="4">
        <v>0.18699999999999997</v>
      </c>
      <c r="M36" s="4">
        <v>0.29846153846153844</v>
      </c>
    </row>
    <row r="37" spans="1:13" x14ac:dyDescent="0.35">
      <c r="A37" s="4" t="s">
        <v>49</v>
      </c>
      <c r="B37" s="4">
        <v>1.4916666666666658E-2</v>
      </c>
      <c r="C37" s="4">
        <v>3.3937846153846166E-2</v>
      </c>
      <c r="F37" s="4" t="s">
        <v>49</v>
      </c>
      <c r="G37" s="4">
        <v>1.6462222222222218E-2</v>
      </c>
      <c r="H37" s="4">
        <v>3.0305384615384571E-2</v>
      </c>
      <c r="K37" s="4" t="s">
        <v>49</v>
      </c>
      <c r="L37" s="4">
        <v>1.233444444444445E-2</v>
      </c>
      <c r="M37" s="4">
        <v>3.8677538461538499E-2</v>
      </c>
    </row>
    <row r="38" spans="1:13" x14ac:dyDescent="0.35">
      <c r="A38" s="4" t="s">
        <v>50</v>
      </c>
      <c r="B38" s="4">
        <v>10</v>
      </c>
      <c r="C38" s="4">
        <v>26</v>
      </c>
      <c r="F38" s="4" t="s">
        <v>50</v>
      </c>
      <c r="G38" s="4">
        <v>10</v>
      </c>
      <c r="H38" s="4">
        <v>26</v>
      </c>
      <c r="K38" s="4" t="s">
        <v>50</v>
      </c>
      <c r="L38" s="4">
        <v>10</v>
      </c>
      <c r="M38" s="4">
        <v>26</v>
      </c>
    </row>
    <row r="39" spans="1:13" x14ac:dyDescent="0.35">
      <c r="A39" s="4" t="s">
        <v>51</v>
      </c>
      <c r="B39" s="4">
        <v>2.8902828054298647E-2</v>
      </c>
      <c r="C39" s="4"/>
      <c r="F39" s="4" t="s">
        <v>51</v>
      </c>
      <c r="G39" s="4">
        <v>2.6641018099547477E-2</v>
      </c>
      <c r="H39" s="4"/>
      <c r="K39" s="4" t="s">
        <v>51</v>
      </c>
      <c r="L39" s="4">
        <v>3.1704366515837135E-2</v>
      </c>
      <c r="M39" s="4"/>
    </row>
    <row r="40" spans="1:13" x14ac:dyDescent="0.35">
      <c r="A40" s="4" t="s">
        <v>52</v>
      </c>
      <c r="B40" s="4">
        <v>0</v>
      </c>
      <c r="C40" s="4"/>
      <c r="F40" s="4" t="s">
        <v>52</v>
      </c>
      <c r="G40" s="4">
        <v>0</v>
      </c>
      <c r="H40" s="4"/>
      <c r="K40" s="4" t="s">
        <v>52</v>
      </c>
      <c r="L40" s="4">
        <v>0</v>
      </c>
      <c r="M40" s="4"/>
    </row>
    <row r="41" spans="1:13" x14ac:dyDescent="0.35">
      <c r="A41" s="4" t="s">
        <v>53</v>
      </c>
      <c r="B41" s="4">
        <v>34</v>
      </c>
      <c r="C41" s="4"/>
      <c r="F41" s="4" t="s">
        <v>53</v>
      </c>
      <c r="G41" s="4">
        <v>34</v>
      </c>
      <c r="H41" s="4"/>
      <c r="K41" s="4" t="s">
        <v>53</v>
      </c>
      <c r="L41" s="4">
        <v>34</v>
      </c>
      <c r="M41" s="4"/>
    </row>
    <row r="42" spans="1:13" x14ac:dyDescent="0.35">
      <c r="A42" s="4" t="s">
        <v>54</v>
      </c>
      <c r="B42" s="4">
        <v>-2.6933676048740933</v>
      </c>
      <c r="C42" s="4"/>
      <c r="F42" s="4" t="s">
        <v>54</v>
      </c>
      <c r="G42" s="4">
        <v>-2.2430307307144228</v>
      </c>
      <c r="H42" s="4"/>
      <c r="K42" s="4" t="s">
        <v>54</v>
      </c>
      <c r="L42" s="4">
        <v>-1.682290206883492</v>
      </c>
      <c r="M42" s="4"/>
    </row>
    <row r="43" spans="1:13" x14ac:dyDescent="0.35">
      <c r="A43" s="4" t="s">
        <v>55</v>
      </c>
      <c r="B43" s="64">
        <v>5.4518436195063989E-3</v>
      </c>
      <c r="C43" s="4"/>
      <c r="F43" s="4" t="s">
        <v>55</v>
      </c>
      <c r="G43" s="64">
        <v>1.5760848128035434E-2</v>
      </c>
      <c r="H43" s="4"/>
      <c r="K43" s="4" t="s">
        <v>55</v>
      </c>
      <c r="L43" s="4">
        <v>5.0838038004471273E-2</v>
      </c>
      <c r="M43" s="4"/>
    </row>
    <row r="44" spans="1:13" x14ac:dyDescent="0.35">
      <c r="A44" s="4" t="s">
        <v>56</v>
      </c>
      <c r="B44" s="4">
        <v>1.6909242551868542</v>
      </c>
      <c r="C44" s="4"/>
      <c r="F44" s="4" t="s">
        <v>56</v>
      </c>
      <c r="G44" s="4">
        <v>1.6909242551868542</v>
      </c>
      <c r="H44" s="4"/>
      <c r="K44" s="4" t="s">
        <v>56</v>
      </c>
      <c r="L44" s="4">
        <v>1.6909242551868542</v>
      </c>
      <c r="M44" s="4"/>
    </row>
    <row r="45" spans="1:13" x14ac:dyDescent="0.35">
      <c r="A45" s="4" t="s">
        <v>57</v>
      </c>
      <c r="B45" s="4">
        <v>1.0903687239012798E-2</v>
      </c>
      <c r="C45" s="4"/>
      <c r="F45" s="4" t="s">
        <v>57</v>
      </c>
      <c r="G45" s="4">
        <v>3.1521696256070868E-2</v>
      </c>
      <c r="H45" s="4"/>
      <c r="K45" s="4" t="s">
        <v>57</v>
      </c>
      <c r="L45" s="4">
        <v>0.10167607600894255</v>
      </c>
      <c r="M45" s="4"/>
    </row>
    <row r="46" spans="1:13" ht="15" thickBot="1" x14ac:dyDescent="0.4">
      <c r="A46" s="5" t="s">
        <v>58</v>
      </c>
      <c r="B46" s="5">
        <v>2.0322445093177191</v>
      </c>
      <c r="C46" s="5"/>
      <c r="F46" s="5" t="s">
        <v>58</v>
      </c>
      <c r="G46" s="5">
        <v>2.0322445093177191</v>
      </c>
      <c r="H46" s="5"/>
      <c r="K46" s="5" t="s">
        <v>58</v>
      </c>
      <c r="L46" s="5">
        <v>2.0322445093177191</v>
      </c>
      <c r="M46" s="5"/>
    </row>
    <row r="49" spans="1:13" x14ac:dyDescent="0.35">
      <c r="A49" t="s">
        <v>47</v>
      </c>
      <c r="F49" t="s">
        <v>47</v>
      </c>
      <c r="K49" t="s">
        <v>47</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48</v>
      </c>
      <c r="B52" s="4">
        <v>0.13</v>
      </c>
      <c r="C52" s="4">
        <v>0.26076923076923075</v>
      </c>
      <c r="F52" s="4" t="s">
        <v>48</v>
      </c>
      <c r="G52" s="4">
        <v>0.159</v>
      </c>
      <c r="H52" s="4">
        <v>0.24807692307692308</v>
      </c>
      <c r="K52" s="4" t="s">
        <v>48</v>
      </c>
      <c r="L52" s="4">
        <v>0.11600000000000002</v>
      </c>
      <c r="M52" s="4">
        <v>0.20461538461538467</v>
      </c>
    </row>
    <row r="53" spans="1:13" x14ac:dyDescent="0.35">
      <c r="A53" s="4" t="s">
        <v>49</v>
      </c>
      <c r="B53" s="4">
        <v>1.3533333333333338E-2</v>
      </c>
      <c r="C53" s="4">
        <v>4.1679384615384632E-2</v>
      </c>
      <c r="F53" s="4" t="s">
        <v>49</v>
      </c>
      <c r="G53" s="4">
        <v>9.2544444444444471E-3</v>
      </c>
      <c r="H53" s="4">
        <v>1.7272153846153861E-2</v>
      </c>
      <c r="K53" s="4" t="s">
        <v>49</v>
      </c>
      <c r="L53" s="4">
        <v>1.0715555555555555E-2</v>
      </c>
      <c r="M53" s="4">
        <v>2.3561846153846135E-2</v>
      </c>
    </row>
    <row r="54" spans="1:13" x14ac:dyDescent="0.35">
      <c r="A54" s="4" t="s">
        <v>50</v>
      </c>
      <c r="B54" s="4">
        <v>10</v>
      </c>
      <c r="C54" s="4">
        <v>26</v>
      </c>
      <c r="F54" s="4" t="s">
        <v>50</v>
      </c>
      <c r="G54" s="4">
        <v>10</v>
      </c>
      <c r="H54" s="4">
        <v>26</v>
      </c>
      <c r="K54" s="4" t="s">
        <v>50</v>
      </c>
      <c r="L54" s="4">
        <v>10</v>
      </c>
      <c r="M54" s="4">
        <v>26</v>
      </c>
    </row>
    <row r="55" spans="1:13" x14ac:dyDescent="0.35">
      <c r="A55" s="4" t="s">
        <v>51</v>
      </c>
      <c r="B55" s="4">
        <v>3.4228959276018114E-2</v>
      </c>
      <c r="C55" s="4"/>
      <c r="F55" s="4" t="s">
        <v>51</v>
      </c>
      <c r="G55" s="4">
        <v>1.51498190045249E-2</v>
      </c>
      <c r="H55" s="4"/>
      <c r="K55" s="4" t="s">
        <v>51</v>
      </c>
      <c r="L55" s="4">
        <v>2.0161357466063332E-2</v>
      </c>
      <c r="M55" s="4"/>
    </row>
    <row r="56" spans="1:13" x14ac:dyDescent="0.35">
      <c r="A56" s="4" t="s">
        <v>52</v>
      </c>
      <c r="B56" s="4">
        <v>0</v>
      </c>
      <c r="C56" s="4"/>
      <c r="F56" s="4" t="s">
        <v>52</v>
      </c>
      <c r="G56" s="4">
        <v>0</v>
      </c>
      <c r="H56" s="4"/>
      <c r="K56" s="4" t="s">
        <v>52</v>
      </c>
      <c r="L56" s="4">
        <v>0</v>
      </c>
      <c r="M56" s="4"/>
    </row>
    <row r="57" spans="1:13" x14ac:dyDescent="0.35">
      <c r="A57" s="4" t="s">
        <v>53</v>
      </c>
      <c r="B57" s="4">
        <v>34</v>
      </c>
      <c r="C57" s="4"/>
      <c r="F57" s="4" t="s">
        <v>53</v>
      </c>
      <c r="G57" s="4">
        <v>34</v>
      </c>
      <c r="H57" s="4"/>
      <c r="K57" s="4" t="s">
        <v>53</v>
      </c>
      <c r="L57" s="4">
        <v>34</v>
      </c>
      <c r="M57" s="4"/>
    </row>
    <row r="58" spans="1:13" x14ac:dyDescent="0.35">
      <c r="A58" s="4" t="s">
        <v>54</v>
      </c>
      <c r="B58" s="4">
        <v>-1.8995212016037211</v>
      </c>
      <c r="C58" s="4"/>
      <c r="F58" s="4" t="s">
        <v>54</v>
      </c>
      <c r="G58" s="4">
        <v>-1.9448983528632107</v>
      </c>
      <c r="H58" s="4"/>
      <c r="K58" s="4" t="s">
        <v>54</v>
      </c>
      <c r="L58" s="4">
        <v>-1.677199272912564</v>
      </c>
      <c r="M58" s="4"/>
    </row>
    <row r="59" spans="1:13" x14ac:dyDescent="0.35">
      <c r="A59" s="4" t="s">
        <v>55</v>
      </c>
      <c r="B59" s="64">
        <v>3.3003119054871209E-2</v>
      </c>
      <c r="C59" s="4"/>
      <c r="F59" s="4" t="s">
        <v>55</v>
      </c>
      <c r="G59" s="64">
        <v>3.0047946584539312E-2</v>
      </c>
      <c r="H59" s="4"/>
      <c r="K59" s="4" t="s">
        <v>55</v>
      </c>
      <c r="L59" s="4">
        <v>5.1337625923350449E-2</v>
      </c>
      <c r="M59" s="4"/>
    </row>
    <row r="60" spans="1:13" x14ac:dyDescent="0.35">
      <c r="A60" s="4" t="s">
        <v>56</v>
      </c>
      <c r="B60" s="4">
        <v>1.6909242551868542</v>
      </c>
      <c r="C60" s="4"/>
      <c r="F60" s="4" t="s">
        <v>56</v>
      </c>
      <c r="G60" s="4">
        <v>1.6909242551868542</v>
      </c>
      <c r="H60" s="4"/>
      <c r="K60" s="4" t="s">
        <v>56</v>
      </c>
      <c r="L60" s="4">
        <v>1.6909242551868542</v>
      </c>
      <c r="M60" s="4"/>
    </row>
    <row r="61" spans="1:13" x14ac:dyDescent="0.35">
      <c r="A61" s="4" t="s">
        <v>57</v>
      </c>
      <c r="B61" s="4">
        <v>6.6006238109742418E-2</v>
      </c>
      <c r="C61" s="4"/>
      <c r="F61" s="4" t="s">
        <v>57</v>
      </c>
      <c r="G61" s="4">
        <v>6.0095893169078624E-2</v>
      </c>
      <c r="H61" s="4"/>
      <c r="K61" s="4" t="s">
        <v>57</v>
      </c>
      <c r="L61" s="4">
        <v>0.1026752518467009</v>
      </c>
      <c r="M61" s="4"/>
    </row>
    <row r="62" spans="1:13" ht="15" thickBot="1" x14ac:dyDescent="0.4">
      <c r="A62" s="5" t="s">
        <v>58</v>
      </c>
      <c r="B62" s="5">
        <v>2.0322445093177191</v>
      </c>
      <c r="C62" s="5"/>
      <c r="F62" s="5" t="s">
        <v>58</v>
      </c>
      <c r="G62" s="5">
        <v>2.0322445093177191</v>
      </c>
      <c r="H62" s="5"/>
      <c r="K62" s="5" t="s">
        <v>58</v>
      </c>
      <c r="L62" s="5">
        <v>2.0322445093177191</v>
      </c>
      <c r="M62" s="5"/>
    </row>
    <row r="65" spans="1:3" x14ac:dyDescent="0.35">
      <c r="A65" t="s">
        <v>47</v>
      </c>
    </row>
    <row r="66" spans="1:3" ht="15" thickBot="1" x14ac:dyDescent="0.4"/>
    <row r="67" spans="1:3" x14ac:dyDescent="0.35">
      <c r="A67" s="6"/>
      <c r="B67" s="6" t="s">
        <v>12</v>
      </c>
      <c r="C67" s="6" t="s">
        <v>12</v>
      </c>
    </row>
    <row r="68" spans="1:3" x14ac:dyDescent="0.35">
      <c r="A68" s="4" t="s">
        <v>48</v>
      </c>
      <c r="B68" s="4">
        <v>5.9999999999999977E-2</v>
      </c>
      <c r="C68" s="4">
        <v>0.22000000000000006</v>
      </c>
    </row>
    <row r="69" spans="1:3" x14ac:dyDescent="0.35">
      <c r="A69" s="4" t="s">
        <v>49</v>
      </c>
      <c r="B69" s="4">
        <v>2.9111111111111113E-3</v>
      </c>
      <c r="C69" s="4">
        <v>4.1975999999999951E-2</v>
      </c>
    </row>
    <row r="70" spans="1:3" x14ac:dyDescent="0.35">
      <c r="A70" s="4" t="s">
        <v>50</v>
      </c>
      <c r="B70" s="4">
        <v>10</v>
      </c>
      <c r="C70" s="4">
        <v>26</v>
      </c>
    </row>
    <row r="71" spans="1:3" x14ac:dyDescent="0.35">
      <c r="A71" s="4" t="s">
        <v>51</v>
      </c>
      <c r="B71" s="4">
        <v>3.1635294117647025E-2</v>
      </c>
      <c r="C71" s="4"/>
    </row>
    <row r="72" spans="1:3" x14ac:dyDescent="0.35">
      <c r="A72" s="4" t="s">
        <v>52</v>
      </c>
      <c r="B72" s="4">
        <v>0</v>
      </c>
      <c r="C72" s="4"/>
    </row>
    <row r="73" spans="1:3" x14ac:dyDescent="0.35">
      <c r="A73" s="4" t="s">
        <v>53</v>
      </c>
      <c r="B73" s="4">
        <v>34</v>
      </c>
      <c r="C73" s="4"/>
    </row>
    <row r="74" spans="1:3" x14ac:dyDescent="0.35">
      <c r="A74" s="4" t="s">
        <v>54</v>
      </c>
      <c r="B74" s="4">
        <v>-2.4175166174393166</v>
      </c>
      <c r="C74" s="4"/>
    </row>
    <row r="75" spans="1:3" x14ac:dyDescent="0.35">
      <c r="A75" s="4" t="s">
        <v>55</v>
      </c>
      <c r="B75" s="64">
        <v>1.0568610889841424E-2</v>
      </c>
      <c r="C75" s="4"/>
    </row>
    <row r="76" spans="1:3" x14ac:dyDescent="0.35">
      <c r="A76" s="4" t="s">
        <v>56</v>
      </c>
      <c r="B76" s="4">
        <v>1.6909242551868542</v>
      </c>
      <c r="C76" s="4"/>
    </row>
    <row r="77" spans="1:3" x14ac:dyDescent="0.35">
      <c r="A77" s="4" t="s">
        <v>57</v>
      </c>
      <c r="B77" s="4">
        <v>2.1137221779682847E-2</v>
      </c>
      <c r="C77" s="4"/>
    </row>
    <row r="78" spans="1:3" ht="15" thickBot="1" x14ac:dyDescent="0.4">
      <c r="A78" s="5" t="s">
        <v>58</v>
      </c>
      <c r="B78" s="5">
        <v>2.0322445093177191</v>
      </c>
      <c r="C78" s="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13AB-71C6-4FC0-AC75-C67B275193F6}">
  <dimension ref="A1:M12"/>
  <sheetViews>
    <sheetView workbookViewId="0">
      <selection activeCell="A12" sqref="A12:M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5.0000000000000017E-2</v>
      </c>
      <c r="B4" s="1">
        <v>0.09</v>
      </c>
      <c r="C4" s="1">
        <v>9.9999999999999978E-2</v>
      </c>
      <c r="D4" s="1">
        <v>2.0000000000000018E-2</v>
      </c>
      <c r="E4" s="1">
        <v>4.0000000000000008E-2</v>
      </c>
      <c r="F4" s="1">
        <v>9.9999999999999978E-2</v>
      </c>
      <c r="G4" s="1">
        <v>0.12</v>
      </c>
      <c r="H4" s="1">
        <v>1.0000000000000009E-2</v>
      </c>
      <c r="I4" s="1">
        <v>0.03</v>
      </c>
      <c r="J4" s="1">
        <v>0</v>
      </c>
      <c r="K4" s="1">
        <v>3.999999999999998E-2</v>
      </c>
      <c r="L4" s="1">
        <v>1.0000000000000009E-2</v>
      </c>
      <c r="M4" s="1">
        <v>6.9999999999999951E-2</v>
      </c>
    </row>
    <row r="5" spans="1:13" x14ac:dyDescent="0.35">
      <c r="A5" s="2">
        <v>0.21000000000000002</v>
      </c>
      <c r="B5" s="2">
        <v>0.18</v>
      </c>
      <c r="C5" s="2">
        <v>4.9999999999999989E-2</v>
      </c>
      <c r="D5" s="2">
        <v>7.0000000000000007E-2</v>
      </c>
      <c r="E5" s="2">
        <v>0.12</v>
      </c>
      <c r="F5" s="2">
        <v>0.10000000000000003</v>
      </c>
      <c r="G5" s="2">
        <v>4.0000000000000008E-2</v>
      </c>
      <c r="H5" s="2">
        <v>9.9999999999999992E-2</v>
      </c>
      <c r="I5" s="2">
        <v>1.0000000000000009E-2</v>
      </c>
      <c r="J5" s="2">
        <v>0.09</v>
      </c>
      <c r="K5" s="2">
        <v>5.0000000000000044E-2</v>
      </c>
      <c r="L5" s="2">
        <v>8.0000000000000016E-2</v>
      </c>
      <c r="M5" s="2">
        <v>3.999999999999998E-2</v>
      </c>
    </row>
    <row r="6" spans="1:13" x14ac:dyDescent="0.35">
      <c r="A6" s="12">
        <v>0.21999999999999997</v>
      </c>
      <c r="B6" s="12">
        <v>0.27</v>
      </c>
      <c r="C6" s="12">
        <v>0.22999999999999998</v>
      </c>
      <c r="D6" s="12">
        <v>0.19999999999999996</v>
      </c>
      <c r="E6" s="12">
        <v>0.23000000000000004</v>
      </c>
      <c r="F6" s="12">
        <v>0.36</v>
      </c>
      <c r="G6" s="12">
        <v>0.38</v>
      </c>
      <c r="H6" s="12">
        <v>0.28000000000000003</v>
      </c>
      <c r="I6" s="12">
        <v>0.26999999999999996</v>
      </c>
      <c r="J6" s="12">
        <v>0.11000000000000004</v>
      </c>
      <c r="K6" s="12">
        <v>0.25000000000000006</v>
      </c>
      <c r="L6" s="12">
        <v>0.15000000000000002</v>
      </c>
      <c r="M6" s="12">
        <v>0.10999999999999999</v>
      </c>
    </row>
    <row r="7" spans="1:13" x14ac:dyDescent="0.35">
      <c r="A7" s="12">
        <v>0.27</v>
      </c>
      <c r="B7" s="12">
        <v>0.20999999999999996</v>
      </c>
      <c r="C7" s="12">
        <v>0.25000000000000006</v>
      </c>
      <c r="D7" s="12">
        <v>0.18999999999999995</v>
      </c>
      <c r="E7" s="12">
        <v>0.14000000000000007</v>
      </c>
      <c r="F7" s="12">
        <v>0.17999999999999994</v>
      </c>
      <c r="G7" s="12">
        <v>0.19999999999999996</v>
      </c>
      <c r="H7" s="12">
        <v>0.15000000000000002</v>
      </c>
      <c r="I7" s="12">
        <v>0.18</v>
      </c>
      <c r="J7" s="12">
        <v>8.0000000000000016E-2</v>
      </c>
      <c r="K7" s="12">
        <v>0.10000000000000003</v>
      </c>
      <c r="L7" s="12">
        <v>8.0000000000000071E-2</v>
      </c>
      <c r="M7" s="12">
        <v>8.9999999999999969E-2</v>
      </c>
    </row>
    <row r="8" spans="1:13" x14ac:dyDescent="0.35">
      <c r="A8" s="12">
        <v>0.18999999999999995</v>
      </c>
      <c r="B8" s="12">
        <v>7.999999999999996E-2</v>
      </c>
      <c r="C8" s="12">
        <v>0.17000000000000004</v>
      </c>
      <c r="D8" s="12">
        <v>0.15000000000000002</v>
      </c>
      <c r="E8" s="12">
        <v>0.20999999999999996</v>
      </c>
      <c r="F8" s="12">
        <v>0.15000000000000002</v>
      </c>
      <c r="G8" s="12">
        <v>0.13</v>
      </c>
      <c r="H8" s="12">
        <v>2.9999999999999971E-2</v>
      </c>
      <c r="I8" s="12">
        <v>5.0000000000000017E-2</v>
      </c>
      <c r="J8" s="12">
        <v>3.999999999999998E-2</v>
      </c>
      <c r="K8" s="12">
        <v>8.0000000000000016E-2</v>
      </c>
      <c r="L8" s="12">
        <v>9.0000000000000024E-2</v>
      </c>
      <c r="M8" s="12">
        <v>3.0000000000000027E-2</v>
      </c>
    </row>
    <row r="9" spans="1:13" x14ac:dyDescent="0.35">
      <c r="A9" s="23">
        <v>0.12</v>
      </c>
      <c r="B9" s="23">
        <v>0.4</v>
      </c>
      <c r="C9" s="23">
        <v>0.47</v>
      </c>
      <c r="D9" s="23">
        <v>0.44</v>
      </c>
      <c r="E9" s="23">
        <v>0.25999999999999995</v>
      </c>
      <c r="F9" s="23">
        <v>0.3</v>
      </c>
      <c r="G9" s="23">
        <v>0.27999999999999997</v>
      </c>
      <c r="H9" s="23">
        <v>0.38999999999999996</v>
      </c>
      <c r="I9" s="23">
        <v>0.32000000000000006</v>
      </c>
      <c r="J9" s="23">
        <v>0.37</v>
      </c>
      <c r="K9" s="23">
        <v>0.35</v>
      </c>
      <c r="L9" s="23">
        <v>0.48000000000000004</v>
      </c>
      <c r="M9" s="23">
        <v>0.4</v>
      </c>
    </row>
    <row r="10" spans="1:13" x14ac:dyDescent="0.35">
      <c r="A10" s="13">
        <v>0.46000000000000008</v>
      </c>
      <c r="B10" s="13">
        <v>0.27</v>
      </c>
      <c r="C10" s="13">
        <v>0.21999999999999997</v>
      </c>
      <c r="D10" s="13">
        <v>0.25999999999999995</v>
      </c>
      <c r="E10" s="13">
        <v>0.19999999999999996</v>
      </c>
      <c r="F10" s="13">
        <v>0.27</v>
      </c>
      <c r="G10" s="13">
        <v>0.17</v>
      </c>
      <c r="H10" s="13">
        <v>0.21999999999999997</v>
      </c>
      <c r="I10" s="13">
        <v>6.9999999999999979E-2</v>
      </c>
      <c r="J10" s="13">
        <v>7.0000000000000007E-2</v>
      </c>
      <c r="K10" s="13">
        <v>9.9999999999999978E-2</v>
      </c>
      <c r="L10" s="13">
        <v>0.17</v>
      </c>
      <c r="M10" s="13">
        <v>5.0000000000000044E-2</v>
      </c>
    </row>
    <row r="11" spans="1:13" x14ac:dyDescent="0.35">
      <c r="A11" s="13">
        <f>AVERAGE(Table18[100])</f>
        <v>0.33666666666666667</v>
      </c>
      <c r="B11" s="13">
        <f>SUBTOTAL(101,Table18[200])</f>
        <v>0.32444444444444442</v>
      </c>
      <c r="C11" s="13">
        <f>SUBTOTAL(101,Table18[400])</f>
        <v>0.31222222222222218</v>
      </c>
      <c r="D11" s="13">
        <f>SUBTOTAL(101,Table18[500])</f>
        <v>0.22888888888888884</v>
      </c>
      <c r="E11" s="13">
        <f>SUBTOTAL(101,Table18[800])</f>
        <v>0.21111111111111114</v>
      </c>
      <c r="F11" s="13">
        <f>SUBTOTAL(101,Table18[1000])</f>
        <v>0.2533333333333333</v>
      </c>
      <c r="G11" s="13">
        <f>SUBTOTAL(101,Table18[2000])</f>
        <v>0.26333333333333331</v>
      </c>
      <c r="H11" s="13">
        <f>SUBTOTAL(101,Table18[3000])</f>
        <v>0.24555555555555555</v>
      </c>
      <c r="I11" s="13">
        <f>SUBTOTAL(101,Table18[4000])</f>
        <v>0.24777777777777776</v>
      </c>
      <c r="J11" s="13">
        <f>SUBTOTAL(101,Table18[6000])</f>
        <v>0.23555555555555557</v>
      </c>
      <c r="K11" s="13">
        <f>SUBTOTAL(101,Table18[8000])</f>
        <v>0.19222222222222227</v>
      </c>
      <c r="L11" s="13">
        <f>SUBTOTAL(101,Table18[10000])</f>
        <v>0.21555555555555558</v>
      </c>
      <c r="M11" s="13">
        <f>SUBTOTAL(101,Table18[12000])</f>
        <v>0.24111111111111111</v>
      </c>
    </row>
    <row r="12" spans="1:13" s="11" customFormat="1" x14ac:dyDescent="0.35">
      <c r="A12" s="11">
        <f>STDEV(Table18[100])/SQRT(COUNT(Table18[100]))</f>
        <v>9.6465307523251873E-2</v>
      </c>
      <c r="B12" s="11">
        <f>STDEV(Table18[200])/SQRT(COUNT(Table18[200]))</f>
        <v>9.3230763745890122E-2</v>
      </c>
      <c r="C12" s="11">
        <f>STDEV(Table18[400])/SQRT(COUNT(Table18[400]))</f>
        <v>9.5099038693847102E-2</v>
      </c>
      <c r="D12" s="11">
        <f>STDEV(Table18[500])/SQRT(COUNT(Table18[500]))</f>
        <v>5.2239949709767301E-2</v>
      </c>
      <c r="E12" s="11">
        <f>STDEV(Table18[800])/SQRT(COUNT(Table18[800]))</f>
        <v>4.234266447175828E-2</v>
      </c>
      <c r="F12" s="11">
        <f>STDEV(Table18[1000])/SQRT(COUNT(Table18[1000]))</f>
        <v>4.4440972086577941E-2</v>
      </c>
      <c r="G12" s="11">
        <f>STDEV(Table18[2000])/SQRT(COUNT(Table18[2000]))</f>
        <v>5.9278064145929149E-2</v>
      </c>
      <c r="H12" s="11">
        <f>STDEV(Table18[3000])/SQRT(COUNT(Table18[3000]))</f>
        <v>6.4616628215772035E-2</v>
      </c>
      <c r="I12" s="11">
        <f>STDEV(Table18[4000])/SQRT(COUNT(Table18[4000]))</f>
        <v>0.10230371148064983</v>
      </c>
      <c r="J12" s="11">
        <f>STDEV(Table18[6000])/SQRT(COUNT(Table18[6000]))</f>
        <v>0.105423894496761</v>
      </c>
      <c r="K12" s="11">
        <f>STDEV(Table18[8000])/SQRT(COUNT(Table18[8000]))</f>
        <v>5.2777777777777764E-2</v>
      </c>
      <c r="L12" s="11">
        <f>STDEV(Table18[10000])/SQRT(COUNT(Table18[10000]))</f>
        <v>6.2251977012584177E-2</v>
      </c>
      <c r="M12" s="11">
        <f>STDEV(Table18[12000])/SQRT(COUNT(Table18[12000]))</f>
        <v>0.10615037086401487</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2217-9E58-49EF-A9B7-9B2DFB5EE479}">
  <dimension ref="A1:M47"/>
  <sheetViews>
    <sheetView topLeftCell="A31" workbookViewId="0">
      <selection activeCell="K50" sqref="K5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0.35000000000000003</v>
      </c>
      <c r="B7" s="2">
        <v>0.35000000000000003</v>
      </c>
      <c r="C7" s="2">
        <v>0.33</v>
      </c>
      <c r="D7" s="2">
        <v>0.4</v>
      </c>
      <c r="E7" s="2">
        <v>0.35000000000000003</v>
      </c>
      <c r="F7" s="2">
        <v>0.38</v>
      </c>
      <c r="G7" s="2">
        <v>0.33</v>
      </c>
      <c r="H7" s="2">
        <v>0.35000000000000003</v>
      </c>
      <c r="I7" s="2">
        <v>0.33</v>
      </c>
      <c r="J7" s="2">
        <v>0.15000000000000002</v>
      </c>
      <c r="K7" s="2">
        <v>0.1399999999999999</v>
      </c>
      <c r="L7" s="2">
        <v>0.56000000000000005</v>
      </c>
      <c r="M7" s="2">
        <v>0.10000000000000009</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0.13</v>
      </c>
      <c r="B11" s="2">
        <v>0.10000000000000009</v>
      </c>
      <c r="C11" s="2">
        <v>0.38</v>
      </c>
      <c r="D11" s="2">
        <v>0.25999999999999995</v>
      </c>
      <c r="E11" s="2">
        <v>0.21999999999999997</v>
      </c>
      <c r="F11" s="2">
        <v>0.10999999999999999</v>
      </c>
      <c r="G11" s="2">
        <v>0.13</v>
      </c>
      <c r="H11" s="2">
        <v>0.10000000000000003</v>
      </c>
      <c r="I11" s="2">
        <v>0.15000000000000002</v>
      </c>
      <c r="J11" s="2">
        <v>1.0000000000000009E-2</v>
      </c>
      <c r="K11" s="2">
        <v>9.9999999999999978E-2</v>
      </c>
      <c r="L11" s="2">
        <v>8.9999999999999969E-2</v>
      </c>
      <c r="M11" s="2">
        <v>0.15000000000000002</v>
      </c>
    </row>
    <row r="12" spans="1:13" x14ac:dyDescent="0.35">
      <c r="A12" s="1">
        <v>0.33000000000000007</v>
      </c>
      <c r="B12" s="1">
        <v>0.53</v>
      </c>
      <c r="C12" s="1">
        <v>0.51</v>
      </c>
      <c r="D12" s="1">
        <v>0.5</v>
      </c>
      <c r="E12" s="1">
        <v>0.57999999999999996</v>
      </c>
      <c r="F12" s="1">
        <v>0.54</v>
      </c>
      <c r="G12" s="1">
        <v>0.45</v>
      </c>
      <c r="H12" s="1">
        <v>0.36</v>
      </c>
      <c r="I12" s="1">
        <v>0.38000000000000006</v>
      </c>
      <c r="J12" s="1">
        <v>0.26000000000000006</v>
      </c>
      <c r="K12" s="1">
        <v>0.28999999999999998</v>
      </c>
      <c r="L12" s="1">
        <v>0.21000000000000008</v>
      </c>
      <c r="M12" s="1">
        <v>0.24</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
        <v>0</v>
      </c>
      <c r="B14" s="1">
        <v>0.5</v>
      </c>
      <c r="C14" s="1">
        <v>0.5</v>
      </c>
      <c r="D14" s="1">
        <v>0.5</v>
      </c>
      <c r="E14" s="1">
        <v>1</v>
      </c>
      <c r="F14" s="1">
        <v>0.5</v>
      </c>
      <c r="G14" s="1">
        <v>1</v>
      </c>
      <c r="H14" s="1">
        <v>0.5</v>
      </c>
      <c r="I14" s="1">
        <v>0.5</v>
      </c>
      <c r="J14" s="1">
        <v>0.5</v>
      </c>
      <c r="K14" s="1">
        <v>0.5</v>
      </c>
      <c r="L14" s="1">
        <v>0</v>
      </c>
      <c r="M14" s="1">
        <v>0</v>
      </c>
    </row>
    <row r="15" spans="1:13" x14ac:dyDescent="0.35">
      <c r="A15" s="2">
        <v>0.37000000000000005</v>
      </c>
      <c r="B15" s="2">
        <v>0.37000000000000005</v>
      </c>
      <c r="C15" s="2">
        <v>0.33999999999999997</v>
      </c>
      <c r="D15" s="2">
        <v>0.32999999999999996</v>
      </c>
      <c r="E15" s="2">
        <v>0.3</v>
      </c>
      <c r="F15" s="2">
        <v>0.31</v>
      </c>
      <c r="G15" s="2">
        <v>0.20999999999999996</v>
      </c>
      <c r="H15" s="2">
        <v>0.21999999999999997</v>
      </c>
      <c r="I15" s="2">
        <v>0.35</v>
      </c>
      <c r="J15" s="2">
        <v>0.26999999999999996</v>
      </c>
      <c r="K15" s="2">
        <v>0.18</v>
      </c>
      <c r="L15" s="2">
        <v>0.20000000000000007</v>
      </c>
      <c r="M15" s="2">
        <v>0.21999999999999997</v>
      </c>
    </row>
    <row r="16" spans="1:13" x14ac:dyDescent="0.35">
      <c r="A16" s="12">
        <v>0.48000000000000004</v>
      </c>
      <c r="B16" s="12">
        <v>0.51</v>
      </c>
      <c r="C16" s="12">
        <v>0.49</v>
      </c>
      <c r="D16" s="12">
        <v>0.33999999999999997</v>
      </c>
      <c r="E16" s="12">
        <v>0.39</v>
      </c>
      <c r="F16" s="12">
        <v>0.37000000000000005</v>
      </c>
      <c r="G16" s="12">
        <v>0.47</v>
      </c>
      <c r="H16" s="12">
        <v>0.43000000000000005</v>
      </c>
      <c r="I16" s="12">
        <v>0.26999999999999996</v>
      </c>
      <c r="J16" s="12">
        <v>0.3</v>
      </c>
      <c r="K16" s="12">
        <v>0.31</v>
      </c>
      <c r="L16" s="12">
        <v>0.27</v>
      </c>
      <c r="M16" s="12">
        <v>0.20999999999999996</v>
      </c>
    </row>
    <row r="17" spans="1:13" x14ac:dyDescent="0.35">
      <c r="A17" s="12">
        <v>0.52</v>
      </c>
      <c r="B17" s="12">
        <v>0.36000000000000004</v>
      </c>
      <c r="C17" s="12">
        <v>0.24000000000000005</v>
      </c>
      <c r="D17" s="12">
        <v>0.25</v>
      </c>
      <c r="E17" s="12">
        <v>0.18</v>
      </c>
      <c r="F17" s="12">
        <v>0.13</v>
      </c>
      <c r="G17" s="12">
        <v>2.0000000000000018E-2</v>
      </c>
      <c r="H17" s="12">
        <v>0.12000000000000002</v>
      </c>
      <c r="I17" s="12">
        <v>0.12999999999999998</v>
      </c>
      <c r="J17" s="12">
        <v>8.9999999999999969E-2</v>
      </c>
      <c r="K17" s="12">
        <v>9.0000000000000024E-2</v>
      </c>
      <c r="L17" s="12">
        <v>7.0000000000000007E-2</v>
      </c>
      <c r="M17" s="12">
        <v>0.18000000000000005</v>
      </c>
    </row>
    <row r="18" spans="1:13" x14ac:dyDescent="0.35">
      <c r="A18" s="12">
        <v>0.19999999999999996</v>
      </c>
      <c r="B18" s="12">
        <v>0.24</v>
      </c>
      <c r="C18" s="12">
        <v>0.37000000000000005</v>
      </c>
      <c r="D18" s="12">
        <v>0.23000000000000004</v>
      </c>
      <c r="E18" s="12">
        <v>0.30999999999999994</v>
      </c>
      <c r="F18" s="12">
        <v>0.16999999999999993</v>
      </c>
      <c r="G18" s="12">
        <v>0.14000000000000001</v>
      </c>
      <c r="H18" s="12">
        <v>0.19999999999999996</v>
      </c>
      <c r="I18" s="12">
        <v>0.18</v>
      </c>
      <c r="J18" s="12">
        <v>8.9999999999999969E-2</v>
      </c>
      <c r="K18" s="12">
        <v>0.14000000000000001</v>
      </c>
      <c r="L18" s="12">
        <v>9.9999999999999978E-2</v>
      </c>
      <c r="M18" s="12">
        <v>0.14000000000000001</v>
      </c>
    </row>
    <row r="19" spans="1:13" x14ac:dyDescent="0.35">
      <c r="A19" s="12">
        <v>0.45999999999999996</v>
      </c>
      <c r="B19" s="12">
        <v>0.47</v>
      </c>
      <c r="C19" s="12">
        <v>0.43000000000000005</v>
      </c>
      <c r="D19" s="12">
        <v>0.33000000000000007</v>
      </c>
      <c r="E19" s="12">
        <v>0.44000000000000006</v>
      </c>
      <c r="F19" s="12">
        <v>0.36000000000000004</v>
      </c>
      <c r="G19" s="12">
        <v>0.33</v>
      </c>
      <c r="H19" s="12">
        <v>0.19</v>
      </c>
      <c r="I19" s="12">
        <v>0.24000000000000002</v>
      </c>
      <c r="J19" s="12">
        <v>0.22000000000000003</v>
      </c>
      <c r="K19" s="12">
        <v>0.24000000000000002</v>
      </c>
      <c r="L19" s="12">
        <v>0.18000000000000002</v>
      </c>
      <c r="M19" s="12">
        <v>0.19</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9.9999999999999978E-2</v>
      </c>
      <c r="B28" s="12">
        <v>0.12000000000000005</v>
      </c>
      <c r="C28" s="12">
        <v>0.10999999999999999</v>
      </c>
      <c r="D28" s="12">
        <v>9.9999999999999978E-2</v>
      </c>
      <c r="E28" s="12">
        <v>0.14000000000000001</v>
      </c>
      <c r="F28" s="12">
        <v>0.13</v>
      </c>
      <c r="G28" s="12">
        <v>0.12</v>
      </c>
      <c r="H28" s="12">
        <v>8.0000000000000016E-2</v>
      </c>
      <c r="I28" s="12">
        <v>8.0000000000000016E-2</v>
      </c>
      <c r="J28" s="12">
        <v>0.13</v>
      </c>
      <c r="K28" s="12">
        <v>9.9999999999999978E-2</v>
      </c>
      <c r="L28" s="12">
        <v>3.999999999999998E-2</v>
      </c>
      <c r="M28" s="12">
        <v>0.11000000000000004</v>
      </c>
    </row>
    <row r="29" spans="1:13" x14ac:dyDescent="0.35">
      <c r="A29" s="23">
        <v>0.24</v>
      </c>
      <c r="B29" s="23">
        <v>0.26</v>
      </c>
      <c r="C29" s="23">
        <v>0.26999999999999996</v>
      </c>
      <c r="D29" s="23">
        <v>0.33999999999999997</v>
      </c>
      <c r="E29" s="23">
        <v>0.21000000000000002</v>
      </c>
      <c r="F29" s="23">
        <v>0.14000000000000001</v>
      </c>
      <c r="G29" s="23">
        <v>0.19</v>
      </c>
      <c r="H29" s="23">
        <v>0.16000000000000003</v>
      </c>
      <c r="I29" s="23">
        <v>0.16999999999999998</v>
      </c>
      <c r="J29" s="23">
        <v>0.15999999999999998</v>
      </c>
      <c r="K29" s="23">
        <v>0.19</v>
      </c>
      <c r="L29" s="23">
        <v>0.16999999999999993</v>
      </c>
      <c r="M29" s="23">
        <v>4.0000000000000036E-2</v>
      </c>
    </row>
    <row r="30" spans="1:13" x14ac:dyDescent="0.35">
      <c r="A30" s="12">
        <v>3.0000000000000027E-2</v>
      </c>
      <c r="B30" s="12">
        <v>0.16000000000000003</v>
      </c>
      <c r="C30" s="12">
        <v>0.14000000000000001</v>
      </c>
      <c r="D30" s="12">
        <v>0.19000000000000006</v>
      </c>
      <c r="E30" s="12">
        <v>0.22999999999999993</v>
      </c>
      <c r="F30" s="12">
        <v>0.11000000000000004</v>
      </c>
      <c r="G30" s="12">
        <v>8.0000000000000016E-2</v>
      </c>
      <c r="H30" s="12">
        <v>4.9999999999999989E-2</v>
      </c>
      <c r="I30" s="12">
        <v>9.0000000000000024E-2</v>
      </c>
      <c r="J30" s="12">
        <v>1.0000000000000009E-2</v>
      </c>
      <c r="K30" s="12">
        <v>4.9999999999999933E-2</v>
      </c>
      <c r="L30" s="12">
        <v>0</v>
      </c>
      <c r="M30" s="12">
        <v>0</v>
      </c>
    </row>
    <row r="31" spans="1:13" x14ac:dyDescent="0.35">
      <c r="A31" s="23">
        <v>0.63</v>
      </c>
      <c r="B31" s="23">
        <v>0.25</v>
      </c>
      <c r="C31" s="23">
        <v>5.9999999999999942E-2</v>
      </c>
      <c r="D31" s="23">
        <v>7.999999999999996E-2</v>
      </c>
      <c r="E31" s="23">
        <v>0.26000000000000006</v>
      </c>
      <c r="F31" s="23">
        <v>0.7</v>
      </c>
      <c r="G31" s="23">
        <v>0.41999999999999993</v>
      </c>
      <c r="H31" s="23">
        <v>0.39</v>
      </c>
      <c r="I31" s="23">
        <v>0.45999999999999996</v>
      </c>
      <c r="J31" s="23">
        <v>0.39</v>
      </c>
      <c r="K31" s="23">
        <v>0.37999999999999995</v>
      </c>
      <c r="L31" s="23">
        <v>0.37</v>
      </c>
      <c r="M31" s="23">
        <v>0.33000000000000007</v>
      </c>
    </row>
    <row r="32" spans="1:13" x14ac:dyDescent="0.35">
      <c r="A32" s="12">
        <v>0.36</v>
      </c>
      <c r="B32" s="12">
        <v>7.0000000000000062E-2</v>
      </c>
      <c r="C32" s="12">
        <v>2.0000000000000018E-2</v>
      </c>
      <c r="D32" s="12">
        <v>5.0000000000000044E-2</v>
      </c>
      <c r="E32" s="12">
        <v>0.13</v>
      </c>
      <c r="F32" s="12">
        <v>0.13</v>
      </c>
      <c r="G32" s="12">
        <v>9.9999999999999978E-2</v>
      </c>
      <c r="H32" s="12">
        <v>0.18999999999999995</v>
      </c>
      <c r="I32" s="12">
        <v>7.999999999999996E-2</v>
      </c>
      <c r="J32" s="12">
        <v>0.22999999999999998</v>
      </c>
      <c r="K32" s="12">
        <v>0.15000000000000002</v>
      </c>
      <c r="L32" s="12">
        <v>2.0000000000000018E-2</v>
      </c>
      <c r="M32" s="12">
        <v>5.9999999999999942E-2</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12">
        <v>0.4</v>
      </c>
      <c r="B39" s="12">
        <v>0.45999999999999996</v>
      </c>
      <c r="C39" s="12">
        <v>0.35000000000000003</v>
      </c>
      <c r="D39" s="12">
        <v>0.4</v>
      </c>
      <c r="E39" s="12">
        <v>0.29000000000000004</v>
      </c>
      <c r="F39" s="12">
        <v>0.32999999999999996</v>
      </c>
      <c r="G39" s="12">
        <v>0.32999999999999996</v>
      </c>
      <c r="H39" s="12">
        <v>0.32999999999999996</v>
      </c>
      <c r="I39" s="12">
        <v>0.35</v>
      </c>
      <c r="J39" s="12">
        <v>0.28999999999999998</v>
      </c>
      <c r="K39" s="12">
        <v>0.27</v>
      </c>
      <c r="L39" s="12">
        <v>0.22999999999999998</v>
      </c>
      <c r="M39" s="12">
        <v>0.16999999999999993</v>
      </c>
    </row>
    <row r="40" spans="1:13" x14ac:dyDescent="0.35">
      <c r="A40" s="12">
        <v>9.000000000000008E-2</v>
      </c>
      <c r="B40" s="12">
        <v>0.21999999999999997</v>
      </c>
      <c r="C40" s="12">
        <v>0.14000000000000001</v>
      </c>
      <c r="D40" s="12">
        <v>0.24</v>
      </c>
      <c r="E40" s="12">
        <v>0.10999999999999999</v>
      </c>
      <c r="F40" s="12">
        <v>9.9999999999999978E-2</v>
      </c>
      <c r="G40" s="12">
        <v>0.21</v>
      </c>
      <c r="H40" s="12">
        <v>0.12</v>
      </c>
      <c r="I40" s="12">
        <v>8.0000000000000016E-2</v>
      </c>
      <c r="J40" s="12">
        <v>0.16000000000000003</v>
      </c>
      <c r="K40" s="12">
        <v>0.06</v>
      </c>
      <c r="L40" s="12">
        <v>0.11000000000000004</v>
      </c>
      <c r="M40" s="12">
        <v>8.9999999999999969E-2</v>
      </c>
    </row>
    <row r="41" spans="1:13" x14ac:dyDescent="0.35">
      <c r="A41" s="12">
        <v>0.15000000000000002</v>
      </c>
      <c r="B41" s="12">
        <v>0.29000000000000004</v>
      </c>
      <c r="C41" s="12">
        <v>0.15000000000000002</v>
      </c>
      <c r="D41" s="12">
        <v>0.19</v>
      </c>
      <c r="E41" s="12">
        <v>0.16000000000000003</v>
      </c>
      <c r="F41" s="12">
        <v>0.23000000000000004</v>
      </c>
      <c r="G41" s="12">
        <v>3.999999999999998E-2</v>
      </c>
      <c r="H41" s="12">
        <v>1.0000000000000009E-2</v>
      </c>
      <c r="I41" s="12">
        <v>0.14000000000000001</v>
      </c>
      <c r="J41" s="12">
        <v>9.9999999999999978E-2</v>
      </c>
      <c r="K41" s="12">
        <v>0.15999999999999998</v>
      </c>
      <c r="L41" s="12">
        <v>4.0000000000000036E-2</v>
      </c>
      <c r="M41" s="12">
        <v>0.13</v>
      </c>
    </row>
    <row r="42" spans="1:13" x14ac:dyDescent="0.35">
      <c r="A42" s="13">
        <v>0.39</v>
      </c>
      <c r="B42" s="13">
        <v>0.66999999999999993</v>
      </c>
      <c r="C42" s="13">
        <v>0.28999999999999998</v>
      </c>
      <c r="D42" s="13">
        <v>0.19</v>
      </c>
      <c r="E42" s="13">
        <v>8.0000000000000016E-2</v>
      </c>
      <c r="F42" s="13">
        <v>0.11000000000000004</v>
      </c>
      <c r="G42" s="13">
        <v>8.0000000000000071E-2</v>
      </c>
      <c r="H42" s="13">
        <v>1.9999999999999962E-2</v>
      </c>
      <c r="I42" s="13">
        <v>6.9999999999999951E-2</v>
      </c>
      <c r="J42" s="13">
        <v>1.0000000000000009E-2</v>
      </c>
      <c r="K42" s="13">
        <v>0</v>
      </c>
      <c r="L42" s="13">
        <v>1.0000000000000009E-2</v>
      </c>
      <c r="M42" s="13">
        <v>9.9999999999998979E-3</v>
      </c>
    </row>
    <row r="43" spans="1:13" x14ac:dyDescent="0.35">
      <c r="A43" s="43">
        <v>0.36</v>
      </c>
      <c r="B43" s="43">
        <v>0.4</v>
      </c>
      <c r="C43" s="43">
        <v>0.29000000000000004</v>
      </c>
      <c r="D43" s="43">
        <v>0.36</v>
      </c>
      <c r="E43" s="43">
        <v>0.31000000000000005</v>
      </c>
      <c r="F43" s="43">
        <v>0.31999999999999995</v>
      </c>
      <c r="G43" s="43">
        <v>0.47</v>
      </c>
      <c r="H43" s="43">
        <v>0.43</v>
      </c>
      <c r="I43" s="43">
        <v>0.41000000000000003</v>
      </c>
      <c r="J43" s="43">
        <v>0.18000000000000005</v>
      </c>
      <c r="K43" s="43">
        <v>0.21999999999999997</v>
      </c>
      <c r="L43" s="43">
        <v>0.22999999999999998</v>
      </c>
      <c r="M43" s="43">
        <v>6.0000000000000053E-2</v>
      </c>
    </row>
    <row r="44" spans="1:13" s="11" customFormat="1"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13">
        <f>AVERAGE(Table19[100])</f>
        <v>0.29318181818181821</v>
      </c>
      <c r="B46" s="13">
        <f>SUBTOTAL(101,Table19[200])</f>
        <v>0.27477272727272734</v>
      </c>
      <c r="C46" s="13">
        <f>SUBTOTAL(101,Table19[400])</f>
        <v>0.26727272727272722</v>
      </c>
      <c r="D46" s="13">
        <f>SUBTOTAL(101,Table19[500])</f>
        <v>0.27340909090909088</v>
      </c>
      <c r="E46" s="13">
        <f>SUBTOTAL(101,Table19[800])</f>
        <v>0.28113636363636374</v>
      </c>
      <c r="F46" s="13">
        <f>SUBTOTAL(101,Table19[1000])</f>
        <v>0.29045454545454547</v>
      </c>
      <c r="G46" s="13">
        <f>SUBTOTAL(101,Table19[2000])</f>
        <v>0.28704545454545449</v>
      </c>
      <c r="H46" s="13">
        <f>SUBTOTAL(101,Table19[3000])</f>
        <v>0.25068181818181812</v>
      </c>
      <c r="I46" s="13">
        <f>SUBTOTAL(101,Table19[4000])</f>
        <v>0.27386363636363636</v>
      </c>
      <c r="J46" s="13">
        <f>SUBTOTAL(101,Table19[6000])</f>
        <v>0.22795454545454541</v>
      </c>
      <c r="K46" s="13">
        <f>SUBTOTAL(101,Table19[8000])</f>
        <v>0.2170454545454546</v>
      </c>
      <c r="L46" s="13">
        <f>SUBTOTAL(101,Table19[10000])</f>
        <v>0.1581818181818182</v>
      </c>
      <c r="M46" s="13">
        <f>SUBTOTAL(101,Table19[12000])</f>
        <v>0.13681818181818184</v>
      </c>
    </row>
    <row r="47" spans="1:13" x14ac:dyDescent="0.35">
      <c r="A47" s="11">
        <f>STDEV(Table19[100])/SQRT(COUNT(Table19[100]))</f>
        <v>2.8481240306464515E-2</v>
      </c>
      <c r="B47" s="11">
        <f>STDEV(Table19[200])/SQRT(COUNT(Table19[200]))</f>
        <v>2.4305335367181536E-2</v>
      </c>
      <c r="C47" s="11">
        <f>STDEV(Table19[400])/SQRT(COUNT(Table19[400]))</f>
        <v>2.1648165985244518E-2</v>
      </c>
      <c r="D47" s="11">
        <f>STDEV(Table19[500])/SQRT(COUNT(Table19[500]))</f>
        <v>2.0410541108772051E-2</v>
      </c>
      <c r="E47" s="11">
        <f>STDEV(Table19[800])/SQRT(COUNT(Table19[800]))</f>
        <v>2.6927229294781765E-2</v>
      </c>
      <c r="F47" s="11">
        <f>STDEV(Table19[1000])/SQRT(COUNT(Table19[100]))</f>
        <v>2.2584009351261345E-2</v>
      </c>
      <c r="G47" s="11">
        <f>STDEV(Table19[2000])/SQRT(COUNT(Table19[100]))</f>
        <v>2.6804001518529734E-2</v>
      </c>
      <c r="H47" s="11">
        <f>STDEV(Table19[3000])/SQRT(COUNT(Table19[100]))</f>
        <v>2.2905721210949356E-2</v>
      </c>
      <c r="I47" s="11">
        <f>STDEV(Table19[4000])/SQRT(COUNT(Table19[100]))</f>
        <v>2.0168989837537541E-2</v>
      </c>
      <c r="J47" s="11">
        <f>STDEV(Table19[6000])/SQRT(COUNT(Table19[100]))</f>
        <v>1.9988314623970257E-2</v>
      </c>
      <c r="K47" s="11">
        <f>STDEV(Table19[8000])/SQRT(COUNT(Table19[100]))</f>
        <v>1.8788855569189026E-2</v>
      </c>
      <c r="L47" s="11">
        <f>STDEV(Table19[10000])/SQRT(COUNT(Table19[100]))</f>
        <v>1.9235583897360152E-2</v>
      </c>
      <c r="M47" s="11">
        <f>STDEV(Table19[12000])/SQRT(COUNT(Table19[100]))</f>
        <v>1.7459626418683542E-2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DDC2-A307-4500-923A-A1896E38B9B4}">
  <dimension ref="A1:DB29"/>
  <sheetViews>
    <sheetView topLeftCell="CZ1" zoomScaleNormal="100" workbookViewId="0">
      <selection activeCell="C2" sqref="C2"/>
    </sheetView>
  </sheetViews>
  <sheetFormatPr defaultRowHeight="14.5" x14ac:dyDescent="0.35"/>
  <cols>
    <col min="1" max="1" width="80.7265625" bestFit="1" customWidth="1"/>
    <col min="2" max="2" width="17.81640625" bestFit="1" customWidth="1"/>
    <col min="3" max="3" width="39.5429687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20.36328125" bestFit="1" customWidth="1"/>
    <col min="16" max="16" width="11.54296875" bestFit="1" customWidth="1"/>
    <col min="17" max="17" width="62.81640625" bestFit="1" customWidth="1"/>
    <col min="18" max="18" width="11.54296875" bestFit="1" customWidth="1"/>
    <col min="19" max="19" width="54.7265625" bestFit="1" customWidth="1"/>
    <col min="20" max="20" width="11.54296875" bestFit="1" customWidth="1"/>
    <col min="21" max="21" width="71.906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40" bestFit="1" customWidth="1"/>
    <col min="28" max="28" width="11.54296875" bestFit="1" customWidth="1"/>
    <col min="29" max="29" width="48.08984375" bestFit="1" customWidth="1"/>
    <col min="30" max="30" width="11.54296875" bestFit="1" customWidth="1"/>
    <col min="31" max="31" width="55.26953125" bestFit="1" customWidth="1"/>
    <col min="32" max="32" width="11.54296875" bestFit="1" customWidth="1"/>
    <col min="33" max="33" width="48.90625" bestFit="1" customWidth="1"/>
    <col min="34" max="34" width="11.54296875" bestFit="1" customWidth="1"/>
    <col min="35" max="35" width="80.7265625" bestFit="1" customWidth="1"/>
    <col min="36" max="36" width="11.54296875" bestFit="1" customWidth="1"/>
    <col min="37" max="37" width="35.26953125" bestFit="1" customWidth="1"/>
    <col min="38" max="38" width="11.54296875" bestFit="1" customWidth="1"/>
    <col min="39" max="39" width="48.906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29.36328125" bestFit="1" customWidth="1"/>
    <col min="46" max="46" width="11.54296875" bestFit="1" customWidth="1"/>
    <col min="47" max="47" width="80.7265625" bestFit="1" customWidth="1"/>
    <col min="48" max="48" width="11.54296875" bestFit="1" customWidth="1"/>
    <col min="49" max="49" width="17.08984375" bestFit="1" customWidth="1"/>
    <col min="50" max="50" width="11.54296875" bestFit="1" customWidth="1"/>
    <col min="51" max="51" width="80.7265625" bestFit="1" customWidth="1"/>
    <col min="52" max="52" width="11.54296875" bestFit="1" customWidth="1"/>
    <col min="53" max="53" width="23.36328125" bestFit="1" customWidth="1"/>
    <col min="54" max="54" width="11.54296875" bestFit="1" customWidth="1"/>
    <col min="55" max="55" width="31.6328125" bestFit="1" customWidth="1"/>
    <col min="56" max="56" width="11.54296875" bestFit="1" customWidth="1"/>
    <col min="57" max="57" width="23.36328125" bestFit="1" customWidth="1"/>
    <col min="58" max="58" width="11.54296875" bestFit="1" customWidth="1"/>
    <col min="59" max="59" width="31.6328125" bestFit="1" customWidth="1"/>
    <col min="60" max="60" width="11.54296875" bestFit="1" customWidth="1"/>
    <col min="61" max="61" width="23.36328125" bestFit="1" customWidth="1"/>
    <col min="62" max="62" width="11.54296875" bestFit="1" customWidth="1"/>
    <col min="63" max="63" width="31.6328125" bestFit="1" customWidth="1"/>
    <col min="64" max="64" width="11.54296875" bestFit="1" customWidth="1"/>
    <col min="65" max="65" width="23.36328125" bestFit="1" customWidth="1"/>
    <col min="66" max="66" width="11.54296875" bestFit="1" customWidth="1"/>
    <col min="67" max="67" width="31.6328125" bestFit="1" customWidth="1"/>
    <col min="68" max="68" width="11.54296875" bestFit="1" customWidth="1"/>
    <col min="69" max="69" width="23.36328125" bestFit="1" customWidth="1"/>
    <col min="70" max="70" width="11.54296875" bestFit="1" customWidth="1"/>
    <col min="71" max="71" width="31.6328125" bestFit="1" customWidth="1"/>
    <col min="72" max="72" width="11.54296875" bestFit="1" customWidth="1"/>
    <col min="73" max="73" width="23.36328125" bestFit="1" customWidth="1"/>
    <col min="74" max="74" width="11.54296875" bestFit="1" customWidth="1"/>
    <col min="75" max="75" width="31.1796875" bestFit="1" customWidth="1"/>
    <col min="76" max="76" width="11.54296875" bestFit="1" customWidth="1"/>
    <col min="77" max="77" width="23.36328125" bestFit="1" customWidth="1"/>
    <col min="78" max="78" width="11.54296875" bestFit="1" customWidth="1"/>
    <col min="79" max="79" width="31.1796875" bestFit="1" customWidth="1"/>
    <col min="80" max="80" width="11.54296875" bestFit="1" customWidth="1"/>
    <col min="81" max="81" width="23.36328125" bestFit="1" customWidth="1"/>
    <col min="82" max="82" width="11.54296875" bestFit="1" customWidth="1"/>
    <col min="83" max="83" width="31.1796875" bestFit="1" customWidth="1"/>
    <col min="84" max="84" width="11.54296875" bestFit="1" customWidth="1"/>
    <col min="85" max="85" width="23.36328125" bestFit="1" customWidth="1"/>
    <col min="86" max="86" width="11.54296875" bestFit="1" customWidth="1"/>
    <col min="87" max="87" width="31.1796875" bestFit="1" customWidth="1"/>
    <col min="88" max="88" width="11.54296875" bestFit="1" customWidth="1"/>
    <col min="89" max="89" width="24.36328125" bestFit="1" customWidth="1"/>
    <col min="90" max="90" width="11.54296875" bestFit="1" customWidth="1"/>
    <col min="91" max="91" width="32.1796875" bestFit="1" customWidth="1"/>
    <col min="92" max="92" width="11.54296875" bestFit="1" customWidth="1"/>
    <col min="93" max="93" width="24.36328125" bestFit="1" customWidth="1"/>
    <col min="94" max="94" width="11.54296875" bestFit="1" customWidth="1"/>
    <col min="95" max="95" width="32.1796875" bestFit="1" customWidth="1"/>
    <col min="96" max="96" width="11.54296875" bestFit="1" customWidth="1"/>
    <col min="97" max="97" width="24.36328125" bestFit="1" customWidth="1"/>
    <col min="98" max="98" width="11.54296875" bestFit="1" customWidth="1"/>
    <col min="99" max="99" width="32.1796875" bestFit="1" customWidth="1"/>
    <col min="100" max="100" width="12.54296875" bestFit="1" customWidth="1"/>
    <col min="101" max="101" width="24.36328125" bestFit="1" customWidth="1"/>
    <col min="102" max="102" width="12.54296875" bestFit="1" customWidth="1"/>
    <col min="103" max="103" width="32.1796875" bestFit="1" customWidth="1"/>
    <col min="104" max="104" width="12.54296875" bestFit="1" customWidth="1"/>
    <col min="105" max="105" width="80.7265625" bestFit="1" customWidth="1"/>
    <col min="106" max="106" width="12.54296875" bestFit="1" customWidth="1"/>
  </cols>
  <sheetData>
    <row r="1" spans="1:106" ht="21.5" customHeight="1" x14ac:dyDescent="0.35">
      <c r="A1" s="3" t="s">
        <v>115</v>
      </c>
      <c r="B1" s="3" t="s">
        <v>116</v>
      </c>
      <c r="C1" s="3" t="s">
        <v>8379</v>
      </c>
      <c r="D1" s="3" t="s">
        <v>118</v>
      </c>
      <c r="E1" s="41" t="s">
        <v>6322</v>
      </c>
      <c r="F1" s="3" t="s">
        <v>120</v>
      </c>
      <c r="G1" s="41" t="s">
        <v>6323</v>
      </c>
      <c r="H1" s="3" t="s">
        <v>122</v>
      </c>
      <c r="I1" s="3" t="s">
        <v>6324</v>
      </c>
      <c r="J1" s="3" t="s">
        <v>124</v>
      </c>
      <c r="K1" s="3" t="s">
        <v>6325</v>
      </c>
      <c r="L1" s="3" t="s">
        <v>126</v>
      </c>
      <c r="M1" s="3" t="s">
        <v>13</v>
      </c>
      <c r="N1" s="3" t="s">
        <v>128</v>
      </c>
      <c r="O1" s="3" t="s">
        <v>14</v>
      </c>
      <c r="P1" s="3" t="s">
        <v>130</v>
      </c>
      <c r="Q1" s="3" t="s">
        <v>6328</v>
      </c>
      <c r="R1" s="3" t="s">
        <v>132</v>
      </c>
      <c r="S1" s="3" t="s">
        <v>22</v>
      </c>
      <c r="T1" s="3" t="s">
        <v>134</v>
      </c>
      <c r="U1" s="3" t="s">
        <v>23</v>
      </c>
      <c r="V1" s="3" t="s">
        <v>136</v>
      </c>
      <c r="W1" s="3" t="s">
        <v>6329</v>
      </c>
      <c r="X1" s="3" t="s">
        <v>138</v>
      </c>
      <c r="Y1" s="3" t="s">
        <v>24</v>
      </c>
      <c r="Z1" s="3" t="s">
        <v>140</v>
      </c>
      <c r="AA1" s="3" t="s">
        <v>6330</v>
      </c>
      <c r="AB1" s="3" t="s">
        <v>142</v>
      </c>
      <c r="AC1" s="3" t="s">
        <v>6331</v>
      </c>
      <c r="AD1" s="3" t="s">
        <v>144</v>
      </c>
      <c r="AE1" s="3" t="s">
        <v>6332</v>
      </c>
      <c r="AF1" s="3" t="s">
        <v>146</v>
      </c>
      <c r="AG1" s="3" t="s">
        <v>6333</v>
      </c>
      <c r="AH1" s="3" t="s">
        <v>148</v>
      </c>
      <c r="AI1" s="3" t="s">
        <v>6334</v>
      </c>
      <c r="AJ1" s="3" t="s">
        <v>150</v>
      </c>
      <c r="AK1" s="3" t="s">
        <v>25</v>
      </c>
      <c r="AL1" s="3" t="s">
        <v>152</v>
      </c>
      <c r="AM1" s="3" t="s">
        <v>26</v>
      </c>
      <c r="AN1" s="3" t="s">
        <v>154</v>
      </c>
      <c r="AO1" s="3" t="s">
        <v>27</v>
      </c>
      <c r="AP1" s="3" t="s">
        <v>156</v>
      </c>
      <c r="AQ1" s="3" t="s">
        <v>6335</v>
      </c>
      <c r="AR1" s="3" t="s">
        <v>158</v>
      </c>
      <c r="AS1" s="3" t="s">
        <v>6336</v>
      </c>
      <c r="AT1" s="3" t="s">
        <v>160</v>
      </c>
      <c r="AU1" s="3" t="s">
        <v>6337</v>
      </c>
      <c r="AV1" s="3" t="s">
        <v>162</v>
      </c>
      <c r="AW1" s="3" t="s">
        <v>6338</v>
      </c>
      <c r="AX1" s="3" t="s">
        <v>164</v>
      </c>
      <c r="AY1" s="41" t="s">
        <v>6339</v>
      </c>
      <c r="AZ1" s="3" t="s">
        <v>166</v>
      </c>
      <c r="BA1" s="3" t="s">
        <v>6340</v>
      </c>
      <c r="BB1" s="3" t="s">
        <v>168</v>
      </c>
      <c r="BC1" s="3" t="s">
        <v>6341</v>
      </c>
      <c r="BD1" s="3" t="s">
        <v>170</v>
      </c>
      <c r="BE1" s="3" t="s">
        <v>6342</v>
      </c>
      <c r="BF1" s="3" t="s">
        <v>172</v>
      </c>
      <c r="BG1" s="3" t="s">
        <v>6343</v>
      </c>
      <c r="BH1" s="3" t="s">
        <v>174</v>
      </c>
      <c r="BI1" s="3" t="s">
        <v>6344</v>
      </c>
      <c r="BJ1" s="3" t="s">
        <v>176</v>
      </c>
      <c r="BK1" s="3" t="s">
        <v>6345</v>
      </c>
      <c r="BL1" s="3" t="s">
        <v>178</v>
      </c>
      <c r="BM1" s="3" t="s">
        <v>6346</v>
      </c>
      <c r="BN1" s="3" t="s">
        <v>180</v>
      </c>
      <c r="BO1" s="3" t="s">
        <v>6347</v>
      </c>
      <c r="BP1" s="3" t="s">
        <v>182</v>
      </c>
      <c r="BQ1" s="3" t="s">
        <v>6348</v>
      </c>
      <c r="BR1" s="3" t="s">
        <v>184</v>
      </c>
      <c r="BS1" s="3" t="s">
        <v>6349</v>
      </c>
      <c r="BT1" s="3" t="s">
        <v>186</v>
      </c>
      <c r="BU1" s="3" t="s">
        <v>6350</v>
      </c>
      <c r="BV1" s="3" t="s">
        <v>188</v>
      </c>
      <c r="BW1" s="3" t="s">
        <v>6351</v>
      </c>
      <c r="BX1" s="3" t="s">
        <v>190</v>
      </c>
      <c r="BY1" s="3" t="s">
        <v>6352</v>
      </c>
      <c r="BZ1" s="3" t="s">
        <v>192</v>
      </c>
      <c r="CA1" s="3" t="s">
        <v>6353</v>
      </c>
      <c r="CB1" s="3" t="s">
        <v>194</v>
      </c>
      <c r="CC1" s="3" t="s">
        <v>6354</v>
      </c>
      <c r="CD1" s="3" t="s">
        <v>196</v>
      </c>
      <c r="CE1" s="3" t="s">
        <v>6355</v>
      </c>
      <c r="CF1" s="3" t="s">
        <v>198</v>
      </c>
      <c r="CG1" s="3" t="s">
        <v>6356</v>
      </c>
      <c r="CH1" s="3" t="s">
        <v>200</v>
      </c>
      <c r="CI1" s="3" t="s">
        <v>6357</v>
      </c>
      <c r="CJ1" s="3" t="s">
        <v>202</v>
      </c>
      <c r="CK1" s="3" t="s">
        <v>6358</v>
      </c>
      <c r="CL1" s="3" t="s">
        <v>204</v>
      </c>
      <c r="CM1" s="3" t="s">
        <v>6359</v>
      </c>
      <c r="CN1" s="3" t="s">
        <v>206</v>
      </c>
      <c r="CO1" s="3" t="s">
        <v>6360</v>
      </c>
      <c r="CP1" s="3" t="s">
        <v>208</v>
      </c>
      <c r="CQ1" s="3" t="s">
        <v>6361</v>
      </c>
      <c r="CR1" s="3" t="s">
        <v>210</v>
      </c>
      <c r="CS1" s="3" t="s">
        <v>6362</v>
      </c>
      <c r="CT1" s="3" t="s">
        <v>212</v>
      </c>
      <c r="CU1" s="3" t="s">
        <v>6363</v>
      </c>
      <c r="CV1" s="3" t="s">
        <v>214</v>
      </c>
      <c r="CW1" s="3" t="s">
        <v>6364</v>
      </c>
      <c r="CX1" s="3" t="s">
        <v>216</v>
      </c>
      <c r="CY1" s="3" t="s">
        <v>6365</v>
      </c>
      <c r="CZ1" s="3" t="s">
        <v>218</v>
      </c>
      <c r="DA1" s="3" t="s">
        <v>8380</v>
      </c>
      <c r="DB1" s="3" t="s">
        <v>220</v>
      </c>
    </row>
    <row r="2" spans="1:106" x14ac:dyDescent="0.35">
      <c r="A2" s="3" t="s">
        <v>8381</v>
      </c>
      <c r="B2" s="3" t="s">
        <v>8382</v>
      </c>
      <c r="C2" s="3"/>
      <c r="D2" s="3" t="s">
        <v>8383</v>
      </c>
      <c r="E2" s="3" t="s">
        <v>6371</v>
      </c>
      <c r="F2" s="3" t="s">
        <v>6771</v>
      </c>
      <c r="G2" s="3" t="s">
        <v>6373</v>
      </c>
      <c r="H2" s="3" t="s">
        <v>8384</v>
      </c>
      <c r="I2" s="3" t="s">
        <v>28</v>
      </c>
      <c r="J2" s="3" t="s">
        <v>8385</v>
      </c>
      <c r="K2" s="3" t="s">
        <v>6387</v>
      </c>
      <c r="L2" s="3" t="s">
        <v>4622</v>
      </c>
      <c r="M2" s="3" t="s">
        <v>20</v>
      </c>
      <c r="N2" s="3" t="s">
        <v>1242</v>
      </c>
      <c r="O2" s="3" t="s">
        <v>8386</v>
      </c>
      <c r="P2" s="3" t="s">
        <v>8387</v>
      </c>
      <c r="Q2" s="3" t="s">
        <v>6532</v>
      </c>
      <c r="R2" s="3" t="s">
        <v>8388</v>
      </c>
      <c r="S2" s="3" t="s">
        <v>242</v>
      </c>
      <c r="T2" s="3" t="s">
        <v>243</v>
      </c>
      <c r="U2" s="3" t="s">
        <v>242</v>
      </c>
      <c r="V2" s="3" t="s">
        <v>243</v>
      </c>
      <c r="W2" s="3" t="s">
        <v>242</v>
      </c>
      <c r="X2" s="3" t="s">
        <v>243</v>
      </c>
      <c r="Y2" s="3" t="s">
        <v>242</v>
      </c>
      <c r="Z2" s="3" t="s">
        <v>243</v>
      </c>
      <c r="AA2" s="3" t="s">
        <v>242</v>
      </c>
      <c r="AB2" s="3" t="s">
        <v>243</v>
      </c>
      <c r="AC2" s="3" t="s">
        <v>242</v>
      </c>
      <c r="AD2" s="3" t="s">
        <v>243</v>
      </c>
      <c r="AE2" s="3" t="s">
        <v>242</v>
      </c>
      <c r="AF2" s="3" t="s">
        <v>243</v>
      </c>
      <c r="AG2" s="3" t="s">
        <v>242</v>
      </c>
      <c r="AH2" s="3" t="s">
        <v>243</v>
      </c>
      <c r="AI2" s="3" t="s">
        <v>242</v>
      </c>
      <c r="AJ2" s="3" t="s">
        <v>243</v>
      </c>
      <c r="AK2" s="3" t="s">
        <v>242</v>
      </c>
      <c r="AL2" s="3" t="s">
        <v>243</v>
      </c>
      <c r="AM2" s="3" t="s">
        <v>242</v>
      </c>
      <c r="AN2" s="3" t="s">
        <v>243</v>
      </c>
      <c r="AO2" s="3" t="s">
        <v>242</v>
      </c>
      <c r="AP2" s="3" t="s">
        <v>243</v>
      </c>
      <c r="AQ2" s="3" t="s">
        <v>242</v>
      </c>
      <c r="AR2" s="3" t="s">
        <v>244</v>
      </c>
      <c r="AS2" s="3" t="s">
        <v>8389</v>
      </c>
      <c r="AT2" s="3" t="s">
        <v>5698</v>
      </c>
      <c r="AU2" s="3" t="s">
        <v>6400</v>
      </c>
      <c r="AV2" s="3" t="s">
        <v>8390</v>
      </c>
      <c r="AW2" s="3" t="s">
        <v>6401</v>
      </c>
      <c r="AX2" s="3" t="s">
        <v>8391</v>
      </c>
      <c r="AY2" s="3" t="s">
        <v>242</v>
      </c>
      <c r="AZ2" s="3" t="s">
        <v>8392</v>
      </c>
      <c r="BA2" s="3" t="s">
        <v>295</v>
      </c>
      <c r="BB2" s="3" t="s">
        <v>8393</v>
      </c>
      <c r="BC2" s="3" t="s">
        <v>295</v>
      </c>
      <c r="BD2" s="3" t="s">
        <v>8394</v>
      </c>
      <c r="BE2" s="3" t="s">
        <v>295</v>
      </c>
      <c r="BF2" s="3" t="s">
        <v>8250</v>
      </c>
      <c r="BG2" s="3" t="s">
        <v>295</v>
      </c>
      <c r="BH2" s="3" t="s">
        <v>5122</v>
      </c>
      <c r="BI2" s="3" t="s">
        <v>295</v>
      </c>
      <c r="BJ2" s="3" t="s">
        <v>8395</v>
      </c>
      <c r="BK2" s="3" t="s">
        <v>295</v>
      </c>
      <c r="BL2" s="3" t="s">
        <v>8396</v>
      </c>
      <c r="BM2" s="3" t="s">
        <v>295</v>
      </c>
      <c r="BN2" s="3" t="s">
        <v>8397</v>
      </c>
      <c r="BO2" s="3" t="s">
        <v>295</v>
      </c>
      <c r="BP2" s="3" t="s">
        <v>8398</v>
      </c>
      <c r="BQ2" s="3" t="s">
        <v>295</v>
      </c>
      <c r="BR2" s="3" t="s">
        <v>2150</v>
      </c>
      <c r="BS2" s="3" t="s">
        <v>295</v>
      </c>
      <c r="BT2" s="3" t="s">
        <v>8399</v>
      </c>
      <c r="BU2" s="3" t="s">
        <v>295</v>
      </c>
      <c r="BV2" s="3" t="s">
        <v>8400</v>
      </c>
      <c r="BW2" s="3" t="s">
        <v>295</v>
      </c>
      <c r="BX2" s="3" t="s">
        <v>8401</v>
      </c>
      <c r="BY2" s="3" t="s">
        <v>295</v>
      </c>
      <c r="BZ2" s="3" t="s">
        <v>8402</v>
      </c>
      <c r="CA2" s="3" t="s">
        <v>295</v>
      </c>
      <c r="CB2" s="3" t="s">
        <v>8403</v>
      </c>
      <c r="CC2" s="3" t="s">
        <v>295</v>
      </c>
      <c r="CD2" s="3" t="s">
        <v>4575</v>
      </c>
      <c r="CE2" s="3" t="s">
        <v>295</v>
      </c>
      <c r="CF2" s="3" t="s">
        <v>8292</v>
      </c>
      <c r="CG2" s="3" t="s">
        <v>295</v>
      </c>
      <c r="CH2" s="3" t="s">
        <v>8404</v>
      </c>
      <c r="CI2" s="3" t="s">
        <v>295</v>
      </c>
      <c r="CJ2" s="3" t="s">
        <v>8405</v>
      </c>
      <c r="CK2" s="3" t="s">
        <v>295</v>
      </c>
      <c r="CL2" s="3" t="s">
        <v>1938</v>
      </c>
      <c r="CM2" s="3" t="s">
        <v>295</v>
      </c>
      <c r="CN2" s="3" t="s">
        <v>5283</v>
      </c>
      <c r="CO2" s="3" t="s">
        <v>295</v>
      </c>
      <c r="CP2" s="3" t="s">
        <v>562</v>
      </c>
      <c r="CQ2" s="3" t="s">
        <v>295</v>
      </c>
      <c r="CR2" s="3" t="s">
        <v>3791</v>
      </c>
      <c r="CS2" s="3" t="s">
        <v>295</v>
      </c>
      <c r="CT2" s="3" t="s">
        <v>8406</v>
      </c>
      <c r="CU2" s="3" t="s">
        <v>295</v>
      </c>
      <c r="CV2" s="3" t="s">
        <v>8407</v>
      </c>
      <c r="CW2" s="3" t="s">
        <v>295</v>
      </c>
      <c r="CX2" s="3" t="s">
        <v>8408</v>
      </c>
      <c r="CY2" s="3" t="s">
        <v>295</v>
      </c>
      <c r="CZ2" s="3" t="s">
        <v>2630</v>
      </c>
      <c r="DA2" s="3" t="s">
        <v>242</v>
      </c>
      <c r="DB2" s="3" t="s">
        <v>8409</v>
      </c>
    </row>
    <row r="3" spans="1:106" x14ac:dyDescent="0.35">
      <c r="A3" s="3" t="s">
        <v>8381</v>
      </c>
      <c r="B3" s="3" t="s">
        <v>8410</v>
      </c>
      <c r="C3" s="3"/>
      <c r="D3" s="3" t="s">
        <v>8411</v>
      </c>
      <c r="E3" s="3" t="s">
        <v>6371</v>
      </c>
      <c r="F3" s="3" t="s">
        <v>2268</v>
      </c>
      <c r="G3" s="3" t="s">
        <v>6373</v>
      </c>
      <c r="H3" s="3" t="s">
        <v>8019</v>
      </c>
      <c r="I3" s="3" t="s">
        <v>28</v>
      </c>
      <c r="J3" s="3" t="s">
        <v>4601</v>
      </c>
      <c r="K3" s="3" t="s">
        <v>6387</v>
      </c>
      <c r="L3" s="3" t="s">
        <v>8333</v>
      </c>
      <c r="M3" s="3" t="s">
        <v>20</v>
      </c>
      <c r="N3" s="3" t="s">
        <v>8412</v>
      </c>
      <c r="O3" s="3" t="s">
        <v>8386</v>
      </c>
      <c r="P3" s="3" t="s">
        <v>8413</v>
      </c>
      <c r="Q3" s="3" t="s">
        <v>6532</v>
      </c>
      <c r="R3" s="3" t="s">
        <v>2959</v>
      </c>
      <c r="S3" s="3" t="s">
        <v>242</v>
      </c>
      <c r="T3" s="3" t="s">
        <v>243</v>
      </c>
      <c r="U3" s="3" t="s">
        <v>242</v>
      </c>
      <c r="V3" s="3" t="s">
        <v>243</v>
      </c>
      <c r="W3" s="3" t="s">
        <v>242</v>
      </c>
      <c r="X3" s="3" t="s">
        <v>243</v>
      </c>
      <c r="Y3" s="3" t="s">
        <v>242</v>
      </c>
      <c r="Z3" s="3" t="s">
        <v>243</v>
      </c>
      <c r="AA3" s="3" t="s">
        <v>242</v>
      </c>
      <c r="AB3" s="3" t="s">
        <v>243</v>
      </c>
      <c r="AC3" s="3" t="s">
        <v>242</v>
      </c>
      <c r="AD3" s="3" t="s">
        <v>243</v>
      </c>
      <c r="AE3" s="3" t="s">
        <v>242</v>
      </c>
      <c r="AF3" s="3" t="s">
        <v>243</v>
      </c>
      <c r="AG3" s="3" t="s">
        <v>242</v>
      </c>
      <c r="AH3" s="3" t="s">
        <v>243</v>
      </c>
      <c r="AI3" s="3" t="s">
        <v>242</v>
      </c>
      <c r="AJ3" s="3" t="s">
        <v>243</v>
      </c>
      <c r="AK3" s="3" t="s">
        <v>242</v>
      </c>
      <c r="AL3" s="3" t="s">
        <v>243</v>
      </c>
      <c r="AM3" s="3" t="s">
        <v>242</v>
      </c>
      <c r="AN3" s="3" t="s">
        <v>243</v>
      </c>
      <c r="AO3" s="3" t="s">
        <v>242</v>
      </c>
      <c r="AP3" s="3" t="s">
        <v>243</v>
      </c>
      <c r="AQ3" s="3" t="s">
        <v>242</v>
      </c>
      <c r="AR3" s="3" t="s">
        <v>244</v>
      </c>
      <c r="AS3" s="3" t="s">
        <v>6398</v>
      </c>
      <c r="AT3" s="3" t="s">
        <v>8414</v>
      </c>
      <c r="AU3" s="3" t="s">
        <v>6400</v>
      </c>
      <c r="AV3" s="3" t="s">
        <v>8415</v>
      </c>
      <c r="AW3" s="3" t="s">
        <v>6401</v>
      </c>
      <c r="AX3" s="3" t="s">
        <v>8416</v>
      </c>
      <c r="AY3" s="3" t="s">
        <v>242</v>
      </c>
      <c r="AZ3" s="3" t="s">
        <v>8417</v>
      </c>
      <c r="BA3" s="3" t="s">
        <v>268</v>
      </c>
      <c r="BB3" s="3" t="s">
        <v>8418</v>
      </c>
      <c r="BC3" s="3" t="s">
        <v>295</v>
      </c>
      <c r="BD3" s="3" t="s">
        <v>8419</v>
      </c>
      <c r="BE3" s="3" t="s">
        <v>481</v>
      </c>
      <c r="BF3" s="3" t="s">
        <v>8420</v>
      </c>
      <c r="BG3" s="3" t="s">
        <v>344</v>
      </c>
      <c r="BH3" s="3" t="s">
        <v>8421</v>
      </c>
      <c r="BI3" s="3" t="s">
        <v>291</v>
      </c>
      <c r="BJ3" s="3" t="s">
        <v>8422</v>
      </c>
      <c r="BK3" s="3" t="s">
        <v>467</v>
      </c>
      <c r="BL3" s="3" t="s">
        <v>1470</v>
      </c>
      <c r="BM3" s="3" t="s">
        <v>371</v>
      </c>
      <c r="BN3" s="3" t="s">
        <v>4588</v>
      </c>
      <c r="BO3" s="3" t="s">
        <v>289</v>
      </c>
      <c r="BP3" s="3" t="s">
        <v>8423</v>
      </c>
      <c r="BQ3" s="3" t="s">
        <v>519</v>
      </c>
      <c r="BR3" s="3" t="s">
        <v>8424</v>
      </c>
      <c r="BS3" s="3" t="s">
        <v>575</v>
      </c>
      <c r="BT3" s="3" t="s">
        <v>4048</v>
      </c>
      <c r="BU3" s="3" t="s">
        <v>519</v>
      </c>
      <c r="BV3" s="3" t="s">
        <v>8425</v>
      </c>
      <c r="BW3" s="3" t="s">
        <v>538</v>
      </c>
      <c r="BX3" s="3" t="s">
        <v>3612</v>
      </c>
      <c r="BY3" s="3" t="s">
        <v>519</v>
      </c>
      <c r="BZ3" s="3" t="s">
        <v>8426</v>
      </c>
      <c r="CA3" s="3" t="s">
        <v>367</v>
      </c>
      <c r="CB3" s="3" t="s">
        <v>463</v>
      </c>
      <c r="CC3" s="3" t="s">
        <v>519</v>
      </c>
      <c r="CD3" s="3" t="s">
        <v>3161</v>
      </c>
      <c r="CE3" s="3" t="s">
        <v>532</v>
      </c>
      <c r="CF3" s="3" t="s">
        <v>6921</v>
      </c>
      <c r="CG3" s="3" t="s">
        <v>519</v>
      </c>
      <c r="CH3" s="3" t="s">
        <v>8427</v>
      </c>
      <c r="CI3" s="3" t="s">
        <v>744</v>
      </c>
      <c r="CJ3" s="3" t="s">
        <v>8428</v>
      </c>
      <c r="CK3" s="3" t="s">
        <v>427</v>
      </c>
      <c r="CL3" s="3" t="s">
        <v>8429</v>
      </c>
      <c r="CM3" s="3" t="s">
        <v>414</v>
      </c>
      <c r="CN3" s="3" t="s">
        <v>8430</v>
      </c>
      <c r="CO3" s="3" t="s">
        <v>365</v>
      </c>
      <c r="CP3" s="3" t="s">
        <v>8431</v>
      </c>
      <c r="CQ3" s="3" t="s">
        <v>367</v>
      </c>
      <c r="CR3" s="3" t="s">
        <v>8432</v>
      </c>
      <c r="CS3" s="3" t="s">
        <v>744</v>
      </c>
      <c r="CT3" s="3" t="s">
        <v>2667</v>
      </c>
      <c r="CU3" s="3" t="s">
        <v>395</v>
      </c>
      <c r="CV3" s="3" t="s">
        <v>8433</v>
      </c>
      <c r="CW3" s="3" t="s">
        <v>261</v>
      </c>
      <c r="CX3" s="3" t="s">
        <v>8434</v>
      </c>
      <c r="CY3" s="3" t="s">
        <v>473</v>
      </c>
      <c r="CZ3" s="3" t="s">
        <v>8435</v>
      </c>
      <c r="DA3" s="3" t="s">
        <v>242</v>
      </c>
      <c r="DB3" s="3" t="s">
        <v>8436</v>
      </c>
    </row>
    <row r="4" spans="1:106" x14ac:dyDescent="0.35">
      <c r="A4" s="3" t="s">
        <v>8381</v>
      </c>
      <c r="B4" s="3" t="s">
        <v>8437</v>
      </c>
      <c r="C4" s="3"/>
      <c r="D4" s="3" t="s">
        <v>8438</v>
      </c>
      <c r="E4" s="3" t="s">
        <v>6371</v>
      </c>
      <c r="F4" s="3" t="s">
        <v>7104</v>
      </c>
      <c r="G4" s="3" t="s">
        <v>6373</v>
      </c>
      <c r="H4" s="3" t="s">
        <v>1624</v>
      </c>
      <c r="I4" s="3" t="s">
        <v>28</v>
      </c>
      <c r="J4" s="3" t="s">
        <v>8439</v>
      </c>
      <c r="K4" s="3" t="s">
        <v>6387</v>
      </c>
      <c r="L4" s="3" t="s">
        <v>8440</v>
      </c>
      <c r="M4" s="3" t="s">
        <v>20</v>
      </c>
      <c r="N4" s="3" t="s">
        <v>8441</v>
      </c>
      <c r="O4" s="3" t="s">
        <v>8386</v>
      </c>
      <c r="P4" s="3" t="s">
        <v>8442</v>
      </c>
      <c r="Q4" s="3" t="s">
        <v>6391</v>
      </c>
      <c r="R4" s="3" t="s">
        <v>4338</v>
      </c>
      <c r="S4" s="3" t="s">
        <v>29</v>
      </c>
      <c r="T4" s="3" t="s">
        <v>8443</v>
      </c>
      <c r="U4" s="3" t="s">
        <v>29</v>
      </c>
      <c r="V4" s="3" t="s">
        <v>8444</v>
      </c>
      <c r="W4" s="3" t="s">
        <v>242</v>
      </c>
      <c r="X4" s="3" t="s">
        <v>243</v>
      </c>
      <c r="Y4" s="3" t="s">
        <v>33</v>
      </c>
      <c r="Z4" s="3" t="s">
        <v>244</v>
      </c>
      <c r="AA4" s="3" t="s">
        <v>7256</v>
      </c>
      <c r="AB4" s="3" t="s">
        <v>8445</v>
      </c>
      <c r="AC4" s="3" t="s">
        <v>8446</v>
      </c>
      <c r="AD4" s="3" t="s">
        <v>7407</v>
      </c>
      <c r="AE4" s="3" t="s">
        <v>28</v>
      </c>
      <c r="AF4" s="3" t="s">
        <v>4287</v>
      </c>
      <c r="AG4" s="3" t="s">
        <v>6494</v>
      </c>
      <c r="AH4" s="3" t="s">
        <v>8120</v>
      </c>
      <c r="AI4" s="3" t="s">
        <v>8447</v>
      </c>
      <c r="AJ4" s="3" t="s">
        <v>8448</v>
      </c>
      <c r="AK4" s="3" t="s">
        <v>8449</v>
      </c>
      <c r="AL4" s="3" t="s">
        <v>8450</v>
      </c>
      <c r="AM4" s="3" t="s">
        <v>1760</v>
      </c>
      <c r="AN4" s="3" t="s">
        <v>7411</v>
      </c>
      <c r="AO4" s="3" t="s">
        <v>32</v>
      </c>
      <c r="AP4" s="3" t="s">
        <v>8451</v>
      </c>
      <c r="AQ4" s="3" t="s">
        <v>242</v>
      </c>
      <c r="AR4" s="3" t="s">
        <v>6377</v>
      </c>
      <c r="AS4" s="3" t="s">
        <v>8452</v>
      </c>
      <c r="AT4" s="3" t="s">
        <v>8453</v>
      </c>
      <c r="AU4" s="3" t="s">
        <v>6400</v>
      </c>
      <c r="AV4" s="3" t="s">
        <v>4818</v>
      </c>
      <c r="AW4" s="3" t="s">
        <v>6401</v>
      </c>
      <c r="AX4" s="3" t="s">
        <v>8454</v>
      </c>
      <c r="AY4" s="3" t="s">
        <v>242</v>
      </c>
      <c r="AZ4" s="3" t="s">
        <v>8455</v>
      </c>
      <c r="BA4" s="3" t="s">
        <v>595</v>
      </c>
      <c r="BB4" s="3" t="s">
        <v>8456</v>
      </c>
      <c r="BC4" s="3" t="s">
        <v>348</v>
      </c>
      <c r="BD4" s="3" t="s">
        <v>8457</v>
      </c>
      <c r="BE4" s="3" t="s">
        <v>696</v>
      </c>
      <c r="BF4" s="3" t="s">
        <v>8458</v>
      </c>
      <c r="BG4" s="3" t="s">
        <v>271</v>
      </c>
      <c r="BH4" s="3" t="s">
        <v>5369</v>
      </c>
      <c r="BI4" s="3" t="s">
        <v>696</v>
      </c>
      <c r="BJ4" s="3" t="s">
        <v>8459</v>
      </c>
      <c r="BK4" s="3" t="s">
        <v>575</v>
      </c>
      <c r="BL4" s="3" t="s">
        <v>8460</v>
      </c>
      <c r="BM4" s="3" t="s">
        <v>339</v>
      </c>
      <c r="BN4" s="3" t="s">
        <v>8461</v>
      </c>
      <c r="BO4" s="3" t="s">
        <v>519</v>
      </c>
      <c r="BP4" s="3" t="s">
        <v>4246</v>
      </c>
      <c r="BQ4" s="3" t="s">
        <v>342</v>
      </c>
      <c r="BR4" s="3" t="s">
        <v>8462</v>
      </c>
      <c r="BS4" s="3" t="s">
        <v>291</v>
      </c>
      <c r="BT4" s="3" t="s">
        <v>1715</v>
      </c>
      <c r="BU4" s="3" t="s">
        <v>589</v>
      </c>
      <c r="BV4" s="3" t="s">
        <v>5863</v>
      </c>
      <c r="BW4" s="3" t="s">
        <v>414</v>
      </c>
      <c r="BX4" s="3" t="s">
        <v>5264</v>
      </c>
      <c r="BY4" s="3" t="s">
        <v>263</v>
      </c>
      <c r="BZ4" s="3" t="s">
        <v>6123</v>
      </c>
      <c r="CA4" s="3" t="s">
        <v>414</v>
      </c>
      <c r="CB4" s="3" t="s">
        <v>7829</v>
      </c>
      <c r="CC4" s="3" t="s">
        <v>266</v>
      </c>
      <c r="CD4" s="3" t="s">
        <v>8463</v>
      </c>
      <c r="CE4" s="3" t="s">
        <v>335</v>
      </c>
      <c r="CF4" s="3" t="s">
        <v>8464</v>
      </c>
      <c r="CG4" s="3" t="s">
        <v>1137</v>
      </c>
      <c r="CH4" s="3" t="s">
        <v>8465</v>
      </c>
      <c r="CI4" s="3" t="s">
        <v>399</v>
      </c>
      <c r="CJ4" s="3" t="s">
        <v>8466</v>
      </c>
      <c r="CK4" s="3" t="s">
        <v>259</v>
      </c>
      <c r="CL4" s="3" t="s">
        <v>8467</v>
      </c>
      <c r="CM4" s="3" t="s">
        <v>401</v>
      </c>
      <c r="CN4" s="3" t="s">
        <v>817</v>
      </c>
      <c r="CO4" s="3" t="s">
        <v>259</v>
      </c>
      <c r="CP4" s="3" t="s">
        <v>8445</v>
      </c>
      <c r="CQ4" s="3" t="s">
        <v>339</v>
      </c>
      <c r="CR4" s="3" t="s">
        <v>8468</v>
      </c>
      <c r="CS4" s="3" t="s">
        <v>1788</v>
      </c>
      <c r="CT4" s="3" t="s">
        <v>8469</v>
      </c>
      <c r="CU4" s="3" t="s">
        <v>360</v>
      </c>
      <c r="CV4" s="3" t="s">
        <v>8470</v>
      </c>
      <c r="CW4" s="3" t="s">
        <v>659</v>
      </c>
      <c r="CX4" s="3" t="s">
        <v>8471</v>
      </c>
      <c r="CY4" s="3" t="s">
        <v>414</v>
      </c>
      <c r="CZ4" s="3" t="s">
        <v>8472</v>
      </c>
      <c r="DA4" s="3" t="s">
        <v>242</v>
      </c>
      <c r="DB4" s="3" t="s">
        <v>8473</v>
      </c>
    </row>
    <row r="5" spans="1:106" x14ac:dyDescent="0.35">
      <c r="A5" s="3" t="s">
        <v>8381</v>
      </c>
      <c r="B5" s="3" t="s">
        <v>8474</v>
      </c>
      <c r="C5" s="3"/>
      <c r="D5" s="3" t="s">
        <v>8475</v>
      </c>
      <c r="E5" s="3" t="s">
        <v>6371</v>
      </c>
      <c r="F5" s="3" t="s">
        <v>8476</v>
      </c>
      <c r="G5" s="3" t="s">
        <v>6373</v>
      </c>
      <c r="H5" s="3" t="s">
        <v>8477</v>
      </c>
      <c r="I5" s="3" t="s">
        <v>28</v>
      </c>
      <c r="J5" s="3" t="s">
        <v>8478</v>
      </c>
      <c r="K5" s="3" t="s">
        <v>6387</v>
      </c>
      <c r="L5" s="3" t="s">
        <v>8479</v>
      </c>
      <c r="M5" s="3" t="s">
        <v>20</v>
      </c>
      <c r="N5" s="3" t="s">
        <v>6093</v>
      </c>
      <c r="O5" s="3" t="s">
        <v>8386</v>
      </c>
      <c r="P5" s="3" t="s">
        <v>8480</v>
      </c>
      <c r="Q5" s="3" t="s">
        <v>6532</v>
      </c>
      <c r="R5" s="3" t="s">
        <v>8481</v>
      </c>
      <c r="S5" s="3" t="s">
        <v>242</v>
      </c>
      <c r="T5" s="3" t="s">
        <v>243</v>
      </c>
      <c r="U5" s="3" t="s">
        <v>242</v>
      </c>
      <c r="V5" s="3" t="s">
        <v>243</v>
      </c>
      <c r="W5" s="3" t="s">
        <v>242</v>
      </c>
      <c r="X5" s="3" t="s">
        <v>243</v>
      </c>
      <c r="Y5" s="3" t="s">
        <v>242</v>
      </c>
      <c r="Z5" s="3" t="s">
        <v>243</v>
      </c>
      <c r="AA5" s="3" t="s">
        <v>242</v>
      </c>
      <c r="AB5" s="3" t="s">
        <v>243</v>
      </c>
      <c r="AC5" s="3" t="s">
        <v>242</v>
      </c>
      <c r="AD5" s="3" t="s">
        <v>243</v>
      </c>
      <c r="AE5" s="3" t="s">
        <v>242</v>
      </c>
      <c r="AF5" s="3" t="s">
        <v>243</v>
      </c>
      <c r="AG5" s="3" t="s">
        <v>242</v>
      </c>
      <c r="AH5" s="3" t="s">
        <v>243</v>
      </c>
      <c r="AI5" s="3" t="s">
        <v>242</v>
      </c>
      <c r="AJ5" s="3" t="s">
        <v>243</v>
      </c>
      <c r="AK5" s="3" t="s">
        <v>242</v>
      </c>
      <c r="AL5" s="3" t="s">
        <v>243</v>
      </c>
      <c r="AM5" s="3" t="s">
        <v>242</v>
      </c>
      <c r="AN5" s="3" t="s">
        <v>243</v>
      </c>
      <c r="AO5" s="3" t="s">
        <v>242</v>
      </c>
      <c r="AP5" s="3" t="s">
        <v>243</v>
      </c>
      <c r="AQ5" s="3" t="s">
        <v>242</v>
      </c>
      <c r="AR5" s="3" t="s">
        <v>244</v>
      </c>
      <c r="AS5" s="3" t="s">
        <v>6398</v>
      </c>
      <c r="AT5" s="3" t="s">
        <v>8482</v>
      </c>
      <c r="AU5" s="3" t="s">
        <v>6400</v>
      </c>
      <c r="AV5" s="3" t="s">
        <v>6750</v>
      </c>
      <c r="AW5" s="3" t="s">
        <v>6401</v>
      </c>
      <c r="AX5" s="3" t="s">
        <v>8483</v>
      </c>
      <c r="AY5" s="3" t="s">
        <v>242</v>
      </c>
      <c r="AZ5" s="3" t="s">
        <v>8484</v>
      </c>
      <c r="BA5" s="3" t="s">
        <v>261</v>
      </c>
      <c r="BB5" s="3" t="s">
        <v>8485</v>
      </c>
      <c r="BC5" s="3" t="s">
        <v>451</v>
      </c>
      <c r="BD5" s="3" t="s">
        <v>8486</v>
      </c>
      <c r="BE5" s="3" t="s">
        <v>532</v>
      </c>
      <c r="BF5" s="3" t="s">
        <v>8487</v>
      </c>
      <c r="BG5" s="3" t="s">
        <v>698</v>
      </c>
      <c r="BH5" s="3" t="s">
        <v>8488</v>
      </c>
      <c r="BI5" s="3" t="s">
        <v>427</v>
      </c>
      <c r="BJ5" s="3" t="s">
        <v>8489</v>
      </c>
      <c r="BK5" s="3" t="s">
        <v>271</v>
      </c>
      <c r="BL5" s="3" t="s">
        <v>8490</v>
      </c>
      <c r="BM5" s="3" t="s">
        <v>519</v>
      </c>
      <c r="BN5" s="3" t="s">
        <v>8491</v>
      </c>
      <c r="BO5" s="3" t="s">
        <v>473</v>
      </c>
      <c r="BP5" s="3" t="s">
        <v>8492</v>
      </c>
      <c r="BQ5" s="3" t="s">
        <v>779</v>
      </c>
      <c r="BR5" s="3" t="s">
        <v>8493</v>
      </c>
      <c r="BS5" s="3" t="s">
        <v>429</v>
      </c>
      <c r="BT5" s="3" t="s">
        <v>8494</v>
      </c>
      <c r="BU5" s="3" t="s">
        <v>401</v>
      </c>
      <c r="BV5" s="3" t="s">
        <v>4222</v>
      </c>
      <c r="BW5" s="3" t="s">
        <v>532</v>
      </c>
      <c r="BX5" s="3" t="s">
        <v>4984</v>
      </c>
      <c r="BY5" s="3" t="s">
        <v>900</v>
      </c>
      <c r="BZ5" s="3" t="s">
        <v>8495</v>
      </c>
      <c r="CA5" s="3" t="s">
        <v>371</v>
      </c>
      <c r="CB5" s="3" t="s">
        <v>7276</v>
      </c>
      <c r="CC5" s="3" t="s">
        <v>348</v>
      </c>
      <c r="CD5" s="3" t="s">
        <v>6772</v>
      </c>
      <c r="CE5" s="3" t="s">
        <v>371</v>
      </c>
      <c r="CF5" s="3" t="s">
        <v>8496</v>
      </c>
      <c r="CG5" s="3" t="s">
        <v>591</v>
      </c>
      <c r="CH5" s="3" t="s">
        <v>6466</v>
      </c>
      <c r="CI5" s="3" t="s">
        <v>367</v>
      </c>
      <c r="CJ5" s="3" t="s">
        <v>8497</v>
      </c>
      <c r="CK5" s="3" t="s">
        <v>339</v>
      </c>
      <c r="CL5" s="3" t="s">
        <v>4993</v>
      </c>
      <c r="CM5" s="3" t="s">
        <v>469</v>
      </c>
      <c r="CN5" s="3" t="s">
        <v>1979</v>
      </c>
      <c r="CO5" s="3" t="s">
        <v>397</v>
      </c>
      <c r="CP5" s="3" t="s">
        <v>1346</v>
      </c>
      <c r="CQ5" s="3" t="s">
        <v>285</v>
      </c>
      <c r="CR5" s="3" t="s">
        <v>8498</v>
      </c>
      <c r="CS5" s="3" t="s">
        <v>421</v>
      </c>
      <c r="CT5" s="3" t="s">
        <v>8499</v>
      </c>
      <c r="CU5" s="3" t="s">
        <v>371</v>
      </c>
      <c r="CV5" s="3" t="s">
        <v>8500</v>
      </c>
      <c r="CW5" s="3" t="s">
        <v>519</v>
      </c>
      <c r="CX5" s="3" t="s">
        <v>1592</v>
      </c>
      <c r="CY5" s="3" t="s">
        <v>473</v>
      </c>
      <c r="CZ5" s="3" t="s">
        <v>8501</v>
      </c>
      <c r="DA5" s="3" t="s">
        <v>242</v>
      </c>
      <c r="DB5" s="3" t="s">
        <v>8151</v>
      </c>
    </row>
    <row r="6" spans="1:106" x14ac:dyDescent="0.35">
      <c r="A6" s="3" t="s">
        <v>8381</v>
      </c>
      <c r="B6" s="3" t="s">
        <v>8502</v>
      </c>
      <c r="C6" s="3"/>
      <c r="D6" s="3" t="s">
        <v>8503</v>
      </c>
      <c r="E6" s="3" t="s">
        <v>6371</v>
      </c>
      <c r="F6" s="3" t="s">
        <v>8504</v>
      </c>
      <c r="G6" s="3" t="s">
        <v>6373</v>
      </c>
      <c r="H6" s="3" t="s">
        <v>8505</v>
      </c>
      <c r="I6" s="3" t="s">
        <v>28</v>
      </c>
      <c r="J6" s="3" t="s">
        <v>8506</v>
      </c>
      <c r="K6" s="3" t="s">
        <v>6387</v>
      </c>
      <c r="L6" s="3" t="s">
        <v>1090</v>
      </c>
      <c r="M6" s="3" t="s">
        <v>20</v>
      </c>
      <c r="N6" s="3" t="s">
        <v>8507</v>
      </c>
      <c r="O6" s="3" t="s">
        <v>8386</v>
      </c>
      <c r="P6" s="3" t="s">
        <v>8504</v>
      </c>
      <c r="Q6" s="3" t="s">
        <v>6532</v>
      </c>
      <c r="R6" s="3" t="s">
        <v>8508</v>
      </c>
      <c r="S6" s="3" t="s">
        <v>242</v>
      </c>
      <c r="T6" s="3" t="s">
        <v>243</v>
      </c>
      <c r="U6" s="3" t="s">
        <v>242</v>
      </c>
      <c r="V6" s="3" t="s">
        <v>243</v>
      </c>
      <c r="W6" s="3" t="s">
        <v>242</v>
      </c>
      <c r="X6" s="3" t="s">
        <v>243</v>
      </c>
      <c r="Y6" s="3" t="s">
        <v>242</v>
      </c>
      <c r="Z6" s="3" t="s">
        <v>243</v>
      </c>
      <c r="AA6" s="3" t="s">
        <v>242</v>
      </c>
      <c r="AB6" s="3" t="s">
        <v>243</v>
      </c>
      <c r="AC6" s="3" t="s">
        <v>242</v>
      </c>
      <c r="AD6" s="3" t="s">
        <v>243</v>
      </c>
      <c r="AE6" s="3" t="s">
        <v>242</v>
      </c>
      <c r="AF6" s="3" t="s">
        <v>243</v>
      </c>
      <c r="AG6" s="3" t="s">
        <v>242</v>
      </c>
      <c r="AH6" s="3" t="s">
        <v>243</v>
      </c>
      <c r="AI6" s="3" t="s">
        <v>242</v>
      </c>
      <c r="AJ6" s="3" t="s">
        <v>243</v>
      </c>
      <c r="AK6" s="3" t="s">
        <v>242</v>
      </c>
      <c r="AL6" s="3" t="s">
        <v>243</v>
      </c>
      <c r="AM6" s="3" t="s">
        <v>242</v>
      </c>
      <c r="AN6" s="3" t="s">
        <v>243</v>
      </c>
      <c r="AO6" s="3" t="s">
        <v>242</v>
      </c>
      <c r="AP6" s="3" t="s">
        <v>243</v>
      </c>
      <c r="AQ6" s="3" t="s">
        <v>242</v>
      </c>
      <c r="AR6" s="3" t="s">
        <v>244</v>
      </c>
      <c r="AS6" s="3" t="s">
        <v>8509</v>
      </c>
      <c r="AT6" s="3" t="s">
        <v>8510</v>
      </c>
      <c r="AU6" s="3" t="s">
        <v>6400</v>
      </c>
      <c r="AV6" s="3" t="s">
        <v>868</v>
      </c>
      <c r="AW6" s="3" t="s">
        <v>6401</v>
      </c>
      <c r="AX6" s="3" t="s">
        <v>8511</v>
      </c>
      <c r="AY6" s="3" t="s">
        <v>242</v>
      </c>
      <c r="AZ6" s="3" t="s">
        <v>8512</v>
      </c>
      <c r="BA6" s="3" t="s">
        <v>360</v>
      </c>
      <c r="BB6" s="3" t="s">
        <v>5835</v>
      </c>
      <c r="BC6" s="3" t="s">
        <v>429</v>
      </c>
      <c r="BD6" s="3" t="s">
        <v>8513</v>
      </c>
      <c r="BE6" s="3" t="s">
        <v>528</v>
      </c>
      <c r="BF6" s="3" t="s">
        <v>647</v>
      </c>
      <c r="BG6" s="3" t="s">
        <v>271</v>
      </c>
      <c r="BH6" s="3" t="s">
        <v>8514</v>
      </c>
      <c r="BI6" s="3" t="s">
        <v>528</v>
      </c>
      <c r="BJ6" s="3" t="s">
        <v>4469</v>
      </c>
      <c r="BK6" s="3" t="s">
        <v>429</v>
      </c>
      <c r="BL6" s="3" t="s">
        <v>8515</v>
      </c>
      <c r="BM6" s="3" t="s">
        <v>342</v>
      </c>
      <c r="BN6" s="3" t="s">
        <v>8516</v>
      </c>
      <c r="BO6" s="3" t="s">
        <v>467</v>
      </c>
      <c r="BP6" s="3" t="s">
        <v>2356</v>
      </c>
      <c r="BQ6" s="3" t="s">
        <v>589</v>
      </c>
      <c r="BR6" s="3" t="s">
        <v>3671</v>
      </c>
      <c r="BS6" s="3" t="s">
        <v>291</v>
      </c>
      <c r="BT6" s="3" t="s">
        <v>8517</v>
      </c>
      <c r="BU6" s="3" t="s">
        <v>696</v>
      </c>
      <c r="BV6" s="3" t="s">
        <v>8518</v>
      </c>
      <c r="BW6" s="3" t="s">
        <v>429</v>
      </c>
      <c r="BX6" s="3" t="s">
        <v>1739</v>
      </c>
      <c r="BY6" s="3" t="s">
        <v>589</v>
      </c>
      <c r="BZ6" s="3" t="s">
        <v>8387</v>
      </c>
      <c r="CA6" s="3" t="s">
        <v>698</v>
      </c>
      <c r="CB6" s="3" t="s">
        <v>8519</v>
      </c>
      <c r="CC6" s="3" t="s">
        <v>585</v>
      </c>
      <c r="CD6" s="3" t="s">
        <v>8520</v>
      </c>
      <c r="CE6" s="3" t="s">
        <v>519</v>
      </c>
      <c r="CF6" s="3" t="s">
        <v>2530</v>
      </c>
      <c r="CG6" s="3" t="s">
        <v>266</v>
      </c>
      <c r="CH6" s="3" t="s">
        <v>8521</v>
      </c>
      <c r="CI6" s="3" t="s">
        <v>414</v>
      </c>
      <c r="CJ6" s="3" t="s">
        <v>8522</v>
      </c>
      <c r="CK6" s="3" t="s">
        <v>656</v>
      </c>
      <c r="CL6" s="3" t="s">
        <v>8523</v>
      </c>
      <c r="CM6" s="3" t="s">
        <v>469</v>
      </c>
      <c r="CN6" s="3" t="s">
        <v>8524</v>
      </c>
      <c r="CO6" s="3" t="s">
        <v>276</v>
      </c>
      <c r="CP6" s="3" t="s">
        <v>8525</v>
      </c>
      <c r="CQ6" s="3" t="s">
        <v>538</v>
      </c>
      <c r="CR6" s="3" t="s">
        <v>6782</v>
      </c>
      <c r="CS6" s="3" t="s">
        <v>585</v>
      </c>
      <c r="CT6" s="3" t="s">
        <v>8526</v>
      </c>
      <c r="CU6" s="3" t="s">
        <v>427</v>
      </c>
      <c r="CV6" s="3" t="s">
        <v>8527</v>
      </c>
      <c r="CW6" s="3" t="s">
        <v>585</v>
      </c>
      <c r="CX6" s="3" t="s">
        <v>5485</v>
      </c>
      <c r="CY6" s="3" t="s">
        <v>473</v>
      </c>
      <c r="CZ6" s="3" t="s">
        <v>8528</v>
      </c>
      <c r="DA6" s="3" t="s">
        <v>242</v>
      </c>
      <c r="DB6" s="3" t="s">
        <v>1068</v>
      </c>
    </row>
    <row r="7" spans="1:106" x14ac:dyDescent="0.35">
      <c r="A7" s="3" t="s">
        <v>8381</v>
      </c>
      <c r="B7" s="3" t="s">
        <v>8529</v>
      </c>
      <c r="C7" s="3"/>
      <c r="D7" s="3" t="s">
        <v>8530</v>
      </c>
      <c r="E7" s="3" t="s">
        <v>6371</v>
      </c>
      <c r="F7" s="3" t="s">
        <v>8531</v>
      </c>
      <c r="G7" s="3" t="s">
        <v>6373</v>
      </c>
      <c r="H7" s="3" t="s">
        <v>8532</v>
      </c>
      <c r="I7" s="3" t="s">
        <v>28</v>
      </c>
      <c r="J7" s="3" t="s">
        <v>8533</v>
      </c>
      <c r="K7" s="3" t="s">
        <v>6387</v>
      </c>
      <c r="L7" s="3" t="s">
        <v>8534</v>
      </c>
      <c r="M7" s="3" t="s">
        <v>18</v>
      </c>
      <c r="N7" s="3" t="s">
        <v>8535</v>
      </c>
      <c r="O7" s="3" t="s">
        <v>8386</v>
      </c>
      <c r="P7" s="3" t="s">
        <v>8536</v>
      </c>
      <c r="Q7" s="3" t="s">
        <v>6532</v>
      </c>
      <c r="R7" s="3" t="s">
        <v>1532</v>
      </c>
      <c r="S7" s="3" t="s">
        <v>242</v>
      </c>
      <c r="T7" s="3" t="s">
        <v>243</v>
      </c>
      <c r="U7" s="3" t="s">
        <v>242</v>
      </c>
      <c r="V7" s="3" t="s">
        <v>243</v>
      </c>
      <c r="W7" s="3" t="s">
        <v>242</v>
      </c>
      <c r="X7" s="3" t="s">
        <v>243</v>
      </c>
      <c r="Y7" s="3" t="s">
        <v>242</v>
      </c>
      <c r="Z7" s="3" t="s">
        <v>243</v>
      </c>
      <c r="AA7" s="3" t="s">
        <v>242</v>
      </c>
      <c r="AB7" s="3" t="s">
        <v>243</v>
      </c>
      <c r="AC7" s="3" t="s">
        <v>242</v>
      </c>
      <c r="AD7" s="3" t="s">
        <v>243</v>
      </c>
      <c r="AE7" s="3" t="s">
        <v>242</v>
      </c>
      <c r="AF7" s="3" t="s">
        <v>243</v>
      </c>
      <c r="AG7" s="3" t="s">
        <v>242</v>
      </c>
      <c r="AH7" s="3" t="s">
        <v>243</v>
      </c>
      <c r="AI7" s="3" t="s">
        <v>242</v>
      </c>
      <c r="AJ7" s="3" t="s">
        <v>243</v>
      </c>
      <c r="AK7" s="3" t="s">
        <v>242</v>
      </c>
      <c r="AL7" s="3" t="s">
        <v>243</v>
      </c>
      <c r="AM7" s="3" t="s">
        <v>242</v>
      </c>
      <c r="AN7" s="3" t="s">
        <v>243</v>
      </c>
      <c r="AO7" s="3" t="s">
        <v>242</v>
      </c>
      <c r="AP7" s="3" t="s">
        <v>243</v>
      </c>
      <c r="AQ7" s="3" t="s">
        <v>242</v>
      </c>
      <c r="AR7" s="3" t="s">
        <v>244</v>
      </c>
      <c r="AS7" s="3" t="s">
        <v>8537</v>
      </c>
      <c r="AT7" s="3" t="s">
        <v>8538</v>
      </c>
      <c r="AU7" s="3" t="s">
        <v>6400</v>
      </c>
      <c r="AV7" s="3" t="s">
        <v>8539</v>
      </c>
      <c r="AW7" s="3" t="s">
        <v>6401</v>
      </c>
      <c r="AX7" s="3" t="s">
        <v>8540</v>
      </c>
      <c r="AY7" s="3" t="s">
        <v>242</v>
      </c>
      <c r="AZ7" s="3" t="s">
        <v>8541</v>
      </c>
      <c r="BA7" s="3" t="s">
        <v>257</v>
      </c>
      <c r="BB7" s="3" t="s">
        <v>8542</v>
      </c>
      <c r="BC7" s="3" t="s">
        <v>295</v>
      </c>
      <c r="BD7" s="3" t="s">
        <v>8543</v>
      </c>
      <c r="BE7" s="3" t="s">
        <v>335</v>
      </c>
      <c r="BF7" s="3" t="s">
        <v>8544</v>
      </c>
      <c r="BG7" s="3" t="s">
        <v>295</v>
      </c>
      <c r="BH7" s="3" t="s">
        <v>8545</v>
      </c>
      <c r="BI7" s="3" t="s">
        <v>351</v>
      </c>
      <c r="BJ7" s="3" t="s">
        <v>8546</v>
      </c>
      <c r="BK7" s="3" t="s">
        <v>295</v>
      </c>
      <c r="BL7" s="3" t="s">
        <v>2371</v>
      </c>
      <c r="BM7" s="3" t="s">
        <v>664</v>
      </c>
      <c r="BN7" s="3" t="s">
        <v>8547</v>
      </c>
      <c r="BO7" s="3" t="s">
        <v>685</v>
      </c>
      <c r="BP7" s="3" t="s">
        <v>8548</v>
      </c>
      <c r="BQ7" s="3" t="s">
        <v>342</v>
      </c>
      <c r="BR7" s="3" t="s">
        <v>2752</v>
      </c>
      <c r="BS7" s="3" t="s">
        <v>295</v>
      </c>
      <c r="BT7" s="3" t="s">
        <v>8549</v>
      </c>
      <c r="BU7" s="3" t="s">
        <v>696</v>
      </c>
      <c r="BV7" s="3" t="s">
        <v>8550</v>
      </c>
      <c r="BW7" s="3" t="s">
        <v>295</v>
      </c>
      <c r="BX7" s="3" t="s">
        <v>8551</v>
      </c>
      <c r="BY7" s="3" t="s">
        <v>656</v>
      </c>
      <c r="BZ7" s="3" t="s">
        <v>8552</v>
      </c>
      <c r="CA7" s="3" t="s">
        <v>295</v>
      </c>
      <c r="CB7" s="3" t="s">
        <v>8553</v>
      </c>
      <c r="CC7" s="3" t="s">
        <v>259</v>
      </c>
      <c r="CD7" s="3" t="s">
        <v>8554</v>
      </c>
      <c r="CE7" s="3" t="s">
        <v>295</v>
      </c>
      <c r="CF7" s="3" t="s">
        <v>8555</v>
      </c>
      <c r="CG7" s="3" t="s">
        <v>993</v>
      </c>
      <c r="CH7" s="3" t="s">
        <v>5196</v>
      </c>
      <c r="CI7" s="3" t="s">
        <v>295</v>
      </c>
      <c r="CJ7" s="3" t="s">
        <v>2469</v>
      </c>
      <c r="CK7" s="3" t="s">
        <v>589</v>
      </c>
      <c r="CL7" s="3" t="s">
        <v>2990</v>
      </c>
      <c r="CM7" s="3" t="s">
        <v>295</v>
      </c>
      <c r="CN7" s="3" t="s">
        <v>8556</v>
      </c>
      <c r="CO7" s="3" t="s">
        <v>664</v>
      </c>
      <c r="CP7" s="3" t="s">
        <v>8557</v>
      </c>
      <c r="CQ7" s="3" t="s">
        <v>295</v>
      </c>
      <c r="CR7" s="3" t="s">
        <v>8558</v>
      </c>
      <c r="CS7" s="3" t="s">
        <v>401</v>
      </c>
      <c r="CT7" s="3" t="s">
        <v>8559</v>
      </c>
      <c r="CU7" s="3" t="s">
        <v>295</v>
      </c>
      <c r="CV7" s="3" t="s">
        <v>361</v>
      </c>
      <c r="CW7" s="3" t="s">
        <v>393</v>
      </c>
      <c r="CX7" s="3" t="s">
        <v>8560</v>
      </c>
      <c r="CY7" s="3" t="s">
        <v>295</v>
      </c>
      <c r="CZ7" s="3" t="s">
        <v>8561</v>
      </c>
      <c r="DA7" s="3" t="s">
        <v>242</v>
      </c>
      <c r="DB7" s="3" t="s">
        <v>8562</v>
      </c>
    </row>
    <row r="8" spans="1:106" x14ac:dyDescent="0.35">
      <c r="A8" s="3" t="s">
        <v>8381</v>
      </c>
      <c r="B8" s="3" t="s">
        <v>8563</v>
      </c>
      <c r="C8" s="3"/>
      <c r="D8" s="3" t="s">
        <v>8564</v>
      </c>
      <c r="E8" s="3" t="s">
        <v>6371</v>
      </c>
      <c r="F8" s="3" t="s">
        <v>1233</v>
      </c>
      <c r="G8" s="3" t="s">
        <v>6373</v>
      </c>
      <c r="H8" s="3" t="s">
        <v>8565</v>
      </c>
      <c r="I8" s="3" t="s">
        <v>28</v>
      </c>
      <c r="J8" s="3" t="s">
        <v>613</v>
      </c>
      <c r="K8" s="3" t="s">
        <v>6387</v>
      </c>
      <c r="L8" s="3" t="s">
        <v>8566</v>
      </c>
      <c r="M8" s="3" t="s">
        <v>18</v>
      </c>
      <c r="N8" s="3" t="s">
        <v>5727</v>
      </c>
      <c r="O8" s="3" t="s">
        <v>8386</v>
      </c>
      <c r="P8" s="3" t="s">
        <v>8567</v>
      </c>
      <c r="Q8" s="3" t="s">
        <v>6532</v>
      </c>
      <c r="R8" s="3" t="s">
        <v>8568</v>
      </c>
      <c r="S8" s="3" t="s">
        <v>242</v>
      </c>
      <c r="T8" s="3" t="s">
        <v>243</v>
      </c>
      <c r="U8" s="3" t="s">
        <v>242</v>
      </c>
      <c r="V8" s="3" t="s">
        <v>243</v>
      </c>
      <c r="W8" s="3" t="s">
        <v>242</v>
      </c>
      <c r="X8" s="3" t="s">
        <v>243</v>
      </c>
      <c r="Y8" s="3" t="s">
        <v>242</v>
      </c>
      <c r="Z8" s="3" t="s">
        <v>243</v>
      </c>
      <c r="AA8" s="3" t="s">
        <v>242</v>
      </c>
      <c r="AB8" s="3" t="s">
        <v>243</v>
      </c>
      <c r="AC8" s="3" t="s">
        <v>242</v>
      </c>
      <c r="AD8" s="3" t="s">
        <v>243</v>
      </c>
      <c r="AE8" s="3" t="s">
        <v>242</v>
      </c>
      <c r="AF8" s="3" t="s">
        <v>243</v>
      </c>
      <c r="AG8" s="3" t="s">
        <v>242</v>
      </c>
      <c r="AH8" s="3" t="s">
        <v>243</v>
      </c>
      <c r="AI8" s="3" t="s">
        <v>242</v>
      </c>
      <c r="AJ8" s="3" t="s">
        <v>243</v>
      </c>
      <c r="AK8" s="3" t="s">
        <v>242</v>
      </c>
      <c r="AL8" s="3" t="s">
        <v>243</v>
      </c>
      <c r="AM8" s="3" t="s">
        <v>242</v>
      </c>
      <c r="AN8" s="3" t="s">
        <v>243</v>
      </c>
      <c r="AO8" s="3" t="s">
        <v>242</v>
      </c>
      <c r="AP8" s="3" t="s">
        <v>243</v>
      </c>
      <c r="AQ8" s="3" t="s">
        <v>242</v>
      </c>
      <c r="AR8" s="3" t="s">
        <v>244</v>
      </c>
      <c r="AS8" s="3" t="s">
        <v>2546</v>
      </c>
      <c r="AT8" s="3" t="s">
        <v>8569</v>
      </c>
      <c r="AU8" s="3" t="s">
        <v>6400</v>
      </c>
      <c r="AV8" s="3" t="s">
        <v>2739</v>
      </c>
      <c r="AW8" s="3" t="s">
        <v>6401</v>
      </c>
      <c r="AX8" s="3" t="s">
        <v>8570</v>
      </c>
      <c r="AY8" s="3" t="s">
        <v>242</v>
      </c>
      <c r="AZ8" s="3" t="s">
        <v>8571</v>
      </c>
      <c r="BA8" s="3" t="s">
        <v>1815</v>
      </c>
      <c r="BB8" s="3" t="s">
        <v>6577</v>
      </c>
      <c r="BC8" s="3" t="s">
        <v>295</v>
      </c>
      <c r="BD8" s="3" t="s">
        <v>8572</v>
      </c>
      <c r="BE8" s="3" t="s">
        <v>429</v>
      </c>
      <c r="BF8" s="3" t="s">
        <v>8573</v>
      </c>
      <c r="BG8" s="3" t="s">
        <v>2277</v>
      </c>
      <c r="BH8" s="3" t="s">
        <v>8574</v>
      </c>
      <c r="BI8" s="3" t="s">
        <v>519</v>
      </c>
      <c r="BJ8" s="3" t="s">
        <v>8575</v>
      </c>
      <c r="BK8" s="3" t="s">
        <v>337</v>
      </c>
      <c r="BL8" s="3" t="s">
        <v>8576</v>
      </c>
      <c r="BM8" s="3" t="s">
        <v>287</v>
      </c>
      <c r="BN8" s="3" t="s">
        <v>6816</v>
      </c>
      <c r="BO8" s="3" t="s">
        <v>1360</v>
      </c>
      <c r="BP8" s="3" t="s">
        <v>8577</v>
      </c>
      <c r="BQ8" s="3" t="s">
        <v>401</v>
      </c>
      <c r="BR8" s="3" t="s">
        <v>8578</v>
      </c>
      <c r="BS8" s="3" t="s">
        <v>1380</v>
      </c>
      <c r="BT8" s="3" t="s">
        <v>8579</v>
      </c>
      <c r="BU8" s="3" t="s">
        <v>335</v>
      </c>
      <c r="BV8" s="3" t="s">
        <v>8580</v>
      </c>
      <c r="BW8" s="3" t="s">
        <v>1380</v>
      </c>
      <c r="BX8" s="3" t="s">
        <v>8581</v>
      </c>
      <c r="BY8" s="3" t="s">
        <v>351</v>
      </c>
      <c r="BZ8" s="3" t="s">
        <v>6514</v>
      </c>
      <c r="CA8" s="3" t="s">
        <v>952</v>
      </c>
      <c r="CB8" s="3" t="s">
        <v>8574</v>
      </c>
      <c r="CC8" s="3" t="s">
        <v>595</v>
      </c>
      <c r="CD8" s="3" t="s">
        <v>8582</v>
      </c>
      <c r="CE8" s="3" t="s">
        <v>479</v>
      </c>
      <c r="CF8" s="3" t="s">
        <v>8217</v>
      </c>
      <c r="CG8" s="3" t="s">
        <v>351</v>
      </c>
      <c r="CH8" s="3" t="s">
        <v>8583</v>
      </c>
      <c r="CI8" s="3" t="s">
        <v>698</v>
      </c>
      <c r="CJ8" s="3" t="s">
        <v>8436</v>
      </c>
      <c r="CK8" s="3" t="s">
        <v>356</v>
      </c>
      <c r="CL8" s="3" t="s">
        <v>8030</v>
      </c>
      <c r="CM8" s="3" t="s">
        <v>454</v>
      </c>
      <c r="CN8" s="3" t="s">
        <v>8584</v>
      </c>
      <c r="CO8" s="3" t="s">
        <v>401</v>
      </c>
      <c r="CP8" s="3" t="s">
        <v>8585</v>
      </c>
      <c r="CQ8" s="3" t="s">
        <v>411</v>
      </c>
      <c r="CR8" s="3" t="s">
        <v>8586</v>
      </c>
      <c r="CS8" s="3" t="s">
        <v>360</v>
      </c>
      <c r="CT8" s="3" t="s">
        <v>4921</v>
      </c>
      <c r="CU8" s="3" t="s">
        <v>1360</v>
      </c>
      <c r="CV8" s="3" t="s">
        <v>2301</v>
      </c>
      <c r="CW8" s="3" t="s">
        <v>519</v>
      </c>
      <c r="CX8" s="3" t="s">
        <v>8587</v>
      </c>
      <c r="CY8" s="3" t="s">
        <v>1360</v>
      </c>
      <c r="CZ8" s="3" t="s">
        <v>8588</v>
      </c>
      <c r="DA8" s="3" t="s">
        <v>242</v>
      </c>
      <c r="DB8" s="3" t="s">
        <v>8589</v>
      </c>
    </row>
    <row r="9" spans="1:106" x14ac:dyDescent="0.35">
      <c r="A9" s="3" t="s">
        <v>8381</v>
      </c>
      <c r="B9" s="3" t="s">
        <v>8590</v>
      </c>
      <c r="C9" s="3"/>
      <c r="D9" s="3" t="s">
        <v>8591</v>
      </c>
      <c r="E9" s="3" t="s">
        <v>6371</v>
      </c>
      <c r="F9" s="3" t="s">
        <v>8592</v>
      </c>
      <c r="G9" s="3" t="s">
        <v>6373</v>
      </c>
      <c r="H9" s="3" t="s">
        <v>8593</v>
      </c>
      <c r="I9" s="3" t="s">
        <v>28</v>
      </c>
      <c r="J9" s="3" t="s">
        <v>8594</v>
      </c>
      <c r="K9" s="3" t="s">
        <v>6387</v>
      </c>
      <c r="L9" s="3" t="s">
        <v>8595</v>
      </c>
      <c r="M9" s="3" t="s">
        <v>18</v>
      </c>
      <c r="N9" s="3" t="s">
        <v>8596</v>
      </c>
      <c r="O9" s="3" t="s">
        <v>8386</v>
      </c>
      <c r="P9" s="3" t="s">
        <v>3762</v>
      </c>
      <c r="Q9" s="3" t="s">
        <v>6532</v>
      </c>
      <c r="R9" s="3" t="s">
        <v>4419</v>
      </c>
      <c r="S9" s="3" t="s">
        <v>242</v>
      </c>
      <c r="T9" s="3" t="s">
        <v>243</v>
      </c>
      <c r="U9" s="3" t="s">
        <v>242</v>
      </c>
      <c r="V9" s="3" t="s">
        <v>243</v>
      </c>
      <c r="W9" s="3" t="s">
        <v>242</v>
      </c>
      <c r="X9" s="3" t="s">
        <v>243</v>
      </c>
      <c r="Y9" s="3" t="s">
        <v>242</v>
      </c>
      <c r="Z9" s="3" t="s">
        <v>243</v>
      </c>
      <c r="AA9" s="3" t="s">
        <v>242</v>
      </c>
      <c r="AB9" s="3" t="s">
        <v>243</v>
      </c>
      <c r="AC9" s="3" t="s">
        <v>242</v>
      </c>
      <c r="AD9" s="3" t="s">
        <v>243</v>
      </c>
      <c r="AE9" s="3" t="s">
        <v>242</v>
      </c>
      <c r="AF9" s="3" t="s">
        <v>243</v>
      </c>
      <c r="AG9" s="3" t="s">
        <v>242</v>
      </c>
      <c r="AH9" s="3" t="s">
        <v>243</v>
      </c>
      <c r="AI9" s="3" t="s">
        <v>242</v>
      </c>
      <c r="AJ9" s="3" t="s">
        <v>243</v>
      </c>
      <c r="AK9" s="3" t="s">
        <v>242</v>
      </c>
      <c r="AL9" s="3" t="s">
        <v>243</v>
      </c>
      <c r="AM9" s="3" t="s">
        <v>242</v>
      </c>
      <c r="AN9" s="3" t="s">
        <v>243</v>
      </c>
      <c r="AO9" s="3" t="s">
        <v>242</v>
      </c>
      <c r="AP9" s="3" t="s">
        <v>243</v>
      </c>
      <c r="AQ9" s="3" t="s">
        <v>242</v>
      </c>
      <c r="AR9" s="3" t="s">
        <v>244</v>
      </c>
      <c r="AS9" s="3" t="s">
        <v>6398</v>
      </c>
      <c r="AT9" s="3" t="s">
        <v>8597</v>
      </c>
      <c r="AU9" s="3" t="s">
        <v>6400</v>
      </c>
      <c r="AV9" s="3" t="s">
        <v>8598</v>
      </c>
      <c r="AW9" s="3" t="s">
        <v>6401</v>
      </c>
      <c r="AX9" s="3" t="s">
        <v>8599</v>
      </c>
      <c r="AY9" s="3" t="s">
        <v>242</v>
      </c>
      <c r="AZ9" s="3" t="s">
        <v>8600</v>
      </c>
      <c r="BA9" s="3" t="s">
        <v>473</v>
      </c>
      <c r="BB9" s="3" t="s">
        <v>8601</v>
      </c>
      <c r="BC9" s="3" t="s">
        <v>685</v>
      </c>
      <c r="BD9" s="3" t="s">
        <v>8602</v>
      </c>
      <c r="BE9" s="3" t="s">
        <v>744</v>
      </c>
      <c r="BF9" s="3" t="s">
        <v>8603</v>
      </c>
      <c r="BG9" s="3" t="s">
        <v>261</v>
      </c>
      <c r="BH9" s="3" t="s">
        <v>8604</v>
      </c>
      <c r="BI9" s="3" t="s">
        <v>421</v>
      </c>
      <c r="BJ9" s="3" t="s">
        <v>8605</v>
      </c>
      <c r="BK9" s="3" t="s">
        <v>371</v>
      </c>
      <c r="BL9" s="3" t="s">
        <v>8606</v>
      </c>
      <c r="BM9" s="3" t="s">
        <v>287</v>
      </c>
      <c r="BN9" s="3" t="s">
        <v>8607</v>
      </c>
      <c r="BO9" s="3" t="s">
        <v>424</v>
      </c>
      <c r="BP9" s="3" t="s">
        <v>4765</v>
      </c>
      <c r="BQ9" s="3" t="s">
        <v>365</v>
      </c>
      <c r="BR9" s="3" t="s">
        <v>8608</v>
      </c>
      <c r="BS9" s="3" t="s">
        <v>449</v>
      </c>
      <c r="BT9" s="3" t="s">
        <v>8609</v>
      </c>
      <c r="BU9" s="3" t="s">
        <v>752</v>
      </c>
      <c r="BV9" s="3" t="s">
        <v>8610</v>
      </c>
      <c r="BW9" s="3" t="s">
        <v>429</v>
      </c>
      <c r="BX9" s="3" t="s">
        <v>8611</v>
      </c>
      <c r="BY9" s="3" t="s">
        <v>752</v>
      </c>
      <c r="BZ9" s="3" t="s">
        <v>8612</v>
      </c>
      <c r="CA9" s="3" t="s">
        <v>449</v>
      </c>
      <c r="CB9" s="3" t="s">
        <v>8613</v>
      </c>
      <c r="CC9" s="3" t="s">
        <v>528</v>
      </c>
      <c r="CD9" s="3" t="s">
        <v>8614</v>
      </c>
      <c r="CE9" s="3" t="s">
        <v>424</v>
      </c>
      <c r="CF9" s="3" t="s">
        <v>8615</v>
      </c>
      <c r="CG9" s="3" t="s">
        <v>595</v>
      </c>
      <c r="CH9" s="3" t="s">
        <v>5136</v>
      </c>
      <c r="CI9" s="3" t="s">
        <v>542</v>
      </c>
      <c r="CJ9" s="3" t="s">
        <v>8616</v>
      </c>
      <c r="CK9" s="3" t="s">
        <v>335</v>
      </c>
      <c r="CL9" s="3" t="s">
        <v>2759</v>
      </c>
      <c r="CM9" s="3" t="s">
        <v>408</v>
      </c>
      <c r="CN9" s="3" t="s">
        <v>6722</v>
      </c>
      <c r="CO9" s="3" t="s">
        <v>356</v>
      </c>
      <c r="CP9" s="3" t="s">
        <v>8617</v>
      </c>
      <c r="CQ9" s="3" t="s">
        <v>542</v>
      </c>
      <c r="CR9" s="3" t="s">
        <v>8618</v>
      </c>
      <c r="CS9" s="3" t="s">
        <v>731</v>
      </c>
      <c r="CT9" s="3" t="s">
        <v>8176</v>
      </c>
      <c r="CU9" s="3" t="s">
        <v>295</v>
      </c>
      <c r="CV9" s="3" t="s">
        <v>8619</v>
      </c>
      <c r="CW9" s="3" t="s">
        <v>698</v>
      </c>
      <c r="CX9" s="3" t="s">
        <v>8620</v>
      </c>
      <c r="CY9" s="3" t="s">
        <v>479</v>
      </c>
      <c r="CZ9" s="3" t="s">
        <v>8621</v>
      </c>
      <c r="DA9" s="3" t="s">
        <v>242</v>
      </c>
      <c r="DB9" s="3" t="s">
        <v>6975</v>
      </c>
    </row>
    <row r="10" spans="1:106" x14ac:dyDescent="0.35">
      <c r="A10" s="3" t="s">
        <v>8381</v>
      </c>
      <c r="B10" s="3" t="s">
        <v>8622</v>
      </c>
      <c r="C10" s="3"/>
      <c r="D10" s="3" t="s">
        <v>705</v>
      </c>
      <c r="E10" s="3" t="s">
        <v>6371</v>
      </c>
      <c r="F10" s="3" t="s">
        <v>6504</v>
      </c>
      <c r="G10" s="3" t="s">
        <v>6373</v>
      </c>
      <c r="H10" s="3" t="s">
        <v>8623</v>
      </c>
      <c r="I10" s="3" t="s">
        <v>28</v>
      </c>
      <c r="J10" s="3" t="s">
        <v>8624</v>
      </c>
      <c r="K10" s="3" t="s">
        <v>6387</v>
      </c>
      <c r="L10" s="3" t="s">
        <v>8385</v>
      </c>
      <c r="M10" s="3" t="s">
        <v>18</v>
      </c>
      <c r="N10" s="3" t="s">
        <v>8625</v>
      </c>
      <c r="O10" s="3" t="s">
        <v>8386</v>
      </c>
      <c r="P10" s="3" t="s">
        <v>8626</v>
      </c>
      <c r="Q10" s="3" t="s">
        <v>6532</v>
      </c>
      <c r="R10" s="3" t="s">
        <v>6276</v>
      </c>
      <c r="S10" s="3" t="s">
        <v>242</v>
      </c>
      <c r="T10" s="3" t="s">
        <v>243</v>
      </c>
      <c r="U10" s="3" t="s">
        <v>242</v>
      </c>
      <c r="V10" s="3" t="s">
        <v>243</v>
      </c>
      <c r="W10" s="3" t="s">
        <v>242</v>
      </c>
      <c r="X10" s="3" t="s">
        <v>243</v>
      </c>
      <c r="Y10" s="3" t="s">
        <v>242</v>
      </c>
      <c r="Z10" s="3" t="s">
        <v>243</v>
      </c>
      <c r="AA10" s="3" t="s">
        <v>242</v>
      </c>
      <c r="AB10" s="3" t="s">
        <v>243</v>
      </c>
      <c r="AC10" s="3" t="s">
        <v>242</v>
      </c>
      <c r="AD10" s="3" t="s">
        <v>243</v>
      </c>
      <c r="AE10" s="3" t="s">
        <v>242</v>
      </c>
      <c r="AF10" s="3" t="s">
        <v>243</v>
      </c>
      <c r="AG10" s="3" t="s">
        <v>242</v>
      </c>
      <c r="AH10" s="3" t="s">
        <v>243</v>
      </c>
      <c r="AI10" s="3" t="s">
        <v>242</v>
      </c>
      <c r="AJ10" s="3" t="s">
        <v>243</v>
      </c>
      <c r="AK10" s="3" t="s">
        <v>242</v>
      </c>
      <c r="AL10" s="3" t="s">
        <v>243</v>
      </c>
      <c r="AM10" s="3" t="s">
        <v>242</v>
      </c>
      <c r="AN10" s="3" t="s">
        <v>243</v>
      </c>
      <c r="AO10" s="3" t="s">
        <v>242</v>
      </c>
      <c r="AP10" s="3" t="s">
        <v>243</v>
      </c>
      <c r="AQ10" s="3" t="s">
        <v>242</v>
      </c>
      <c r="AR10" s="3" t="s">
        <v>244</v>
      </c>
      <c r="AS10" s="3" t="s">
        <v>8627</v>
      </c>
      <c r="AT10" s="3" t="s">
        <v>8628</v>
      </c>
      <c r="AU10" s="3" t="s">
        <v>6400</v>
      </c>
      <c r="AV10" s="3" t="s">
        <v>8629</v>
      </c>
      <c r="AW10" s="3" t="s">
        <v>6401</v>
      </c>
      <c r="AX10" s="3" t="s">
        <v>8630</v>
      </c>
      <c r="AY10" s="3" t="s">
        <v>242</v>
      </c>
      <c r="AZ10" s="3" t="s">
        <v>641</v>
      </c>
      <c r="BA10" s="3" t="s">
        <v>358</v>
      </c>
      <c r="BB10" s="3" t="s">
        <v>8631</v>
      </c>
      <c r="BC10" s="3" t="s">
        <v>688</v>
      </c>
      <c r="BD10" s="3" t="s">
        <v>8315</v>
      </c>
      <c r="BE10" s="3" t="s">
        <v>274</v>
      </c>
      <c r="BF10" s="3" t="s">
        <v>8632</v>
      </c>
      <c r="BG10" s="3" t="s">
        <v>274</v>
      </c>
      <c r="BH10" s="3" t="s">
        <v>6959</v>
      </c>
      <c r="BI10" s="3" t="s">
        <v>274</v>
      </c>
      <c r="BJ10" s="3" t="s">
        <v>8633</v>
      </c>
      <c r="BK10" s="3" t="s">
        <v>271</v>
      </c>
      <c r="BL10" s="3" t="s">
        <v>8634</v>
      </c>
      <c r="BM10" s="3" t="s">
        <v>454</v>
      </c>
      <c r="BN10" s="3" t="s">
        <v>8635</v>
      </c>
      <c r="BO10" s="3" t="s">
        <v>473</v>
      </c>
      <c r="BP10" s="3" t="s">
        <v>8636</v>
      </c>
      <c r="BQ10" s="3" t="s">
        <v>858</v>
      </c>
      <c r="BR10" s="3" t="s">
        <v>1174</v>
      </c>
      <c r="BS10" s="3" t="s">
        <v>281</v>
      </c>
      <c r="BT10" s="3" t="s">
        <v>8637</v>
      </c>
      <c r="BU10" s="3" t="s">
        <v>268</v>
      </c>
      <c r="BV10" s="3" t="s">
        <v>1182</v>
      </c>
      <c r="BW10" s="3" t="s">
        <v>289</v>
      </c>
      <c r="BX10" s="3" t="s">
        <v>6827</v>
      </c>
      <c r="BY10" s="3" t="s">
        <v>268</v>
      </c>
      <c r="BZ10" s="3" t="s">
        <v>6638</v>
      </c>
      <c r="CA10" s="3" t="s">
        <v>268</v>
      </c>
      <c r="CB10" s="3" t="s">
        <v>8638</v>
      </c>
      <c r="CC10" s="3" t="s">
        <v>395</v>
      </c>
      <c r="CD10" s="3" t="s">
        <v>2811</v>
      </c>
      <c r="CE10" s="3" t="s">
        <v>257</v>
      </c>
      <c r="CF10" s="3" t="s">
        <v>8639</v>
      </c>
      <c r="CG10" s="3" t="s">
        <v>261</v>
      </c>
      <c r="CH10" s="3" t="s">
        <v>8640</v>
      </c>
      <c r="CI10" s="3" t="s">
        <v>454</v>
      </c>
      <c r="CJ10" s="3" t="s">
        <v>8641</v>
      </c>
      <c r="CK10" s="3" t="s">
        <v>411</v>
      </c>
      <c r="CL10" s="3" t="s">
        <v>8642</v>
      </c>
      <c r="CM10" s="3" t="s">
        <v>295</v>
      </c>
      <c r="CN10" s="3" t="s">
        <v>3378</v>
      </c>
      <c r="CO10" s="3" t="s">
        <v>688</v>
      </c>
      <c r="CP10" s="3" t="s">
        <v>8643</v>
      </c>
      <c r="CQ10" s="3" t="s">
        <v>688</v>
      </c>
      <c r="CR10" s="3" t="s">
        <v>988</v>
      </c>
      <c r="CS10" s="3" t="s">
        <v>274</v>
      </c>
      <c r="CT10" s="3" t="s">
        <v>8644</v>
      </c>
      <c r="CU10" s="3" t="s">
        <v>405</v>
      </c>
      <c r="CV10" s="3" t="s">
        <v>5837</v>
      </c>
      <c r="CW10" s="3" t="s">
        <v>274</v>
      </c>
      <c r="CX10" s="3" t="s">
        <v>3773</v>
      </c>
      <c r="CY10" s="3" t="s">
        <v>395</v>
      </c>
      <c r="CZ10" s="3" t="s">
        <v>8645</v>
      </c>
      <c r="DA10" s="3" t="s">
        <v>242</v>
      </c>
      <c r="DB10" s="3" t="s">
        <v>5530</v>
      </c>
    </row>
    <row r="11" spans="1:106" x14ac:dyDescent="0.35">
      <c r="A11" s="3" t="s">
        <v>8381</v>
      </c>
      <c r="B11" s="3" t="s">
        <v>8646</v>
      </c>
      <c r="C11" s="3"/>
      <c r="D11" s="3" t="s">
        <v>4368</v>
      </c>
      <c r="E11" s="3" t="s">
        <v>6371</v>
      </c>
      <c r="F11" s="3" t="s">
        <v>8647</v>
      </c>
      <c r="G11" s="3" t="s">
        <v>6373</v>
      </c>
      <c r="H11" s="3" t="s">
        <v>8648</v>
      </c>
      <c r="I11" s="3" t="s">
        <v>28</v>
      </c>
      <c r="J11" s="3" t="s">
        <v>8649</v>
      </c>
      <c r="K11" s="3" t="s">
        <v>6387</v>
      </c>
      <c r="L11" s="3" t="s">
        <v>3153</v>
      </c>
      <c r="M11" s="3" t="s">
        <v>20</v>
      </c>
      <c r="N11" s="3" t="s">
        <v>8199</v>
      </c>
      <c r="O11" s="3" t="s">
        <v>8386</v>
      </c>
      <c r="P11" s="3" t="s">
        <v>8650</v>
      </c>
      <c r="Q11" s="3" t="s">
        <v>6532</v>
      </c>
      <c r="R11" s="3" t="s">
        <v>6794</v>
      </c>
      <c r="S11" s="3" t="s">
        <v>242</v>
      </c>
      <c r="T11" s="3" t="s">
        <v>243</v>
      </c>
      <c r="U11" s="3" t="s">
        <v>242</v>
      </c>
      <c r="V11" s="3" t="s">
        <v>243</v>
      </c>
      <c r="W11" s="3" t="s">
        <v>242</v>
      </c>
      <c r="X11" s="3" t="s">
        <v>243</v>
      </c>
      <c r="Y11" s="3" t="s">
        <v>242</v>
      </c>
      <c r="Z11" s="3" t="s">
        <v>243</v>
      </c>
      <c r="AA11" s="3" t="s">
        <v>242</v>
      </c>
      <c r="AB11" s="3" t="s">
        <v>243</v>
      </c>
      <c r="AC11" s="3" t="s">
        <v>242</v>
      </c>
      <c r="AD11" s="3" t="s">
        <v>243</v>
      </c>
      <c r="AE11" s="3" t="s">
        <v>242</v>
      </c>
      <c r="AF11" s="3" t="s">
        <v>243</v>
      </c>
      <c r="AG11" s="3" t="s">
        <v>242</v>
      </c>
      <c r="AH11" s="3" t="s">
        <v>243</v>
      </c>
      <c r="AI11" s="3" t="s">
        <v>242</v>
      </c>
      <c r="AJ11" s="3" t="s">
        <v>243</v>
      </c>
      <c r="AK11" s="3" t="s">
        <v>242</v>
      </c>
      <c r="AL11" s="3" t="s">
        <v>243</v>
      </c>
      <c r="AM11" s="3" t="s">
        <v>242</v>
      </c>
      <c r="AN11" s="3" t="s">
        <v>243</v>
      </c>
      <c r="AO11" s="3" t="s">
        <v>242</v>
      </c>
      <c r="AP11" s="3" t="s">
        <v>243</v>
      </c>
      <c r="AQ11" s="3" t="s">
        <v>242</v>
      </c>
      <c r="AR11" s="3" t="s">
        <v>244</v>
      </c>
      <c r="AS11" s="3" t="s">
        <v>5910</v>
      </c>
      <c r="AT11" s="3" t="s">
        <v>8651</v>
      </c>
      <c r="AU11" s="3" t="s">
        <v>6400</v>
      </c>
      <c r="AV11" s="3" t="s">
        <v>6177</v>
      </c>
      <c r="AW11" s="3" t="s">
        <v>6401</v>
      </c>
      <c r="AX11" s="3" t="s">
        <v>8652</v>
      </c>
      <c r="AY11" s="3" t="s">
        <v>242</v>
      </c>
      <c r="AZ11" s="3" t="s">
        <v>8653</v>
      </c>
      <c r="BA11" s="3" t="s">
        <v>542</v>
      </c>
      <c r="BB11" s="3" t="s">
        <v>8654</v>
      </c>
      <c r="BC11" s="3" t="s">
        <v>429</v>
      </c>
      <c r="BD11" s="3" t="s">
        <v>8655</v>
      </c>
      <c r="BE11" s="3" t="s">
        <v>401</v>
      </c>
      <c r="BF11" s="3" t="s">
        <v>8656</v>
      </c>
      <c r="BG11" s="3" t="s">
        <v>424</v>
      </c>
      <c r="BH11" s="3" t="s">
        <v>8657</v>
      </c>
      <c r="BI11" s="3" t="s">
        <v>287</v>
      </c>
      <c r="BJ11" s="3" t="s">
        <v>4119</v>
      </c>
      <c r="BK11" s="3" t="s">
        <v>744</v>
      </c>
      <c r="BL11" s="3" t="s">
        <v>4751</v>
      </c>
      <c r="BM11" s="3" t="s">
        <v>595</v>
      </c>
      <c r="BN11" s="3" t="s">
        <v>8658</v>
      </c>
      <c r="BO11" s="3" t="s">
        <v>360</v>
      </c>
      <c r="BP11" s="3" t="s">
        <v>8659</v>
      </c>
      <c r="BQ11" s="3" t="s">
        <v>287</v>
      </c>
      <c r="BR11" s="3" t="s">
        <v>5899</v>
      </c>
      <c r="BS11" s="3" t="s">
        <v>424</v>
      </c>
      <c r="BT11" s="3" t="s">
        <v>3726</v>
      </c>
      <c r="BU11" s="3" t="s">
        <v>401</v>
      </c>
      <c r="BV11" s="3" t="s">
        <v>6044</v>
      </c>
      <c r="BW11" s="3" t="s">
        <v>542</v>
      </c>
      <c r="BX11" s="3" t="s">
        <v>8660</v>
      </c>
      <c r="BY11" s="3" t="s">
        <v>287</v>
      </c>
      <c r="BZ11" s="3" t="s">
        <v>2355</v>
      </c>
      <c r="CA11" s="3" t="s">
        <v>401</v>
      </c>
      <c r="CB11" s="3" t="s">
        <v>4117</v>
      </c>
      <c r="CC11" s="3" t="s">
        <v>589</v>
      </c>
      <c r="CD11" s="3" t="s">
        <v>8318</v>
      </c>
      <c r="CE11" s="3" t="s">
        <v>401</v>
      </c>
      <c r="CF11" s="3" t="s">
        <v>5474</v>
      </c>
      <c r="CG11" s="3" t="s">
        <v>351</v>
      </c>
      <c r="CH11" s="3" t="s">
        <v>8661</v>
      </c>
      <c r="CI11" s="3" t="s">
        <v>744</v>
      </c>
      <c r="CJ11" s="3" t="s">
        <v>8662</v>
      </c>
      <c r="CK11" s="3" t="s">
        <v>528</v>
      </c>
      <c r="CL11" s="3" t="s">
        <v>8663</v>
      </c>
      <c r="CM11" s="3" t="s">
        <v>779</v>
      </c>
      <c r="CN11" s="3" t="s">
        <v>1926</v>
      </c>
      <c r="CO11" s="3" t="s">
        <v>339</v>
      </c>
      <c r="CP11" s="3" t="s">
        <v>4767</v>
      </c>
      <c r="CQ11" s="3" t="s">
        <v>360</v>
      </c>
      <c r="CR11" s="3" t="s">
        <v>8664</v>
      </c>
      <c r="CS11" s="3" t="s">
        <v>416</v>
      </c>
      <c r="CT11" s="3" t="s">
        <v>8665</v>
      </c>
      <c r="CU11" s="3" t="s">
        <v>538</v>
      </c>
      <c r="CV11" s="3" t="s">
        <v>8516</v>
      </c>
      <c r="CW11" s="3" t="s">
        <v>900</v>
      </c>
      <c r="CX11" s="3" t="s">
        <v>8666</v>
      </c>
      <c r="CY11" s="3" t="s">
        <v>397</v>
      </c>
      <c r="CZ11" s="3" t="s">
        <v>4013</v>
      </c>
      <c r="DA11" s="3" t="s">
        <v>242</v>
      </c>
      <c r="DB11" s="3" t="s">
        <v>5200</v>
      </c>
    </row>
    <row r="12" spans="1:106" x14ac:dyDescent="0.35">
      <c r="A12" s="3" t="s">
        <v>8381</v>
      </c>
      <c r="B12" s="3" t="s">
        <v>8667</v>
      </c>
      <c r="C12" s="3"/>
      <c r="D12" s="3" t="s">
        <v>8668</v>
      </c>
      <c r="E12" s="3" t="s">
        <v>6371</v>
      </c>
      <c r="F12" s="3" t="s">
        <v>8669</v>
      </c>
      <c r="G12" s="3" t="s">
        <v>6373</v>
      </c>
      <c r="H12" s="3" t="s">
        <v>8670</v>
      </c>
      <c r="I12" s="3" t="s">
        <v>28</v>
      </c>
      <c r="J12" s="3" t="s">
        <v>1514</v>
      </c>
      <c r="K12" s="3" t="s">
        <v>6387</v>
      </c>
      <c r="L12" s="3" t="s">
        <v>6890</v>
      </c>
      <c r="M12" s="3" t="s">
        <v>18</v>
      </c>
      <c r="N12" s="3" t="s">
        <v>5568</v>
      </c>
      <c r="O12" s="3" t="s">
        <v>8386</v>
      </c>
      <c r="P12" s="3" t="s">
        <v>8671</v>
      </c>
      <c r="Q12" s="3" t="s">
        <v>6532</v>
      </c>
      <c r="R12" s="3" t="s">
        <v>6385</v>
      </c>
      <c r="S12" s="3" t="s">
        <v>242</v>
      </c>
      <c r="T12" s="3" t="s">
        <v>243</v>
      </c>
      <c r="U12" s="3" t="s">
        <v>242</v>
      </c>
      <c r="V12" s="3" t="s">
        <v>243</v>
      </c>
      <c r="W12" s="3" t="s">
        <v>242</v>
      </c>
      <c r="X12" s="3" t="s">
        <v>243</v>
      </c>
      <c r="Y12" s="3" t="s">
        <v>242</v>
      </c>
      <c r="Z12" s="3" t="s">
        <v>243</v>
      </c>
      <c r="AA12" s="3" t="s">
        <v>242</v>
      </c>
      <c r="AB12" s="3" t="s">
        <v>243</v>
      </c>
      <c r="AC12" s="3" t="s">
        <v>242</v>
      </c>
      <c r="AD12" s="3" t="s">
        <v>243</v>
      </c>
      <c r="AE12" s="3" t="s">
        <v>242</v>
      </c>
      <c r="AF12" s="3" t="s">
        <v>243</v>
      </c>
      <c r="AG12" s="3" t="s">
        <v>242</v>
      </c>
      <c r="AH12" s="3" t="s">
        <v>243</v>
      </c>
      <c r="AI12" s="3" t="s">
        <v>242</v>
      </c>
      <c r="AJ12" s="3" t="s">
        <v>243</v>
      </c>
      <c r="AK12" s="3" t="s">
        <v>242</v>
      </c>
      <c r="AL12" s="3" t="s">
        <v>243</v>
      </c>
      <c r="AM12" s="3" t="s">
        <v>242</v>
      </c>
      <c r="AN12" s="3" t="s">
        <v>243</v>
      </c>
      <c r="AO12" s="3" t="s">
        <v>242</v>
      </c>
      <c r="AP12" s="3" t="s">
        <v>243</v>
      </c>
      <c r="AQ12" s="3" t="s">
        <v>242</v>
      </c>
      <c r="AR12" s="3" t="s">
        <v>244</v>
      </c>
      <c r="AS12" s="3" t="s">
        <v>8672</v>
      </c>
      <c r="AT12" s="3" t="s">
        <v>8673</v>
      </c>
      <c r="AU12" s="3" t="s">
        <v>6400</v>
      </c>
      <c r="AV12" s="3" t="s">
        <v>8674</v>
      </c>
      <c r="AW12" s="3" t="s">
        <v>6401</v>
      </c>
      <c r="AX12" s="3" t="s">
        <v>8675</v>
      </c>
      <c r="AY12" s="3" t="s">
        <v>242</v>
      </c>
      <c r="AZ12" s="3" t="s">
        <v>8676</v>
      </c>
      <c r="BA12" s="3" t="s">
        <v>287</v>
      </c>
      <c r="BB12" s="3" t="s">
        <v>8677</v>
      </c>
      <c r="BC12" s="3" t="s">
        <v>451</v>
      </c>
      <c r="BD12" s="3" t="s">
        <v>1898</v>
      </c>
      <c r="BE12" s="3" t="s">
        <v>295</v>
      </c>
      <c r="BF12" s="3" t="s">
        <v>8678</v>
      </c>
      <c r="BG12" s="3" t="s">
        <v>688</v>
      </c>
      <c r="BH12" s="3" t="s">
        <v>8679</v>
      </c>
      <c r="BI12" s="3" t="s">
        <v>589</v>
      </c>
      <c r="BJ12" s="3" t="s">
        <v>8680</v>
      </c>
      <c r="BK12" s="3" t="s">
        <v>858</v>
      </c>
      <c r="BL12" s="3" t="s">
        <v>8681</v>
      </c>
      <c r="BM12" s="3" t="s">
        <v>279</v>
      </c>
      <c r="BN12" s="3" t="s">
        <v>8682</v>
      </c>
      <c r="BO12" s="3" t="s">
        <v>698</v>
      </c>
      <c r="BP12" s="3" t="s">
        <v>8683</v>
      </c>
      <c r="BQ12" s="3" t="s">
        <v>653</v>
      </c>
      <c r="BR12" s="3" t="s">
        <v>8684</v>
      </c>
      <c r="BS12" s="3" t="s">
        <v>281</v>
      </c>
      <c r="BT12" s="3" t="s">
        <v>8031</v>
      </c>
      <c r="BU12" s="3" t="s">
        <v>1137</v>
      </c>
      <c r="BV12" s="3" t="s">
        <v>1095</v>
      </c>
      <c r="BW12" s="3" t="s">
        <v>271</v>
      </c>
      <c r="BX12" s="3" t="s">
        <v>8685</v>
      </c>
      <c r="BY12" s="3" t="s">
        <v>653</v>
      </c>
      <c r="BZ12" s="3" t="s">
        <v>3761</v>
      </c>
      <c r="CA12" s="3" t="s">
        <v>369</v>
      </c>
      <c r="CB12" s="3" t="s">
        <v>7822</v>
      </c>
      <c r="CC12" s="3" t="s">
        <v>1788</v>
      </c>
      <c r="CD12" s="3" t="s">
        <v>1294</v>
      </c>
      <c r="CE12" s="3" t="s">
        <v>395</v>
      </c>
      <c r="CF12" s="3" t="s">
        <v>5726</v>
      </c>
      <c r="CG12" s="3" t="s">
        <v>279</v>
      </c>
      <c r="CH12" s="3" t="s">
        <v>8686</v>
      </c>
      <c r="CI12" s="3" t="s">
        <v>405</v>
      </c>
      <c r="CJ12" s="3" t="s">
        <v>8687</v>
      </c>
      <c r="CK12" s="3" t="s">
        <v>266</v>
      </c>
      <c r="CL12" s="3" t="s">
        <v>8688</v>
      </c>
      <c r="CM12" s="3" t="s">
        <v>254</v>
      </c>
      <c r="CN12" s="3" t="s">
        <v>3340</v>
      </c>
      <c r="CO12" s="3" t="s">
        <v>351</v>
      </c>
      <c r="CP12" s="3" t="s">
        <v>6213</v>
      </c>
      <c r="CQ12" s="3" t="s">
        <v>358</v>
      </c>
      <c r="CR12" s="3" t="s">
        <v>8689</v>
      </c>
      <c r="CS12" s="3" t="s">
        <v>397</v>
      </c>
      <c r="CT12" s="3" t="s">
        <v>373</v>
      </c>
      <c r="CU12" s="3" t="s">
        <v>254</v>
      </c>
      <c r="CV12" s="3" t="s">
        <v>8690</v>
      </c>
      <c r="CW12" s="3" t="s">
        <v>356</v>
      </c>
      <c r="CX12" s="3" t="s">
        <v>3917</v>
      </c>
      <c r="CY12" s="3" t="s">
        <v>254</v>
      </c>
      <c r="CZ12" s="3" t="s">
        <v>4271</v>
      </c>
      <c r="DA12" s="3" t="s">
        <v>242</v>
      </c>
      <c r="DB12" s="3" t="s">
        <v>8666</v>
      </c>
    </row>
    <row r="13" spans="1:106" x14ac:dyDescent="0.35">
      <c r="A13" s="3" t="s">
        <v>8381</v>
      </c>
      <c r="B13" s="3" t="s">
        <v>8691</v>
      </c>
      <c r="C13" s="3"/>
      <c r="D13" s="3" t="s">
        <v>8692</v>
      </c>
      <c r="E13" s="3" t="s">
        <v>6371</v>
      </c>
      <c r="F13" s="3" t="s">
        <v>8693</v>
      </c>
      <c r="G13" s="3" t="s">
        <v>6373</v>
      </c>
      <c r="H13" s="3" t="s">
        <v>8694</v>
      </c>
      <c r="I13" s="3" t="s">
        <v>28</v>
      </c>
      <c r="J13" s="3" t="s">
        <v>4449</v>
      </c>
      <c r="K13" s="3" t="s">
        <v>6387</v>
      </c>
      <c r="L13" s="3" t="s">
        <v>4390</v>
      </c>
      <c r="M13" s="3" t="s">
        <v>18</v>
      </c>
      <c r="N13" s="3" t="s">
        <v>8695</v>
      </c>
      <c r="O13" s="3" t="s">
        <v>8386</v>
      </c>
      <c r="P13" s="3" t="s">
        <v>8696</v>
      </c>
      <c r="Q13" s="3" t="s">
        <v>6532</v>
      </c>
      <c r="R13" s="3" t="s">
        <v>6470</v>
      </c>
      <c r="S13" s="3" t="s">
        <v>242</v>
      </c>
      <c r="T13" s="3" t="s">
        <v>243</v>
      </c>
      <c r="U13" s="3" t="s">
        <v>242</v>
      </c>
      <c r="V13" s="3" t="s">
        <v>243</v>
      </c>
      <c r="W13" s="3" t="s">
        <v>242</v>
      </c>
      <c r="X13" s="3" t="s">
        <v>243</v>
      </c>
      <c r="Y13" s="3" t="s">
        <v>242</v>
      </c>
      <c r="Z13" s="3" t="s">
        <v>243</v>
      </c>
      <c r="AA13" s="3" t="s">
        <v>242</v>
      </c>
      <c r="AB13" s="3" t="s">
        <v>243</v>
      </c>
      <c r="AC13" s="3" t="s">
        <v>242</v>
      </c>
      <c r="AD13" s="3" t="s">
        <v>243</v>
      </c>
      <c r="AE13" s="3" t="s">
        <v>242</v>
      </c>
      <c r="AF13" s="3" t="s">
        <v>243</v>
      </c>
      <c r="AG13" s="3" t="s">
        <v>242</v>
      </c>
      <c r="AH13" s="3" t="s">
        <v>243</v>
      </c>
      <c r="AI13" s="3" t="s">
        <v>242</v>
      </c>
      <c r="AJ13" s="3" t="s">
        <v>243</v>
      </c>
      <c r="AK13" s="3" t="s">
        <v>242</v>
      </c>
      <c r="AL13" s="3" t="s">
        <v>243</v>
      </c>
      <c r="AM13" s="3" t="s">
        <v>242</v>
      </c>
      <c r="AN13" s="3" t="s">
        <v>243</v>
      </c>
      <c r="AO13" s="3" t="s">
        <v>242</v>
      </c>
      <c r="AP13" s="3" t="s">
        <v>243</v>
      </c>
      <c r="AQ13" s="3" t="s">
        <v>242</v>
      </c>
      <c r="AR13" s="3" t="s">
        <v>244</v>
      </c>
      <c r="AS13" s="3" t="s">
        <v>8697</v>
      </c>
      <c r="AT13" s="3" t="s">
        <v>8698</v>
      </c>
      <c r="AU13" s="3" t="s">
        <v>6400</v>
      </c>
      <c r="AV13" s="3" t="s">
        <v>3564</v>
      </c>
      <c r="AW13" s="3" t="s">
        <v>6401</v>
      </c>
      <c r="AX13" s="3" t="s">
        <v>8699</v>
      </c>
      <c r="AY13" s="3" t="s">
        <v>242</v>
      </c>
      <c r="AZ13" s="3" t="s">
        <v>5173</v>
      </c>
      <c r="BA13" s="3" t="s">
        <v>271</v>
      </c>
      <c r="BB13" s="3" t="s">
        <v>8700</v>
      </c>
      <c r="BC13" s="3" t="s">
        <v>295</v>
      </c>
      <c r="BD13" s="3" t="s">
        <v>8701</v>
      </c>
      <c r="BE13" s="3" t="s">
        <v>575</v>
      </c>
      <c r="BF13" s="3" t="s">
        <v>8702</v>
      </c>
      <c r="BG13" s="3" t="s">
        <v>254</v>
      </c>
      <c r="BH13" s="3" t="s">
        <v>8703</v>
      </c>
      <c r="BI13" s="3" t="s">
        <v>538</v>
      </c>
      <c r="BJ13" s="3" t="s">
        <v>6073</v>
      </c>
      <c r="BK13" s="3" t="s">
        <v>274</v>
      </c>
      <c r="BL13" s="3" t="s">
        <v>8704</v>
      </c>
      <c r="BM13" s="3" t="s">
        <v>519</v>
      </c>
      <c r="BN13" s="3" t="s">
        <v>8705</v>
      </c>
      <c r="BO13" s="3" t="s">
        <v>698</v>
      </c>
      <c r="BP13" s="3" t="s">
        <v>1585</v>
      </c>
      <c r="BQ13" s="3" t="s">
        <v>744</v>
      </c>
      <c r="BR13" s="3" t="s">
        <v>6774</v>
      </c>
      <c r="BS13" s="3" t="s">
        <v>369</v>
      </c>
      <c r="BT13" s="3" t="s">
        <v>2160</v>
      </c>
      <c r="BU13" s="3" t="s">
        <v>287</v>
      </c>
      <c r="BV13" s="3" t="s">
        <v>6242</v>
      </c>
      <c r="BW13" s="3" t="s">
        <v>291</v>
      </c>
      <c r="BX13" s="3" t="s">
        <v>5587</v>
      </c>
      <c r="BY13" s="3" t="s">
        <v>900</v>
      </c>
      <c r="BZ13" s="3" t="s">
        <v>8706</v>
      </c>
      <c r="CA13" s="3" t="s">
        <v>467</v>
      </c>
      <c r="CB13" s="3" t="s">
        <v>8707</v>
      </c>
      <c r="CC13" s="3" t="s">
        <v>287</v>
      </c>
      <c r="CD13" s="3" t="s">
        <v>8110</v>
      </c>
      <c r="CE13" s="3" t="s">
        <v>532</v>
      </c>
      <c r="CF13" s="3" t="s">
        <v>8708</v>
      </c>
      <c r="CG13" s="3" t="s">
        <v>287</v>
      </c>
      <c r="CH13" s="3" t="s">
        <v>8709</v>
      </c>
      <c r="CI13" s="3" t="s">
        <v>291</v>
      </c>
      <c r="CJ13" s="3" t="s">
        <v>8710</v>
      </c>
      <c r="CK13" s="3" t="s">
        <v>356</v>
      </c>
      <c r="CL13" s="3" t="s">
        <v>3775</v>
      </c>
      <c r="CM13" s="3" t="s">
        <v>399</v>
      </c>
      <c r="CN13" s="3" t="s">
        <v>1581</v>
      </c>
      <c r="CO13" s="3" t="s">
        <v>401</v>
      </c>
      <c r="CP13" s="3" t="s">
        <v>8711</v>
      </c>
      <c r="CQ13" s="3" t="s">
        <v>532</v>
      </c>
      <c r="CR13" s="3" t="s">
        <v>7382</v>
      </c>
      <c r="CS13" s="3" t="s">
        <v>779</v>
      </c>
      <c r="CT13" s="3" t="s">
        <v>8712</v>
      </c>
      <c r="CU13" s="3" t="s">
        <v>481</v>
      </c>
      <c r="CV13" s="3" t="s">
        <v>8713</v>
      </c>
      <c r="CW13" s="3" t="s">
        <v>335</v>
      </c>
      <c r="CX13" s="3" t="s">
        <v>8714</v>
      </c>
      <c r="CY13" s="3" t="s">
        <v>399</v>
      </c>
      <c r="CZ13" s="3" t="s">
        <v>8715</v>
      </c>
      <c r="DA13" s="3" t="s">
        <v>242</v>
      </c>
      <c r="DB13" s="3" t="s">
        <v>8716</v>
      </c>
    </row>
    <row r="14" spans="1:106" x14ac:dyDescent="0.35">
      <c r="A14" s="3" t="s">
        <v>8381</v>
      </c>
      <c r="B14" s="3" t="s">
        <v>8717</v>
      </c>
      <c r="C14" s="3"/>
      <c r="D14" s="3" t="s">
        <v>1613</v>
      </c>
      <c r="E14" s="3" t="s">
        <v>6371</v>
      </c>
      <c r="F14" s="3" t="s">
        <v>8718</v>
      </c>
      <c r="G14" s="3" t="s">
        <v>6373</v>
      </c>
      <c r="H14" s="3" t="s">
        <v>8719</v>
      </c>
      <c r="I14" s="3" t="s">
        <v>28</v>
      </c>
      <c r="J14" s="3" t="s">
        <v>2455</v>
      </c>
      <c r="K14" s="3" t="s">
        <v>6387</v>
      </c>
      <c r="L14" s="3" t="s">
        <v>8720</v>
      </c>
      <c r="M14" s="3" t="s">
        <v>20</v>
      </c>
      <c r="N14" s="3" t="s">
        <v>8721</v>
      </c>
      <c r="O14" s="3" t="s">
        <v>8386</v>
      </c>
      <c r="P14" s="3" t="s">
        <v>8722</v>
      </c>
      <c r="Q14" s="3" t="s">
        <v>6391</v>
      </c>
      <c r="R14" s="3" t="s">
        <v>8723</v>
      </c>
      <c r="S14" s="3" t="s">
        <v>29</v>
      </c>
      <c r="T14" s="3" t="s">
        <v>8724</v>
      </c>
      <c r="U14" s="3" t="s">
        <v>29</v>
      </c>
      <c r="V14" s="3" t="s">
        <v>8725</v>
      </c>
      <c r="W14" s="3" t="s">
        <v>242</v>
      </c>
      <c r="X14" s="3" t="s">
        <v>243</v>
      </c>
      <c r="Y14" s="3" t="s">
        <v>29</v>
      </c>
      <c r="Z14" s="3" t="s">
        <v>244</v>
      </c>
      <c r="AA14" s="3" t="s">
        <v>242</v>
      </c>
      <c r="AB14" s="3" t="s">
        <v>243</v>
      </c>
      <c r="AC14" s="3" t="s">
        <v>242</v>
      </c>
      <c r="AD14" s="3" t="s">
        <v>243</v>
      </c>
      <c r="AE14" s="3" t="s">
        <v>242</v>
      </c>
      <c r="AF14" s="3" t="s">
        <v>243</v>
      </c>
      <c r="AG14" s="3" t="s">
        <v>242</v>
      </c>
      <c r="AH14" s="3" t="s">
        <v>243</v>
      </c>
      <c r="AI14" s="3" t="s">
        <v>242</v>
      </c>
      <c r="AJ14" s="3" t="s">
        <v>243</v>
      </c>
      <c r="AK14" s="3" t="s">
        <v>8726</v>
      </c>
      <c r="AL14" s="3" t="s">
        <v>244</v>
      </c>
      <c r="AM14" s="3" t="s">
        <v>2597</v>
      </c>
      <c r="AN14" s="3" t="s">
        <v>3541</v>
      </c>
      <c r="AO14" s="3" t="s">
        <v>32</v>
      </c>
      <c r="AP14" s="3" t="s">
        <v>2985</v>
      </c>
      <c r="AQ14" s="3" t="s">
        <v>242</v>
      </c>
      <c r="AR14" s="3" t="s">
        <v>8304</v>
      </c>
      <c r="AS14" s="3" t="s">
        <v>8727</v>
      </c>
      <c r="AT14" s="3" t="s">
        <v>8728</v>
      </c>
      <c r="AU14" s="3" t="s">
        <v>6400</v>
      </c>
      <c r="AV14" s="3" t="s">
        <v>8729</v>
      </c>
      <c r="AW14" s="3" t="s">
        <v>6401</v>
      </c>
      <c r="AX14" s="3" t="s">
        <v>8730</v>
      </c>
      <c r="AY14" s="3" t="s">
        <v>242</v>
      </c>
      <c r="AZ14" s="3" t="s">
        <v>1770</v>
      </c>
      <c r="BA14" s="3" t="s">
        <v>289</v>
      </c>
      <c r="BB14" s="3" t="s">
        <v>8731</v>
      </c>
      <c r="BC14" s="3" t="s">
        <v>952</v>
      </c>
      <c r="BD14" s="3" t="s">
        <v>8732</v>
      </c>
      <c r="BE14" s="3" t="s">
        <v>575</v>
      </c>
      <c r="BF14" s="3" t="s">
        <v>8733</v>
      </c>
      <c r="BG14" s="3" t="s">
        <v>454</v>
      </c>
      <c r="BH14" s="3" t="s">
        <v>534</v>
      </c>
      <c r="BI14" s="3" t="s">
        <v>575</v>
      </c>
      <c r="BJ14" s="3" t="s">
        <v>2080</v>
      </c>
      <c r="BK14" s="3" t="s">
        <v>358</v>
      </c>
      <c r="BL14" s="3" t="s">
        <v>4876</v>
      </c>
      <c r="BM14" s="3" t="s">
        <v>291</v>
      </c>
      <c r="BN14" s="3" t="s">
        <v>7361</v>
      </c>
      <c r="BO14" s="3" t="s">
        <v>858</v>
      </c>
      <c r="BP14" s="3" t="s">
        <v>8734</v>
      </c>
      <c r="BQ14" s="3" t="s">
        <v>744</v>
      </c>
      <c r="BR14" s="3" t="s">
        <v>8735</v>
      </c>
      <c r="BS14" s="3" t="s">
        <v>473</v>
      </c>
      <c r="BT14" s="3" t="s">
        <v>8736</v>
      </c>
      <c r="BU14" s="3" t="s">
        <v>519</v>
      </c>
      <c r="BV14" s="3" t="s">
        <v>8737</v>
      </c>
      <c r="BW14" s="3" t="s">
        <v>261</v>
      </c>
      <c r="BX14" s="3" t="s">
        <v>8738</v>
      </c>
      <c r="BY14" s="3" t="s">
        <v>519</v>
      </c>
      <c r="BZ14" s="3" t="s">
        <v>6933</v>
      </c>
      <c r="CA14" s="3" t="s">
        <v>575</v>
      </c>
      <c r="CB14" s="3" t="s">
        <v>8739</v>
      </c>
      <c r="CC14" s="3" t="s">
        <v>519</v>
      </c>
      <c r="CD14" s="3" t="s">
        <v>3569</v>
      </c>
      <c r="CE14" s="3" t="s">
        <v>257</v>
      </c>
      <c r="CF14" s="3" t="s">
        <v>2579</v>
      </c>
      <c r="CG14" s="3" t="s">
        <v>752</v>
      </c>
      <c r="CH14" s="3" t="s">
        <v>8740</v>
      </c>
      <c r="CI14" s="3" t="s">
        <v>542</v>
      </c>
      <c r="CJ14" s="3" t="s">
        <v>7757</v>
      </c>
      <c r="CK14" s="3" t="s">
        <v>401</v>
      </c>
      <c r="CL14" s="3" t="s">
        <v>8741</v>
      </c>
      <c r="CM14" s="3" t="s">
        <v>371</v>
      </c>
      <c r="CN14" s="3" t="s">
        <v>713</v>
      </c>
      <c r="CO14" s="3" t="s">
        <v>365</v>
      </c>
      <c r="CP14" s="3" t="s">
        <v>8742</v>
      </c>
      <c r="CQ14" s="3" t="s">
        <v>575</v>
      </c>
      <c r="CR14" s="3" t="s">
        <v>6976</v>
      </c>
      <c r="CS14" s="3" t="s">
        <v>519</v>
      </c>
      <c r="CT14" s="3" t="s">
        <v>1847</v>
      </c>
      <c r="CU14" s="3" t="s">
        <v>473</v>
      </c>
      <c r="CV14" s="3" t="s">
        <v>8743</v>
      </c>
      <c r="CW14" s="3" t="s">
        <v>473</v>
      </c>
      <c r="CX14" s="3" t="s">
        <v>8744</v>
      </c>
      <c r="CY14" s="3" t="s">
        <v>411</v>
      </c>
      <c r="CZ14" s="3" t="s">
        <v>3354</v>
      </c>
      <c r="DA14" s="3" t="s">
        <v>242</v>
      </c>
      <c r="DB14" s="3" t="s">
        <v>8745</v>
      </c>
    </row>
    <row r="15" spans="1:106" x14ac:dyDescent="0.35">
      <c r="A15" s="3" t="s">
        <v>8381</v>
      </c>
      <c r="B15" s="3" t="s">
        <v>8746</v>
      </c>
      <c r="C15" s="3"/>
      <c r="D15" s="3" t="s">
        <v>3490</v>
      </c>
      <c r="E15" s="3" t="s">
        <v>6371</v>
      </c>
      <c r="F15" s="3" t="s">
        <v>4284</v>
      </c>
      <c r="G15" s="3" t="s">
        <v>6373</v>
      </c>
      <c r="H15" s="3" t="s">
        <v>8747</v>
      </c>
      <c r="I15" s="3" t="s">
        <v>28</v>
      </c>
      <c r="J15" s="3" t="s">
        <v>8748</v>
      </c>
      <c r="K15" s="3" t="s">
        <v>6387</v>
      </c>
      <c r="L15" s="3" t="s">
        <v>8749</v>
      </c>
      <c r="M15" s="3" t="s">
        <v>20</v>
      </c>
      <c r="N15" s="3" t="s">
        <v>8750</v>
      </c>
      <c r="O15" s="3" t="s">
        <v>8386</v>
      </c>
      <c r="P15" s="3" t="s">
        <v>8751</v>
      </c>
      <c r="Q15" s="3" t="s">
        <v>6532</v>
      </c>
      <c r="R15" s="3" t="s">
        <v>8752</v>
      </c>
      <c r="S15" s="3" t="s">
        <v>242</v>
      </c>
      <c r="T15" s="3" t="s">
        <v>243</v>
      </c>
      <c r="U15" s="3" t="s">
        <v>242</v>
      </c>
      <c r="V15" s="3" t="s">
        <v>243</v>
      </c>
      <c r="W15" s="3" t="s">
        <v>242</v>
      </c>
      <c r="X15" s="3" t="s">
        <v>243</v>
      </c>
      <c r="Y15" s="3" t="s">
        <v>242</v>
      </c>
      <c r="Z15" s="3" t="s">
        <v>243</v>
      </c>
      <c r="AA15" s="3" t="s">
        <v>242</v>
      </c>
      <c r="AB15" s="3" t="s">
        <v>243</v>
      </c>
      <c r="AC15" s="3" t="s">
        <v>242</v>
      </c>
      <c r="AD15" s="3" t="s">
        <v>243</v>
      </c>
      <c r="AE15" s="3" t="s">
        <v>242</v>
      </c>
      <c r="AF15" s="3" t="s">
        <v>243</v>
      </c>
      <c r="AG15" s="3" t="s">
        <v>242</v>
      </c>
      <c r="AH15" s="3" t="s">
        <v>243</v>
      </c>
      <c r="AI15" s="3" t="s">
        <v>242</v>
      </c>
      <c r="AJ15" s="3" t="s">
        <v>243</v>
      </c>
      <c r="AK15" s="3" t="s">
        <v>242</v>
      </c>
      <c r="AL15" s="3" t="s">
        <v>243</v>
      </c>
      <c r="AM15" s="3" t="s">
        <v>242</v>
      </c>
      <c r="AN15" s="3" t="s">
        <v>243</v>
      </c>
      <c r="AO15" s="3" t="s">
        <v>242</v>
      </c>
      <c r="AP15" s="3" t="s">
        <v>243</v>
      </c>
      <c r="AQ15" s="3" t="s">
        <v>242</v>
      </c>
      <c r="AR15" s="3" t="s">
        <v>244</v>
      </c>
      <c r="AS15" s="3" t="s">
        <v>6398</v>
      </c>
      <c r="AT15" s="3" t="s">
        <v>8753</v>
      </c>
      <c r="AU15" s="3" t="s">
        <v>6400</v>
      </c>
      <c r="AV15" s="3" t="s">
        <v>8754</v>
      </c>
      <c r="AW15" s="3" t="s">
        <v>6401</v>
      </c>
      <c r="AX15" s="3" t="s">
        <v>7614</v>
      </c>
      <c r="AY15" s="3" t="s">
        <v>242</v>
      </c>
      <c r="AZ15" s="3" t="s">
        <v>8755</v>
      </c>
      <c r="BA15" s="3" t="s">
        <v>454</v>
      </c>
      <c r="BB15" s="3" t="s">
        <v>8756</v>
      </c>
      <c r="BC15" s="3" t="s">
        <v>293</v>
      </c>
      <c r="BD15" s="3" t="s">
        <v>8757</v>
      </c>
      <c r="BE15" s="3" t="s">
        <v>289</v>
      </c>
      <c r="BF15" s="3" t="s">
        <v>8758</v>
      </c>
      <c r="BG15" s="3" t="s">
        <v>451</v>
      </c>
      <c r="BH15" s="3" t="s">
        <v>2809</v>
      </c>
      <c r="BI15" s="3" t="s">
        <v>257</v>
      </c>
      <c r="BJ15" s="3" t="s">
        <v>8759</v>
      </c>
      <c r="BK15" s="3" t="s">
        <v>731</v>
      </c>
      <c r="BL15" s="3" t="s">
        <v>8760</v>
      </c>
      <c r="BM15" s="3" t="s">
        <v>369</v>
      </c>
      <c r="BN15" s="3" t="s">
        <v>1272</v>
      </c>
      <c r="BO15" s="3" t="s">
        <v>476</v>
      </c>
      <c r="BP15" s="3" t="s">
        <v>1890</v>
      </c>
      <c r="BQ15" s="3" t="s">
        <v>532</v>
      </c>
      <c r="BR15" s="3" t="s">
        <v>8761</v>
      </c>
      <c r="BS15" s="3" t="s">
        <v>698</v>
      </c>
      <c r="BT15" s="3" t="s">
        <v>711</v>
      </c>
      <c r="BU15" s="3" t="s">
        <v>473</v>
      </c>
      <c r="BV15" s="3" t="s">
        <v>8762</v>
      </c>
      <c r="BW15" s="3" t="s">
        <v>688</v>
      </c>
      <c r="BX15" s="3" t="s">
        <v>6777</v>
      </c>
      <c r="BY15" s="3" t="s">
        <v>481</v>
      </c>
      <c r="BZ15" s="3" t="s">
        <v>8763</v>
      </c>
      <c r="CA15" s="3" t="s">
        <v>698</v>
      </c>
      <c r="CB15" s="3" t="s">
        <v>8764</v>
      </c>
      <c r="CC15" s="3" t="s">
        <v>427</v>
      </c>
      <c r="CD15" s="3" t="s">
        <v>8765</v>
      </c>
      <c r="CE15" s="3" t="s">
        <v>473</v>
      </c>
      <c r="CF15" s="3" t="s">
        <v>8766</v>
      </c>
      <c r="CG15" s="3" t="s">
        <v>291</v>
      </c>
      <c r="CH15" s="3" t="s">
        <v>8767</v>
      </c>
      <c r="CI15" s="3" t="s">
        <v>257</v>
      </c>
      <c r="CJ15" s="3" t="s">
        <v>8768</v>
      </c>
      <c r="CK15" s="3" t="s">
        <v>291</v>
      </c>
      <c r="CL15" s="3" t="s">
        <v>2575</v>
      </c>
      <c r="CM15" s="3" t="s">
        <v>268</v>
      </c>
      <c r="CN15" s="3" t="s">
        <v>4811</v>
      </c>
      <c r="CO15" s="3" t="s">
        <v>291</v>
      </c>
      <c r="CP15" s="3" t="s">
        <v>363</v>
      </c>
      <c r="CQ15" s="3" t="s">
        <v>257</v>
      </c>
      <c r="CR15" s="3" t="s">
        <v>8769</v>
      </c>
      <c r="CS15" s="3" t="s">
        <v>257</v>
      </c>
      <c r="CT15" s="3" t="s">
        <v>8770</v>
      </c>
      <c r="CU15" s="3" t="s">
        <v>454</v>
      </c>
      <c r="CV15" s="3" t="s">
        <v>5485</v>
      </c>
      <c r="CW15" s="3" t="s">
        <v>698</v>
      </c>
      <c r="CX15" s="3" t="s">
        <v>8771</v>
      </c>
      <c r="CY15" s="3" t="s">
        <v>337</v>
      </c>
      <c r="CZ15" s="3" t="s">
        <v>5377</v>
      </c>
      <c r="DA15" s="3" t="s">
        <v>242</v>
      </c>
      <c r="DB15" s="3" t="s">
        <v>8772</v>
      </c>
    </row>
    <row r="16" spans="1:106" x14ac:dyDescent="0.35">
      <c r="A16" s="3" t="s">
        <v>8381</v>
      </c>
      <c r="B16" s="3" t="s">
        <v>8773</v>
      </c>
      <c r="C16" s="3"/>
      <c r="D16" s="3" t="s">
        <v>8774</v>
      </c>
      <c r="E16" s="3" t="s">
        <v>6371</v>
      </c>
      <c r="F16" s="3" t="s">
        <v>8775</v>
      </c>
      <c r="G16" s="3" t="s">
        <v>6373</v>
      </c>
      <c r="H16" s="3" t="s">
        <v>649</v>
      </c>
      <c r="I16" s="3" t="s">
        <v>28</v>
      </c>
      <c r="J16" s="3" t="s">
        <v>8776</v>
      </c>
      <c r="K16" s="3" t="s">
        <v>6387</v>
      </c>
      <c r="L16" s="3" t="s">
        <v>544</v>
      </c>
      <c r="M16" s="3" t="s">
        <v>20</v>
      </c>
      <c r="N16" s="3" t="s">
        <v>8777</v>
      </c>
      <c r="O16" s="3" t="s">
        <v>8386</v>
      </c>
      <c r="P16" s="3" t="s">
        <v>2908</v>
      </c>
      <c r="Q16" s="3" t="s">
        <v>6532</v>
      </c>
      <c r="R16" s="3" t="s">
        <v>8778</v>
      </c>
      <c r="S16" s="3" t="s">
        <v>242</v>
      </c>
      <c r="T16" s="3" t="s">
        <v>243</v>
      </c>
      <c r="U16" s="3" t="s">
        <v>242</v>
      </c>
      <c r="V16" s="3" t="s">
        <v>243</v>
      </c>
      <c r="W16" s="3" t="s">
        <v>242</v>
      </c>
      <c r="X16" s="3" t="s">
        <v>243</v>
      </c>
      <c r="Y16" s="3" t="s">
        <v>242</v>
      </c>
      <c r="Z16" s="3" t="s">
        <v>243</v>
      </c>
      <c r="AA16" s="3" t="s">
        <v>242</v>
      </c>
      <c r="AB16" s="3" t="s">
        <v>243</v>
      </c>
      <c r="AC16" s="3" t="s">
        <v>242</v>
      </c>
      <c r="AD16" s="3" t="s">
        <v>243</v>
      </c>
      <c r="AE16" s="3" t="s">
        <v>242</v>
      </c>
      <c r="AF16" s="3" t="s">
        <v>243</v>
      </c>
      <c r="AG16" s="3" t="s">
        <v>242</v>
      </c>
      <c r="AH16" s="3" t="s">
        <v>243</v>
      </c>
      <c r="AI16" s="3" t="s">
        <v>242</v>
      </c>
      <c r="AJ16" s="3" t="s">
        <v>243</v>
      </c>
      <c r="AK16" s="3" t="s">
        <v>242</v>
      </c>
      <c r="AL16" s="3" t="s">
        <v>243</v>
      </c>
      <c r="AM16" s="3" t="s">
        <v>242</v>
      </c>
      <c r="AN16" s="3" t="s">
        <v>243</v>
      </c>
      <c r="AO16" s="3" t="s">
        <v>242</v>
      </c>
      <c r="AP16" s="3" t="s">
        <v>243</v>
      </c>
      <c r="AQ16" s="3" t="s">
        <v>242</v>
      </c>
      <c r="AR16" s="3" t="s">
        <v>244</v>
      </c>
      <c r="AS16" s="3" t="s">
        <v>1213</v>
      </c>
      <c r="AT16" s="3" t="s">
        <v>8779</v>
      </c>
      <c r="AU16" s="3" t="s">
        <v>6400</v>
      </c>
      <c r="AV16" s="3" t="s">
        <v>7209</v>
      </c>
      <c r="AW16" s="3" t="s">
        <v>6855</v>
      </c>
      <c r="AX16" s="3" t="s">
        <v>8780</v>
      </c>
      <c r="AY16" s="3" t="s">
        <v>242</v>
      </c>
      <c r="AZ16" s="3" t="s">
        <v>8781</v>
      </c>
      <c r="BA16" s="3" t="s">
        <v>393</v>
      </c>
      <c r="BB16" s="3" t="s">
        <v>8782</v>
      </c>
      <c r="BC16" s="3" t="s">
        <v>532</v>
      </c>
      <c r="BD16" s="3" t="s">
        <v>1149</v>
      </c>
      <c r="BE16" s="3" t="s">
        <v>348</v>
      </c>
      <c r="BF16" s="3" t="s">
        <v>8783</v>
      </c>
      <c r="BG16" s="3" t="s">
        <v>414</v>
      </c>
      <c r="BH16" s="3" t="s">
        <v>8784</v>
      </c>
      <c r="BI16" s="3" t="s">
        <v>421</v>
      </c>
      <c r="BJ16" s="3" t="s">
        <v>8785</v>
      </c>
      <c r="BK16" s="3" t="s">
        <v>532</v>
      </c>
      <c r="BL16" s="3" t="s">
        <v>8786</v>
      </c>
      <c r="BM16" s="3" t="s">
        <v>287</v>
      </c>
      <c r="BN16" s="3" t="s">
        <v>8787</v>
      </c>
      <c r="BO16" s="3" t="s">
        <v>427</v>
      </c>
      <c r="BP16" s="3" t="s">
        <v>8788</v>
      </c>
      <c r="BQ16" s="3" t="s">
        <v>591</v>
      </c>
      <c r="BR16" s="3" t="s">
        <v>8789</v>
      </c>
      <c r="BS16" s="3" t="s">
        <v>424</v>
      </c>
      <c r="BT16" s="3" t="s">
        <v>8790</v>
      </c>
      <c r="BU16" s="3" t="s">
        <v>591</v>
      </c>
      <c r="BV16" s="3" t="s">
        <v>8791</v>
      </c>
      <c r="BW16" s="3" t="s">
        <v>467</v>
      </c>
      <c r="BX16" s="3" t="s">
        <v>8690</v>
      </c>
      <c r="BY16" s="3" t="s">
        <v>696</v>
      </c>
      <c r="BZ16" s="3" t="s">
        <v>8792</v>
      </c>
      <c r="CA16" s="3" t="s">
        <v>399</v>
      </c>
      <c r="CB16" s="3" t="s">
        <v>1037</v>
      </c>
      <c r="CC16" s="3" t="s">
        <v>283</v>
      </c>
      <c r="CD16" s="3" t="s">
        <v>8029</v>
      </c>
      <c r="CE16" s="3" t="s">
        <v>371</v>
      </c>
      <c r="CF16" s="3" t="s">
        <v>8793</v>
      </c>
      <c r="CG16" s="3" t="s">
        <v>266</v>
      </c>
      <c r="CH16" s="3" t="s">
        <v>2030</v>
      </c>
      <c r="CI16" s="3" t="s">
        <v>399</v>
      </c>
      <c r="CJ16" s="3" t="s">
        <v>5160</v>
      </c>
      <c r="CK16" s="3" t="s">
        <v>585</v>
      </c>
      <c r="CL16" s="3" t="s">
        <v>8794</v>
      </c>
      <c r="CM16" s="3" t="s">
        <v>399</v>
      </c>
      <c r="CN16" s="3" t="s">
        <v>5576</v>
      </c>
      <c r="CO16" s="3" t="s">
        <v>696</v>
      </c>
      <c r="CP16" s="3" t="s">
        <v>8795</v>
      </c>
      <c r="CQ16" s="3" t="s">
        <v>414</v>
      </c>
      <c r="CR16" s="3" t="s">
        <v>8796</v>
      </c>
      <c r="CS16" s="3" t="s">
        <v>335</v>
      </c>
      <c r="CT16" s="3" t="s">
        <v>6643</v>
      </c>
      <c r="CU16" s="3" t="s">
        <v>408</v>
      </c>
      <c r="CV16" s="3" t="s">
        <v>3707</v>
      </c>
      <c r="CW16" s="3" t="s">
        <v>351</v>
      </c>
      <c r="CX16" s="3" t="s">
        <v>8797</v>
      </c>
      <c r="CY16" s="3" t="s">
        <v>291</v>
      </c>
      <c r="CZ16" s="3" t="s">
        <v>511</v>
      </c>
      <c r="DA16" s="3" t="s">
        <v>242</v>
      </c>
      <c r="DB16" s="3" t="s">
        <v>7803</v>
      </c>
    </row>
    <row r="17" spans="1:106" x14ac:dyDescent="0.35">
      <c r="A17" s="3" t="s">
        <v>8381</v>
      </c>
      <c r="B17" s="3" t="s">
        <v>8798</v>
      </c>
      <c r="C17" s="3"/>
      <c r="D17" s="3" t="s">
        <v>8799</v>
      </c>
      <c r="E17" s="3" t="s">
        <v>6371</v>
      </c>
      <c r="F17" s="3" t="s">
        <v>1524</v>
      </c>
      <c r="G17" s="3" t="s">
        <v>6373</v>
      </c>
      <c r="H17" s="3" t="s">
        <v>8800</v>
      </c>
      <c r="I17" s="3" t="s">
        <v>28</v>
      </c>
      <c r="J17" s="3" t="s">
        <v>4670</v>
      </c>
      <c r="K17" s="3" t="s">
        <v>6387</v>
      </c>
      <c r="L17" s="3" t="s">
        <v>2455</v>
      </c>
      <c r="M17" s="3" t="s">
        <v>20</v>
      </c>
      <c r="N17" s="3" t="s">
        <v>8801</v>
      </c>
      <c r="O17" s="3" t="s">
        <v>8386</v>
      </c>
      <c r="P17" s="3" t="s">
        <v>6937</v>
      </c>
      <c r="Q17" s="3" t="s">
        <v>6532</v>
      </c>
      <c r="R17" s="3" t="s">
        <v>8102</v>
      </c>
      <c r="S17" s="3" t="s">
        <v>242</v>
      </c>
      <c r="T17" s="3" t="s">
        <v>243</v>
      </c>
      <c r="U17" s="3" t="s">
        <v>242</v>
      </c>
      <c r="V17" s="3" t="s">
        <v>243</v>
      </c>
      <c r="W17" s="3" t="s">
        <v>242</v>
      </c>
      <c r="X17" s="3" t="s">
        <v>243</v>
      </c>
      <c r="Y17" s="3" t="s">
        <v>242</v>
      </c>
      <c r="Z17" s="3" t="s">
        <v>243</v>
      </c>
      <c r="AA17" s="3" t="s">
        <v>242</v>
      </c>
      <c r="AB17" s="3" t="s">
        <v>243</v>
      </c>
      <c r="AC17" s="3" t="s">
        <v>242</v>
      </c>
      <c r="AD17" s="3" t="s">
        <v>243</v>
      </c>
      <c r="AE17" s="3" t="s">
        <v>242</v>
      </c>
      <c r="AF17" s="3" t="s">
        <v>243</v>
      </c>
      <c r="AG17" s="3" t="s">
        <v>242</v>
      </c>
      <c r="AH17" s="3" t="s">
        <v>243</v>
      </c>
      <c r="AI17" s="3" t="s">
        <v>242</v>
      </c>
      <c r="AJ17" s="3" t="s">
        <v>243</v>
      </c>
      <c r="AK17" s="3" t="s">
        <v>242</v>
      </c>
      <c r="AL17" s="3" t="s">
        <v>243</v>
      </c>
      <c r="AM17" s="3" t="s">
        <v>242</v>
      </c>
      <c r="AN17" s="3" t="s">
        <v>243</v>
      </c>
      <c r="AO17" s="3" t="s">
        <v>242</v>
      </c>
      <c r="AP17" s="3" t="s">
        <v>243</v>
      </c>
      <c r="AQ17" s="3" t="s">
        <v>242</v>
      </c>
      <c r="AR17" s="3" t="s">
        <v>244</v>
      </c>
      <c r="AS17" s="3" t="s">
        <v>1213</v>
      </c>
      <c r="AT17" s="3" t="s">
        <v>8802</v>
      </c>
      <c r="AU17" s="3" t="s">
        <v>6400</v>
      </c>
      <c r="AV17" s="3" t="s">
        <v>8803</v>
      </c>
      <c r="AW17" s="3" t="s">
        <v>6401</v>
      </c>
      <c r="AX17" s="3" t="s">
        <v>8804</v>
      </c>
      <c r="AY17" s="3" t="s">
        <v>242</v>
      </c>
      <c r="AZ17" s="3" t="s">
        <v>8805</v>
      </c>
      <c r="BA17" s="3" t="s">
        <v>698</v>
      </c>
      <c r="BB17" s="3" t="s">
        <v>8806</v>
      </c>
      <c r="BC17" s="3" t="s">
        <v>411</v>
      </c>
      <c r="BD17" s="3" t="s">
        <v>5754</v>
      </c>
      <c r="BE17" s="3" t="s">
        <v>285</v>
      </c>
      <c r="BF17" s="3" t="s">
        <v>4859</v>
      </c>
      <c r="BG17" s="3" t="s">
        <v>688</v>
      </c>
      <c r="BH17" s="3" t="s">
        <v>8807</v>
      </c>
      <c r="BI17" s="3" t="s">
        <v>519</v>
      </c>
      <c r="BJ17" s="3" t="s">
        <v>8808</v>
      </c>
      <c r="BK17" s="3" t="s">
        <v>698</v>
      </c>
      <c r="BL17" s="3" t="s">
        <v>8809</v>
      </c>
      <c r="BM17" s="3" t="s">
        <v>469</v>
      </c>
      <c r="BN17" s="3" t="s">
        <v>2975</v>
      </c>
      <c r="BO17" s="3" t="s">
        <v>858</v>
      </c>
      <c r="BP17" s="3" t="s">
        <v>8810</v>
      </c>
      <c r="BQ17" s="3" t="s">
        <v>371</v>
      </c>
      <c r="BR17" s="3" t="s">
        <v>1510</v>
      </c>
      <c r="BS17" s="3" t="s">
        <v>395</v>
      </c>
      <c r="BT17" s="3" t="s">
        <v>2904</v>
      </c>
      <c r="BU17" s="3" t="s">
        <v>744</v>
      </c>
      <c r="BV17" s="3" t="s">
        <v>8811</v>
      </c>
      <c r="BW17" s="3" t="s">
        <v>261</v>
      </c>
      <c r="BX17" s="3" t="s">
        <v>2686</v>
      </c>
      <c r="BY17" s="3" t="s">
        <v>365</v>
      </c>
      <c r="BZ17" s="3" t="s">
        <v>8812</v>
      </c>
      <c r="CA17" s="3" t="s">
        <v>698</v>
      </c>
      <c r="CB17" s="3" t="s">
        <v>1000</v>
      </c>
      <c r="CC17" s="3" t="s">
        <v>779</v>
      </c>
      <c r="CD17" s="3" t="s">
        <v>1700</v>
      </c>
      <c r="CE17" s="3" t="s">
        <v>281</v>
      </c>
      <c r="CF17" s="3" t="s">
        <v>8813</v>
      </c>
      <c r="CG17" s="3" t="s">
        <v>744</v>
      </c>
      <c r="CH17" s="3" t="s">
        <v>8814</v>
      </c>
      <c r="CI17" s="3" t="s">
        <v>858</v>
      </c>
      <c r="CJ17" s="3" t="s">
        <v>8815</v>
      </c>
      <c r="CK17" s="3" t="s">
        <v>291</v>
      </c>
      <c r="CL17" s="3" t="s">
        <v>8816</v>
      </c>
      <c r="CM17" s="3" t="s">
        <v>698</v>
      </c>
      <c r="CN17" s="3" t="s">
        <v>8230</v>
      </c>
      <c r="CO17" s="3" t="s">
        <v>393</v>
      </c>
      <c r="CP17" s="3" t="s">
        <v>1732</v>
      </c>
      <c r="CQ17" s="3" t="s">
        <v>467</v>
      </c>
      <c r="CR17" s="3" t="s">
        <v>8817</v>
      </c>
      <c r="CS17" s="3" t="s">
        <v>519</v>
      </c>
      <c r="CT17" s="3" t="s">
        <v>5222</v>
      </c>
      <c r="CU17" s="3" t="s">
        <v>285</v>
      </c>
      <c r="CV17" s="3" t="s">
        <v>8818</v>
      </c>
      <c r="CW17" s="3" t="s">
        <v>291</v>
      </c>
      <c r="CX17" s="3" t="s">
        <v>8518</v>
      </c>
      <c r="CY17" s="3" t="s">
        <v>261</v>
      </c>
      <c r="CZ17" s="3" t="s">
        <v>3375</v>
      </c>
      <c r="DA17" s="3" t="s">
        <v>242</v>
      </c>
      <c r="DB17" s="3" t="s">
        <v>4749</v>
      </c>
    </row>
    <row r="18" spans="1:106" x14ac:dyDescent="0.35">
      <c r="A18" s="3" t="s">
        <v>8381</v>
      </c>
      <c r="B18" s="3" t="s">
        <v>8819</v>
      </c>
      <c r="C18" s="3"/>
      <c r="D18" s="3" t="s">
        <v>8820</v>
      </c>
      <c r="E18" s="3" t="s">
        <v>6371</v>
      </c>
      <c r="F18" s="3" t="s">
        <v>8821</v>
      </c>
      <c r="G18" s="3" t="s">
        <v>6373</v>
      </c>
      <c r="H18" s="3" t="s">
        <v>8822</v>
      </c>
      <c r="I18" s="3" t="s">
        <v>28</v>
      </c>
      <c r="J18" s="3" t="s">
        <v>7523</v>
      </c>
      <c r="K18" s="3" t="s">
        <v>6387</v>
      </c>
      <c r="L18" s="3" t="s">
        <v>1237</v>
      </c>
      <c r="M18" s="3" t="s">
        <v>18</v>
      </c>
      <c r="N18" s="3" t="s">
        <v>1605</v>
      </c>
      <c r="O18" s="3" t="s">
        <v>8386</v>
      </c>
      <c r="P18" s="3" t="s">
        <v>8823</v>
      </c>
      <c r="Q18" s="3" t="s">
        <v>6532</v>
      </c>
      <c r="R18" s="3" t="s">
        <v>6418</v>
      </c>
      <c r="S18" s="3" t="s">
        <v>242</v>
      </c>
      <c r="T18" s="3" t="s">
        <v>243</v>
      </c>
      <c r="U18" s="3" t="s">
        <v>242</v>
      </c>
      <c r="V18" s="3" t="s">
        <v>243</v>
      </c>
      <c r="W18" s="3" t="s">
        <v>242</v>
      </c>
      <c r="X18" s="3" t="s">
        <v>243</v>
      </c>
      <c r="Y18" s="3" t="s">
        <v>242</v>
      </c>
      <c r="Z18" s="3" t="s">
        <v>243</v>
      </c>
      <c r="AA18" s="3" t="s">
        <v>242</v>
      </c>
      <c r="AB18" s="3" t="s">
        <v>243</v>
      </c>
      <c r="AC18" s="3" t="s">
        <v>242</v>
      </c>
      <c r="AD18" s="3" t="s">
        <v>243</v>
      </c>
      <c r="AE18" s="3" t="s">
        <v>242</v>
      </c>
      <c r="AF18" s="3" t="s">
        <v>243</v>
      </c>
      <c r="AG18" s="3" t="s">
        <v>242</v>
      </c>
      <c r="AH18" s="3" t="s">
        <v>243</v>
      </c>
      <c r="AI18" s="3" t="s">
        <v>242</v>
      </c>
      <c r="AJ18" s="3" t="s">
        <v>243</v>
      </c>
      <c r="AK18" s="3" t="s">
        <v>242</v>
      </c>
      <c r="AL18" s="3" t="s">
        <v>243</v>
      </c>
      <c r="AM18" s="3" t="s">
        <v>242</v>
      </c>
      <c r="AN18" s="3" t="s">
        <v>243</v>
      </c>
      <c r="AO18" s="3" t="s">
        <v>242</v>
      </c>
      <c r="AP18" s="3" t="s">
        <v>243</v>
      </c>
      <c r="AQ18" s="3" t="s">
        <v>242</v>
      </c>
      <c r="AR18" s="3" t="s">
        <v>244</v>
      </c>
      <c r="AS18" s="3" t="s">
        <v>679</v>
      </c>
      <c r="AT18" s="3" t="s">
        <v>8824</v>
      </c>
      <c r="AU18" s="3" t="s">
        <v>6400</v>
      </c>
      <c r="AV18" s="3" t="s">
        <v>948</v>
      </c>
      <c r="AW18" s="3" t="s">
        <v>6401</v>
      </c>
      <c r="AX18" s="3" t="s">
        <v>8825</v>
      </c>
      <c r="AY18" s="3" t="s">
        <v>242</v>
      </c>
      <c r="AZ18" s="3" t="s">
        <v>8826</v>
      </c>
      <c r="BA18" s="3" t="s">
        <v>261</v>
      </c>
      <c r="BB18" s="3" t="s">
        <v>8827</v>
      </c>
      <c r="BC18" s="3" t="s">
        <v>952</v>
      </c>
      <c r="BD18" s="3" t="s">
        <v>8828</v>
      </c>
      <c r="BE18" s="3" t="s">
        <v>429</v>
      </c>
      <c r="BF18" s="3" t="s">
        <v>8829</v>
      </c>
      <c r="BG18" s="3" t="s">
        <v>685</v>
      </c>
      <c r="BH18" s="3" t="s">
        <v>8830</v>
      </c>
      <c r="BI18" s="3" t="s">
        <v>367</v>
      </c>
      <c r="BJ18" s="3" t="s">
        <v>8831</v>
      </c>
      <c r="BK18" s="3" t="s">
        <v>685</v>
      </c>
      <c r="BL18" s="3" t="s">
        <v>8832</v>
      </c>
      <c r="BM18" s="3" t="s">
        <v>365</v>
      </c>
      <c r="BN18" s="3" t="s">
        <v>3999</v>
      </c>
      <c r="BO18" s="3" t="s">
        <v>274</v>
      </c>
      <c r="BP18" s="3" t="s">
        <v>8833</v>
      </c>
      <c r="BQ18" s="3" t="s">
        <v>744</v>
      </c>
      <c r="BR18" s="3" t="s">
        <v>8834</v>
      </c>
      <c r="BS18" s="3" t="s">
        <v>698</v>
      </c>
      <c r="BT18" s="3" t="s">
        <v>8835</v>
      </c>
      <c r="BU18" s="3" t="s">
        <v>335</v>
      </c>
      <c r="BV18" s="3" t="s">
        <v>8836</v>
      </c>
      <c r="BW18" s="3" t="s">
        <v>454</v>
      </c>
      <c r="BX18" s="3" t="s">
        <v>8837</v>
      </c>
      <c r="BY18" s="3" t="s">
        <v>335</v>
      </c>
      <c r="BZ18" s="3" t="s">
        <v>4643</v>
      </c>
      <c r="CA18" s="3" t="s">
        <v>261</v>
      </c>
      <c r="CB18" s="3" t="s">
        <v>6241</v>
      </c>
      <c r="CC18" s="3" t="s">
        <v>335</v>
      </c>
      <c r="CD18" s="3" t="s">
        <v>6433</v>
      </c>
      <c r="CE18" s="3" t="s">
        <v>268</v>
      </c>
      <c r="CF18" s="3" t="s">
        <v>7744</v>
      </c>
      <c r="CG18" s="3" t="s">
        <v>779</v>
      </c>
      <c r="CH18" s="3" t="s">
        <v>8838</v>
      </c>
      <c r="CI18" s="3" t="s">
        <v>285</v>
      </c>
      <c r="CJ18" s="3" t="s">
        <v>8839</v>
      </c>
      <c r="CK18" s="3" t="s">
        <v>287</v>
      </c>
      <c r="CL18" s="3" t="s">
        <v>8840</v>
      </c>
      <c r="CM18" s="3" t="s">
        <v>575</v>
      </c>
      <c r="CN18" s="3" t="s">
        <v>8841</v>
      </c>
      <c r="CO18" s="3" t="s">
        <v>538</v>
      </c>
      <c r="CP18" s="3" t="s">
        <v>2507</v>
      </c>
      <c r="CQ18" s="3" t="s">
        <v>449</v>
      </c>
      <c r="CR18" s="3" t="s">
        <v>2033</v>
      </c>
      <c r="CS18" s="3" t="s">
        <v>285</v>
      </c>
      <c r="CT18" s="3" t="s">
        <v>8842</v>
      </c>
      <c r="CU18" s="3" t="s">
        <v>261</v>
      </c>
      <c r="CV18" s="3" t="s">
        <v>8843</v>
      </c>
      <c r="CW18" s="3" t="s">
        <v>449</v>
      </c>
      <c r="CX18" s="3" t="s">
        <v>8844</v>
      </c>
      <c r="CY18" s="3" t="s">
        <v>289</v>
      </c>
      <c r="CZ18" s="3" t="s">
        <v>8845</v>
      </c>
      <c r="DA18" s="3" t="s">
        <v>242</v>
      </c>
      <c r="DB18" s="3" t="s">
        <v>7095</v>
      </c>
    </row>
    <row r="19" spans="1:106" x14ac:dyDescent="0.35">
      <c r="A19" s="3" t="s">
        <v>8381</v>
      </c>
      <c r="B19" s="3" t="s">
        <v>8846</v>
      </c>
      <c r="C19" s="3"/>
      <c r="D19" s="3" t="s">
        <v>7425</v>
      </c>
      <c r="E19" s="3" t="s">
        <v>6371</v>
      </c>
      <c r="F19" s="3" t="s">
        <v>8847</v>
      </c>
      <c r="G19" s="3" t="s">
        <v>6373</v>
      </c>
      <c r="H19" s="3" t="s">
        <v>3740</v>
      </c>
      <c r="I19" s="3" t="s">
        <v>28</v>
      </c>
      <c r="J19" s="3" t="s">
        <v>7602</v>
      </c>
      <c r="K19" s="3" t="s">
        <v>6387</v>
      </c>
      <c r="L19" s="3" t="s">
        <v>5202</v>
      </c>
      <c r="M19" s="3" t="s">
        <v>20</v>
      </c>
      <c r="N19" s="3" t="s">
        <v>8848</v>
      </c>
      <c r="O19" s="3" t="s">
        <v>8386</v>
      </c>
      <c r="P19" s="3" t="s">
        <v>8849</v>
      </c>
      <c r="Q19" s="3" t="s">
        <v>6532</v>
      </c>
      <c r="R19" s="3" t="s">
        <v>7642</v>
      </c>
      <c r="S19" s="3" t="s">
        <v>242</v>
      </c>
      <c r="T19" s="3" t="s">
        <v>243</v>
      </c>
      <c r="U19" s="3" t="s">
        <v>242</v>
      </c>
      <c r="V19" s="3" t="s">
        <v>243</v>
      </c>
      <c r="W19" s="3" t="s">
        <v>242</v>
      </c>
      <c r="X19" s="3" t="s">
        <v>243</v>
      </c>
      <c r="Y19" s="3" t="s">
        <v>242</v>
      </c>
      <c r="Z19" s="3" t="s">
        <v>243</v>
      </c>
      <c r="AA19" s="3" t="s">
        <v>242</v>
      </c>
      <c r="AB19" s="3" t="s">
        <v>243</v>
      </c>
      <c r="AC19" s="3" t="s">
        <v>242</v>
      </c>
      <c r="AD19" s="3" t="s">
        <v>243</v>
      </c>
      <c r="AE19" s="3" t="s">
        <v>242</v>
      </c>
      <c r="AF19" s="3" t="s">
        <v>243</v>
      </c>
      <c r="AG19" s="3" t="s">
        <v>242</v>
      </c>
      <c r="AH19" s="3" t="s">
        <v>243</v>
      </c>
      <c r="AI19" s="3" t="s">
        <v>242</v>
      </c>
      <c r="AJ19" s="3" t="s">
        <v>243</v>
      </c>
      <c r="AK19" s="3" t="s">
        <v>242</v>
      </c>
      <c r="AL19" s="3" t="s">
        <v>243</v>
      </c>
      <c r="AM19" s="3" t="s">
        <v>242</v>
      </c>
      <c r="AN19" s="3" t="s">
        <v>243</v>
      </c>
      <c r="AO19" s="3" t="s">
        <v>242</v>
      </c>
      <c r="AP19" s="3" t="s">
        <v>243</v>
      </c>
      <c r="AQ19" s="3" t="s">
        <v>242</v>
      </c>
      <c r="AR19" s="3" t="s">
        <v>244</v>
      </c>
      <c r="AS19" s="3" t="s">
        <v>8850</v>
      </c>
      <c r="AT19" s="3" t="s">
        <v>8851</v>
      </c>
      <c r="AU19" s="3" t="s">
        <v>6400</v>
      </c>
      <c r="AV19" s="3" t="s">
        <v>7368</v>
      </c>
      <c r="AW19" s="3" t="s">
        <v>6401</v>
      </c>
      <c r="AX19" s="3" t="s">
        <v>8852</v>
      </c>
      <c r="AY19" s="3" t="s">
        <v>242</v>
      </c>
      <c r="AZ19" s="3" t="s">
        <v>2988</v>
      </c>
      <c r="BA19" s="3" t="s">
        <v>519</v>
      </c>
      <c r="BB19" s="3" t="s">
        <v>4664</v>
      </c>
      <c r="BC19" s="3" t="s">
        <v>289</v>
      </c>
      <c r="BD19" s="3" t="s">
        <v>8853</v>
      </c>
      <c r="BE19" s="3" t="s">
        <v>532</v>
      </c>
      <c r="BF19" s="3" t="s">
        <v>5348</v>
      </c>
      <c r="BG19" s="3" t="s">
        <v>408</v>
      </c>
      <c r="BH19" s="3" t="s">
        <v>8470</v>
      </c>
      <c r="BI19" s="3" t="s">
        <v>399</v>
      </c>
      <c r="BJ19" s="3" t="s">
        <v>4408</v>
      </c>
      <c r="BK19" s="3" t="s">
        <v>399</v>
      </c>
      <c r="BL19" s="3" t="s">
        <v>4176</v>
      </c>
      <c r="BM19" s="3" t="s">
        <v>449</v>
      </c>
      <c r="BN19" s="3" t="s">
        <v>8854</v>
      </c>
      <c r="BO19" s="3" t="s">
        <v>467</v>
      </c>
      <c r="BP19" s="3" t="s">
        <v>8855</v>
      </c>
      <c r="BQ19" s="3" t="s">
        <v>257</v>
      </c>
      <c r="BR19" s="3" t="s">
        <v>2725</v>
      </c>
      <c r="BS19" s="3" t="s">
        <v>405</v>
      </c>
      <c r="BT19" s="3" t="s">
        <v>6892</v>
      </c>
      <c r="BU19" s="3" t="s">
        <v>408</v>
      </c>
      <c r="BV19" s="3" t="s">
        <v>8856</v>
      </c>
      <c r="BW19" s="3" t="s">
        <v>473</v>
      </c>
      <c r="BX19" s="3" t="s">
        <v>8857</v>
      </c>
      <c r="BY19" s="3" t="s">
        <v>779</v>
      </c>
      <c r="BZ19" s="3" t="s">
        <v>8858</v>
      </c>
      <c r="CA19" s="3" t="s">
        <v>467</v>
      </c>
      <c r="CB19" s="3" t="s">
        <v>7685</v>
      </c>
      <c r="CC19" s="3" t="s">
        <v>339</v>
      </c>
      <c r="CD19" s="3" t="s">
        <v>8859</v>
      </c>
      <c r="CE19" s="3" t="s">
        <v>360</v>
      </c>
      <c r="CF19" s="3" t="s">
        <v>8860</v>
      </c>
      <c r="CG19" s="3" t="s">
        <v>900</v>
      </c>
      <c r="CH19" s="3" t="s">
        <v>8861</v>
      </c>
      <c r="CI19" s="3" t="s">
        <v>393</v>
      </c>
      <c r="CJ19" s="3" t="s">
        <v>8862</v>
      </c>
      <c r="CK19" s="3" t="s">
        <v>900</v>
      </c>
      <c r="CL19" s="3" t="s">
        <v>8863</v>
      </c>
      <c r="CM19" s="3" t="s">
        <v>427</v>
      </c>
      <c r="CN19" s="3" t="s">
        <v>4670</v>
      </c>
      <c r="CO19" s="3" t="s">
        <v>421</v>
      </c>
      <c r="CP19" s="3" t="s">
        <v>8864</v>
      </c>
      <c r="CQ19" s="3" t="s">
        <v>469</v>
      </c>
      <c r="CR19" s="3" t="s">
        <v>8865</v>
      </c>
      <c r="CS19" s="3" t="s">
        <v>595</v>
      </c>
      <c r="CT19" s="3" t="s">
        <v>4392</v>
      </c>
      <c r="CU19" s="3" t="s">
        <v>291</v>
      </c>
      <c r="CV19" s="3" t="s">
        <v>4632</v>
      </c>
      <c r="CW19" s="3" t="s">
        <v>335</v>
      </c>
      <c r="CX19" s="3" t="s">
        <v>4870</v>
      </c>
      <c r="CY19" s="3" t="s">
        <v>542</v>
      </c>
      <c r="CZ19" s="3" t="s">
        <v>8866</v>
      </c>
      <c r="DA19" s="3" t="s">
        <v>242</v>
      </c>
      <c r="DB19" s="3" t="s">
        <v>8867</v>
      </c>
    </row>
    <row r="20" spans="1:106" x14ac:dyDescent="0.35">
      <c r="A20" s="3" t="s">
        <v>8381</v>
      </c>
      <c r="B20" s="3" t="s">
        <v>8868</v>
      </c>
      <c r="C20" s="3"/>
      <c r="D20" s="3" t="s">
        <v>8869</v>
      </c>
      <c r="E20" s="3" t="s">
        <v>6371</v>
      </c>
      <c r="F20" s="3" t="s">
        <v>8870</v>
      </c>
      <c r="G20" s="3" t="s">
        <v>6373</v>
      </c>
      <c r="H20" s="3" t="s">
        <v>8871</v>
      </c>
      <c r="I20" s="3" t="s">
        <v>28</v>
      </c>
      <c r="J20" s="3" t="s">
        <v>8872</v>
      </c>
      <c r="K20" s="3" t="s">
        <v>6387</v>
      </c>
      <c r="L20" s="3" t="s">
        <v>1039</v>
      </c>
      <c r="M20" s="3" t="s">
        <v>20</v>
      </c>
      <c r="N20" s="3" t="s">
        <v>8873</v>
      </c>
      <c r="O20" s="3" t="s">
        <v>8386</v>
      </c>
      <c r="P20" s="3" t="s">
        <v>8874</v>
      </c>
      <c r="Q20" s="3" t="s">
        <v>6391</v>
      </c>
      <c r="R20" s="3" t="s">
        <v>3683</v>
      </c>
      <c r="S20" s="3" t="s">
        <v>29</v>
      </c>
      <c r="T20" s="3" t="s">
        <v>3614</v>
      </c>
      <c r="U20" s="3" t="s">
        <v>29</v>
      </c>
      <c r="V20" s="3" t="s">
        <v>4890</v>
      </c>
      <c r="W20" s="3" t="s">
        <v>242</v>
      </c>
      <c r="X20" s="3" t="s">
        <v>243</v>
      </c>
      <c r="Y20" s="3" t="s">
        <v>33</v>
      </c>
      <c r="Z20" s="3" t="s">
        <v>244</v>
      </c>
      <c r="AA20" s="3" t="s">
        <v>7256</v>
      </c>
      <c r="AB20" s="3" t="s">
        <v>3784</v>
      </c>
      <c r="AC20" s="3" t="s">
        <v>6440</v>
      </c>
      <c r="AD20" s="3" t="s">
        <v>2288</v>
      </c>
      <c r="AE20" s="3" t="s">
        <v>28</v>
      </c>
      <c r="AF20" s="3" t="s">
        <v>8875</v>
      </c>
      <c r="AG20" s="3" t="s">
        <v>6494</v>
      </c>
      <c r="AH20" s="3" t="s">
        <v>4976</v>
      </c>
      <c r="AI20" s="3" t="s">
        <v>8876</v>
      </c>
      <c r="AJ20" s="3" t="s">
        <v>5989</v>
      </c>
      <c r="AK20" s="3" t="s">
        <v>8877</v>
      </c>
      <c r="AL20" s="3" t="s">
        <v>8878</v>
      </c>
      <c r="AM20" s="3" t="s">
        <v>1760</v>
      </c>
      <c r="AN20" s="3" t="s">
        <v>8879</v>
      </c>
      <c r="AO20" s="3" t="s">
        <v>32</v>
      </c>
      <c r="AP20" s="3" t="s">
        <v>8880</v>
      </c>
      <c r="AQ20" s="3" t="s">
        <v>242</v>
      </c>
      <c r="AR20" s="3" t="s">
        <v>8881</v>
      </c>
      <c r="AS20" s="3" t="s">
        <v>7982</v>
      </c>
      <c r="AT20" s="3" t="s">
        <v>8882</v>
      </c>
      <c r="AU20" s="3" t="s">
        <v>6400</v>
      </c>
      <c r="AV20" s="3" t="s">
        <v>2335</v>
      </c>
      <c r="AW20" s="3" t="s">
        <v>6401</v>
      </c>
      <c r="AX20" s="3" t="s">
        <v>7098</v>
      </c>
      <c r="AY20" s="3" t="s">
        <v>242</v>
      </c>
      <c r="AZ20" s="3" t="s">
        <v>8883</v>
      </c>
      <c r="BA20" s="3" t="s">
        <v>360</v>
      </c>
      <c r="BB20" s="3" t="s">
        <v>8884</v>
      </c>
      <c r="BC20" s="3" t="s">
        <v>952</v>
      </c>
      <c r="BD20" s="3" t="s">
        <v>8885</v>
      </c>
      <c r="BE20" s="3" t="s">
        <v>360</v>
      </c>
      <c r="BF20" s="3" t="s">
        <v>8886</v>
      </c>
      <c r="BG20" s="3" t="s">
        <v>698</v>
      </c>
      <c r="BH20" s="3" t="s">
        <v>3778</v>
      </c>
      <c r="BI20" s="3" t="s">
        <v>397</v>
      </c>
      <c r="BJ20" s="3" t="s">
        <v>8887</v>
      </c>
      <c r="BK20" s="3" t="s">
        <v>344</v>
      </c>
      <c r="BL20" s="3" t="s">
        <v>8767</v>
      </c>
      <c r="BM20" s="3" t="s">
        <v>339</v>
      </c>
      <c r="BN20" s="3" t="s">
        <v>8888</v>
      </c>
      <c r="BO20" s="3" t="s">
        <v>405</v>
      </c>
      <c r="BP20" s="3" t="s">
        <v>5365</v>
      </c>
      <c r="BQ20" s="3" t="s">
        <v>528</v>
      </c>
      <c r="BR20" s="3" t="s">
        <v>1395</v>
      </c>
      <c r="BS20" s="3" t="s">
        <v>731</v>
      </c>
      <c r="BT20" s="3" t="s">
        <v>2719</v>
      </c>
      <c r="BU20" s="3" t="s">
        <v>900</v>
      </c>
      <c r="BV20" s="3" t="s">
        <v>2065</v>
      </c>
      <c r="BW20" s="3" t="s">
        <v>1131</v>
      </c>
      <c r="BX20" s="3" t="s">
        <v>8889</v>
      </c>
      <c r="BY20" s="3" t="s">
        <v>900</v>
      </c>
      <c r="BZ20" s="3" t="s">
        <v>8890</v>
      </c>
      <c r="CA20" s="3" t="s">
        <v>254</v>
      </c>
      <c r="CB20" s="3" t="s">
        <v>8891</v>
      </c>
      <c r="CC20" s="3" t="s">
        <v>528</v>
      </c>
      <c r="CD20" s="3" t="s">
        <v>8892</v>
      </c>
      <c r="CE20" s="3" t="s">
        <v>858</v>
      </c>
      <c r="CF20" s="3" t="s">
        <v>8893</v>
      </c>
      <c r="CG20" s="3" t="s">
        <v>348</v>
      </c>
      <c r="CH20" s="3" t="s">
        <v>2124</v>
      </c>
      <c r="CI20" s="3" t="s">
        <v>429</v>
      </c>
      <c r="CJ20" s="3" t="s">
        <v>8042</v>
      </c>
      <c r="CK20" s="3" t="s">
        <v>335</v>
      </c>
      <c r="CL20" s="3" t="s">
        <v>6273</v>
      </c>
      <c r="CM20" s="3" t="s">
        <v>268</v>
      </c>
      <c r="CN20" s="3" t="s">
        <v>8894</v>
      </c>
      <c r="CO20" s="3" t="s">
        <v>469</v>
      </c>
      <c r="CP20" s="3" t="s">
        <v>8895</v>
      </c>
      <c r="CQ20" s="3" t="s">
        <v>698</v>
      </c>
      <c r="CR20" s="3" t="s">
        <v>8896</v>
      </c>
      <c r="CS20" s="3" t="s">
        <v>365</v>
      </c>
      <c r="CT20" s="3" t="s">
        <v>8897</v>
      </c>
      <c r="CU20" s="3" t="s">
        <v>271</v>
      </c>
      <c r="CV20" s="3" t="s">
        <v>7070</v>
      </c>
      <c r="CW20" s="3" t="s">
        <v>360</v>
      </c>
      <c r="CX20" s="3" t="s">
        <v>8898</v>
      </c>
      <c r="CY20" s="3" t="s">
        <v>369</v>
      </c>
      <c r="CZ20" s="3" t="s">
        <v>8899</v>
      </c>
      <c r="DA20" s="3" t="s">
        <v>242</v>
      </c>
      <c r="DB20" s="3" t="s">
        <v>2545</v>
      </c>
    </row>
    <row r="21" spans="1:106" x14ac:dyDescent="0.35">
      <c r="A21" s="3" t="s">
        <v>8381</v>
      </c>
      <c r="B21" s="3" t="s">
        <v>8900</v>
      </c>
      <c r="C21" s="3"/>
      <c r="D21" s="3" t="s">
        <v>8901</v>
      </c>
      <c r="E21" s="3" t="s">
        <v>6371</v>
      </c>
      <c r="F21" s="3" t="s">
        <v>3770</v>
      </c>
      <c r="G21" s="3" t="s">
        <v>6373</v>
      </c>
      <c r="H21" s="3" t="s">
        <v>8902</v>
      </c>
      <c r="I21" s="3" t="s">
        <v>28</v>
      </c>
      <c r="J21" s="3" t="s">
        <v>8903</v>
      </c>
      <c r="K21" s="3" t="s">
        <v>6387</v>
      </c>
      <c r="L21" s="3" t="s">
        <v>4904</v>
      </c>
      <c r="M21" s="3" t="s">
        <v>20</v>
      </c>
      <c r="N21" s="3" t="s">
        <v>3824</v>
      </c>
      <c r="O21" s="3" t="s">
        <v>8386</v>
      </c>
      <c r="P21" s="3" t="s">
        <v>6968</v>
      </c>
      <c r="Q21" s="3" t="s">
        <v>6532</v>
      </c>
      <c r="R21" s="3" t="s">
        <v>8904</v>
      </c>
      <c r="S21" s="3" t="s">
        <v>242</v>
      </c>
      <c r="T21" s="3" t="s">
        <v>243</v>
      </c>
      <c r="U21" s="3" t="s">
        <v>242</v>
      </c>
      <c r="V21" s="3" t="s">
        <v>243</v>
      </c>
      <c r="W21" s="3" t="s">
        <v>242</v>
      </c>
      <c r="X21" s="3" t="s">
        <v>243</v>
      </c>
      <c r="Y21" s="3" t="s">
        <v>242</v>
      </c>
      <c r="Z21" s="3" t="s">
        <v>243</v>
      </c>
      <c r="AA21" s="3" t="s">
        <v>242</v>
      </c>
      <c r="AB21" s="3" t="s">
        <v>243</v>
      </c>
      <c r="AC21" s="3" t="s">
        <v>242</v>
      </c>
      <c r="AD21" s="3" t="s">
        <v>243</v>
      </c>
      <c r="AE21" s="3" t="s">
        <v>242</v>
      </c>
      <c r="AF21" s="3" t="s">
        <v>243</v>
      </c>
      <c r="AG21" s="3" t="s">
        <v>242</v>
      </c>
      <c r="AH21" s="3" t="s">
        <v>243</v>
      </c>
      <c r="AI21" s="3" t="s">
        <v>242</v>
      </c>
      <c r="AJ21" s="3" t="s">
        <v>243</v>
      </c>
      <c r="AK21" s="3" t="s">
        <v>242</v>
      </c>
      <c r="AL21" s="3" t="s">
        <v>243</v>
      </c>
      <c r="AM21" s="3" t="s">
        <v>242</v>
      </c>
      <c r="AN21" s="3" t="s">
        <v>243</v>
      </c>
      <c r="AO21" s="3" t="s">
        <v>242</v>
      </c>
      <c r="AP21" s="3" t="s">
        <v>243</v>
      </c>
      <c r="AQ21" s="3" t="s">
        <v>242</v>
      </c>
      <c r="AR21" s="3" t="s">
        <v>244</v>
      </c>
      <c r="AS21" s="3" t="s">
        <v>8389</v>
      </c>
      <c r="AT21" s="3" t="s">
        <v>8905</v>
      </c>
      <c r="AU21" s="3" t="s">
        <v>6400</v>
      </c>
      <c r="AV21" s="3" t="s">
        <v>8906</v>
      </c>
      <c r="AW21" s="3" t="s">
        <v>6401</v>
      </c>
      <c r="AX21" s="3" t="s">
        <v>8907</v>
      </c>
      <c r="AY21" s="3" t="s">
        <v>242</v>
      </c>
      <c r="AZ21" s="3" t="s">
        <v>8908</v>
      </c>
      <c r="BA21" s="3" t="s">
        <v>295</v>
      </c>
      <c r="BB21" s="3" t="s">
        <v>8909</v>
      </c>
      <c r="BC21" s="3" t="s">
        <v>295</v>
      </c>
      <c r="BD21" s="3" t="s">
        <v>8910</v>
      </c>
      <c r="BE21" s="3" t="s">
        <v>295</v>
      </c>
      <c r="BF21" s="3" t="s">
        <v>7754</v>
      </c>
      <c r="BG21" s="3" t="s">
        <v>295</v>
      </c>
      <c r="BH21" s="3" t="s">
        <v>8911</v>
      </c>
      <c r="BI21" s="3" t="s">
        <v>295</v>
      </c>
      <c r="BJ21" s="3" t="s">
        <v>8912</v>
      </c>
      <c r="BK21" s="3" t="s">
        <v>295</v>
      </c>
      <c r="BL21" s="3" t="s">
        <v>8913</v>
      </c>
      <c r="BM21" s="3" t="s">
        <v>519</v>
      </c>
      <c r="BN21" s="3" t="s">
        <v>3249</v>
      </c>
      <c r="BO21" s="3" t="s">
        <v>295</v>
      </c>
      <c r="BP21" s="3" t="s">
        <v>8914</v>
      </c>
      <c r="BQ21" s="3" t="s">
        <v>295</v>
      </c>
      <c r="BR21" s="3" t="s">
        <v>8431</v>
      </c>
      <c r="BS21" s="3" t="s">
        <v>295</v>
      </c>
      <c r="BT21" s="3" t="s">
        <v>6127</v>
      </c>
      <c r="BU21" s="3" t="s">
        <v>295</v>
      </c>
      <c r="BV21" s="3" t="s">
        <v>4232</v>
      </c>
      <c r="BW21" s="3" t="s">
        <v>295</v>
      </c>
      <c r="BX21" s="3" t="s">
        <v>543</v>
      </c>
      <c r="BY21" s="3" t="s">
        <v>295</v>
      </c>
      <c r="BZ21" s="3" t="s">
        <v>8915</v>
      </c>
      <c r="CA21" s="3" t="s">
        <v>295</v>
      </c>
      <c r="CB21" s="3" t="s">
        <v>8916</v>
      </c>
      <c r="CC21" s="3" t="s">
        <v>295</v>
      </c>
      <c r="CD21" s="3" t="s">
        <v>8917</v>
      </c>
      <c r="CE21" s="3" t="s">
        <v>295</v>
      </c>
      <c r="CF21" s="3" t="s">
        <v>3916</v>
      </c>
      <c r="CG21" s="3" t="s">
        <v>295</v>
      </c>
      <c r="CH21" s="3" t="s">
        <v>6587</v>
      </c>
      <c r="CI21" s="3" t="s">
        <v>295</v>
      </c>
      <c r="CJ21" s="3" t="s">
        <v>2962</v>
      </c>
      <c r="CK21" s="3" t="s">
        <v>295</v>
      </c>
      <c r="CL21" s="3" t="s">
        <v>8918</v>
      </c>
      <c r="CM21" s="3" t="s">
        <v>295</v>
      </c>
      <c r="CN21" s="3" t="s">
        <v>6383</v>
      </c>
      <c r="CO21" s="3" t="s">
        <v>295</v>
      </c>
      <c r="CP21" s="3" t="s">
        <v>8919</v>
      </c>
      <c r="CQ21" s="3" t="s">
        <v>295</v>
      </c>
      <c r="CR21" s="3" t="s">
        <v>5773</v>
      </c>
      <c r="CS21" s="3" t="s">
        <v>295</v>
      </c>
      <c r="CT21" s="3" t="s">
        <v>2463</v>
      </c>
      <c r="CU21" s="3" t="s">
        <v>295</v>
      </c>
      <c r="CV21" s="3" t="s">
        <v>8920</v>
      </c>
      <c r="CW21" s="3" t="s">
        <v>295</v>
      </c>
      <c r="CX21" s="3" t="s">
        <v>7723</v>
      </c>
      <c r="CY21" s="3" t="s">
        <v>295</v>
      </c>
      <c r="CZ21" s="3" t="s">
        <v>2329</v>
      </c>
      <c r="DA21" s="3" t="s">
        <v>242</v>
      </c>
      <c r="DB21" s="3" t="s">
        <v>8921</v>
      </c>
    </row>
    <row r="22" spans="1:106" x14ac:dyDescent="0.35">
      <c r="A22" s="3" t="s">
        <v>8922</v>
      </c>
      <c r="B22" s="3" t="s">
        <v>8923</v>
      </c>
      <c r="C22" s="3"/>
      <c r="D22" s="3" t="s">
        <v>8924</v>
      </c>
      <c r="E22" s="3" t="s">
        <v>6371</v>
      </c>
      <c r="F22" s="3" t="s">
        <v>8925</v>
      </c>
      <c r="G22" s="3" t="s">
        <v>6373</v>
      </c>
      <c r="H22" s="3" t="s">
        <v>4776</v>
      </c>
      <c r="I22" s="3" t="s">
        <v>28</v>
      </c>
      <c r="J22" s="3" t="s">
        <v>8926</v>
      </c>
      <c r="K22" s="3" t="s">
        <v>6387</v>
      </c>
      <c r="L22" s="3" t="s">
        <v>3391</v>
      </c>
      <c r="M22" s="3" t="s">
        <v>18</v>
      </c>
      <c r="N22" s="3" t="s">
        <v>8927</v>
      </c>
      <c r="O22" s="3" t="s">
        <v>8928</v>
      </c>
      <c r="P22" s="3" t="s">
        <v>6032</v>
      </c>
      <c r="Q22" s="3" t="s">
        <v>6391</v>
      </c>
      <c r="R22" s="3" t="s">
        <v>8929</v>
      </c>
      <c r="S22" s="3" t="s">
        <v>29</v>
      </c>
      <c r="T22" s="3" t="s">
        <v>8930</v>
      </c>
      <c r="U22" s="3" t="s">
        <v>29</v>
      </c>
      <c r="V22" s="3" t="s">
        <v>8931</v>
      </c>
      <c r="W22" s="3" t="s">
        <v>242</v>
      </c>
      <c r="X22" s="3" t="s">
        <v>243</v>
      </c>
      <c r="Y22" s="3" t="s">
        <v>33</v>
      </c>
      <c r="Z22" s="3" t="s">
        <v>244</v>
      </c>
      <c r="AA22" s="3" t="s">
        <v>6438</v>
      </c>
      <c r="AB22" s="3" t="s">
        <v>8932</v>
      </c>
      <c r="AC22" s="3" t="s">
        <v>6440</v>
      </c>
      <c r="AD22" s="3" t="s">
        <v>8933</v>
      </c>
      <c r="AE22" s="3" t="s">
        <v>29</v>
      </c>
      <c r="AF22" s="3" t="s">
        <v>8934</v>
      </c>
      <c r="AG22" s="3" t="s">
        <v>6494</v>
      </c>
      <c r="AH22" s="3" t="s">
        <v>6514</v>
      </c>
      <c r="AI22" s="3" t="s">
        <v>8935</v>
      </c>
      <c r="AJ22" s="3" t="s">
        <v>8936</v>
      </c>
      <c r="AK22" s="3" t="s">
        <v>8937</v>
      </c>
      <c r="AL22" s="3" t="s">
        <v>1914</v>
      </c>
      <c r="AM22" s="3" t="s">
        <v>4254</v>
      </c>
      <c r="AN22" s="3" t="s">
        <v>8938</v>
      </c>
      <c r="AO22" s="3" t="s">
        <v>32</v>
      </c>
      <c r="AP22" s="3" t="s">
        <v>8939</v>
      </c>
      <c r="AQ22" s="3" t="s">
        <v>242</v>
      </c>
      <c r="AR22" s="3" t="s">
        <v>8940</v>
      </c>
      <c r="AS22" s="3" t="s">
        <v>8941</v>
      </c>
      <c r="AT22" s="3" t="s">
        <v>8942</v>
      </c>
      <c r="AU22" s="3" t="s">
        <v>6400</v>
      </c>
      <c r="AV22" s="3" t="s">
        <v>6665</v>
      </c>
      <c r="AW22" s="3" t="s">
        <v>6401</v>
      </c>
      <c r="AX22" s="3" t="s">
        <v>8828</v>
      </c>
      <c r="AY22" s="3" t="s">
        <v>242</v>
      </c>
      <c r="AZ22" s="3" t="s">
        <v>8943</v>
      </c>
      <c r="BA22" s="3" t="s">
        <v>532</v>
      </c>
      <c r="BB22" s="3" t="s">
        <v>8944</v>
      </c>
      <c r="BC22" s="3" t="s">
        <v>473</v>
      </c>
      <c r="BD22" s="3" t="s">
        <v>8945</v>
      </c>
      <c r="BE22" s="3" t="s">
        <v>542</v>
      </c>
      <c r="BF22" s="3" t="s">
        <v>8946</v>
      </c>
      <c r="BG22" s="3" t="s">
        <v>414</v>
      </c>
      <c r="BH22" s="3" t="s">
        <v>3866</v>
      </c>
      <c r="BI22" s="3" t="s">
        <v>744</v>
      </c>
      <c r="BJ22" s="3" t="s">
        <v>8947</v>
      </c>
      <c r="BK22" s="3" t="s">
        <v>731</v>
      </c>
      <c r="BL22" s="3" t="s">
        <v>8948</v>
      </c>
      <c r="BM22" s="3" t="s">
        <v>335</v>
      </c>
      <c r="BN22" s="3" t="s">
        <v>8949</v>
      </c>
      <c r="BO22" s="3" t="s">
        <v>454</v>
      </c>
      <c r="BP22" s="3" t="s">
        <v>2574</v>
      </c>
      <c r="BQ22" s="3" t="s">
        <v>542</v>
      </c>
      <c r="BR22" s="3" t="s">
        <v>8616</v>
      </c>
      <c r="BS22" s="3" t="s">
        <v>454</v>
      </c>
      <c r="BT22" s="3" t="s">
        <v>8463</v>
      </c>
      <c r="BU22" s="3" t="s">
        <v>519</v>
      </c>
      <c r="BV22" s="3" t="s">
        <v>8950</v>
      </c>
      <c r="BW22" s="3" t="s">
        <v>731</v>
      </c>
      <c r="BX22" s="3" t="s">
        <v>7411</v>
      </c>
      <c r="BY22" s="3" t="s">
        <v>287</v>
      </c>
      <c r="BZ22" s="3" t="s">
        <v>8951</v>
      </c>
      <c r="CA22" s="3" t="s">
        <v>451</v>
      </c>
      <c r="CB22" s="3" t="s">
        <v>8792</v>
      </c>
      <c r="CC22" s="3" t="s">
        <v>519</v>
      </c>
      <c r="CD22" s="3" t="s">
        <v>8952</v>
      </c>
      <c r="CE22" s="3" t="s">
        <v>1091</v>
      </c>
      <c r="CF22" s="3" t="s">
        <v>8953</v>
      </c>
      <c r="CG22" s="3" t="s">
        <v>360</v>
      </c>
      <c r="CH22" s="3" t="s">
        <v>8954</v>
      </c>
      <c r="CI22" s="3" t="s">
        <v>358</v>
      </c>
      <c r="CJ22" s="3" t="s">
        <v>8955</v>
      </c>
      <c r="CK22" s="3" t="s">
        <v>532</v>
      </c>
      <c r="CL22" s="3" t="s">
        <v>8956</v>
      </c>
      <c r="CM22" s="3" t="s">
        <v>358</v>
      </c>
      <c r="CN22" s="3" t="s">
        <v>7584</v>
      </c>
      <c r="CO22" s="3" t="s">
        <v>281</v>
      </c>
      <c r="CP22" s="3" t="s">
        <v>8957</v>
      </c>
      <c r="CQ22" s="3" t="s">
        <v>685</v>
      </c>
      <c r="CR22" s="3" t="s">
        <v>5233</v>
      </c>
      <c r="CS22" s="3" t="s">
        <v>281</v>
      </c>
      <c r="CT22" s="3" t="s">
        <v>8958</v>
      </c>
      <c r="CU22" s="3" t="s">
        <v>685</v>
      </c>
      <c r="CV22" s="3" t="s">
        <v>3422</v>
      </c>
      <c r="CW22" s="3" t="s">
        <v>449</v>
      </c>
      <c r="CX22" s="3" t="s">
        <v>7526</v>
      </c>
      <c r="CY22" s="3" t="s">
        <v>358</v>
      </c>
      <c r="CZ22" s="3" t="s">
        <v>7599</v>
      </c>
      <c r="DA22" s="3" t="s">
        <v>242</v>
      </c>
      <c r="DB22" s="3" t="s">
        <v>8959</v>
      </c>
    </row>
    <row r="23" spans="1:106" x14ac:dyDescent="0.35">
      <c r="A23" s="3" t="s">
        <v>8922</v>
      </c>
      <c r="B23" s="3" t="s">
        <v>8960</v>
      </c>
      <c r="C23" s="3"/>
      <c r="D23" s="3" t="s">
        <v>6647</v>
      </c>
      <c r="E23" s="3" t="s">
        <v>6371</v>
      </c>
      <c r="F23" s="3" t="s">
        <v>4618</v>
      </c>
      <c r="G23" s="3" t="s">
        <v>6373</v>
      </c>
      <c r="H23" s="3" t="s">
        <v>8961</v>
      </c>
      <c r="I23" s="3" t="s">
        <v>28</v>
      </c>
      <c r="J23" s="3" t="s">
        <v>8962</v>
      </c>
      <c r="K23" s="3" t="s">
        <v>6387</v>
      </c>
      <c r="L23" s="3" t="s">
        <v>8963</v>
      </c>
      <c r="M23" s="3" t="s">
        <v>18</v>
      </c>
      <c r="N23" s="3" t="s">
        <v>8964</v>
      </c>
      <c r="O23" s="3" t="s">
        <v>8928</v>
      </c>
      <c r="P23" s="3" t="s">
        <v>7190</v>
      </c>
      <c r="Q23" s="3" t="s">
        <v>6391</v>
      </c>
      <c r="R23" s="3" t="s">
        <v>3165</v>
      </c>
      <c r="S23" s="3" t="s">
        <v>29</v>
      </c>
      <c r="T23" s="3" t="s">
        <v>1998</v>
      </c>
      <c r="U23" s="3" t="s">
        <v>29</v>
      </c>
      <c r="V23" s="3" t="s">
        <v>328</v>
      </c>
      <c r="W23" s="3" t="s">
        <v>242</v>
      </c>
      <c r="X23" s="3" t="s">
        <v>243</v>
      </c>
      <c r="Y23" s="3" t="s">
        <v>29</v>
      </c>
      <c r="Z23" s="3" t="s">
        <v>244</v>
      </c>
      <c r="AA23" s="3" t="s">
        <v>242</v>
      </c>
      <c r="AB23" s="3" t="s">
        <v>243</v>
      </c>
      <c r="AC23" s="3" t="s">
        <v>242</v>
      </c>
      <c r="AD23" s="3" t="s">
        <v>243</v>
      </c>
      <c r="AE23" s="3" t="s">
        <v>242</v>
      </c>
      <c r="AF23" s="3" t="s">
        <v>243</v>
      </c>
      <c r="AG23" s="3" t="s">
        <v>242</v>
      </c>
      <c r="AH23" s="3" t="s">
        <v>243</v>
      </c>
      <c r="AI23" s="3" t="s">
        <v>242</v>
      </c>
      <c r="AJ23" s="3" t="s">
        <v>243</v>
      </c>
      <c r="AK23" s="3" t="s">
        <v>8965</v>
      </c>
      <c r="AL23" s="3" t="s">
        <v>244</v>
      </c>
      <c r="AM23" s="3" t="s">
        <v>5116</v>
      </c>
      <c r="AN23" s="3" t="s">
        <v>8966</v>
      </c>
      <c r="AO23" s="3" t="s">
        <v>35</v>
      </c>
      <c r="AP23" s="3" t="s">
        <v>8967</v>
      </c>
      <c r="AQ23" s="3" t="s">
        <v>242</v>
      </c>
      <c r="AR23" s="3" t="s">
        <v>4015</v>
      </c>
      <c r="AS23" s="3" t="s">
        <v>8968</v>
      </c>
      <c r="AT23" s="3" t="s">
        <v>8969</v>
      </c>
      <c r="AU23" s="3" t="s">
        <v>6400</v>
      </c>
      <c r="AV23" s="3" t="s">
        <v>8970</v>
      </c>
      <c r="AW23" s="3" t="s">
        <v>6401</v>
      </c>
      <c r="AX23" s="3" t="s">
        <v>8971</v>
      </c>
      <c r="AY23" s="3" t="s">
        <v>242</v>
      </c>
      <c r="AZ23" s="3" t="s">
        <v>8972</v>
      </c>
      <c r="BA23" s="3" t="s">
        <v>467</v>
      </c>
      <c r="BB23" s="3" t="s">
        <v>8973</v>
      </c>
      <c r="BC23" s="3" t="s">
        <v>295</v>
      </c>
      <c r="BD23" s="3" t="s">
        <v>8974</v>
      </c>
      <c r="BE23" s="3" t="s">
        <v>427</v>
      </c>
      <c r="BF23" s="3" t="s">
        <v>8975</v>
      </c>
      <c r="BG23" s="3" t="s">
        <v>293</v>
      </c>
      <c r="BH23" s="3" t="s">
        <v>1186</v>
      </c>
      <c r="BI23" s="3" t="s">
        <v>424</v>
      </c>
      <c r="BJ23" s="3" t="s">
        <v>8976</v>
      </c>
      <c r="BK23" s="3" t="s">
        <v>454</v>
      </c>
      <c r="BL23" s="3" t="s">
        <v>5052</v>
      </c>
      <c r="BM23" s="3" t="s">
        <v>424</v>
      </c>
      <c r="BN23" s="3" t="s">
        <v>8977</v>
      </c>
      <c r="BO23" s="3" t="s">
        <v>1131</v>
      </c>
      <c r="BP23" s="3" t="s">
        <v>1490</v>
      </c>
      <c r="BQ23" s="3" t="s">
        <v>408</v>
      </c>
      <c r="BR23" s="3" t="s">
        <v>8978</v>
      </c>
      <c r="BS23" s="3" t="s">
        <v>337</v>
      </c>
      <c r="BT23" s="3" t="s">
        <v>8979</v>
      </c>
      <c r="BU23" s="3" t="s">
        <v>542</v>
      </c>
      <c r="BV23" s="3" t="s">
        <v>8980</v>
      </c>
      <c r="BW23" s="3" t="s">
        <v>1131</v>
      </c>
      <c r="BX23" s="3" t="s">
        <v>8981</v>
      </c>
      <c r="BY23" s="3" t="s">
        <v>421</v>
      </c>
      <c r="BZ23" s="3" t="s">
        <v>7473</v>
      </c>
      <c r="CA23" s="3" t="s">
        <v>411</v>
      </c>
      <c r="CB23" s="3" t="s">
        <v>7481</v>
      </c>
      <c r="CC23" s="3" t="s">
        <v>335</v>
      </c>
      <c r="CD23" s="3" t="s">
        <v>8982</v>
      </c>
      <c r="CE23" s="3" t="s">
        <v>688</v>
      </c>
      <c r="CF23" s="3" t="s">
        <v>8771</v>
      </c>
      <c r="CG23" s="3" t="s">
        <v>367</v>
      </c>
      <c r="CH23" s="3" t="s">
        <v>8983</v>
      </c>
      <c r="CI23" s="3" t="s">
        <v>1131</v>
      </c>
      <c r="CJ23" s="3" t="s">
        <v>8984</v>
      </c>
      <c r="CK23" s="3" t="s">
        <v>369</v>
      </c>
      <c r="CL23" s="3" t="s">
        <v>4987</v>
      </c>
      <c r="CM23" s="3" t="s">
        <v>479</v>
      </c>
      <c r="CN23" s="3" t="s">
        <v>8985</v>
      </c>
      <c r="CO23" s="3" t="s">
        <v>467</v>
      </c>
      <c r="CP23" s="3" t="s">
        <v>8986</v>
      </c>
      <c r="CQ23" s="3" t="s">
        <v>451</v>
      </c>
      <c r="CR23" s="3" t="s">
        <v>6219</v>
      </c>
      <c r="CS23" s="3" t="s">
        <v>467</v>
      </c>
      <c r="CT23" s="3" t="s">
        <v>8987</v>
      </c>
      <c r="CU23" s="3" t="s">
        <v>476</v>
      </c>
      <c r="CV23" s="3" t="s">
        <v>8988</v>
      </c>
      <c r="CW23" s="3" t="s">
        <v>731</v>
      </c>
      <c r="CX23" s="3" t="s">
        <v>7753</v>
      </c>
      <c r="CY23" s="3" t="s">
        <v>337</v>
      </c>
      <c r="CZ23" s="3" t="s">
        <v>4905</v>
      </c>
      <c r="DA23" s="3" t="s">
        <v>242</v>
      </c>
      <c r="DB23" s="3" t="s">
        <v>8989</v>
      </c>
    </row>
    <row r="24" spans="1:106" x14ac:dyDescent="0.35">
      <c r="A24" s="3" t="s">
        <v>8922</v>
      </c>
      <c r="B24" s="3" t="s">
        <v>8990</v>
      </c>
      <c r="C24" s="3"/>
      <c r="D24" s="3" t="s">
        <v>8991</v>
      </c>
      <c r="E24" s="3" t="s">
        <v>6371</v>
      </c>
      <c r="F24" s="3" t="s">
        <v>8425</v>
      </c>
      <c r="G24" s="3" t="s">
        <v>6373</v>
      </c>
      <c r="H24" s="3" t="s">
        <v>8992</v>
      </c>
      <c r="I24" s="3" t="s">
        <v>28</v>
      </c>
      <c r="J24" s="3" t="s">
        <v>8993</v>
      </c>
      <c r="K24" s="3" t="s">
        <v>6387</v>
      </c>
      <c r="L24" s="3" t="s">
        <v>8994</v>
      </c>
      <c r="M24" s="3" t="s">
        <v>20</v>
      </c>
      <c r="N24" s="3" t="s">
        <v>1083</v>
      </c>
      <c r="O24" s="3" t="s">
        <v>8928</v>
      </c>
      <c r="P24" s="3" t="s">
        <v>8367</v>
      </c>
      <c r="Q24" s="3" t="s">
        <v>6391</v>
      </c>
      <c r="R24" s="3" t="s">
        <v>8995</v>
      </c>
      <c r="S24" s="3" t="s">
        <v>29</v>
      </c>
      <c r="T24" s="3" t="s">
        <v>8996</v>
      </c>
      <c r="U24" s="3" t="s">
        <v>28</v>
      </c>
      <c r="V24" s="3" t="s">
        <v>8997</v>
      </c>
      <c r="W24" s="3" t="s">
        <v>6398</v>
      </c>
      <c r="X24" s="3" t="s">
        <v>2919</v>
      </c>
      <c r="Y24" s="3" t="s">
        <v>33</v>
      </c>
      <c r="Z24" s="3" t="s">
        <v>8998</v>
      </c>
      <c r="AA24" s="3" t="s">
        <v>7256</v>
      </c>
      <c r="AB24" s="3" t="s">
        <v>4875</v>
      </c>
      <c r="AC24" s="3" t="s">
        <v>6440</v>
      </c>
      <c r="AD24" s="3" t="s">
        <v>3411</v>
      </c>
      <c r="AE24" s="3" t="s">
        <v>28</v>
      </c>
      <c r="AF24" s="3" t="s">
        <v>1239</v>
      </c>
      <c r="AG24" s="3" t="s">
        <v>6796</v>
      </c>
      <c r="AH24" s="3" t="s">
        <v>8999</v>
      </c>
      <c r="AI24" s="3" t="s">
        <v>9000</v>
      </c>
      <c r="AJ24" s="3" t="s">
        <v>9001</v>
      </c>
      <c r="AK24" s="3" t="s">
        <v>9002</v>
      </c>
      <c r="AL24" s="3" t="s">
        <v>9003</v>
      </c>
      <c r="AM24" s="3" t="s">
        <v>2597</v>
      </c>
      <c r="AN24" s="3" t="s">
        <v>9004</v>
      </c>
      <c r="AO24" s="3" t="s">
        <v>32</v>
      </c>
      <c r="AP24" s="3" t="s">
        <v>9005</v>
      </c>
      <c r="AQ24" s="3" t="s">
        <v>242</v>
      </c>
      <c r="AR24" s="3" t="s">
        <v>9006</v>
      </c>
      <c r="AS24" s="3" t="s">
        <v>9007</v>
      </c>
      <c r="AT24" s="3" t="s">
        <v>9008</v>
      </c>
      <c r="AU24" s="3" t="s">
        <v>6400</v>
      </c>
      <c r="AV24" s="3" t="s">
        <v>8752</v>
      </c>
      <c r="AW24" s="3" t="s">
        <v>6401</v>
      </c>
      <c r="AX24" s="3" t="s">
        <v>9009</v>
      </c>
      <c r="AY24" s="3" t="s">
        <v>242</v>
      </c>
      <c r="AZ24" s="3" t="s">
        <v>1370</v>
      </c>
      <c r="BA24" s="3" t="s">
        <v>414</v>
      </c>
      <c r="BB24" s="3" t="s">
        <v>9010</v>
      </c>
      <c r="BC24" s="3" t="s">
        <v>408</v>
      </c>
      <c r="BD24" s="3" t="s">
        <v>3750</v>
      </c>
      <c r="BE24" s="3" t="s">
        <v>427</v>
      </c>
      <c r="BF24" s="3" t="s">
        <v>9011</v>
      </c>
      <c r="BG24" s="3" t="s">
        <v>575</v>
      </c>
      <c r="BH24" s="3" t="s">
        <v>9012</v>
      </c>
      <c r="BI24" s="3" t="s">
        <v>519</v>
      </c>
      <c r="BJ24" s="3" t="s">
        <v>8567</v>
      </c>
      <c r="BK24" s="3" t="s">
        <v>243</v>
      </c>
      <c r="BL24" s="3" t="s">
        <v>9013</v>
      </c>
      <c r="BM24" s="3" t="s">
        <v>542</v>
      </c>
      <c r="BN24" s="3" t="s">
        <v>8188</v>
      </c>
      <c r="BO24" s="3" t="s">
        <v>429</v>
      </c>
      <c r="BP24" s="3" t="s">
        <v>9014</v>
      </c>
      <c r="BQ24" s="3" t="s">
        <v>335</v>
      </c>
      <c r="BR24" s="3" t="s">
        <v>3681</v>
      </c>
      <c r="BS24" s="3" t="s">
        <v>542</v>
      </c>
      <c r="BT24" s="3" t="s">
        <v>9015</v>
      </c>
      <c r="BU24" s="3" t="s">
        <v>752</v>
      </c>
      <c r="BV24" s="3" t="s">
        <v>7196</v>
      </c>
      <c r="BW24" s="3" t="s">
        <v>519</v>
      </c>
      <c r="BX24" s="3" t="s">
        <v>9016</v>
      </c>
      <c r="BY24" s="3" t="s">
        <v>339</v>
      </c>
      <c r="BZ24" s="3" t="s">
        <v>9017</v>
      </c>
      <c r="CA24" s="3" t="s">
        <v>371</v>
      </c>
      <c r="CB24" s="3" t="s">
        <v>7653</v>
      </c>
      <c r="CC24" s="3" t="s">
        <v>351</v>
      </c>
      <c r="CD24" s="3" t="s">
        <v>9018</v>
      </c>
      <c r="CE24" s="3" t="s">
        <v>360</v>
      </c>
      <c r="CF24" s="3" t="s">
        <v>4193</v>
      </c>
      <c r="CG24" s="3" t="s">
        <v>589</v>
      </c>
      <c r="CH24" s="3" t="s">
        <v>5061</v>
      </c>
      <c r="CI24" s="3" t="s">
        <v>424</v>
      </c>
      <c r="CJ24" s="3" t="s">
        <v>9019</v>
      </c>
      <c r="CK24" s="3" t="s">
        <v>585</v>
      </c>
      <c r="CL24" s="3" t="s">
        <v>6952</v>
      </c>
      <c r="CM24" s="3" t="s">
        <v>367</v>
      </c>
      <c r="CN24" s="3" t="s">
        <v>9020</v>
      </c>
      <c r="CO24" s="3" t="s">
        <v>744</v>
      </c>
      <c r="CP24" s="3" t="s">
        <v>7643</v>
      </c>
      <c r="CQ24" s="3" t="s">
        <v>481</v>
      </c>
      <c r="CR24" s="3" t="s">
        <v>9021</v>
      </c>
      <c r="CS24" s="3" t="s">
        <v>752</v>
      </c>
      <c r="CT24" s="3" t="s">
        <v>9022</v>
      </c>
      <c r="CU24" s="3" t="s">
        <v>427</v>
      </c>
      <c r="CV24" s="3" t="s">
        <v>9023</v>
      </c>
      <c r="CW24" s="3" t="s">
        <v>397</v>
      </c>
      <c r="CX24" s="3" t="s">
        <v>9024</v>
      </c>
      <c r="CY24" s="3" t="s">
        <v>291</v>
      </c>
      <c r="CZ24" s="3" t="s">
        <v>9025</v>
      </c>
      <c r="DA24" s="3" t="s">
        <v>242</v>
      </c>
      <c r="DB24" s="3" t="s">
        <v>9026</v>
      </c>
    </row>
    <row r="25" spans="1:106" x14ac:dyDescent="0.35">
      <c r="A25" s="3" t="s">
        <v>8922</v>
      </c>
      <c r="B25" s="3" t="s">
        <v>9027</v>
      </c>
      <c r="C25" s="3"/>
      <c r="D25" s="3" t="s">
        <v>5676</v>
      </c>
      <c r="E25" s="3" t="s">
        <v>6371</v>
      </c>
      <c r="F25" s="3" t="s">
        <v>9028</v>
      </c>
      <c r="G25" s="3" t="s">
        <v>6373</v>
      </c>
      <c r="H25" s="3" t="s">
        <v>7236</v>
      </c>
      <c r="I25" s="3" t="s">
        <v>28</v>
      </c>
      <c r="J25" s="3" t="s">
        <v>9029</v>
      </c>
      <c r="K25" s="3" t="s">
        <v>6387</v>
      </c>
      <c r="L25" s="3" t="s">
        <v>5213</v>
      </c>
      <c r="M25" s="3" t="s">
        <v>20</v>
      </c>
      <c r="N25" s="3" t="s">
        <v>9030</v>
      </c>
      <c r="O25" s="3" t="s">
        <v>8928</v>
      </c>
      <c r="P25" s="3" t="s">
        <v>9031</v>
      </c>
      <c r="Q25" s="3" t="s">
        <v>6391</v>
      </c>
      <c r="R25" s="3" t="s">
        <v>9032</v>
      </c>
      <c r="S25" s="3" t="s">
        <v>29</v>
      </c>
      <c r="T25" s="3" t="s">
        <v>9033</v>
      </c>
      <c r="U25" s="3" t="s">
        <v>29</v>
      </c>
      <c r="V25" s="3" t="s">
        <v>9034</v>
      </c>
      <c r="W25" s="3" t="s">
        <v>242</v>
      </c>
      <c r="X25" s="3" t="s">
        <v>243</v>
      </c>
      <c r="Y25" s="3" t="s">
        <v>29</v>
      </c>
      <c r="Z25" s="3" t="s">
        <v>244</v>
      </c>
      <c r="AA25" s="3" t="s">
        <v>242</v>
      </c>
      <c r="AB25" s="3" t="s">
        <v>243</v>
      </c>
      <c r="AC25" s="3" t="s">
        <v>242</v>
      </c>
      <c r="AD25" s="3" t="s">
        <v>243</v>
      </c>
      <c r="AE25" s="3" t="s">
        <v>242</v>
      </c>
      <c r="AF25" s="3" t="s">
        <v>243</v>
      </c>
      <c r="AG25" s="3" t="s">
        <v>242</v>
      </c>
      <c r="AH25" s="3" t="s">
        <v>243</v>
      </c>
      <c r="AI25" s="3" t="s">
        <v>242</v>
      </c>
      <c r="AJ25" s="3" t="s">
        <v>243</v>
      </c>
      <c r="AK25" s="3" t="s">
        <v>9035</v>
      </c>
      <c r="AL25" s="3" t="s">
        <v>244</v>
      </c>
      <c r="AM25" s="3" t="s">
        <v>825</v>
      </c>
      <c r="AN25" s="3" t="s">
        <v>9036</v>
      </c>
      <c r="AO25" s="3" t="s">
        <v>32</v>
      </c>
      <c r="AP25" s="3" t="s">
        <v>9037</v>
      </c>
      <c r="AQ25" s="3" t="s">
        <v>242</v>
      </c>
      <c r="AR25" s="3" t="s">
        <v>9038</v>
      </c>
      <c r="AS25" s="3" t="s">
        <v>9039</v>
      </c>
      <c r="AT25" s="3" t="s">
        <v>9040</v>
      </c>
      <c r="AU25" s="3" t="s">
        <v>6400</v>
      </c>
      <c r="AV25" s="3" t="s">
        <v>3614</v>
      </c>
      <c r="AW25" s="3" t="s">
        <v>6401</v>
      </c>
      <c r="AX25" s="3" t="s">
        <v>9041</v>
      </c>
      <c r="AY25" s="3" t="s">
        <v>242</v>
      </c>
      <c r="AZ25" s="3" t="s">
        <v>2151</v>
      </c>
      <c r="BA25" s="3" t="s">
        <v>473</v>
      </c>
      <c r="BB25" s="3" t="s">
        <v>9042</v>
      </c>
      <c r="BC25" s="3" t="s">
        <v>685</v>
      </c>
      <c r="BD25" s="3" t="s">
        <v>5023</v>
      </c>
      <c r="BE25" s="3" t="s">
        <v>429</v>
      </c>
      <c r="BF25" s="3" t="s">
        <v>9043</v>
      </c>
      <c r="BG25" s="3" t="s">
        <v>451</v>
      </c>
      <c r="BH25" s="3" t="s">
        <v>4747</v>
      </c>
      <c r="BI25" s="3" t="s">
        <v>414</v>
      </c>
      <c r="BJ25" s="3" t="s">
        <v>9044</v>
      </c>
      <c r="BK25" s="3" t="s">
        <v>698</v>
      </c>
      <c r="BL25" s="3" t="s">
        <v>6675</v>
      </c>
      <c r="BM25" s="3" t="s">
        <v>335</v>
      </c>
      <c r="BN25" s="3" t="s">
        <v>9045</v>
      </c>
      <c r="BO25" s="3" t="s">
        <v>261</v>
      </c>
      <c r="BP25" s="3" t="s">
        <v>9046</v>
      </c>
      <c r="BQ25" s="3" t="s">
        <v>900</v>
      </c>
      <c r="BR25" s="3" t="s">
        <v>3363</v>
      </c>
      <c r="BS25" s="3" t="s">
        <v>429</v>
      </c>
      <c r="BT25" s="3" t="s">
        <v>2893</v>
      </c>
      <c r="BU25" s="3" t="s">
        <v>348</v>
      </c>
      <c r="BV25" s="3" t="s">
        <v>9047</v>
      </c>
      <c r="BW25" s="3" t="s">
        <v>271</v>
      </c>
      <c r="BX25" s="3" t="s">
        <v>3681</v>
      </c>
      <c r="BY25" s="3" t="s">
        <v>595</v>
      </c>
      <c r="BZ25" s="3" t="s">
        <v>9048</v>
      </c>
      <c r="CA25" s="3" t="s">
        <v>473</v>
      </c>
      <c r="CB25" s="3" t="s">
        <v>9049</v>
      </c>
      <c r="CC25" s="3" t="s">
        <v>351</v>
      </c>
      <c r="CD25" s="3" t="s">
        <v>9050</v>
      </c>
      <c r="CE25" s="3" t="s">
        <v>257</v>
      </c>
      <c r="CF25" s="3" t="s">
        <v>2686</v>
      </c>
      <c r="CG25" s="3" t="s">
        <v>528</v>
      </c>
      <c r="CH25" s="3" t="s">
        <v>9051</v>
      </c>
      <c r="CI25" s="3" t="s">
        <v>449</v>
      </c>
      <c r="CJ25" s="3" t="s">
        <v>6081</v>
      </c>
      <c r="CK25" s="3" t="s">
        <v>339</v>
      </c>
      <c r="CL25" s="3" t="s">
        <v>6465</v>
      </c>
      <c r="CM25" s="3" t="s">
        <v>467</v>
      </c>
      <c r="CN25" s="3" t="s">
        <v>5181</v>
      </c>
      <c r="CO25" s="3" t="s">
        <v>351</v>
      </c>
      <c r="CP25" s="3" t="s">
        <v>9052</v>
      </c>
      <c r="CQ25" s="3" t="s">
        <v>575</v>
      </c>
      <c r="CR25" s="3" t="s">
        <v>3613</v>
      </c>
      <c r="CS25" s="3" t="s">
        <v>335</v>
      </c>
      <c r="CT25" s="3" t="s">
        <v>9053</v>
      </c>
      <c r="CU25" s="3" t="s">
        <v>481</v>
      </c>
      <c r="CV25" s="3" t="s">
        <v>9054</v>
      </c>
      <c r="CW25" s="3" t="s">
        <v>342</v>
      </c>
      <c r="CX25" s="3" t="s">
        <v>1211</v>
      </c>
      <c r="CY25" s="3" t="s">
        <v>429</v>
      </c>
      <c r="CZ25" s="3" t="s">
        <v>9055</v>
      </c>
      <c r="DA25" s="3" t="s">
        <v>242</v>
      </c>
      <c r="DB25" s="3" t="s">
        <v>7581</v>
      </c>
    </row>
    <row r="26" spans="1:106" x14ac:dyDescent="0.35">
      <c r="A26" s="3" t="s">
        <v>8922</v>
      </c>
      <c r="B26" s="3" t="s">
        <v>9056</v>
      </c>
      <c r="C26" s="3"/>
      <c r="D26" s="3" t="s">
        <v>3529</v>
      </c>
      <c r="E26" s="3" t="s">
        <v>6371</v>
      </c>
      <c r="F26" s="3" t="s">
        <v>9057</v>
      </c>
      <c r="G26" s="3" t="s">
        <v>6373</v>
      </c>
      <c r="H26" s="3" t="s">
        <v>4015</v>
      </c>
      <c r="I26" s="3" t="s">
        <v>28</v>
      </c>
      <c r="J26" s="3" t="s">
        <v>9058</v>
      </c>
      <c r="K26" s="3" t="s">
        <v>6387</v>
      </c>
      <c r="L26" s="3" t="s">
        <v>9059</v>
      </c>
      <c r="M26" s="3" t="s">
        <v>18</v>
      </c>
      <c r="N26" s="3" t="s">
        <v>377</v>
      </c>
      <c r="O26" s="3" t="s">
        <v>8928</v>
      </c>
      <c r="P26" s="3" t="s">
        <v>7416</v>
      </c>
      <c r="Q26" s="3" t="s">
        <v>6391</v>
      </c>
      <c r="R26" s="3" t="s">
        <v>4298</v>
      </c>
      <c r="S26" s="3" t="s">
        <v>28</v>
      </c>
      <c r="T26" s="3" t="s">
        <v>1078</v>
      </c>
      <c r="U26" s="3" t="s">
        <v>28</v>
      </c>
      <c r="V26" s="3" t="s">
        <v>9060</v>
      </c>
      <c r="W26" s="3" t="s">
        <v>9061</v>
      </c>
      <c r="X26" s="3" t="s">
        <v>9062</v>
      </c>
      <c r="Y26" s="3" t="s">
        <v>29</v>
      </c>
      <c r="Z26" s="3" t="s">
        <v>9063</v>
      </c>
      <c r="AA26" s="3" t="s">
        <v>242</v>
      </c>
      <c r="AB26" s="3" t="s">
        <v>243</v>
      </c>
      <c r="AC26" s="3" t="s">
        <v>242</v>
      </c>
      <c r="AD26" s="3" t="s">
        <v>243</v>
      </c>
      <c r="AE26" s="3" t="s">
        <v>242</v>
      </c>
      <c r="AF26" s="3" t="s">
        <v>243</v>
      </c>
      <c r="AG26" s="3" t="s">
        <v>242</v>
      </c>
      <c r="AH26" s="3" t="s">
        <v>243</v>
      </c>
      <c r="AI26" s="3" t="s">
        <v>242</v>
      </c>
      <c r="AJ26" s="3" t="s">
        <v>243</v>
      </c>
      <c r="AK26" s="3" t="s">
        <v>9064</v>
      </c>
      <c r="AL26" s="3" t="s">
        <v>244</v>
      </c>
      <c r="AM26" s="3" t="s">
        <v>1442</v>
      </c>
      <c r="AN26" s="3" t="s">
        <v>9065</v>
      </c>
      <c r="AO26" s="3" t="s">
        <v>32</v>
      </c>
      <c r="AP26" s="3" t="s">
        <v>4810</v>
      </c>
      <c r="AQ26" s="3" t="s">
        <v>242</v>
      </c>
      <c r="AR26" s="3" t="s">
        <v>4348</v>
      </c>
      <c r="AS26" s="3" t="s">
        <v>9066</v>
      </c>
      <c r="AT26" s="3" t="s">
        <v>9067</v>
      </c>
      <c r="AU26" s="3" t="s">
        <v>6400</v>
      </c>
      <c r="AV26" s="3" t="s">
        <v>8188</v>
      </c>
      <c r="AW26" s="3" t="s">
        <v>6401</v>
      </c>
      <c r="AX26" s="3" t="s">
        <v>9068</v>
      </c>
      <c r="AY26" s="3" t="s">
        <v>242</v>
      </c>
      <c r="AZ26" s="3" t="s">
        <v>9069</v>
      </c>
      <c r="BA26" s="3" t="s">
        <v>367</v>
      </c>
      <c r="BB26" s="3" t="s">
        <v>9070</v>
      </c>
      <c r="BC26" s="3" t="s">
        <v>476</v>
      </c>
      <c r="BD26" s="3" t="s">
        <v>9071</v>
      </c>
      <c r="BE26" s="3" t="s">
        <v>900</v>
      </c>
      <c r="BF26" s="3" t="s">
        <v>9072</v>
      </c>
      <c r="BG26" s="3" t="s">
        <v>268</v>
      </c>
      <c r="BH26" s="3" t="s">
        <v>9073</v>
      </c>
      <c r="BI26" s="3" t="s">
        <v>528</v>
      </c>
      <c r="BJ26" s="3" t="s">
        <v>9074</v>
      </c>
      <c r="BK26" s="3" t="s">
        <v>261</v>
      </c>
      <c r="BL26" s="3" t="s">
        <v>9075</v>
      </c>
      <c r="BM26" s="3" t="s">
        <v>696</v>
      </c>
      <c r="BN26" s="3" t="s">
        <v>4222</v>
      </c>
      <c r="BO26" s="3" t="s">
        <v>449</v>
      </c>
      <c r="BP26" s="3" t="s">
        <v>5662</v>
      </c>
      <c r="BQ26" s="3" t="s">
        <v>342</v>
      </c>
      <c r="BR26" s="3" t="s">
        <v>8891</v>
      </c>
      <c r="BS26" s="3" t="s">
        <v>285</v>
      </c>
      <c r="BT26" s="3" t="s">
        <v>540</v>
      </c>
      <c r="BU26" s="3" t="s">
        <v>585</v>
      </c>
      <c r="BV26" s="3" t="s">
        <v>9076</v>
      </c>
      <c r="BW26" s="3" t="s">
        <v>399</v>
      </c>
      <c r="BX26" s="3" t="s">
        <v>8664</v>
      </c>
      <c r="BY26" s="3" t="s">
        <v>591</v>
      </c>
      <c r="BZ26" s="3" t="s">
        <v>9077</v>
      </c>
      <c r="CA26" s="3" t="s">
        <v>291</v>
      </c>
      <c r="CB26" s="3" t="s">
        <v>4613</v>
      </c>
      <c r="CC26" s="3" t="s">
        <v>528</v>
      </c>
      <c r="CD26" s="3" t="s">
        <v>5632</v>
      </c>
      <c r="CE26" s="3" t="s">
        <v>427</v>
      </c>
      <c r="CF26" s="3" t="s">
        <v>1377</v>
      </c>
      <c r="CG26" s="3" t="s">
        <v>591</v>
      </c>
      <c r="CH26" s="3" t="s">
        <v>6741</v>
      </c>
      <c r="CI26" s="3" t="s">
        <v>414</v>
      </c>
      <c r="CJ26" s="3" t="s">
        <v>5263</v>
      </c>
      <c r="CK26" s="3" t="s">
        <v>528</v>
      </c>
      <c r="CL26" s="3" t="s">
        <v>8712</v>
      </c>
      <c r="CM26" s="3" t="s">
        <v>401</v>
      </c>
      <c r="CN26" s="3" t="s">
        <v>9078</v>
      </c>
      <c r="CO26" s="3" t="s">
        <v>397</v>
      </c>
      <c r="CP26" s="3" t="s">
        <v>8788</v>
      </c>
      <c r="CQ26" s="3" t="s">
        <v>424</v>
      </c>
      <c r="CR26" s="3" t="s">
        <v>9079</v>
      </c>
      <c r="CS26" s="3" t="s">
        <v>285</v>
      </c>
      <c r="CT26" s="3" t="s">
        <v>9080</v>
      </c>
      <c r="CU26" s="3" t="s">
        <v>449</v>
      </c>
      <c r="CV26" s="3" t="s">
        <v>6317</v>
      </c>
      <c r="CW26" s="3" t="s">
        <v>542</v>
      </c>
      <c r="CX26" s="3" t="s">
        <v>5611</v>
      </c>
      <c r="CY26" s="3" t="s">
        <v>449</v>
      </c>
      <c r="CZ26" s="3" t="s">
        <v>1923</v>
      </c>
      <c r="DA26" s="3" t="s">
        <v>242</v>
      </c>
      <c r="DB26" s="3" t="s">
        <v>6439</v>
      </c>
    </row>
    <row r="27" spans="1:106" x14ac:dyDescent="0.35">
      <c r="A27" s="3" t="s">
        <v>8922</v>
      </c>
      <c r="B27" s="3" t="s">
        <v>9081</v>
      </c>
      <c r="C27" s="3"/>
      <c r="D27" s="3" t="s">
        <v>9082</v>
      </c>
      <c r="E27" s="3" t="s">
        <v>6371</v>
      </c>
      <c r="F27" s="3" t="s">
        <v>9083</v>
      </c>
      <c r="G27" s="3" t="s">
        <v>6373</v>
      </c>
      <c r="H27" s="3" t="s">
        <v>4803</v>
      </c>
      <c r="I27" s="3" t="s">
        <v>28</v>
      </c>
      <c r="J27" s="3" t="s">
        <v>9084</v>
      </c>
      <c r="K27" s="3" t="s">
        <v>6387</v>
      </c>
      <c r="L27" s="3" t="s">
        <v>9085</v>
      </c>
      <c r="M27" s="3" t="s">
        <v>15</v>
      </c>
      <c r="N27" s="3" t="s">
        <v>3371</v>
      </c>
      <c r="O27" s="3" t="s">
        <v>8928</v>
      </c>
      <c r="P27" s="3" t="s">
        <v>9086</v>
      </c>
      <c r="Q27" s="3" t="s">
        <v>6532</v>
      </c>
      <c r="R27" s="3" t="s">
        <v>2758</v>
      </c>
      <c r="S27" s="3" t="s">
        <v>242</v>
      </c>
      <c r="T27" s="3" t="s">
        <v>243</v>
      </c>
      <c r="U27" s="3" t="s">
        <v>242</v>
      </c>
      <c r="V27" s="3" t="s">
        <v>243</v>
      </c>
      <c r="W27" s="3" t="s">
        <v>242</v>
      </c>
      <c r="X27" s="3" t="s">
        <v>243</v>
      </c>
      <c r="Y27" s="3" t="s">
        <v>242</v>
      </c>
      <c r="Z27" s="3" t="s">
        <v>243</v>
      </c>
      <c r="AA27" s="3" t="s">
        <v>242</v>
      </c>
      <c r="AB27" s="3" t="s">
        <v>243</v>
      </c>
      <c r="AC27" s="3" t="s">
        <v>242</v>
      </c>
      <c r="AD27" s="3" t="s">
        <v>243</v>
      </c>
      <c r="AE27" s="3" t="s">
        <v>242</v>
      </c>
      <c r="AF27" s="3" t="s">
        <v>243</v>
      </c>
      <c r="AG27" s="3" t="s">
        <v>242</v>
      </c>
      <c r="AH27" s="3" t="s">
        <v>243</v>
      </c>
      <c r="AI27" s="3" t="s">
        <v>242</v>
      </c>
      <c r="AJ27" s="3" t="s">
        <v>243</v>
      </c>
      <c r="AK27" s="3" t="s">
        <v>242</v>
      </c>
      <c r="AL27" s="3" t="s">
        <v>243</v>
      </c>
      <c r="AM27" s="3" t="s">
        <v>242</v>
      </c>
      <c r="AN27" s="3" t="s">
        <v>243</v>
      </c>
      <c r="AO27" s="3" t="s">
        <v>242</v>
      </c>
      <c r="AP27" s="3" t="s">
        <v>243</v>
      </c>
      <c r="AQ27" s="3" t="s">
        <v>242</v>
      </c>
      <c r="AR27" s="3" t="s">
        <v>244</v>
      </c>
      <c r="AS27" s="3" t="s">
        <v>6398</v>
      </c>
      <c r="AT27" s="3" t="s">
        <v>9087</v>
      </c>
      <c r="AU27" s="3" t="s">
        <v>6400</v>
      </c>
      <c r="AV27" s="3" t="s">
        <v>2983</v>
      </c>
      <c r="AW27" s="3" t="s">
        <v>6855</v>
      </c>
      <c r="AX27" s="3" t="s">
        <v>9088</v>
      </c>
      <c r="AY27" s="3" t="s">
        <v>242</v>
      </c>
      <c r="AZ27" s="3" t="s">
        <v>9089</v>
      </c>
      <c r="BA27" s="3" t="s">
        <v>449</v>
      </c>
      <c r="BB27" s="3" t="s">
        <v>8258</v>
      </c>
      <c r="BC27" s="3" t="s">
        <v>243</v>
      </c>
      <c r="BD27" s="3" t="s">
        <v>9090</v>
      </c>
      <c r="BE27" s="3" t="s">
        <v>356</v>
      </c>
      <c r="BF27" s="3" t="s">
        <v>9091</v>
      </c>
      <c r="BG27" s="3" t="s">
        <v>698</v>
      </c>
      <c r="BH27" s="3" t="s">
        <v>9092</v>
      </c>
      <c r="BI27" s="3" t="s">
        <v>252</v>
      </c>
      <c r="BJ27" s="3" t="s">
        <v>9093</v>
      </c>
      <c r="BK27" s="3" t="s">
        <v>274</v>
      </c>
      <c r="BL27" s="3" t="s">
        <v>9094</v>
      </c>
      <c r="BM27" s="3" t="s">
        <v>421</v>
      </c>
      <c r="BN27" s="3" t="s">
        <v>9095</v>
      </c>
      <c r="BO27" s="3" t="s">
        <v>411</v>
      </c>
      <c r="BP27" s="3" t="s">
        <v>4625</v>
      </c>
      <c r="BQ27" s="3" t="s">
        <v>528</v>
      </c>
      <c r="BR27" s="3" t="s">
        <v>9096</v>
      </c>
      <c r="BS27" s="3" t="s">
        <v>473</v>
      </c>
      <c r="BT27" s="3" t="s">
        <v>9097</v>
      </c>
      <c r="BU27" s="3" t="s">
        <v>585</v>
      </c>
      <c r="BV27" s="3" t="s">
        <v>9098</v>
      </c>
      <c r="BW27" s="3" t="s">
        <v>395</v>
      </c>
      <c r="BX27" s="3" t="s">
        <v>9099</v>
      </c>
      <c r="BY27" s="3" t="s">
        <v>266</v>
      </c>
      <c r="BZ27" s="3" t="s">
        <v>9100</v>
      </c>
      <c r="CA27" s="3" t="s">
        <v>454</v>
      </c>
      <c r="CB27" s="3" t="s">
        <v>3266</v>
      </c>
      <c r="CC27" s="3" t="s">
        <v>283</v>
      </c>
      <c r="CD27" s="3" t="s">
        <v>9101</v>
      </c>
      <c r="CE27" s="3" t="s">
        <v>285</v>
      </c>
      <c r="CF27" s="3" t="s">
        <v>5466</v>
      </c>
      <c r="CG27" s="3" t="s">
        <v>993</v>
      </c>
      <c r="CH27" s="3" t="s">
        <v>4331</v>
      </c>
      <c r="CI27" s="3" t="s">
        <v>261</v>
      </c>
      <c r="CJ27" s="3" t="s">
        <v>9102</v>
      </c>
      <c r="CK27" s="3" t="s">
        <v>664</v>
      </c>
      <c r="CL27" s="3" t="s">
        <v>3755</v>
      </c>
      <c r="CM27" s="3" t="s">
        <v>467</v>
      </c>
      <c r="CN27" s="3" t="s">
        <v>3618</v>
      </c>
      <c r="CO27" s="3" t="s">
        <v>595</v>
      </c>
      <c r="CP27" s="3" t="s">
        <v>239</v>
      </c>
      <c r="CQ27" s="3" t="s">
        <v>358</v>
      </c>
      <c r="CR27" s="3" t="s">
        <v>7146</v>
      </c>
      <c r="CS27" s="3" t="s">
        <v>283</v>
      </c>
      <c r="CT27" s="3" t="s">
        <v>4450</v>
      </c>
      <c r="CU27" s="3" t="s">
        <v>698</v>
      </c>
      <c r="CV27" s="3" t="s">
        <v>3507</v>
      </c>
      <c r="CW27" s="3" t="s">
        <v>900</v>
      </c>
      <c r="CX27" s="3" t="s">
        <v>9103</v>
      </c>
      <c r="CY27" s="3" t="s">
        <v>449</v>
      </c>
      <c r="CZ27" s="3" t="s">
        <v>9104</v>
      </c>
      <c r="DA27" s="3" t="s">
        <v>242</v>
      </c>
      <c r="DB27" s="3" t="s">
        <v>2288</v>
      </c>
    </row>
    <row r="28" spans="1:106" x14ac:dyDescent="0.35">
      <c r="A28" s="3" t="s">
        <v>8922</v>
      </c>
      <c r="B28" s="3" t="s">
        <v>9105</v>
      </c>
      <c r="C28" s="3"/>
      <c r="D28" s="3" t="s">
        <v>6518</v>
      </c>
      <c r="E28" s="3" t="s">
        <v>6371</v>
      </c>
      <c r="F28" s="3" t="s">
        <v>3783</v>
      </c>
      <c r="G28" s="3" t="s">
        <v>6373</v>
      </c>
      <c r="H28" s="3" t="s">
        <v>9106</v>
      </c>
      <c r="I28" s="3" t="s">
        <v>28</v>
      </c>
      <c r="J28" s="3" t="s">
        <v>1891</v>
      </c>
      <c r="K28" s="3" t="s">
        <v>6387</v>
      </c>
      <c r="L28" s="3" t="s">
        <v>6465</v>
      </c>
      <c r="M28" s="3" t="s">
        <v>20</v>
      </c>
      <c r="N28" s="3" t="s">
        <v>9107</v>
      </c>
      <c r="O28" s="3" t="s">
        <v>8928</v>
      </c>
      <c r="P28" s="3" t="s">
        <v>9108</v>
      </c>
      <c r="Q28" s="3" t="s">
        <v>6391</v>
      </c>
      <c r="R28" s="3" t="s">
        <v>3815</v>
      </c>
      <c r="S28" s="3" t="s">
        <v>29</v>
      </c>
      <c r="T28" s="3" t="s">
        <v>9109</v>
      </c>
      <c r="U28" s="3" t="s">
        <v>28</v>
      </c>
      <c r="V28" s="3" t="s">
        <v>7647</v>
      </c>
      <c r="W28" s="3" t="s">
        <v>9110</v>
      </c>
      <c r="X28" s="3" t="s">
        <v>1824</v>
      </c>
      <c r="Y28" s="3" t="s">
        <v>33</v>
      </c>
      <c r="Z28" s="3" t="s">
        <v>9111</v>
      </c>
      <c r="AA28" s="3" t="s">
        <v>7256</v>
      </c>
      <c r="AB28" s="3" t="s">
        <v>9112</v>
      </c>
      <c r="AC28" s="3" t="s">
        <v>8446</v>
      </c>
      <c r="AD28" s="3" t="s">
        <v>5171</v>
      </c>
      <c r="AE28" s="3" t="s">
        <v>28</v>
      </c>
      <c r="AF28" s="3" t="s">
        <v>9113</v>
      </c>
      <c r="AG28" s="3" t="s">
        <v>6625</v>
      </c>
      <c r="AH28" s="3" t="s">
        <v>990</v>
      </c>
      <c r="AI28" s="3" t="s">
        <v>9114</v>
      </c>
      <c r="AJ28" s="3" t="s">
        <v>9115</v>
      </c>
      <c r="AK28" s="3" t="s">
        <v>9116</v>
      </c>
      <c r="AL28" s="3" t="s">
        <v>9117</v>
      </c>
      <c r="AM28" s="3" t="s">
        <v>1442</v>
      </c>
      <c r="AN28" s="3" t="s">
        <v>9118</v>
      </c>
      <c r="AO28" s="3" t="s">
        <v>32</v>
      </c>
      <c r="AP28" s="3" t="s">
        <v>9119</v>
      </c>
      <c r="AQ28" s="3" t="s">
        <v>242</v>
      </c>
      <c r="AR28" s="3" t="s">
        <v>9120</v>
      </c>
      <c r="AS28" s="3" t="s">
        <v>9121</v>
      </c>
      <c r="AT28" s="3" t="s">
        <v>9122</v>
      </c>
      <c r="AU28" s="3" t="s">
        <v>6400</v>
      </c>
      <c r="AV28" s="3" t="s">
        <v>8098</v>
      </c>
      <c r="AW28" s="3" t="s">
        <v>6401</v>
      </c>
      <c r="AX28" s="3" t="s">
        <v>9123</v>
      </c>
      <c r="AY28" s="3" t="s">
        <v>242</v>
      </c>
      <c r="AZ28" s="3" t="s">
        <v>9124</v>
      </c>
      <c r="BA28" s="3" t="s">
        <v>295</v>
      </c>
      <c r="BB28" s="3" t="s">
        <v>9125</v>
      </c>
      <c r="BC28" s="3" t="s">
        <v>295</v>
      </c>
      <c r="BD28" s="3" t="s">
        <v>9126</v>
      </c>
      <c r="BE28" s="3" t="s">
        <v>295</v>
      </c>
      <c r="BF28" s="3" t="s">
        <v>9127</v>
      </c>
      <c r="BG28" s="3" t="s">
        <v>295</v>
      </c>
      <c r="BH28" s="3" t="s">
        <v>9128</v>
      </c>
      <c r="BI28" s="3" t="s">
        <v>243</v>
      </c>
      <c r="BJ28" s="3" t="s">
        <v>9129</v>
      </c>
      <c r="BK28" s="3" t="s">
        <v>295</v>
      </c>
      <c r="BL28" s="3" t="s">
        <v>4113</v>
      </c>
      <c r="BM28" s="3" t="s">
        <v>519</v>
      </c>
      <c r="BN28" s="3" t="s">
        <v>9130</v>
      </c>
      <c r="BO28" s="3" t="s">
        <v>295</v>
      </c>
      <c r="BP28" s="3" t="s">
        <v>9131</v>
      </c>
      <c r="BQ28" s="3" t="s">
        <v>519</v>
      </c>
      <c r="BR28" s="3" t="s">
        <v>9132</v>
      </c>
      <c r="BS28" s="3" t="s">
        <v>243</v>
      </c>
      <c r="BT28" s="3" t="s">
        <v>9133</v>
      </c>
      <c r="BU28" s="3" t="s">
        <v>519</v>
      </c>
      <c r="BV28" s="3" t="s">
        <v>2835</v>
      </c>
      <c r="BW28" s="3" t="s">
        <v>295</v>
      </c>
      <c r="BX28" s="3" t="s">
        <v>9134</v>
      </c>
      <c r="BY28" s="3" t="s">
        <v>519</v>
      </c>
      <c r="BZ28" s="3" t="s">
        <v>3259</v>
      </c>
      <c r="CA28" s="3" t="s">
        <v>243</v>
      </c>
      <c r="CB28" s="3" t="s">
        <v>9135</v>
      </c>
      <c r="CC28" s="3" t="s">
        <v>519</v>
      </c>
      <c r="CD28" s="3" t="s">
        <v>9136</v>
      </c>
      <c r="CE28" s="3" t="s">
        <v>295</v>
      </c>
      <c r="CF28" s="3" t="s">
        <v>9137</v>
      </c>
      <c r="CG28" s="3" t="s">
        <v>519</v>
      </c>
      <c r="CH28" s="3" t="s">
        <v>3518</v>
      </c>
      <c r="CI28" s="3" t="s">
        <v>295</v>
      </c>
      <c r="CJ28" s="3" t="s">
        <v>9138</v>
      </c>
      <c r="CK28" s="3" t="s">
        <v>519</v>
      </c>
      <c r="CL28" s="3" t="s">
        <v>8815</v>
      </c>
      <c r="CM28" s="3" t="s">
        <v>243</v>
      </c>
      <c r="CN28" s="3" t="s">
        <v>4224</v>
      </c>
      <c r="CO28" s="3" t="s">
        <v>243</v>
      </c>
      <c r="CP28" s="3" t="s">
        <v>9139</v>
      </c>
      <c r="CQ28" s="3" t="s">
        <v>295</v>
      </c>
      <c r="CR28" s="3" t="s">
        <v>9140</v>
      </c>
      <c r="CS28" s="3" t="s">
        <v>519</v>
      </c>
      <c r="CT28" s="3" t="s">
        <v>9141</v>
      </c>
      <c r="CU28" s="3" t="s">
        <v>295</v>
      </c>
      <c r="CV28" s="3" t="s">
        <v>2418</v>
      </c>
      <c r="CW28" s="3" t="s">
        <v>519</v>
      </c>
      <c r="CX28" s="3" t="s">
        <v>9142</v>
      </c>
      <c r="CY28" s="3" t="s">
        <v>295</v>
      </c>
      <c r="CZ28" s="3" t="s">
        <v>9143</v>
      </c>
      <c r="DA28" s="3" t="s">
        <v>242</v>
      </c>
      <c r="DB28" s="3" t="s">
        <v>9144</v>
      </c>
    </row>
    <row r="29" spans="1:106" x14ac:dyDescent="0.35">
      <c r="A29" s="3" t="s">
        <v>8922</v>
      </c>
      <c r="B29" s="3" t="s">
        <v>9145</v>
      </c>
      <c r="C29" s="3"/>
      <c r="D29" s="3" t="s">
        <v>9146</v>
      </c>
      <c r="E29" s="3" t="s">
        <v>6371</v>
      </c>
      <c r="F29" s="3" t="s">
        <v>9147</v>
      </c>
      <c r="G29" s="3" t="s">
        <v>6373</v>
      </c>
      <c r="H29" s="3" t="s">
        <v>9148</v>
      </c>
      <c r="I29" s="3" t="s">
        <v>28</v>
      </c>
      <c r="J29" s="3" t="s">
        <v>9149</v>
      </c>
      <c r="K29" s="3" t="s">
        <v>6387</v>
      </c>
      <c r="L29" s="3" t="s">
        <v>2686</v>
      </c>
      <c r="M29" s="3" t="s">
        <v>18</v>
      </c>
      <c r="N29" s="3" t="s">
        <v>9150</v>
      </c>
      <c r="O29" s="3" t="s">
        <v>8928</v>
      </c>
      <c r="P29" s="3" t="s">
        <v>9006</v>
      </c>
      <c r="Q29" s="3" t="s">
        <v>6391</v>
      </c>
      <c r="R29" s="3" t="s">
        <v>8441</v>
      </c>
      <c r="S29" s="3" t="s">
        <v>29</v>
      </c>
      <c r="T29" s="3" t="s">
        <v>9151</v>
      </c>
      <c r="U29" s="3" t="s">
        <v>29</v>
      </c>
      <c r="V29" s="3" t="s">
        <v>9152</v>
      </c>
      <c r="W29" s="3" t="s">
        <v>242</v>
      </c>
      <c r="X29" s="3" t="s">
        <v>243</v>
      </c>
      <c r="Y29" s="3" t="s">
        <v>33</v>
      </c>
      <c r="Z29" s="3" t="s">
        <v>244</v>
      </c>
      <c r="AA29" s="3" t="s">
        <v>7076</v>
      </c>
      <c r="AB29" s="3" t="s">
        <v>9153</v>
      </c>
      <c r="AC29" s="3" t="s">
        <v>8446</v>
      </c>
      <c r="AD29" s="3" t="s">
        <v>1212</v>
      </c>
      <c r="AE29" s="3" t="s">
        <v>29</v>
      </c>
      <c r="AF29" s="3" t="s">
        <v>2283</v>
      </c>
      <c r="AG29" s="3" t="s">
        <v>6899</v>
      </c>
      <c r="AH29" s="3" t="s">
        <v>9154</v>
      </c>
      <c r="AI29" s="3" t="s">
        <v>9155</v>
      </c>
      <c r="AJ29" s="3" t="s">
        <v>3399</v>
      </c>
      <c r="AK29" s="3" t="s">
        <v>9156</v>
      </c>
      <c r="AL29" s="3" t="s">
        <v>9157</v>
      </c>
      <c r="AM29" s="3" t="s">
        <v>9158</v>
      </c>
      <c r="AN29" s="3" t="s">
        <v>9159</v>
      </c>
      <c r="AO29" s="3" t="s">
        <v>32</v>
      </c>
      <c r="AP29" s="3" t="s">
        <v>9160</v>
      </c>
      <c r="AQ29" s="3" t="s">
        <v>242</v>
      </c>
      <c r="AR29" s="3" t="s">
        <v>9161</v>
      </c>
      <c r="AS29" s="3" t="s">
        <v>6398</v>
      </c>
      <c r="AT29" s="3" t="s">
        <v>9162</v>
      </c>
      <c r="AU29" s="3" t="s">
        <v>6400</v>
      </c>
      <c r="AV29" s="3" t="s">
        <v>3726</v>
      </c>
      <c r="AW29" s="3" t="s">
        <v>6855</v>
      </c>
      <c r="AX29" s="3" t="s">
        <v>9163</v>
      </c>
      <c r="AY29" s="3" t="s">
        <v>242</v>
      </c>
      <c r="AZ29" s="3" t="s">
        <v>9164</v>
      </c>
      <c r="BA29" s="3" t="s">
        <v>369</v>
      </c>
      <c r="BB29" s="3" t="s">
        <v>9165</v>
      </c>
      <c r="BC29" s="3" t="s">
        <v>688</v>
      </c>
      <c r="BD29" s="3" t="s">
        <v>9166</v>
      </c>
      <c r="BE29" s="3" t="s">
        <v>408</v>
      </c>
      <c r="BF29" s="3" t="s">
        <v>8780</v>
      </c>
      <c r="BG29" s="3" t="s">
        <v>454</v>
      </c>
      <c r="BH29" s="3" t="s">
        <v>368</v>
      </c>
      <c r="BI29" s="3" t="s">
        <v>429</v>
      </c>
      <c r="BJ29" s="3" t="s">
        <v>9167</v>
      </c>
      <c r="BK29" s="3" t="s">
        <v>476</v>
      </c>
      <c r="BL29" s="3" t="s">
        <v>9168</v>
      </c>
      <c r="BM29" s="3" t="s">
        <v>519</v>
      </c>
      <c r="BN29" s="3" t="s">
        <v>9169</v>
      </c>
      <c r="BO29" s="3" t="s">
        <v>274</v>
      </c>
      <c r="BP29" s="3" t="s">
        <v>7696</v>
      </c>
      <c r="BQ29" s="3" t="s">
        <v>519</v>
      </c>
      <c r="BR29" s="3" t="s">
        <v>9170</v>
      </c>
      <c r="BS29" s="3" t="s">
        <v>688</v>
      </c>
      <c r="BT29" s="3" t="s">
        <v>7806</v>
      </c>
      <c r="BU29" s="3" t="s">
        <v>519</v>
      </c>
      <c r="BV29" s="3" t="s">
        <v>4421</v>
      </c>
      <c r="BW29" s="3" t="s">
        <v>688</v>
      </c>
      <c r="BX29" s="3" t="s">
        <v>9171</v>
      </c>
      <c r="BY29" s="3" t="s">
        <v>519</v>
      </c>
      <c r="BZ29" s="3" t="s">
        <v>6319</v>
      </c>
      <c r="CA29" s="3" t="s">
        <v>858</v>
      </c>
      <c r="CB29" s="3" t="s">
        <v>547</v>
      </c>
      <c r="CC29" s="3" t="s">
        <v>519</v>
      </c>
      <c r="CD29" s="3" t="s">
        <v>9172</v>
      </c>
      <c r="CE29" s="3" t="s">
        <v>688</v>
      </c>
      <c r="CF29" s="3" t="s">
        <v>4421</v>
      </c>
      <c r="CG29" s="3" t="s">
        <v>519</v>
      </c>
      <c r="CH29" s="3" t="s">
        <v>9173</v>
      </c>
      <c r="CI29" s="3" t="s">
        <v>685</v>
      </c>
      <c r="CJ29" s="3" t="s">
        <v>4695</v>
      </c>
      <c r="CK29" s="3" t="s">
        <v>752</v>
      </c>
      <c r="CL29" s="3" t="s">
        <v>753</v>
      </c>
      <c r="CM29" s="3" t="s">
        <v>405</v>
      </c>
      <c r="CN29" s="3" t="s">
        <v>9174</v>
      </c>
      <c r="CO29" s="3" t="s">
        <v>519</v>
      </c>
      <c r="CP29" s="3" t="s">
        <v>9175</v>
      </c>
      <c r="CQ29" s="3" t="s">
        <v>254</v>
      </c>
      <c r="CR29" s="3" t="s">
        <v>9176</v>
      </c>
      <c r="CS29" s="3" t="s">
        <v>519</v>
      </c>
      <c r="CT29" s="3" t="s">
        <v>9177</v>
      </c>
      <c r="CU29" s="3" t="s">
        <v>369</v>
      </c>
      <c r="CV29" s="3" t="s">
        <v>5779</v>
      </c>
      <c r="CW29" s="3" t="s">
        <v>519</v>
      </c>
      <c r="CX29" s="3" t="s">
        <v>9178</v>
      </c>
      <c r="CY29" s="3" t="s">
        <v>411</v>
      </c>
      <c r="CZ29" s="3" t="s">
        <v>9179</v>
      </c>
      <c r="DA29" s="3" t="s">
        <v>242</v>
      </c>
      <c r="DB29" s="3" t="s">
        <v>7238</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065E-743C-432A-9EF7-A9B533E08B4A}">
  <dimension ref="A1:M33"/>
  <sheetViews>
    <sheetView topLeftCell="C1" workbookViewId="0">
      <selection activeCell="O16" sqref="O16"/>
    </sheetView>
  </sheetViews>
  <sheetFormatPr defaultRowHeight="14.5" x14ac:dyDescent="0.35"/>
  <sheetData>
    <row r="1" spans="1:13" x14ac:dyDescent="0.35">
      <c r="A1" t="s">
        <v>98</v>
      </c>
      <c r="B1" t="s">
        <v>99</v>
      </c>
      <c r="F1" s="9" t="s">
        <v>110</v>
      </c>
      <c r="G1" s="9"/>
      <c r="H1" s="9"/>
      <c r="I1" s="9"/>
      <c r="J1" s="9"/>
      <c r="K1" s="9"/>
      <c r="L1" s="9"/>
      <c r="M1" s="9"/>
    </row>
    <row r="2" spans="1:13" x14ac:dyDescent="0.35">
      <c r="A2" s="25">
        <f>AVERAGE(Table18[100])</f>
        <v>0.33666666666666667</v>
      </c>
      <c r="B2" s="25">
        <f>AVERAGE(Table19[100])</f>
        <v>0.29318181818181821</v>
      </c>
    </row>
    <row r="3" spans="1:13" x14ac:dyDescent="0.35">
      <c r="A3" s="14">
        <f>SUBTOTAL(101,Table18[200])</f>
        <v>0.32444444444444442</v>
      </c>
      <c r="B3" s="14">
        <f>SUBTOTAL(101,Table19[200])</f>
        <v>0.27477272727272734</v>
      </c>
    </row>
    <row r="4" spans="1:13" x14ac:dyDescent="0.35">
      <c r="A4" s="14">
        <f>SUBTOTAL(101,Table18[400])</f>
        <v>0.31222222222222218</v>
      </c>
      <c r="B4" s="14">
        <f>SUBTOTAL(101,Table19[400])</f>
        <v>0.26727272727272722</v>
      </c>
      <c r="D4" t="s">
        <v>47</v>
      </c>
    </row>
    <row r="5" spans="1:13" ht="15" thickBot="1" x14ac:dyDescent="0.4">
      <c r="A5" s="14">
        <f>SUBTOTAL(101,Table18[500])</f>
        <v>0.22888888888888884</v>
      </c>
      <c r="B5" s="14">
        <f>SUBTOTAL(101,Table19[500])</f>
        <v>0.27340909090909088</v>
      </c>
    </row>
    <row r="6" spans="1:13" x14ac:dyDescent="0.35">
      <c r="A6" s="14">
        <f>SUBTOTAL(101,Table18[800])</f>
        <v>0.21111111111111114</v>
      </c>
      <c r="B6" s="14">
        <f>SUBTOTAL(101,Table19[800])</f>
        <v>0.28113636363636374</v>
      </c>
      <c r="D6" s="6"/>
      <c r="E6" s="6" t="s">
        <v>98</v>
      </c>
      <c r="F6" s="6" t="s">
        <v>99</v>
      </c>
    </row>
    <row r="7" spans="1:13" x14ac:dyDescent="0.35">
      <c r="A7" s="14">
        <f>SUBTOTAL(101,Table18[1000])</f>
        <v>0.2533333333333333</v>
      </c>
      <c r="B7" s="14">
        <f>SUBTOTAL(101,Table19[1000])</f>
        <v>0.29045454545454547</v>
      </c>
      <c r="D7" s="4" t="s">
        <v>48</v>
      </c>
      <c r="E7" s="4">
        <v>0.25444444444444442</v>
      </c>
      <c r="F7" s="4">
        <v>0.2486013986013986</v>
      </c>
    </row>
    <row r="8" spans="1:13" x14ac:dyDescent="0.35">
      <c r="A8" s="14">
        <f>SUBTOTAL(101,Table18[2000])</f>
        <v>0.26333333333333331</v>
      </c>
      <c r="B8" s="14">
        <f>SUBTOTAL(101,Table19[2000])</f>
        <v>0.28704545454545449</v>
      </c>
      <c r="D8" s="4" t="s">
        <v>49</v>
      </c>
      <c r="E8" s="4">
        <v>1.9709876543210028E-3</v>
      </c>
      <c r="F8" s="4">
        <v>2.5550262237762078E-3</v>
      </c>
    </row>
    <row r="9" spans="1:13" x14ac:dyDescent="0.35">
      <c r="A9" s="14">
        <f>SUBTOTAL(101,Table18[3000])</f>
        <v>0.24555555555555555</v>
      </c>
      <c r="B9" s="14">
        <f>SUBTOTAL(101,Table19[3000])</f>
        <v>0.25068181818181812</v>
      </c>
      <c r="D9" s="4" t="s">
        <v>50</v>
      </c>
      <c r="E9" s="4">
        <v>13</v>
      </c>
      <c r="F9" s="4">
        <v>13</v>
      </c>
    </row>
    <row r="10" spans="1:13" x14ac:dyDescent="0.35">
      <c r="A10" s="14">
        <f>SUBTOTAL(101,Table18[4000])</f>
        <v>0.24777777777777776</v>
      </c>
      <c r="B10" s="14">
        <f>SUBTOTAL(101,Table19[4000])</f>
        <v>0.27386363636363636</v>
      </c>
      <c r="D10" s="4" t="s">
        <v>51</v>
      </c>
      <c r="E10" s="4">
        <v>2.2630069390486055E-3</v>
      </c>
      <c r="F10" s="4"/>
    </row>
    <row r="11" spans="1:13" x14ac:dyDescent="0.35">
      <c r="A11" s="14">
        <f>SUBTOTAL(101,Table18[6000])</f>
        <v>0.23555555555555557</v>
      </c>
      <c r="B11" s="14">
        <f>SUBTOTAL(101,Table19[6000])</f>
        <v>0.22795454545454541</v>
      </c>
      <c r="D11" s="4" t="s">
        <v>52</v>
      </c>
      <c r="E11" s="4">
        <v>0</v>
      </c>
      <c r="F11" s="4"/>
    </row>
    <row r="12" spans="1:13" x14ac:dyDescent="0.35">
      <c r="A12" s="14">
        <f>SUBTOTAL(101,Table18[8000])</f>
        <v>0.19222222222222227</v>
      </c>
      <c r="B12" s="14">
        <f>SUBTOTAL(101,Table19[8000])</f>
        <v>0.2170454545454546</v>
      </c>
      <c r="D12" s="4" t="s">
        <v>53</v>
      </c>
      <c r="E12" s="4">
        <v>24</v>
      </c>
      <c r="F12" s="4"/>
    </row>
    <row r="13" spans="1:13" x14ac:dyDescent="0.35">
      <c r="A13" s="14">
        <f>SUBTOTAL(101,Table18[10000])</f>
        <v>0.21555555555555558</v>
      </c>
      <c r="B13" s="14">
        <f>SUBTOTAL(101,Table19[10000])</f>
        <v>0.1581818181818182</v>
      </c>
      <c r="D13" s="4" t="s">
        <v>54</v>
      </c>
      <c r="E13" s="4">
        <v>0.31315044211871618</v>
      </c>
      <c r="F13" s="4"/>
    </row>
    <row r="14" spans="1:13" x14ac:dyDescent="0.35">
      <c r="A14" s="15">
        <f>SUBTOTAL(101,Table18[12000])</f>
        <v>0.24111111111111111</v>
      </c>
      <c r="B14" s="15">
        <f>SUBTOTAL(101,Table19[12000])</f>
        <v>0.13681818181818184</v>
      </c>
      <c r="D14" s="4" t="s">
        <v>55</v>
      </c>
      <c r="E14" s="4">
        <v>0.37843578342029688</v>
      </c>
      <c r="F14" s="4"/>
    </row>
    <row r="15" spans="1:13" x14ac:dyDescent="0.35">
      <c r="D15" s="4" t="s">
        <v>56</v>
      </c>
      <c r="E15" s="4">
        <v>1.7108820799094284</v>
      </c>
      <c r="F15" s="4"/>
    </row>
    <row r="16" spans="1:13" x14ac:dyDescent="0.35">
      <c r="D16" s="4" t="s">
        <v>57</v>
      </c>
      <c r="E16" s="4">
        <v>0.75687156684059376</v>
      </c>
      <c r="F16" s="4"/>
    </row>
    <row r="17" spans="1:6" ht="15" thickBot="1" x14ac:dyDescent="0.4">
      <c r="D17" s="5" t="s">
        <v>58</v>
      </c>
      <c r="E17" s="5">
        <v>2.0638985616280254</v>
      </c>
      <c r="F17" s="5"/>
    </row>
    <row r="20" spans="1:6" x14ac:dyDescent="0.35">
      <c r="A20" t="s">
        <v>100</v>
      </c>
      <c r="B20" t="s">
        <v>101</v>
      </c>
    </row>
    <row r="21" spans="1:6" x14ac:dyDescent="0.35">
      <c r="A21" s="11">
        <f>STDEV(Table18[100])/SQRT(COUNT(Table18[100]))</f>
        <v>9.6465307523251873E-2</v>
      </c>
      <c r="B21" s="11">
        <f>STDEV(Table19[100])/SQRT(COUNT(Table19[100]))</f>
        <v>2.8481240306464515E-2</v>
      </c>
    </row>
    <row r="22" spans="1:6" x14ac:dyDescent="0.35">
      <c r="A22" s="11">
        <f>STDEV(Table18[200])/SQRT(COUNT(Table18[200]))</f>
        <v>9.3230763745890122E-2</v>
      </c>
      <c r="B22" s="11">
        <f>STDEV(Table19[200])/SQRT(COUNT(Table19[200]))</f>
        <v>2.4305335367181536E-2</v>
      </c>
    </row>
    <row r="23" spans="1:6" x14ac:dyDescent="0.35">
      <c r="A23" s="11">
        <f>STDEV(Table18[400])/SQRT(COUNT(Table18[400]))</f>
        <v>9.5099038693847102E-2</v>
      </c>
      <c r="B23" s="11">
        <f>STDEV(Table19[400])/SQRT(COUNT(Table19[400]))</f>
        <v>2.1648165985244518E-2</v>
      </c>
    </row>
    <row r="24" spans="1:6" x14ac:dyDescent="0.35">
      <c r="A24" s="11">
        <f>STDEV(Table18[500])/SQRT(COUNT(Table18[500]))</f>
        <v>5.2239949709767301E-2</v>
      </c>
      <c r="B24" s="11">
        <f>STDEV(Table19[500])/SQRT(COUNT(Table19[500]))</f>
        <v>2.0410541108772051E-2</v>
      </c>
    </row>
    <row r="25" spans="1:6" x14ac:dyDescent="0.35">
      <c r="A25" s="11">
        <f>STDEV(Table18[800])/SQRT(COUNT(Table18[800]))</f>
        <v>4.234266447175828E-2</v>
      </c>
      <c r="B25" s="11">
        <f>STDEV(Table19[800])/SQRT(COUNT(Table19[800]))</f>
        <v>2.6927229294781765E-2</v>
      </c>
    </row>
    <row r="26" spans="1:6" x14ac:dyDescent="0.35">
      <c r="A26" s="11">
        <f>STDEV(Table18[1000])/SQRT(COUNT(Table18[1000]))</f>
        <v>4.4440972086577941E-2</v>
      </c>
      <c r="B26" s="11">
        <f>STDEV(Table19[1000])/SQRT(COUNT(Table19[100]))</f>
        <v>2.2584009351261345E-2</v>
      </c>
    </row>
    <row r="27" spans="1:6" x14ac:dyDescent="0.35">
      <c r="A27" s="11">
        <f>STDEV(Table18[2000])/SQRT(COUNT(Table18[2000]))</f>
        <v>5.9278064145929149E-2</v>
      </c>
      <c r="B27" s="11">
        <f>STDEV(Table19[2000])/SQRT(COUNT(Table19[100]))</f>
        <v>2.6804001518529734E-2</v>
      </c>
    </row>
    <row r="28" spans="1:6" x14ac:dyDescent="0.35">
      <c r="A28" s="11">
        <f>STDEV(Table18[3000])/SQRT(COUNT(Table18[3000]))</f>
        <v>6.4616628215772035E-2</v>
      </c>
      <c r="B28" s="11">
        <f>STDEV(Table19[3000])/SQRT(COUNT(Table19[100]))</f>
        <v>2.2905721210949356E-2</v>
      </c>
    </row>
    <row r="29" spans="1:6" x14ac:dyDescent="0.35">
      <c r="A29" s="11">
        <f>STDEV(Table18[4000])/SQRT(COUNT(Table18[4000]))</f>
        <v>0.10230371148064983</v>
      </c>
      <c r="B29" s="11">
        <f>STDEV(Table19[4000])/SQRT(COUNT(Table19[100]))</f>
        <v>2.0168989837537541E-2</v>
      </c>
    </row>
    <row r="30" spans="1:6" x14ac:dyDescent="0.35">
      <c r="A30" s="11">
        <f>STDEV(Table18[6000])/SQRT(COUNT(Table18[6000]))</f>
        <v>0.105423894496761</v>
      </c>
      <c r="B30" s="11">
        <f>STDEV(Table19[6000])/SQRT(COUNT(Table19[100]))</f>
        <v>1.9988314623970257E-2</v>
      </c>
    </row>
    <row r="31" spans="1:6" x14ac:dyDescent="0.35">
      <c r="A31" s="11">
        <f>STDEV(Table18[8000])/SQRT(COUNT(Table18[8000]))</f>
        <v>5.2777777777777764E-2</v>
      </c>
      <c r="B31" s="11">
        <f>STDEV(Table19[8000])/SQRT(COUNT(Table19[100]))</f>
        <v>1.8788855569189026E-2</v>
      </c>
    </row>
    <row r="32" spans="1:6" x14ac:dyDescent="0.35">
      <c r="A32" s="11">
        <f>STDEV(Table18[10000])/SQRT(COUNT(Table18[10000]))</f>
        <v>6.2251977012584177E-2</v>
      </c>
      <c r="B32" s="11">
        <f>STDEV(Table19[10000])/SQRT(COUNT(Table19[100]))</f>
        <v>1.9235583897360152E-2</v>
      </c>
    </row>
    <row r="33" spans="1:2" x14ac:dyDescent="0.35">
      <c r="A33" s="11">
        <f>STDEV(Table18[12000])/SQRT(COUNT(Table18[12000]))</f>
        <v>0.10615037086401487</v>
      </c>
      <c r="B33" s="11">
        <f>STDEV(Table19[12000])/SQRT(COUNT(Table19[100]))</f>
        <v>1.7459626418683542E-2</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3006-6F30-4197-97D0-E03D670F287A}">
  <dimension ref="A1:M42"/>
  <sheetViews>
    <sheetView topLeftCell="A31" workbookViewId="0">
      <selection activeCell="I2" sqref="I2:I4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5.0000000000000017E-2</v>
      </c>
      <c r="B7" s="2">
        <v>0.09</v>
      </c>
      <c r="C7" s="2">
        <v>9.9999999999999978E-2</v>
      </c>
      <c r="D7" s="2">
        <v>2.0000000000000018E-2</v>
      </c>
      <c r="E7" s="2">
        <v>4.0000000000000008E-2</v>
      </c>
      <c r="F7" s="2">
        <v>9.9999999999999978E-2</v>
      </c>
      <c r="G7" s="2">
        <v>0.12</v>
      </c>
      <c r="H7" s="2">
        <v>1.0000000000000009E-2</v>
      </c>
      <c r="I7" s="2">
        <v>0.03</v>
      </c>
      <c r="J7" s="2">
        <v>0</v>
      </c>
      <c r="K7" s="2">
        <v>3.999999999999998E-2</v>
      </c>
      <c r="L7" s="2">
        <v>1.0000000000000009E-2</v>
      </c>
      <c r="M7" s="2">
        <v>6.9999999999999951E-2</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0.21000000000000002</v>
      </c>
      <c r="B11" s="2">
        <v>0.18</v>
      </c>
      <c r="C11" s="2">
        <v>4.9999999999999989E-2</v>
      </c>
      <c r="D11" s="2">
        <v>7.0000000000000007E-2</v>
      </c>
      <c r="E11" s="2">
        <v>0.12</v>
      </c>
      <c r="F11" s="2">
        <v>0.10000000000000003</v>
      </c>
      <c r="G11" s="2">
        <v>4.0000000000000008E-2</v>
      </c>
      <c r="H11" s="2">
        <v>9.9999999999999992E-2</v>
      </c>
      <c r="I11" s="2">
        <v>1.0000000000000009E-2</v>
      </c>
      <c r="J11" s="2">
        <v>0.09</v>
      </c>
      <c r="K11" s="2">
        <v>5.0000000000000044E-2</v>
      </c>
      <c r="L11" s="2">
        <v>8.0000000000000016E-2</v>
      </c>
      <c r="M11" s="2">
        <v>3.999999999999998E-2</v>
      </c>
    </row>
    <row r="12" spans="1:13" x14ac:dyDescent="0.35">
      <c r="A12" s="1">
        <v>0.31999999999999995</v>
      </c>
      <c r="B12" s="1">
        <v>0.56000000000000005</v>
      </c>
      <c r="C12" s="1">
        <v>0.48</v>
      </c>
      <c r="D12" s="1">
        <v>0.59000000000000008</v>
      </c>
      <c r="E12" s="1">
        <v>0.45999999999999996</v>
      </c>
      <c r="F12" s="1">
        <v>0.38999999999999996</v>
      </c>
      <c r="G12" s="1">
        <v>0.28999999999999998</v>
      </c>
      <c r="H12" s="1">
        <v>0.25</v>
      </c>
      <c r="I12" s="1">
        <v>0.27</v>
      </c>
      <c r="J12" s="1">
        <v>0.24</v>
      </c>
      <c r="K12" s="1">
        <v>0.18999999999999995</v>
      </c>
      <c r="L12" s="1">
        <v>0.20999999999999996</v>
      </c>
      <c r="M12" s="1">
        <v>0.12000000000000011</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2">
        <v>0.48000000000000004</v>
      </c>
      <c r="B14" s="12">
        <v>0.51</v>
      </c>
      <c r="C14" s="12">
        <v>0.49</v>
      </c>
      <c r="D14" s="12">
        <v>0.33999999999999997</v>
      </c>
      <c r="E14" s="12">
        <v>0.39</v>
      </c>
      <c r="F14" s="12">
        <v>0.37000000000000005</v>
      </c>
      <c r="G14" s="12">
        <v>0.47</v>
      </c>
      <c r="H14" s="12">
        <v>0.43000000000000005</v>
      </c>
      <c r="I14" s="12">
        <v>0.26999999999999996</v>
      </c>
      <c r="J14" s="12">
        <v>0.3</v>
      </c>
      <c r="K14" s="12">
        <v>0.31</v>
      </c>
      <c r="L14" s="12">
        <v>0.27</v>
      </c>
      <c r="M14" s="12">
        <v>0.20999999999999996</v>
      </c>
    </row>
    <row r="15" spans="1:13" x14ac:dyDescent="0.35">
      <c r="A15" s="23">
        <v>0.21999999999999997</v>
      </c>
      <c r="B15" s="23">
        <v>0.27</v>
      </c>
      <c r="C15" s="23">
        <v>0.22999999999999998</v>
      </c>
      <c r="D15" s="23">
        <v>0.19999999999999996</v>
      </c>
      <c r="E15" s="23">
        <v>0.23000000000000004</v>
      </c>
      <c r="F15" s="23">
        <v>0.36</v>
      </c>
      <c r="G15" s="23">
        <v>0.38</v>
      </c>
      <c r="H15" s="23">
        <v>0.28000000000000003</v>
      </c>
      <c r="I15" s="23">
        <v>0.26999999999999996</v>
      </c>
      <c r="J15" s="23">
        <v>0.11000000000000004</v>
      </c>
      <c r="K15" s="23">
        <v>0.25000000000000006</v>
      </c>
      <c r="L15" s="23">
        <v>0.15000000000000002</v>
      </c>
      <c r="M15" s="23">
        <v>0.10999999999999999</v>
      </c>
    </row>
    <row r="16" spans="1:13" x14ac:dyDescent="0.35">
      <c r="A16" s="12">
        <v>0.52</v>
      </c>
      <c r="B16" s="12">
        <v>0.36000000000000004</v>
      </c>
      <c r="C16" s="12">
        <v>0.24000000000000005</v>
      </c>
      <c r="D16" s="12">
        <v>0.25</v>
      </c>
      <c r="E16" s="12">
        <v>0.18</v>
      </c>
      <c r="F16" s="12">
        <v>0.13</v>
      </c>
      <c r="G16" s="12">
        <v>2.0000000000000018E-2</v>
      </c>
      <c r="H16" s="12">
        <v>0.12000000000000002</v>
      </c>
      <c r="I16" s="12">
        <v>0.12999999999999998</v>
      </c>
      <c r="J16" s="12">
        <v>8.9999999999999969E-2</v>
      </c>
      <c r="K16" s="12">
        <v>9.0000000000000024E-2</v>
      </c>
      <c r="L16" s="12">
        <v>7.0000000000000007E-2</v>
      </c>
      <c r="M16" s="12">
        <v>0.18000000000000005</v>
      </c>
    </row>
    <row r="17" spans="1:13" x14ac:dyDescent="0.35">
      <c r="A17" s="12">
        <v>0</v>
      </c>
      <c r="B17" s="12">
        <v>0.24</v>
      </c>
      <c r="C17" s="12">
        <v>0.35000000000000003</v>
      </c>
      <c r="D17" s="12">
        <v>0.23000000000000004</v>
      </c>
      <c r="E17" s="12">
        <v>0.2</v>
      </c>
      <c r="F17" s="12">
        <v>0.23000000000000004</v>
      </c>
      <c r="G17" s="12">
        <v>0.20999999999999996</v>
      </c>
      <c r="H17" s="12">
        <v>0.12000000000000002</v>
      </c>
      <c r="I17" s="12">
        <v>0.17</v>
      </c>
      <c r="J17" s="12">
        <v>0.09</v>
      </c>
      <c r="K17" s="12">
        <v>0.15999999999999998</v>
      </c>
      <c r="L17" s="12">
        <v>7.999999999999996E-2</v>
      </c>
      <c r="M17" s="12">
        <v>0.22999999999999998</v>
      </c>
    </row>
    <row r="18" spans="1:13" x14ac:dyDescent="0.35">
      <c r="A18" s="12">
        <v>0.45999999999999996</v>
      </c>
      <c r="B18" s="12">
        <v>0.47</v>
      </c>
      <c r="C18" s="12">
        <v>0.43000000000000005</v>
      </c>
      <c r="D18" s="12">
        <v>0.33000000000000007</v>
      </c>
      <c r="E18" s="12">
        <v>0.44000000000000006</v>
      </c>
      <c r="F18" s="12">
        <v>0.36000000000000004</v>
      </c>
      <c r="G18" s="12">
        <v>0.33</v>
      </c>
      <c r="H18" s="12">
        <v>0.19</v>
      </c>
      <c r="I18" s="12">
        <v>0.24000000000000002</v>
      </c>
      <c r="J18" s="12">
        <v>0.22000000000000003</v>
      </c>
      <c r="K18" s="12">
        <v>0.24000000000000002</v>
      </c>
      <c r="L18" s="12">
        <v>0.18000000000000002</v>
      </c>
      <c r="M18" s="12">
        <v>0.19</v>
      </c>
    </row>
    <row r="19" spans="1:13" x14ac:dyDescent="0.35">
      <c r="A19" s="12">
        <v>0.27</v>
      </c>
      <c r="B19" s="12">
        <v>0.20999999999999996</v>
      </c>
      <c r="C19" s="12">
        <v>0.25000000000000006</v>
      </c>
      <c r="D19" s="12">
        <v>0.18999999999999995</v>
      </c>
      <c r="E19" s="12">
        <v>0.14000000000000007</v>
      </c>
      <c r="F19" s="12">
        <v>0.17999999999999994</v>
      </c>
      <c r="G19" s="12">
        <v>0.19999999999999996</v>
      </c>
      <c r="H19" s="12">
        <v>0.15000000000000002</v>
      </c>
      <c r="I19" s="12">
        <v>0.18</v>
      </c>
      <c r="J19" s="12">
        <v>8.0000000000000016E-2</v>
      </c>
      <c r="K19" s="12">
        <v>0.10000000000000003</v>
      </c>
      <c r="L19" s="12">
        <v>8.0000000000000071E-2</v>
      </c>
      <c r="M19" s="12">
        <v>8.9999999999999969E-2</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0.18999999999999995</v>
      </c>
      <c r="B26" s="12">
        <v>7.999999999999996E-2</v>
      </c>
      <c r="C26" s="12">
        <v>0.17000000000000004</v>
      </c>
      <c r="D26" s="12">
        <v>0.15000000000000002</v>
      </c>
      <c r="E26" s="12">
        <v>0.20999999999999996</v>
      </c>
      <c r="F26" s="12">
        <v>0.15000000000000002</v>
      </c>
      <c r="G26" s="12">
        <v>0.13</v>
      </c>
      <c r="H26" s="12">
        <v>2.9999999999999971E-2</v>
      </c>
      <c r="I26" s="12">
        <v>5.0000000000000017E-2</v>
      </c>
      <c r="J26" s="12">
        <v>3.999999999999998E-2</v>
      </c>
      <c r="K26" s="12">
        <v>8.0000000000000016E-2</v>
      </c>
      <c r="L26" s="12">
        <v>9.0000000000000024E-2</v>
      </c>
      <c r="M26" s="12">
        <v>3.0000000000000027E-2</v>
      </c>
    </row>
    <row r="27" spans="1:13" x14ac:dyDescent="0.35">
      <c r="A27" s="23">
        <v>0.24</v>
      </c>
      <c r="B27" s="23">
        <v>0.26</v>
      </c>
      <c r="C27" s="23">
        <v>0.26999999999999996</v>
      </c>
      <c r="D27" s="23">
        <v>0.33999999999999997</v>
      </c>
      <c r="E27" s="23">
        <v>0.21000000000000002</v>
      </c>
      <c r="F27" s="23">
        <v>0.14000000000000001</v>
      </c>
      <c r="G27" s="23">
        <v>0.19</v>
      </c>
      <c r="H27" s="23">
        <v>0.16000000000000003</v>
      </c>
      <c r="I27" s="23">
        <v>0.16999999999999998</v>
      </c>
      <c r="J27" s="23">
        <v>0.15999999999999998</v>
      </c>
      <c r="K27" s="23">
        <v>0.19</v>
      </c>
      <c r="L27" s="23">
        <v>0.16999999999999993</v>
      </c>
      <c r="M27" s="23">
        <v>4.0000000000000036E-2</v>
      </c>
    </row>
    <row r="28" spans="1:13" x14ac:dyDescent="0.35">
      <c r="A28" s="12">
        <v>3.0000000000000027E-2</v>
      </c>
      <c r="B28" s="12">
        <v>0.16000000000000003</v>
      </c>
      <c r="C28" s="12">
        <v>0.14000000000000001</v>
      </c>
      <c r="D28" s="12">
        <v>0.19000000000000006</v>
      </c>
      <c r="E28" s="12">
        <v>0.22999999999999993</v>
      </c>
      <c r="F28" s="12">
        <v>0.11000000000000004</v>
      </c>
      <c r="G28" s="12">
        <v>8.0000000000000016E-2</v>
      </c>
      <c r="H28" s="12">
        <v>4.9999999999999989E-2</v>
      </c>
      <c r="I28" s="12">
        <v>9.0000000000000024E-2</v>
      </c>
      <c r="J28" s="12">
        <v>1.0000000000000009E-2</v>
      </c>
      <c r="K28" s="12">
        <v>4.9999999999999933E-2</v>
      </c>
      <c r="L28" s="12">
        <v>0</v>
      </c>
      <c r="M28" s="12">
        <v>0</v>
      </c>
    </row>
    <row r="29" spans="1:13" x14ac:dyDescent="0.35">
      <c r="A29" s="23">
        <v>0.63</v>
      </c>
      <c r="B29" s="23">
        <v>0.25</v>
      </c>
      <c r="C29" s="23">
        <v>5.9999999999999942E-2</v>
      </c>
      <c r="D29" s="23">
        <v>7.999999999999996E-2</v>
      </c>
      <c r="E29" s="23">
        <v>0.26000000000000006</v>
      </c>
      <c r="F29" s="23">
        <v>0.7</v>
      </c>
      <c r="G29" s="23">
        <v>0.41999999999999993</v>
      </c>
      <c r="H29" s="23">
        <v>0.39</v>
      </c>
      <c r="I29" s="23">
        <v>0.45999999999999996</v>
      </c>
      <c r="J29" s="23">
        <v>0.39</v>
      </c>
      <c r="K29" s="23">
        <v>0.37999999999999995</v>
      </c>
      <c r="L29" s="23">
        <v>0.37</v>
      </c>
      <c r="M29" s="23">
        <v>0.33000000000000007</v>
      </c>
    </row>
    <row r="30" spans="1:13" x14ac:dyDescent="0.35">
      <c r="A30" s="12">
        <v>0.12</v>
      </c>
      <c r="B30" s="12">
        <v>0.4</v>
      </c>
      <c r="C30" s="12">
        <v>0.47</v>
      </c>
      <c r="D30" s="12">
        <v>0.44</v>
      </c>
      <c r="E30" s="12">
        <v>0.25999999999999995</v>
      </c>
      <c r="F30" s="12">
        <v>0.3</v>
      </c>
      <c r="G30" s="12">
        <v>0.27999999999999997</v>
      </c>
      <c r="H30" s="12">
        <v>0.38999999999999996</v>
      </c>
      <c r="I30" s="12">
        <v>0.32000000000000006</v>
      </c>
      <c r="J30" s="12">
        <v>0.37</v>
      </c>
      <c r="K30" s="12">
        <v>0.35</v>
      </c>
      <c r="L30" s="12">
        <v>0.48000000000000004</v>
      </c>
      <c r="M30" s="12">
        <v>0.4</v>
      </c>
    </row>
    <row r="31" spans="1:13" x14ac:dyDescent="0.35">
      <c r="A31" s="23">
        <v>0.19000000000000006</v>
      </c>
      <c r="B31" s="23">
        <v>0.16999999999999998</v>
      </c>
      <c r="C31" s="23">
        <v>0.19</v>
      </c>
      <c r="D31" s="23">
        <v>0.18</v>
      </c>
      <c r="E31" s="23">
        <v>0.16999999999999998</v>
      </c>
      <c r="F31" s="23">
        <v>0.15999999999999998</v>
      </c>
      <c r="G31" s="23">
        <v>0.22</v>
      </c>
      <c r="H31" s="23">
        <v>0.28000000000000003</v>
      </c>
      <c r="I31" s="23">
        <v>0.29000000000000004</v>
      </c>
      <c r="J31" s="23">
        <v>0.27</v>
      </c>
      <c r="K31" s="23">
        <v>0.22999999999999998</v>
      </c>
      <c r="L31" s="23">
        <v>0.29000000000000004</v>
      </c>
      <c r="M31" s="23">
        <v>0.27</v>
      </c>
    </row>
    <row r="32" spans="1:13" x14ac:dyDescent="0.35">
      <c r="A32" s="12">
        <v>0.36</v>
      </c>
      <c r="B32" s="12">
        <v>0.3</v>
      </c>
      <c r="C32" s="12">
        <v>0.21999999999999997</v>
      </c>
      <c r="D32" s="12">
        <v>0.34</v>
      </c>
      <c r="E32" s="12">
        <v>0.32</v>
      </c>
      <c r="F32" s="12">
        <v>0.3</v>
      </c>
      <c r="G32" s="12">
        <v>0.28999999999999998</v>
      </c>
      <c r="H32" s="12">
        <v>0.10999999999999999</v>
      </c>
      <c r="I32" s="12">
        <v>0.28999999999999998</v>
      </c>
      <c r="J32" s="12">
        <v>0.27000000000000007</v>
      </c>
      <c r="K32" s="12">
        <v>0.25000000000000006</v>
      </c>
      <c r="L32" s="12">
        <v>0.24999999999999994</v>
      </c>
      <c r="M32" s="12">
        <v>0.19000000000000006</v>
      </c>
    </row>
    <row r="33" spans="1:13" x14ac:dyDescent="0.35">
      <c r="A33" s="23">
        <v>0.21999999999999997</v>
      </c>
      <c r="B33" s="23">
        <v>2.0000000000000018E-2</v>
      </c>
      <c r="C33" s="23">
        <v>0.13</v>
      </c>
      <c r="D33" s="23">
        <v>0.1100000000000001</v>
      </c>
      <c r="E33" s="23">
        <v>5.0000000000000044E-2</v>
      </c>
      <c r="F33" s="23">
        <v>0.17999999999999994</v>
      </c>
      <c r="G33" s="23">
        <v>9.9999999999999978E-2</v>
      </c>
      <c r="H33" s="23">
        <v>0.16999999999999998</v>
      </c>
      <c r="I33" s="23">
        <v>0.34</v>
      </c>
      <c r="J33" s="23">
        <v>0.31999999999999995</v>
      </c>
      <c r="K33" s="23">
        <v>0.32</v>
      </c>
      <c r="L33" s="23">
        <v>3.0000000000000027E-2</v>
      </c>
      <c r="M33" s="23">
        <v>2.0000000000000018E-2</v>
      </c>
    </row>
    <row r="34" spans="1:13" x14ac:dyDescent="0.35">
      <c r="A34" s="12">
        <v>0.36</v>
      </c>
      <c r="B34" s="12">
        <v>0.35</v>
      </c>
      <c r="C34" s="12">
        <v>0.26</v>
      </c>
      <c r="D34" s="12">
        <v>0.34000000000000008</v>
      </c>
      <c r="E34" s="12">
        <v>0.33000000000000007</v>
      </c>
      <c r="F34" s="12">
        <v>0.31000000000000005</v>
      </c>
      <c r="G34" s="12">
        <v>0.25</v>
      </c>
      <c r="H34" s="12">
        <v>0.39</v>
      </c>
      <c r="I34" s="12">
        <v>0.35</v>
      </c>
      <c r="J34" s="12">
        <v>0.25</v>
      </c>
      <c r="K34" s="12">
        <v>0.27</v>
      </c>
      <c r="L34" s="12">
        <v>0.25</v>
      </c>
      <c r="M34" s="12">
        <v>0.14999999999999991</v>
      </c>
    </row>
    <row r="35" spans="1:13" x14ac:dyDescent="0.35">
      <c r="A35" s="23">
        <v>0.32999999999999996</v>
      </c>
      <c r="B35" s="23">
        <v>0.18000000000000005</v>
      </c>
      <c r="C35" s="23">
        <v>0.20000000000000007</v>
      </c>
      <c r="D35" s="23">
        <v>0.18999999999999995</v>
      </c>
      <c r="E35" s="23">
        <v>0.22000000000000003</v>
      </c>
      <c r="F35" s="23">
        <v>0.28999999999999998</v>
      </c>
      <c r="G35" s="23">
        <v>0.27</v>
      </c>
      <c r="H35" s="23">
        <v>0.26</v>
      </c>
      <c r="I35" s="23">
        <v>0.16999999999999998</v>
      </c>
      <c r="J35" s="23">
        <v>0.16000000000000003</v>
      </c>
      <c r="K35" s="23">
        <v>0.31</v>
      </c>
      <c r="L35" s="23">
        <v>0.21999999999999997</v>
      </c>
      <c r="M35" s="23">
        <v>0.19999999999999996</v>
      </c>
    </row>
    <row r="36" spans="1:13" x14ac:dyDescent="0.35">
      <c r="A36" s="12">
        <v>0.46000000000000008</v>
      </c>
      <c r="B36" s="12">
        <v>0.27</v>
      </c>
      <c r="C36" s="12">
        <v>0.21999999999999997</v>
      </c>
      <c r="D36" s="12">
        <v>0.25999999999999995</v>
      </c>
      <c r="E36" s="12">
        <v>0.19999999999999996</v>
      </c>
      <c r="F36" s="12">
        <v>0.27</v>
      </c>
      <c r="G36" s="12">
        <v>0.17</v>
      </c>
      <c r="H36" s="12">
        <v>0.21999999999999997</v>
      </c>
      <c r="I36" s="12">
        <v>6.9999999999999979E-2</v>
      </c>
      <c r="J36" s="12">
        <v>7.0000000000000007E-2</v>
      </c>
      <c r="K36" s="12">
        <v>9.9999999999999978E-2</v>
      </c>
      <c r="L36" s="12">
        <v>0.17</v>
      </c>
      <c r="M36" s="12">
        <v>5.0000000000000044E-2</v>
      </c>
    </row>
    <row r="37" spans="1:13" x14ac:dyDescent="0.35">
      <c r="A37" s="12">
        <v>0.4</v>
      </c>
      <c r="B37" s="12">
        <v>0.45999999999999996</v>
      </c>
      <c r="C37" s="12">
        <v>0.35000000000000003</v>
      </c>
      <c r="D37" s="12">
        <v>0.4</v>
      </c>
      <c r="E37" s="12">
        <v>0.29000000000000004</v>
      </c>
      <c r="F37" s="12">
        <v>0.32999999999999996</v>
      </c>
      <c r="G37" s="12">
        <v>0.32999999999999996</v>
      </c>
      <c r="H37" s="12">
        <v>0.32999999999999996</v>
      </c>
      <c r="I37" s="12">
        <v>0.35</v>
      </c>
      <c r="J37" s="12">
        <v>0.28999999999999998</v>
      </c>
      <c r="K37" s="12">
        <v>0.27</v>
      </c>
      <c r="L37" s="12">
        <v>0.22999999999999998</v>
      </c>
      <c r="M37" s="12">
        <v>0.16999999999999993</v>
      </c>
    </row>
    <row r="38" spans="1:13" x14ac:dyDescent="0.35">
      <c r="A38" s="12">
        <v>9.000000000000008E-2</v>
      </c>
      <c r="B38" s="12">
        <v>0.21999999999999997</v>
      </c>
      <c r="C38" s="12">
        <v>0.14000000000000001</v>
      </c>
      <c r="D38" s="12">
        <v>0.24</v>
      </c>
      <c r="E38" s="12">
        <v>0.10999999999999999</v>
      </c>
      <c r="F38" s="12">
        <v>9.9999999999999978E-2</v>
      </c>
      <c r="G38" s="12">
        <v>0.21</v>
      </c>
      <c r="H38" s="12">
        <v>0.12</v>
      </c>
      <c r="I38" s="12">
        <v>8.0000000000000016E-2</v>
      </c>
      <c r="J38" s="12">
        <v>0.16000000000000003</v>
      </c>
      <c r="K38" s="12">
        <v>0.06</v>
      </c>
      <c r="L38" s="12">
        <v>0.11000000000000004</v>
      </c>
      <c r="M38" s="12">
        <v>8.9999999999999969E-2</v>
      </c>
    </row>
    <row r="39" spans="1:13" x14ac:dyDescent="0.35">
      <c r="A39" s="13">
        <v>0.39</v>
      </c>
      <c r="B39" s="13">
        <v>0.66999999999999993</v>
      </c>
      <c r="C39" s="13">
        <v>0.28999999999999998</v>
      </c>
      <c r="D39" s="13">
        <v>0.19</v>
      </c>
      <c r="E39" s="13">
        <v>8.0000000000000016E-2</v>
      </c>
      <c r="F39" s="13">
        <v>0.11000000000000004</v>
      </c>
      <c r="G39" s="13">
        <v>8.0000000000000071E-2</v>
      </c>
      <c r="H39" s="13">
        <v>1.9999999999999962E-2</v>
      </c>
      <c r="I39" s="13">
        <v>6.9999999999999951E-2</v>
      </c>
      <c r="J39" s="13">
        <v>1.0000000000000009E-2</v>
      </c>
      <c r="K39" s="13">
        <v>0</v>
      </c>
      <c r="L39" s="13">
        <v>1.0000000000000009E-2</v>
      </c>
      <c r="M39" s="13">
        <v>9.9999999999998979E-3</v>
      </c>
    </row>
    <row r="40" spans="1:13" x14ac:dyDescent="0.35">
      <c r="A40" s="49">
        <v>0.4</v>
      </c>
      <c r="B40" s="49">
        <v>0.38999999999999996</v>
      </c>
      <c r="C40" s="49">
        <v>0.41</v>
      </c>
      <c r="D40" s="49">
        <v>0.39</v>
      </c>
      <c r="E40" s="49">
        <v>0.36</v>
      </c>
      <c r="F40" s="49">
        <v>0.35</v>
      </c>
      <c r="G40" s="49">
        <v>0.28000000000000003</v>
      </c>
      <c r="H40" s="49">
        <v>0.23000000000000004</v>
      </c>
      <c r="I40" s="49">
        <v>0.24</v>
      </c>
      <c r="J40" s="49">
        <v>0.10000000000000003</v>
      </c>
      <c r="K40" s="49">
        <v>0.15000000000000002</v>
      </c>
      <c r="L40" s="49">
        <v>1.0000000000000009E-2</v>
      </c>
      <c r="M40" s="49">
        <v>6.9999999999999951E-2</v>
      </c>
    </row>
    <row r="41" spans="1:13" s="11" customFormat="1" x14ac:dyDescent="0.35">
      <c r="A41" s="13">
        <f>AVERAGE(Table17[100])</f>
        <v>0.31615384615384617</v>
      </c>
      <c r="B41" s="13">
        <f>SUBTOTAL(101,Table17[200])</f>
        <v>0.28717948717948727</v>
      </c>
      <c r="C41" s="13">
        <f>SUBTOTAL(101,Table17[400])</f>
        <v>0.27589743589743587</v>
      </c>
      <c r="D41" s="13">
        <f>SUBTOTAL(101,Table17[500])</f>
        <v>0.25948717948717953</v>
      </c>
      <c r="E41" s="13">
        <f>SUBTOTAL(101,Table17[800])</f>
        <v>0.25230769230769223</v>
      </c>
      <c r="F41" s="13">
        <f>SUBTOTAL(101,Table17[1000])</f>
        <v>0.28384615384615386</v>
      </c>
      <c r="G41" s="13">
        <f>SUBTOTAL(101,Table17[2000])</f>
        <v>0.27641025641025635</v>
      </c>
      <c r="H41" s="13">
        <f>SUBTOTAL(101,Table17[3000])</f>
        <v>0.23769230769230773</v>
      </c>
      <c r="I41" s="13">
        <f>SUBTOTAL(101,Table17[4000])</f>
        <v>0.26846153846153836</v>
      </c>
      <c r="J41" s="13">
        <f>SUBTOTAL(101,Table17[6000])</f>
        <v>0.22974358974358977</v>
      </c>
      <c r="K41" s="13">
        <f>SUBTOTAL(101,Table17[8000])</f>
        <v>0.21435897435897436</v>
      </c>
      <c r="L41" s="13">
        <f>SUBTOTAL(101,Table17[10000])</f>
        <v>0.17051282051282055</v>
      </c>
      <c r="M41" s="13">
        <f>SUBTOTAL(101,Table17[12000])</f>
        <v>0.16179487179487181</v>
      </c>
    </row>
    <row r="42" spans="1:13" x14ac:dyDescent="0.35">
      <c r="A42" s="11">
        <f>STDEV(Table17[100])/SQRT(COUNT(Table17[100]))</f>
        <v>3.5298257584151491E-2</v>
      </c>
      <c r="B42" s="11">
        <f>STDEV(Table17[200])/SQRT(COUNT(Table17[100]))</f>
        <v>3.1746186224555294E-2</v>
      </c>
      <c r="C42" s="11">
        <f>STDEV(Table17[400])/SQRT(COUNT(Table17[400]))</f>
        <v>2.9433971827342413E-2</v>
      </c>
      <c r="D42" s="11">
        <f>STDEV(Table17[500])/SQRT(COUNT(Table17[500]))</f>
        <v>2.3456246683881531E-2</v>
      </c>
      <c r="E42" s="11">
        <f>STDEV(Table17[800])/SQRT(COUNT(Table17[800]))</f>
        <v>2.2774673821453997E-2</v>
      </c>
      <c r="F42" s="11">
        <f>STDEV(Table17[1000])/SQRT(COUNT(Table17[1000]))</f>
        <v>2.3544299947165028E-2</v>
      </c>
      <c r="G42" s="11">
        <f>STDEV(Table17[2000])/SQRT(COUNT(Table17[2000]))</f>
        <v>2.331931479644864E-2</v>
      </c>
      <c r="H42" s="11">
        <f>STDEV(Table17[3000])/SQRT(COUNT(Table17[3000]))</f>
        <v>2.6156029122202443E-2</v>
      </c>
      <c r="I42" s="11">
        <f>STDEV(Table17[4000])/SQRT(COUNT(Table17[4000]))</f>
        <v>2.895745509080221E-2</v>
      </c>
      <c r="J42" s="11">
        <f>STDEV(Table17[6000])/SQRT(COUNT(Table17[6000]))</f>
        <v>2.9998846535376329E-2</v>
      </c>
      <c r="K42" s="11">
        <f>STDEV(Table17[8000])/SQRT(COUNT(Table17[8000]))</f>
        <v>2.2028673719252091E-2</v>
      </c>
      <c r="L42" s="11">
        <f>STDEV(Table17[10000])/SQRT(COUNT(Table17[10000]))</f>
        <v>2.2504906401467836E-2</v>
      </c>
      <c r="M42" s="11">
        <f>STDEV(Table17[12000])/SQRT(COUNT(Table17[12000]))</f>
        <v>2.9812440670651783E-2</v>
      </c>
    </row>
  </sheetData>
  <phoneticPr fontId="6" type="noConversion"/>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2750-04FF-4300-B096-B047B6A62029}">
  <dimension ref="A1:M19"/>
  <sheetViews>
    <sheetView workbookViewId="0">
      <selection activeCell="H2" sqref="H2:H1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0.35000000000000003</v>
      </c>
      <c r="B4" s="1">
        <v>0.35000000000000003</v>
      </c>
      <c r="C4" s="1">
        <v>0.33</v>
      </c>
      <c r="D4" s="1">
        <v>0.4</v>
      </c>
      <c r="E4" s="1">
        <v>0.35000000000000003</v>
      </c>
      <c r="F4" s="1">
        <v>0.38</v>
      </c>
      <c r="G4" s="1">
        <v>0.33</v>
      </c>
      <c r="H4" s="1">
        <v>0.35000000000000003</v>
      </c>
      <c r="I4" s="1">
        <v>0.33</v>
      </c>
      <c r="J4" s="1">
        <v>0.15000000000000002</v>
      </c>
      <c r="K4" s="1">
        <v>0.1399999999999999</v>
      </c>
      <c r="L4" s="1">
        <v>0.56000000000000005</v>
      </c>
      <c r="M4" s="1">
        <v>0.10000000000000009</v>
      </c>
    </row>
    <row r="5" spans="1:13" x14ac:dyDescent="0.35">
      <c r="A5" s="2">
        <v>0.13</v>
      </c>
      <c r="B5" s="2">
        <v>0.10000000000000009</v>
      </c>
      <c r="C5" s="2">
        <v>0.38</v>
      </c>
      <c r="D5" s="2">
        <v>0.25999999999999995</v>
      </c>
      <c r="E5" s="2">
        <v>0.21999999999999997</v>
      </c>
      <c r="F5" s="2">
        <v>0.10999999999999999</v>
      </c>
      <c r="G5" s="2">
        <v>0.13</v>
      </c>
      <c r="H5" s="2">
        <v>0.10000000000000003</v>
      </c>
      <c r="I5" s="2">
        <v>0.15000000000000002</v>
      </c>
      <c r="J5" s="2">
        <v>1.0000000000000009E-2</v>
      </c>
      <c r="K5" s="2">
        <v>9.9999999999999978E-2</v>
      </c>
      <c r="L5" s="2">
        <v>8.9999999999999969E-2</v>
      </c>
      <c r="M5" s="2">
        <v>0.15000000000000002</v>
      </c>
    </row>
    <row r="6" spans="1:13" x14ac:dyDescent="0.35">
      <c r="A6" s="1">
        <v>0.33000000000000007</v>
      </c>
      <c r="B6" s="1">
        <v>0.53</v>
      </c>
      <c r="C6" s="1">
        <v>0.51</v>
      </c>
      <c r="D6" s="1">
        <v>0.5</v>
      </c>
      <c r="E6" s="1">
        <v>0.57999999999999996</v>
      </c>
      <c r="F6" s="1">
        <v>0.54</v>
      </c>
      <c r="G6" s="1">
        <v>0.45</v>
      </c>
      <c r="H6" s="1">
        <v>0.36</v>
      </c>
      <c r="I6" s="1">
        <v>0.38000000000000006</v>
      </c>
      <c r="J6" s="1">
        <v>0.26000000000000006</v>
      </c>
      <c r="K6" s="1">
        <v>0.28999999999999998</v>
      </c>
      <c r="L6" s="1">
        <v>0.21000000000000008</v>
      </c>
      <c r="M6" s="1">
        <v>0.24</v>
      </c>
    </row>
    <row r="7" spans="1:13" x14ac:dyDescent="0.35">
      <c r="A7" s="2">
        <v>0</v>
      </c>
      <c r="B7" s="2">
        <v>0.5</v>
      </c>
      <c r="C7" s="2">
        <v>0.5</v>
      </c>
      <c r="D7" s="2">
        <v>0.5</v>
      </c>
      <c r="E7" s="2">
        <v>1</v>
      </c>
      <c r="F7" s="2">
        <v>0.5</v>
      </c>
      <c r="G7" s="2">
        <v>1</v>
      </c>
      <c r="H7" s="2">
        <v>0.5</v>
      </c>
      <c r="I7" s="2">
        <v>0.5</v>
      </c>
      <c r="J7" s="2">
        <v>0.5</v>
      </c>
      <c r="K7" s="2">
        <v>0.5</v>
      </c>
      <c r="L7" s="2">
        <v>0</v>
      </c>
      <c r="M7" s="2">
        <v>0</v>
      </c>
    </row>
    <row r="8" spans="1:13" x14ac:dyDescent="0.35">
      <c r="A8" s="1">
        <v>0.37000000000000005</v>
      </c>
      <c r="B8" s="1">
        <v>0.37000000000000005</v>
      </c>
      <c r="C8" s="1">
        <v>0.33999999999999997</v>
      </c>
      <c r="D8" s="1">
        <v>0.32999999999999996</v>
      </c>
      <c r="E8" s="1">
        <v>0.3</v>
      </c>
      <c r="F8" s="1">
        <v>0.31</v>
      </c>
      <c r="G8" s="1">
        <v>0.20999999999999996</v>
      </c>
      <c r="H8" s="1">
        <v>0.21999999999999997</v>
      </c>
      <c r="I8" s="1">
        <v>0.35</v>
      </c>
      <c r="J8" s="1">
        <v>0.26999999999999996</v>
      </c>
      <c r="K8" s="1">
        <v>0.18</v>
      </c>
      <c r="L8" s="1">
        <v>0.20000000000000007</v>
      </c>
      <c r="M8" s="1">
        <v>0.21999999999999997</v>
      </c>
    </row>
    <row r="9" spans="1:13" x14ac:dyDescent="0.35">
      <c r="A9" s="12">
        <v>0.19999999999999996</v>
      </c>
      <c r="B9" s="12">
        <v>0.24</v>
      </c>
      <c r="C9" s="12">
        <v>0.37000000000000005</v>
      </c>
      <c r="D9" s="12">
        <v>0.23000000000000004</v>
      </c>
      <c r="E9" s="12">
        <v>0.30999999999999994</v>
      </c>
      <c r="F9" s="12">
        <v>0.16999999999999993</v>
      </c>
      <c r="G9" s="12">
        <v>0.14000000000000001</v>
      </c>
      <c r="H9" s="12">
        <v>0.19999999999999996</v>
      </c>
      <c r="I9" s="12">
        <v>0.18</v>
      </c>
      <c r="J9" s="12">
        <v>8.9999999999999969E-2</v>
      </c>
      <c r="K9" s="12">
        <v>0.14000000000000001</v>
      </c>
      <c r="L9" s="12">
        <v>9.9999999999999978E-2</v>
      </c>
      <c r="M9" s="12">
        <v>0.14000000000000001</v>
      </c>
    </row>
    <row r="10" spans="1:13" x14ac:dyDescent="0.35">
      <c r="A10" s="12">
        <v>0.20999999999999996</v>
      </c>
      <c r="B10" s="12">
        <v>0.16999999999999998</v>
      </c>
      <c r="C10" s="12">
        <v>0.23999999999999994</v>
      </c>
      <c r="D10" s="12">
        <v>0.27999999999999997</v>
      </c>
      <c r="E10" s="12">
        <v>0.17000000000000004</v>
      </c>
      <c r="F10" s="12">
        <v>0.21999999999999997</v>
      </c>
      <c r="G10" s="12">
        <v>7.0000000000000007E-2</v>
      </c>
      <c r="H10" s="12">
        <v>0.22999999999999998</v>
      </c>
      <c r="I10" s="12">
        <v>0.21</v>
      </c>
      <c r="J10" s="12">
        <v>0.16</v>
      </c>
      <c r="K10" s="12">
        <v>0.24999999999999997</v>
      </c>
      <c r="L10" s="12">
        <v>0.10999999999999999</v>
      </c>
      <c r="M10" s="12">
        <v>0.06</v>
      </c>
    </row>
    <row r="11" spans="1:13" x14ac:dyDescent="0.35">
      <c r="A11" s="23">
        <v>0.13</v>
      </c>
      <c r="B11" s="23">
        <v>0.22999999999999998</v>
      </c>
      <c r="C11" s="23">
        <v>0.12</v>
      </c>
      <c r="D11" s="23">
        <v>0.17999999999999994</v>
      </c>
      <c r="E11" s="23">
        <v>0.14000000000000001</v>
      </c>
      <c r="F11" s="23">
        <v>0.28999999999999998</v>
      </c>
      <c r="G11" s="23">
        <v>0.38</v>
      </c>
      <c r="H11" s="23">
        <v>0.25</v>
      </c>
      <c r="I11" s="23">
        <v>0.15000000000000002</v>
      </c>
      <c r="J11" s="23">
        <v>0.19</v>
      </c>
      <c r="K11" s="23">
        <v>0.10999999999999999</v>
      </c>
      <c r="L11" s="23">
        <v>0.20999999999999996</v>
      </c>
      <c r="M11" s="23">
        <v>0.19999999999999996</v>
      </c>
    </row>
    <row r="12" spans="1:13" x14ac:dyDescent="0.35">
      <c r="A12" s="12">
        <v>9.9999999999999978E-2</v>
      </c>
      <c r="B12" s="12">
        <v>0.12000000000000005</v>
      </c>
      <c r="C12" s="12">
        <v>0.10999999999999999</v>
      </c>
      <c r="D12" s="12">
        <v>9.9999999999999978E-2</v>
      </c>
      <c r="E12" s="12">
        <v>0.14000000000000001</v>
      </c>
      <c r="F12" s="12">
        <v>0.13</v>
      </c>
      <c r="G12" s="12">
        <v>0.12</v>
      </c>
      <c r="H12" s="12">
        <v>8.0000000000000016E-2</v>
      </c>
      <c r="I12" s="12">
        <v>8.0000000000000016E-2</v>
      </c>
      <c r="J12" s="12">
        <v>0.13</v>
      </c>
      <c r="K12" s="12">
        <v>9.9999999999999978E-2</v>
      </c>
      <c r="L12" s="12">
        <v>3.999999999999998E-2</v>
      </c>
      <c r="M12" s="12">
        <v>0.11000000000000004</v>
      </c>
    </row>
    <row r="13" spans="1:13" x14ac:dyDescent="0.35">
      <c r="A13" s="12">
        <v>0.36</v>
      </c>
      <c r="B13" s="12">
        <v>7.0000000000000062E-2</v>
      </c>
      <c r="C13" s="12">
        <v>2.0000000000000018E-2</v>
      </c>
      <c r="D13" s="12">
        <v>5.0000000000000044E-2</v>
      </c>
      <c r="E13" s="12">
        <v>0.13</v>
      </c>
      <c r="F13" s="12">
        <v>0.13</v>
      </c>
      <c r="G13" s="12">
        <v>9.9999999999999978E-2</v>
      </c>
      <c r="H13" s="12">
        <v>0.18999999999999995</v>
      </c>
      <c r="I13" s="12">
        <v>7.999999999999996E-2</v>
      </c>
      <c r="J13" s="12">
        <v>0.22999999999999998</v>
      </c>
      <c r="K13" s="12">
        <v>0.15000000000000002</v>
      </c>
      <c r="L13" s="12">
        <v>2.0000000000000018E-2</v>
      </c>
      <c r="M13" s="12">
        <v>5.9999999999999942E-2</v>
      </c>
    </row>
    <row r="14" spans="1:13" x14ac:dyDescent="0.35">
      <c r="A14" s="12">
        <v>8.9999999999999969E-2</v>
      </c>
      <c r="B14" s="12">
        <v>0.13</v>
      </c>
      <c r="C14" s="12">
        <v>0.19</v>
      </c>
      <c r="D14" s="12">
        <v>0.24</v>
      </c>
      <c r="E14" s="12">
        <v>0.17000000000000004</v>
      </c>
      <c r="F14" s="12">
        <v>0.12000000000000005</v>
      </c>
      <c r="G14" s="12">
        <v>0.25</v>
      </c>
      <c r="H14" s="12">
        <v>0.26</v>
      </c>
      <c r="I14" s="12">
        <v>0.12999999999999995</v>
      </c>
      <c r="J14" s="12">
        <v>0.17000000000000004</v>
      </c>
      <c r="K14" s="12">
        <v>0.19</v>
      </c>
      <c r="L14" s="12">
        <v>0.14999999999999991</v>
      </c>
      <c r="M14" s="12">
        <v>3.9999999999999925E-2</v>
      </c>
    </row>
    <row r="15" spans="1:13" x14ac:dyDescent="0.35">
      <c r="A15" s="13">
        <v>0.15000000000000002</v>
      </c>
      <c r="B15" s="13">
        <v>0.29000000000000004</v>
      </c>
      <c r="C15" s="13">
        <v>0.15000000000000002</v>
      </c>
      <c r="D15" s="13">
        <v>0.19</v>
      </c>
      <c r="E15" s="13">
        <v>0.16000000000000003</v>
      </c>
      <c r="F15" s="13">
        <v>0.23000000000000004</v>
      </c>
      <c r="G15" s="13">
        <v>3.999999999999998E-2</v>
      </c>
      <c r="H15" s="13">
        <v>1.0000000000000009E-2</v>
      </c>
      <c r="I15" s="13">
        <v>0.14000000000000001</v>
      </c>
      <c r="J15" s="13">
        <v>9.9999999999999978E-2</v>
      </c>
      <c r="K15" s="13">
        <v>0.15999999999999998</v>
      </c>
      <c r="L15" s="13">
        <v>4.0000000000000036E-2</v>
      </c>
      <c r="M15" s="13">
        <v>0.13</v>
      </c>
    </row>
    <row r="16" spans="1:13" x14ac:dyDescent="0.35">
      <c r="A16" s="43">
        <v>0.36</v>
      </c>
      <c r="B16" s="43">
        <v>0.4</v>
      </c>
      <c r="C16" s="43">
        <v>0.29000000000000004</v>
      </c>
      <c r="D16" s="43">
        <v>0.36</v>
      </c>
      <c r="E16" s="43">
        <v>0.31000000000000005</v>
      </c>
      <c r="F16" s="43">
        <v>0.31999999999999995</v>
      </c>
      <c r="G16" s="43">
        <v>0.47</v>
      </c>
      <c r="H16" s="43">
        <v>0.43</v>
      </c>
      <c r="I16" s="43">
        <v>0.41000000000000003</v>
      </c>
      <c r="J16" s="43">
        <v>0.18000000000000005</v>
      </c>
      <c r="K16" s="43">
        <v>0.21999999999999997</v>
      </c>
      <c r="L16" s="43">
        <v>0.22999999999999998</v>
      </c>
      <c r="M16" s="43">
        <v>6.0000000000000053E-2</v>
      </c>
    </row>
    <row r="17" spans="1:13" s="11" customFormat="1" x14ac:dyDescent="0.35">
      <c r="A17" s="43">
        <v>0.25</v>
      </c>
      <c r="B17" s="43">
        <v>0.20999999999999996</v>
      </c>
      <c r="C17" s="43">
        <v>0.25</v>
      </c>
      <c r="D17" s="43">
        <v>0.3</v>
      </c>
      <c r="E17" s="43">
        <v>0.32</v>
      </c>
      <c r="F17" s="43">
        <v>0.41999999999999993</v>
      </c>
      <c r="G17" s="43">
        <v>0.34</v>
      </c>
      <c r="H17" s="43">
        <v>0.36000000000000004</v>
      </c>
      <c r="I17" s="43">
        <v>0.33</v>
      </c>
      <c r="J17" s="43">
        <v>0.35000000000000003</v>
      </c>
      <c r="K17" s="43">
        <v>0.28999999999999998</v>
      </c>
      <c r="L17" s="43">
        <v>0.18</v>
      </c>
      <c r="M17" s="43">
        <v>0.39</v>
      </c>
    </row>
    <row r="18" spans="1:13" x14ac:dyDescent="0.35">
      <c r="A18" s="13">
        <f>AVERAGE(Table16[100])</f>
        <v>0.245</v>
      </c>
      <c r="B18" s="13">
        <f>SUBTOTAL(101,Table16[200])</f>
        <v>0.28812500000000002</v>
      </c>
      <c r="C18" s="13">
        <f>SUBTOTAL(101,Table16[400])</f>
        <v>0.29000000000000004</v>
      </c>
      <c r="D18" s="13">
        <f>SUBTOTAL(101,Table16[500])</f>
        <v>0.29937500000000006</v>
      </c>
      <c r="E18" s="13">
        <f>SUBTOTAL(101,Table16[800])</f>
        <v>0.31812499999999999</v>
      </c>
      <c r="F18" s="13">
        <f>SUBTOTAL(101,Table16[1000])</f>
        <v>0.28812499999999996</v>
      </c>
      <c r="G18" s="13">
        <f>SUBTOTAL(101,Table16[2000])</f>
        <v>0.29499999999999998</v>
      </c>
      <c r="H18" s="13">
        <f>SUBTOTAL(101,Table16[3000])</f>
        <v>0.27124999999999999</v>
      </c>
      <c r="I18" s="13">
        <f>SUBTOTAL(101,Table16[4000])</f>
        <v>0.26562500000000006</v>
      </c>
      <c r="J18" s="13">
        <f>SUBTOTAL(101,Table16[6000])</f>
        <v>0.22000000000000003</v>
      </c>
      <c r="K18" s="13">
        <f>SUBTOTAL(101,Table16[8000])</f>
        <v>0.20437499999999997</v>
      </c>
      <c r="L18" s="13">
        <f>SUBTOTAL(101,Table16[10000])</f>
        <v>0.15875000000000003</v>
      </c>
      <c r="M18" s="13">
        <f>SUBTOTAL(101,Table16[12000])</f>
        <v>0.13937500000000003</v>
      </c>
    </row>
    <row r="19" spans="1:13" x14ac:dyDescent="0.35">
      <c r="A19" s="11">
        <f>STDEV(Table16[100])/SQRT(COUNT(Table16[100]))</f>
        <v>4.1038599716202148E-2</v>
      </c>
      <c r="B19" s="11">
        <f>STDEV(Table16[200])/SQRT(COUNT(Table16[200]))</f>
        <v>3.7960711597650527E-2</v>
      </c>
      <c r="C19" s="11">
        <f>STDEV(Table16[400])/SQRT(COUNT(Table16[400]))</f>
        <v>3.6113247800034054E-2</v>
      </c>
      <c r="D19" s="11">
        <f>STDEV(Table16[500])/SQRT(COUNT(Table16[500]))</f>
        <v>3.3596487291580518E-2</v>
      </c>
      <c r="E19" s="11">
        <f>STDEV(Table16[800])/SQRT(COUNT(Table16[800]))</f>
        <v>5.6296971129300856E-2</v>
      </c>
      <c r="F19" s="11">
        <f>STDEV(Table16[1000])/SQRT(COUNT(Table16[1000]))</f>
        <v>3.5930705879512026E-2</v>
      </c>
      <c r="G19" s="11">
        <f>STDEV(Table16[2000])/SQRT(COUNT(Table16[2000]))</f>
        <v>5.8166427888717169E-2</v>
      </c>
      <c r="H19" s="11">
        <f>STDEV(Table16[3000])/SQRT(COUNT(Table16[3000]))</f>
        <v>3.4361739866698653E-2</v>
      </c>
      <c r="I19" s="11">
        <f>STDEV(Table16[4000])/SQRT(COUNT(Table16[4000]))</f>
        <v>3.5070984564641625E-2</v>
      </c>
      <c r="J19" s="11">
        <f>STDEV(Table16[6000])/SQRT(COUNT(Table16[6000]))</f>
        <v>3.1688588903052567E-2</v>
      </c>
      <c r="K19" s="11">
        <f>STDEV(Table16[8000])/SQRT(COUNT(Table16[8000]))</f>
        <v>2.5494586843746517E-2</v>
      </c>
      <c r="L19" s="11">
        <f>STDEV(Table16[10000])/SQRT(COUNT(Table16[10000]))</f>
        <v>3.2975685486936177E-2</v>
      </c>
      <c r="M19" s="11">
        <f>STDEV(Table16[12000])/SQRT(COUNT(Table16[12000]))</f>
        <v>2.5272988709951441E-2</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5E17-4C7D-4BC2-AA79-C0E8FFD3295B}">
  <dimension ref="A1:K32"/>
  <sheetViews>
    <sheetView tabSelected="1" topLeftCell="A16" workbookViewId="0">
      <selection activeCell="F25" sqref="F25"/>
    </sheetView>
  </sheetViews>
  <sheetFormatPr defaultRowHeight="14.5" x14ac:dyDescent="0.35"/>
  <cols>
    <col min="1" max="1" width="14" bestFit="1" customWidth="1"/>
    <col min="2" max="2" width="13.54296875" bestFit="1" customWidth="1"/>
    <col min="3" max="3" width="14" bestFit="1" customWidth="1"/>
  </cols>
  <sheetData>
    <row r="1" spans="1:11" x14ac:dyDescent="0.35">
      <c r="C1" s="9" t="s">
        <v>108</v>
      </c>
      <c r="D1" s="9"/>
      <c r="E1" s="9"/>
      <c r="F1" s="9"/>
      <c r="G1" s="9"/>
      <c r="H1" s="9"/>
      <c r="I1" s="9"/>
      <c r="J1" s="9"/>
      <c r="K1" s="9"/>
    </row>
    <row r="2" spans="1:11" x14ac:dyDescent="0.35">
      <c r="A2" t="s">
        <v>71</v>
      </c>
      <c r="B2" t="s">
        <v>72</v>
      </c>
    </row>
    <row r="3" spans="1:11" x14ac:dyDescent="0.35">
      <c r="A3" s="25">
        <f>AVERAGE(Table17[100])</f>
        <v>0.31615384615384617</v>
      </c>
      <c r="B3" s="25">
        <f>AVERAGE(Table16[100])</f>
        <v>0.245</v>
      </c>
    </row>
    <row r="4" spans="1:11" x14ac:dyDescent="0.35">
      <c r="A4" s="14">
        <f>SUBTOTAL(101,Table17[200])</f>
        <v>0.28717948717948727</v>
      </c>
      <c r="B4" s="14">
        <f>SUBTOTAL(101,Table16[200])</f>
        <v>0.28812500000000002</v>
      </c>
    </row>
    <row r="5" spans="1:11" x14ac:dyDescent="0.35">
      <c r="A5" s="14">
        <f>SUBTOTAL(101,Table17[400])</f>
        <v>0.27589743589743587</v>
      </c>
      <c r="B5" s="14">
        <f>SUBTOTAL(101,Table16[400])</f>
        <v>0.29000000000000004</v>
      </c>
    </row>
    <row r="6" spans="1:11" x14ac:dyDescent="0.35">
      <c r="A6" s="14">
        <f>SUBTOTAL(101,Table17[500])</f>
        <v>0.25948717948717953</v>
      </c>
      <c r="B6" s="14">
        <f>SUBTOTAL(101,Table16[500])</f>
        <v>0.29937500000000006</v>
      </c>
    </row>
    <row r="7" spans="1:11" x14ac:dyDescent="0.35">
      <c r="A7" s="14">
        <f>SUBTOTAL(101,Table17[800])</f>
        <v>0.25230769230769223</v>
      </c>
      <c r="B7" s="14">
        <f>SUBTOTAL(101,Table16[800])</f>
        <v>0.31812499999999999</v>
      </c>
    </row>
    <row r="8" spans="1:11" x14ac:dyDescent="0.35">
      <c r="A8" s="14">
        <f>SUBTOTAL(101,Table17[1000])</f>
        <v>0.28384615384615386</v>
      </c>
      <c r="B8" s="14">
        <f>SUBTOTAL(101,Table16[1000])</f>
        <v>0.28812499999999996</v>
      </c>
    </row>
    <row r="9" spans="1:11" x14ac:dyDescent="0.35">
      <c r="A9" s="14">
        <f>SUBTOTAL(101,Table17[2000])</f>
        <v>0.27641025641025635</v>
      </c>
      <c r="B9" s="14">
        <f>SUBTOTAL(101,Table16[2000])</f>
        <v>0.29499999999999998</v>
      </c>
    </row>
    <row r="10" spans="1:11" x14ac:dyDescent="0.35">
      <c r="A10" s="14">
        <f>SUBTOTAL(101,Table17[3000])</f>
        <v>0.23769230769230773</v>
      </c>
      <c r="B10" s="14">
        <f>SUBTOTAL(101,Table16[3000])</f>
        <v>0.27124999999999999</v>
      </c>
    </row>
    <row r="11" spans="1:11" x14ac:dyDescent="0.35">
      <c r="A11" s="14">
        <f>SUBTOTAL(101,Table17[4000])</f>
        <v>0.26846153846153836</v>
      </c>
      <c r="B11" s="14">
        <f>SUBTOTAL(101,Table16[4000])</f>
        <v>0.26562500000000006</v>
      </c>
    </row>
    <row r="12" spans="1:11" x14ac:dyDescent="0.35">
      <c r="A12" s="14">
        <f>SUBTOTAL(101,Table17[6000])</f>
        <v>0.22974358974358977</v>
      </c>
      <c r="B12" s="14">
        <f>SUBTOTAL(101,Table16[6000])</f>
        <v>0.22000000000000003</v>
      </c>
    </row>
    <row r="13" spans="1:11" x14ac:dyDescent="0.35">
      <c r="A13" s="14">
        <f>SUBTOTAL(101,Table17[8000])</f>
        <v>0.21435897435897436</v>
      </c>
      <c r="B13" s="14">
        <f>SUBTOTAL(101,Table16[8000])</f>
        <v>0.20437499999999997</v>
      </c>
    </row>
    <row r="14" spans="1:11" x14ac:dyDescent="0.35">
      <c r="A14" s="14">
        <f>SUBTOTAL(101,Table17[10000])</f>
        <v>0.17051282051282055</v>
      </c>
      <c r="B14" s="14">
        <f>SUBTOTAL(101,Table16[10000])</f>
        <v>0.15875000000000003</v>
      </c>
    </row>
    <row r="15" spans="1:11" x14ac:dyDescent="0.35">
      <c r="A15" s="15">
        <f>SUBTOTAL(101,Table17[12000])</f>
        <v>0.16179487179487181</v>
      </c>
      <c r="B15" s="15">
        <f>SUBTOTAL(101,Table16[12000])</f>
        <v>0.13937500000000003</v>
      </c>
    </row>
    <row r="19" spans="1:2" x14ac:dyDescent="0.35">
      <c r="A19" t="s">
        <v>102</v>
      </c>
      <c r="B19" t="s">
        <v>103</v>
      </c>
    </row>
    <row r="20" spans="1:2" x14ac:dyDescent="0.35">
      <c r="A20" s="11">
        <f>STDEV(Table17[100])/SQRT(COUNT(Table17[100]))</f>
        <v>3.5298257584151491E-2</v>
      </c>
      <c r="B20" s="11">
        <f>STDEV(Table16[100])/SQRT(COUNT(Table16[100]))</f>
        <v>4.1038599716202148E-2</v>
      </c>
    </row>
    <row r="21" spans="1:2" x14ac:dyDescent="0.35">
      <c r="A21" s="11">
        <f>STDEV(Table17[200])/SQRT(COUNT(Table17[100]))</f>
        <v>3.1746186224555294E-2</v>
      </c>
      <c r="B21" s="11">
        <f>STDEV(Table16[200])/SQRT(COUNT(Table16[200]))</f>
        <v>3.7960711597650527E-2</v>
      </c>
    </row>
    <row r="22" spans="1:2" x14ac:dyDescent="0.35">
      <c r="A22" s="11">
        <f>STDEV(Table17[400])/SQRT(COUNT(Table17[400]))</f>
        <v>2.9433971827342413E-2</v>
      </c>
      <c r="B22" s="11">
        <f>STDEV(Table16[400])/SQRT(COUNT(Table16[400]))</f>
        <v>3.6113247800034054E-2</v>
      </c>
    </row>
    <row r="23" spans="1:2" x14ac:dyDescent="0.35">
      <c r="A23" s="11">
        <f>STDEV(Table17[500])/SQRT(COUNT(Table17[500]))</f>
        <v>2.3456246683881531E-2</v>
      </c>
      <c r="B23" s="11">
        <f>STDEV(Table16[500])/SQRT(COUNT(Table16[500]))</f>
        <v>3.3596487291580518E-2</v>
      </c>
    </row>
    <row r="24" spans="1:2" x14ac:dyDescent="0.35">
      <c r="A24" s="11">
        <f>STDEV(Table17[800])/SQRT(COUNT(Table17[800]))</f>
        <v>2.2774673821453997E-2</v>
      </c>
      <c r="B24" s="11">
        <f>STDEV(Table16[800])/SQRT(COUNT(Table16[800]))</f>
        <v>5.6296971129300856E-2</v>
      </c>
    </row>
    <row r="25" spans="1:2" x14ac:dyDescent="0.35">
      <c r="A25" s="11">
        <f>STDEV(Table17[1000])/SQRT(COUNT(Table17[1000]))</f>
        <v>2.3544299947165028E-2</v>
      </c>
      <c r="B25" s="11">
        <f>STDEV(Table16[1000])/SQRT(COUNT(Table16[1000]))</f>
        <v>3.5930705879512026E-2</v>
      </c>
    </row>
    <row r="26" spans="1:2" x14ac:dyDescent="0.35">
      <c r="A26" s="11">
        <f>STDEV(Table17[2000])/SQRT(COUNT(Table17[2000]))</f>
        <v>2.331931479644864E-2</v>
      </c>
      <c r="B26" s="11">
        <f>STDEV(Table16[2000])/SQRT(COUNT(Table16[2000]))</f>
        <v>5.8166427888717169E-2</v>
      </c>
    </row>
    <row r="27" spans="1:2" x14ac:dyDescent="0.35">
      <c r="A27" s="11">
        <f>STDEV(Table17[3000])/SQRT(COUNT(Table17[3000]))</f>
        <v>2.6156029122202443E-2</v>
      </c>
      <c r="B27" s="11">
        <f>STDEV(Table16[3000])/SQRT(COUNT(Table16[3000]))</f>
        <v>3.4361739866698653E-2</v>
      </c>
    </row>
    <row r="28" spans="1:2" x14ac:dyDescent="0.35">
      <c r="A28" s="11">
        <f>STDEV(Table17[4000])/SQRT(COUNT(Table17[4000]))</f>
        <v>2.895745509080221E-2</v>
      </c>
      <c r="B28" s="11">
        <f>STDEV(Table16[4000])/SQRT(COUNT(Table16[4000]))</f>
        <v>3.5070984564641625E-2</v>
      </c>
    </row>
    <row r="29" spans="1:2" x14ac:dyDescent="0.35">
      <c r="A29" s="11">
        <f>STDEV(Table17[6000])/SQRT(COUNT(Table17[6000]))</f>
        <v>2.9998846535376329E-2</v>
      </c>
      <c r="B29" s="11">
        <f>STDEV(Table16[6000])/SQRT(COUNT(Table16[6000]))</f>
        <v>3.1688588903052567E-2</v>
      </c>
    </row>
    <row r="30" spans="1:2" x14ac:dyDescent="0.35">
      <c r="A30" s="11">
        <f>STDEV(Table17[8000])/SQRT(COUNT(Table17[8000]))</f>
        <v>2.2028673719252091E-2</v>
      </c>
      <c r="B30" s="11">
        <f>STDEV(Table16[8000])/SQRT(COUNT(Table16[8000]))</f>
        <v>2.5494586843746517E-2</v>
      </c>
    </row>
    <row r="31" spans="1:2" x14ac:dyDescent="0.35">
      <c r="A31" s="11">
        <f>STDEV(Table17[10000])/SQRT(COUNT(Table17[10000]))</f>
        <v>2.2504906401467836E-2</v>
      </c>
      <c r="B31" s="11">
        <f>STDEV(Table16[10000])/SQRT(COUNT(Table16[10000]))</f>
        <v>3.2975685486936177E-2</v>
      </c>
    </row>
    <row r="32" spans="1:2" x14ac:dyDescent="0.35">
      <c r="A32" s="11">
        <f>STDEV(Table17[12000])/SQRT(COUNT(Table17[12000]))</f>
        <v>2.9812440670651783E-2</v>
      </c>
      <c r="B32" s="11">
        <f>STDEV(Table16[12000])/SQRT(COUNT(Table16[12000]))</f>
        <v>2.5272988709951441E-2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FCAE-6410-4359-8245-03D6965A8271}">
  <dimension ref="A1:H430"/>
  <sheetViews>
    <sheetView topLeftCell="F2" zoomScale="56" zoomScaleNormal="56" workbookViewId="0">
      <selection activeCell="Z20" sqref="Z20"/>
    </sheetView>
  </sheetViews>
  <sheetFormatPr defaultRowHeight="14.5" x14ac:dyDescent="0.35"/>
  <cols>
    <col min="1" max="8" width="21.7265625" customWidth="1"/>
  </cols>
  <sheetData>
    <row r="1" spans="1:8" x14ac:dyDescent="0.35">
      <c r="A1" t="s">
        <v>8369</v>
      </c>
      <c r="B1" t="s">
        <v>8370</v>
      </c>
      <c r="C1" t="s">
        <v>8371</v>
      </c>
      <c r="D1" t="s">
        <v>8372</v>
      </c>
      <c r="E1" t="s">
        <v>8373</v>
      </c>
      <c r="F1" t="s">
        <v>8374</v>
      </c>
      <c r="G1" t="s">
        <v>8375</v>
      </c>
      <c r="H1" t="s">
        <v>8376</v>
      </c>
    </row>
    <row r="2" spans="1:8" x14ac:dyDescent="0.35">
      <c r="A2">
        <v>0.41</v>
      </c>
      <c r="B2">
        <v>0.23</v>
      </c>
      <c r="C2">
        <v>0.89</v>
      </c>
      <c r="D2">
        <v>0.92</v>
      </c>
      <c r="E2">
        <v>0.25</v>
      </c>
      <c r="F2">
        <v>0.51</v>
      </c>
      <c r="G2" s="37">
        <v>0.8</v>
      </c>
      <c r="H2">
        <v>0.95</v>
      </c>
    </row>
    <row r="3" spans="1:8" x14ac:dyDescent="0.35">
      <c r="A3">
        <v>0.5</v>
      </c>
      <c r="B3">
        <v>0</v>
      </c>
      <c r="C3">
        <v>0.72</v>
      </c>
      <c r="D3">
        <v>1</v>
      </c>
      <c r="E3">
        <v>0.44</v>
      </c>
      <c r="F3">
        <v>0.5</v>
      </c>
      <c r="G3" s="37">
        <v>0.93</v>
      </c>
      <c r="H3">
        <v>1</v>
      </c>
    </row>
    <row r="4" spans="1:8" x14ac:dyDescent="0.35">
      <c r="A4">
        <v>0.19</v>
      </c>
      <c r="B4">
        <v>0.16</v>
      </c>
      <c r="C4">
        <v>0.71</v>
      </c>
      <c r="D4">
        <v>0.67</v>
      </c>
      <c r="E4">
        <v>0.63</v>
      </c>
      <c r="F4">
        <v>0.61</v>
      </c>
      <c r="G4" s="37">
        <v>0.86</v>
      </c>
      <c r="H4">
        <v>1</v>
      </c>
    </row>
    <row r="5" spans="1:8" x14ac:dyDescent="0.35">
      <c r="A5">
        <v>0.65</v>
      </c>
      <c r="B5">
        <v>0.36</v>
      </c>
      <c r="C5">
        <v>0.85</v>
      </c>
      <c r="D5">
        <v>0.56000000000000005</v>
      </c>
      <c r="E5">
        <v>0.59</v>
      </c>
      <c r="F5">
        <v>0.66</v>
      </c>
      <c r="G5" s="37">
        <v>0.91</v>
      </c>
      <c r="H5">
        <v>0.82</v>
      </c>
    </row>
    <row r="6" spans="1:8" x14ac:dyDescent="0.35">
      <c r="A6">
        <v>0.7</v>
      </c>
      <c r="B6">
        <v>0.21</v>
      </c>
      <c r="C6">
        <v>0.7</v>
      </c>
      <c r="D6">
        <v>0.54</v>
      </c>
      <c r="E6">
        <v>0.71</v>
      </c>
      <c r="F6">
        <v>0.61</v>
      </c>
      <c r="G6" s="37">
        <v>0.83</v>
      </c>
      <c r="H6">
        <v>0.77</v>
      </c>
    </row>
    <row r="7" spans="1:8" x14ac:dyDescent="0.35">
      <c r="A7">
        <v>0.37</v>
      </c>
      <c r="B7">
        <v>0.55000000000000004</v>
      </c>
      <c r="C7">
        <v>0.83</v>
      </c>
      <c r="D7">
        <v>0.87</v>
      </c>
      <c r="E7">
        <v>0.61</v>
      </c>
      <c r="F7">
        <v>0.51</v>
      </c>
      <c r="G7" s="37">
        <v>0.82</v>
      </c>
      <c r="H7">
        <v>1</v>
      </c>
    </row>
    <row r="8" spans="1:8" x14ac:dyDescent="0.35">
      <c r="A8">
        <v>0.47</v>
      </c>
      <c r="B8">
        <v>0</v>
      </c>
      <c r="C8">
        <v>0.74</v>
      </c>
      <c r="D8">
        <v>1</v>
      </c>
      <c r="E8">
        <v>0.75</v>
      </c>
      <c r="F8">
        <v>0.63</v>
      </c>
      <c r="G8" s="37">
        <v>1</v>
      </c>
      <c r="H8">
        <v>1</v>
      </c>
    </row>
    <row r="9" spans="1:8" x14ac:dyDescent="0.35">
      <c r="A9">
        <v>0.67</v>
      </c>
      <c r="B9">
        <v>0.21</v>
      </c>
      <c r="C9">
        <v>0.95</v>
      </c>
      <c r="D9">
        <v>0.26</v>
      </c>
      <c r="E9">
        <v>0.4</v>
      </c>
      <c r="F9">
        <v>0.35</v>
      </c>
      <c r="G9" s="37">
        <v>0.87</v>
      </c>
      <c r="H9">
        <v>0.88</v>
      </c>
    </row>
    <row r="10" spans="1:8" x14ac:dyDescent="0.35">
      <c r="A10">
        <v>0.72</v>
      </c>
      <c r="B10">
        <v>0.04</v>
      </c>
      <c r="C10">
        <v>1</v>
      </c>
      <c r="D10">
        <v>0.39</v>
      </c>
      <c r="E10">
        <v>0.66</v>
      </c>
      <c r="F10">
        <v>0.49</v>
      </c>
      <c r="G10" s="37">
        <v>0.81</v>
      </c>
      <c r="H10">
        <v>1</v>
      </c>
    </row>
    <row r="11" spans="1:8" x14ac:dyDescent="0.35">
      <c r="A11">
        <v>0.65</v>
      </c>
      <c r="B11">
        <v>0.32</v>
      </c>
      <c r="C11">
        <v>0.88</v>
      </c>
      <c r="D11">
        <v>0.32</v>
      </c>
      <c r="E11">
        <v>0.23</v>
      </c>
      <c r="F11">
        <v>0.4</v>
      </c>
      <c r="G11" s="37">
        <v>0.94</v>
      </c>
      <c r="H11">
        <v>0.73</v>
      </c>
    </row>
    <row r="12" spans="1:8" x14ac:dyDescent="0.35">
      <c r="A12">
        <v>0.56999999999999995</v>
      </c>
      <c r="B12">
        <v>1</v>
      </c>
      <c r="C12">
        <v>0.94</v>
      </c>
      <c r="D12">
        <v>1</v>
      </c>
      <c r="E12">
        <v>0.49</v>
      </c>
      <c r="F12">
        <v>0.62</v>
      </c>
      <c r="G12" s="37">
        <v>0.8</v>
      </c>
      <c r="H12">
        <v>1</v>
      </c>
    </row>
    <row r="13" spans="1:8" x14ac:dyDescent="0.35">
      <c r="A13">
        <v>0.52</v>
      </c>
      <c r="B13">
        <v>0.8</v>
      </c>
      <c r="C13">
        <v>0.79</v>
      </c>
      <c r="D13">
        <v>1</v>
      </c>
      <c r="E13">
        <v>0.23</v>
      </c>
      <c r="F13">
        <v>0.36</v>
      </c>
      <c r="G13" s="37">
        <v>0.66</v>
      </c>
      <c r="H13">
        <v>0.68</v>
      </c>
    </row>
    <row r="14" spans="1:8" x14ac:dyDescent="0.35">
      <c r="A14">
        <v>0.5</v>
      </c>
      <c r="B14">
        <v>0.43</v>
      </c>
      <c r="C14">
        <v>0.82</v>
      </c>
      <c r="D14">
        <v>0.64</v>
      </c>
      <c r="E14">
        <v>0.76</v>
      </c>
      <c r="F14">
        <v>0.5</v>
      </c>
      <c r="G14" s="37">
        <v>0.93</v>
      </c>
      <c r="H14">
        <v>0.76</v>
      </c>
    </row>
    <row r="15" spans="1:8" x14ac:dyDescent="0.35">
      <c r="A15">
        <v>0.63</v>
      </c>
      <c r="B15">
        <v>0.78</v>
      </c>
      <c r="C15">
        <v>0.84</v>
      </c>
      <c r="D15">
        <v>0.91</v>
      </c>
      <c r="E15">
        <v>0.65</v>
      </c>
      <c r="F15">
        <v>0.52</v>
      </c>
      <c r="G15" s="37">
        <v>1</v>
      </c>
      <c r="H15">
        <v>0.82</v>
      </c>
    </row>
    <row r="16" spans="1:8" x14ac:dyDescent="0.35">
      <c r="A16">
        <v>0.73</v>
      </c>
      <c r="B16">
        <v>0.57999999999999996</v>
      </c>
      <c r="C16">
        <v>0.86</v>
      </c>
      <c r="D16">
        <v>0.91</v>
      </c>
      <c r="E16">
        <v>0.86</v>
      </c>
      <c r="F16">
        <v>0.7</v>
      </c>
      <c r="G16" s="37">
        <v>0.98</v>
      </c>
      <c r="H16">
        <v>0.88</v>
      </c>
    </row>
    <row r="17" spans="1:8" x14ac:dyDescent="0.35">
      <c r="A17">
        <v>0.64</v>
      </c>
      <c r="B17">
        <v>0.68</v>
      </c>
      <c r="C17">
        <v>0.83</v>
      </c>
      <c r="D17">
        <v>1</v>
      </c>
      <c r="E17">
        <v>0.79</v>
      </c>
      <c r="F17">
        <v>0.72</v>
      </c>
      <c r="G17" s="37">
        <v>0.94</v>
      </c>
      <c r="H17">
        <v>0.91</v>
      </c>
    </row>
    <row r="18" spans="1:8" x14ac:dyDescent="0.35">
      <c r="A18">
        <v>0.5</v>
      </c>
      <c r="B18">
        <v>0.59</v>
      </c>
      <c r="C18">
        <v>0.6</v>
      </c>
      <c r="D18">
        <v>0.87</v>
      </c>
      <c r="E18">
        <v>0.45</v>
      </c>
      <c r="F18">
        <v>0.38</v>
      </c>
      <c r="G18" s="37">
        <v>0.52</v>
      </c>
      <c r="H18">
        <v>0.87</v>
      </c>
    </row>
    <row r="19" spans="1:8" x14ac:dyDescent="0.35">
      <c r="A19">
        <v>0.66</v>
      </c>
      <c r="B19">
        <v>1</v>
      </c>
      <c r="C19">
        <v>0.9</v>
      </c>
      <c r="D19">
        <v>1</v>
      </c>
      <c r="E19">
        <v>0.59</v>
      </c>
      <c r="F19">
        <v>0.4</v>
      </c>
      <c r="G19" s="37">
        <v>1</v>
      </c>
      <c r="H19">
        <v>0.68</v>
      </c>
    </row>
    <row r="20" spans="1:8" x14ac:dyDescent="0.35">
      <c r="A20">
        <v>0.76</v>
      </c>
      <c r="B20">
        <v>0.43</v>
      </c>
      <c r="C20">
        <v>0.79</v>
      </c>
      <c r="D20">
        <v>0.8</v>
      </c>
      <c r="E20">
        <v>0.27</v>
      </c>
      <c r="F20">
        <v>0.5</v>
      </c>
      <c r="G20" s="37">
        <v>0.86</v>
      </c>
      <c r="H20">
        <v>0.91</v>
      </c>
    </row>
    <row r="21" spans="1:8" x14ac:dyDescent="0.35">
      <c r="A21">
        <v>0.15</v>
      </c>
      <c r="B21">
        <v>0.32</v>
      </c>
      <c r="C21">
        <v>0.78</v>
      </c>
      <c r="D21">
        <v>0.82</v>
      </c>
      <c r="E21">
        <v>0.52</v>
      </c>
      <c r="F21">
        <v>0.5</v>
      </c>
      <c r="G21" s="37">
        <v>0.62</v>
      </c>
      <c r="H21">
        <v>0.97</v>
      </c>
    </row>
    <row r="22" spans="1:8" x14ac:dyDescent="0.35">
      <c r="A22">
        <v>0.64</v>
      </c>
      <c r="B22">
        <v>0</v>
      </c>
      <c r="C22">
        <v>1</v>
      </c>
      <c r="D22">
        <v>1</v>
      </c>
      <c r="E22">
        <v>0.5</v>
      </c>
      <c r="F22">
        <v>0.71</v>
      </c>
      <c r="G22" s="37">
        <v>0.73</v>
      </c>
      <c r="H22">
        <v>0.83</v>
      </c>
    </row>
    <row r="23" spans="1:8" x14ac:dyDescent="0.35">
      <c r="A23">
        <v>0.71</v>
      </c>
      <c r="B23">
        <v>0.21</v>
      </c>
      <c r="C23">
        <v>0.83</v>
      </c>
      <c r="D23">
        <v>0.63</v>
      </c>
      <c r="E23">
        <v>0.39</v>
      </c>
      <c r="F23">
        <v>0.6</v>
      </c>
      <c r="G23" s="37">
        <v>0.81</v>
      </c>
      <c r="H23">
        <v>0.73</v>
      </c>
    </row>
    <row r="24" spans="1:8" x14ac:dyDescent="0.35">
      <c r="A24">
        <v>0.36</v>
      </c>
      <c r="B24">
        <v>0.26</v>
      </c>
      <c r="C24">
        <v>0.55000000000000004</v>
      </c>
      <c r="D24">
        <v>0.66</v>
      </c>
      <c r="E24">
        <v>0.25</v>
      </c>
      <c r="F24">
        <v>0.5</v>
      </c>
      <c r="G24" s="37">
        <v>0.67</v>
      </c>
      <c r="H24">
        <v>1</v>
      </c>
    </row>
    <row r="25" spans="1:8" x14ac:dyDescent="0.35">
      <c r="A25">
        <v>0.59</v>
      </c>
      <c r="B25">
        <v>0.15</v>
      </c>
      <c r="C25">
        <v>0.95</v>
      </c>
      <c r="D25">
        <v>0.21</v>
      </c>
      <c r="E25">
        <v>0.49</v>
      </c>
      <c r="F25">
        <v>0.56999999999999995</v>
      </c>
      <c r="G25" s="37">
        <v>0.77</v>
      </c>
      <c r="H25">
        <v>1</v>
      </c>
    </row>
    <row r="26" spans="1:8" x14ac:dyDescent="0.35">
      <c r="A26">
        <v>0.78</v>
      </c>
      <c r="B26">
        <v>0.48</v>
      </c>
      <c r="C26">
        <v>1</v>
      </c>
      <c r="D26">
        <v>0.89</v>
      </c>
      <c r="E26">
        <v>0.44</v>
      </c>
      <c r="F26">
        <v>0.25</v>
      </c>
      <c r="G26" s="37">
        <v>0.81</v>
      </c>
      <c r="H26">
        <v>0.68</v>
      </c>
    </row>
    <row r="27" spans="1:8" x14ac:dyDescent="0.35">
      <c r="A27">
        <v>0.52</v>
      </c>
      <c r="B27">
        <v>1</v>
      </c>
      <c r="C27">
        <v>0.61</v>
      </c>
      <c r="D27">
        <v>1</v>
      </c>
      <c r="E27">
        <v>0.43</v>
      </c>
      <c r="F27">
        <v>0.49</v>
      </c>
      <c r="G27" s="37">
        <v>0.84</v>
      </c>
      <c r="H27">
        <v>1</v>
      </c>
    </row>
    <row r="28" spans="1:8" x14ac:dyDescent="0.35">
      <c r="A28">
        <v>0.64</v>
      </c>
      <c r="B28">
        <v>0.23</v>
      </c>
      <c r="C28">
        <v>1</v>
      </c>
      <c r="D28">
        <v>0.32</v>
      </c>
      <c r="E28">
        <v>0.55000000000000004</v>
      </c>
      <c r="F28">
        <v>0.38</v>
      </c>
      <c r="G28" s="37">
        <v>0.62</v>
      </c>
      <c r="H28">
        <v>0.66</v>
      </c>
    </row>
    <row r="29" spans="1:8" x14ac:dyDescent="0.35">
      <c r="A29">
        <v>0.67</v>
      </c>
      <c r="B29">
        <v>0.05</v>
      </c>
      <c r="C29">
        <v>1</v>
      </c>
      <c r="D29">
        <v>0.4</v>
      </c>
      <c r="E29">
        <v>0.46</v>
      </c>
      <c r="F29">
        <v>0.48</v>
      </c>
      <c r="G29" s="37">
        <v>0.8</v>
      </c>
      <c r="H29">
        <v>0.94</v>
      </c>
    </row>
    <row r="30" spans="1:8" x14ac:dyDescent="0.35">
      <c r="A30">
        <v>0.35</v>
      </c>
      <c r="B30">
        <v>0.27</v>
      </c>
      <c r="C30">
        <v>0.81</v>
      </c>
      <c r="D30">
        <v>0.66</v>
      </c>
      <c r="E30">
        <v>0.71</v>
      </c>
      <c r="F30">
        <v>0.27</v>
      </c>
      <c r="G30" s="37">
        <v>1</v>
      </c>
      <c r="H30">
        <v>0.65</v>
      </c>
    </row>
    <row r="31" spans="1:8" x14ac:dyDescent="0.35">
      <c r="A31">
        <v>0.6</v>
      </c>
      <c r="B31">
        <v>1</v>
      </c>
      <c r="C31">
        <v>1</v>
      </c>
      <c r="D31">
        <v>1</v>
      </c>
      <c r="E31">
        <v>0.39</v>
      </c>
      <c r="F31">
        <v>0.18</v>
      </c>
      <c r="G31" s="37">
        <v>0.93</v>
      </c>
      <c r="H31">
        <v>0.82</v>
      </c>
    </row>
    <row r="32" spans="1:8" x14ac:dyDescent="0.35">
      <c r="A32">
        <v>0.56999999999999995</v>
      </c>
      <c r="B32">
        <v>0.77</v>
      </c>
      <c r="C32">
        <v>0.66</v>
      </c>
      <c r="D32">
        <v>0.83</v>
      </c>
      <c r="E32">
        <v>0.51</v>
      </c>
      <c r="F32">
        <v>0.39</v>
      </c>
      <c r="G32" s="37">
        <v>0.72</v>
      </c>
      <c r="H32">
        <v>0.9</v>
      </c>
    </row>
    <row r="33" spans="1:8" x14ac:dyDescent="0.35">
      <c r="A33">
        <v>0.51</v>
      </c>
      <c r="B33">
        <v>0.28999999999999998</v>
      </c>
      <c r="C33">
        <v>0.66</v>
      </c>
      <c r="D33">
        <v>0.47</v>
      </c>
      <c r="E33">
        <v>0.19</v>
      </c>
      <c r="F33">
        <v>0.69</v>
      </c>
      <c r="G33" s="37">
        <v>0.88</v>
      </c>
      <c r="H33">
        <v>0.87</v>
      </c>
    </row>
    <row r="34" spans="1:8" x14ac:dyDescent="0.35">
      <c r="A34">
        <v>0.61</v>
      </c>
      <c r="B34">
        <v>0.69</v>
      </c>
      <c r="C34">
        <v>1</v>
      </c>
      <c r="D34">
        <v>0.79</v>
      </c>
      <c r="E34">
        <v>0.46</v>
      </c>
      <c r="F34">
        <v>0.66</v>
      </c>
      <c r="G34" s="37">
        <v>0.85</v>
      </c>
      <c r="H34">
        <v>0.93</v>
      </c>
    </row>
    <row r="35" spans="1:8" x14ac:dyDescent="0.35">
      <c r="A35">
        <v>0.28999999999999998</v>
      </c>
      <c r="B35">
        <v>0.43</v>
      </c>
      <c r="C35">
        <v>0.8</v>
      </c>
      <c r="D35">
        <v>0.96</v>
      </c>
      <c r="E35">
        <v>0.27</v>
      </c>
      <c r="F35">
        <v>0.31</v>
      </c>
      <c r="G35" s="37">
        <v>0.71</v>
      </c>
      <c r="H35">
        <v>1</v>
      </c>
    </row>
    <row r="36" spans="1:8" x14ac:dyDescent="0.35">
      <c r="A36">
        <v>0.4</v>
      </c>
      <c r="B36">
        <v>0.44</v>
      </c>
      <c r="C36">
        <v>0.67</v>
      </c>
      <c r="D36">
        <v>1</v>
      </c>
      <c r="E36">
        <v>0.49</v>
      </c>
      <c r="F36">
        <v>0.3</v>
      </c>
      <c r="G36" s="37">
        <v>0.89</v>
      </c>
      <c r="H36">
        <v>0.68</v>
      </c>
    </row>
    <row r="37" spans="1:8" x14ac:dyDescent="0.35">
      <c r="A37">
        <v>0.31</v>
      </c>
      <c r="B37">
        <v>0.48</v>
      </c>
      <c r="C37">
        <v>0.67</v>
      </c>
      <c r="D37">
        <v>0.74</v>
      </c>
      <c r="E37">
        <v>0.55000000000000004</v>
      </c>
      <c r="F37">
        <v>0.54</v>
      </c>
      <c r="G37" s="37">
        <v>1</v>
      </c>
      <c r="H37">
        <v>1</v>
      </c>
    </row>
    <row r="38" spans="1:8" x14ac:dyDescent="0.35">
      <c r="A38">
        <v>0.52</v>
      </c>
      <c r="B38">
        <v>0.5</v>
      </c>
      <c r="C38">
        <v>0.76</v>
      </c>
      <c r="D38">
        <v>1</v>
      </c>
      <c r="E38">
        <v>0.73</v>
      </c>
      <c r="F38">
        <v>0.46</v>
      </c>
      <c r="G38" s="37">
        <v>0.88</v>
      </c>
      <c r="H38">
        <v>0.96</v>
      </c>
    </row>
    <row r="39" spans="1:8" x14ac:dyDescent="0.35">
      <c r="A39">
        <v>0.35</v>
      </c>
      <c r="B39">
        <v>0.43</v>
      </c>
      <c r="C39">
        <v>0.59</v>
      </c>
      <c r="D39">
        <v>0.8</v>
      </c>
      <c r="E39">
        <v>0.73</v>
      </c>
      <c r="F39">
        <v>0.62</v>
      </c>
      <c r="G39" s="37">
        <v>0.81</v>
      </c>
      <c r="H39">
        <v>0.86</v>
      </c>
    </row>
    <row r="40" spans="1:8" x14ac:dyDescent="0.35">
      <c r="A40">
        <v>0.27</v>
      </c>
      <c r="B40">
        <v>0.37</v>
      </c>
      <c r="C40">
        <v>0.74</v>
      </c>
      <c r="D40">
        <v>0.8</v>
      </c>
      <c r="E40">
        <v>0.37</v>
      </c>
      <c r="F40">
        <v>0.55000000000000004</v>
      </c>
      <c r="G40" s="37">
        <v>0.53</v>
      </c>
      <c r="H40">
        <v>0.69</v>
      </c>
    </row>
    <row r="41" spans="1:8" x14ac:dyDescent="0.35">
      <c r="A41">
        <v>0.53</v>
      </c>
      <c r="B41">
        <v>0</v>
      </c>
      <c r="C41">
        <v>0.74</v>
      </c>
      <c r="D41">
        <v>1</v>
      </c>
      <c r="E41">
        <v>0.46</v>
      </c>
      <c r="F41">
        <v>0.47</v>
      </c>
      <c r="G41" s="37">
        <v>1</v>
      </c>
      <c r="H41">
        <v>1</v>
      </c>
    </row>
    <row r="42" spans="1:8" x14ac:dyDescent="0.35">
      <c r="A42">
        <v>0.68</v>
      </c>
      <c r="B42">
        <v>0.2</v>
      </c>
      <c r="C42">
        <v>0.85</v>
      </c>
      <c r="D42">
        <v>0.52</v>
      </c>
      <c r="E42">
        <v>0.28999999999999998</v>
      </c>
      <c r="F42">
        <v>0.44</v>
      </c>
      <c r="G42" s="37">
        <v>0.81</v>
      </c>
      <c r="H42">
        <v>1</v>
      </c>
    </row>
    <row r="43" spans="1:8" x14ac:dyDescent="0.35">
      <c r="A43">
        <v>0.55000000000000004</v>
      </c>
      <c r="B43">
        <v>0.18</v>
      </c>
      <c r="C43">
        <v>0.84</v>
      </c>
      <c r="D43">
        <v>0.59</v>
      </c>
      <c r="E43">
        <v>0.46</v>
      </c>
      <c r="F43">
        <v>0.16</v>
      </c>
      <c r="G43" s="37">
        <v>0.71</v>
      </c>
      <c r="H43">
        <v>0.57999999999999996</v>
      </c>
    </row>
    <row r="44" spans="1:8" x14ac:dyDescent="0.35">
      <c r="A44">
        <v>0.52</v>
      </c>
      <c r="B44">
        <v>0.13</v>
      </c>
      <c r="C44">
        <v>0.56000000000000005</v>
      </c>
      <c r="D44">
        <v>0.55000000000000004</v>
      </c>
      <c r="E44">
        <v>0.43</v>
      </c>
      <c r="F44">
        <v>0.39</v>
      </c>
      <c r="G44" s="37">
        <v>0.69</v>
      </c>
      <c r="H44">
        <v>1</v>
      </c>
    </row>
    <row r="45" spans="1:8" x14ac:dyDescent="0.35">
      <c r="A45">
        <v>0.45</v>
      </c>
      <c r="B45">
        <v>0.34</v>
      </c>
      <c r="C45">
        <v>0.81</v>
      </c>
      <c r="D45">
        <v>0.92</v>
      </c>
      <c r="E45">
        <v>0.25</v>
      </c>
      <c r="F45">
        <v>0.33</v>
      </c>
      <c r="G45" s="37">
        <v>0.75</v>
      </c>
      <c r="H45">
        <v>0.59</v>
      </c>
    </row>
    <row r="46" spans="1:8" x14ac:dyDescent="0.35">
      <c r="A46">
        <v>0.41</v>
      </c>
      <c r="B46">
        <v>1</v>
      </c>
      <c r="C46">
        <v>0.76</v>
      </c>
      <c r="D46">
        <v>1</v>
      </c>
      <c r="E46">
        <v>0.15</v>
      </c>
      <c r="F46">
        <v>0.4</v>
      </c>
      <c r="G46" s="37">
        <v>0.71</v>
      </c>
      <c r="H46">
        <v>0.91</v>
      </c>
    </row>
    <row r="47" spans="1:8" x14ac:dyDescent="0.35">
      <c r="A47">
        <v>0.4</v>
      </c>
      <c r="B47">
        <v>0.28000000000000003</v>
      </c>
      <c r="C47">
        <v>0.72</v>
      </c>
      <c r="D47">
        <v>0.38</v>
      </c>
      <c r="E47">
        <v>0.37</v>
      </c>
      <c r="F47">
        <v>0.15</v>
      </c>
      <c r="G47" s="37">
        <v>0.56999999999999995</v>
      </c>
      <c r="H47">
        <v>0.62</v>
      </c>
    </row>
    <row r="48" spans="1:8" x14ac:dyDescent="0.35">
      <c r="A48">
        <v>0.44</v>
      </c>
      <c r="B48">
        <v>0.05</v>
      </c>
      <c r="C48">
        <v>0.61</v>
      </c>
      <c r="D48">
        <v>0.38</v>
      </c>
      <c r="E48">
        <v>0.38</v>
      </c>
      <c r="F48">
        <v>0.16</v>
      </c>
      <c r="G48" s="37">
        <v>0.71</v>
      </c>
      <c r="H48">
        <v>0.81</v>
      </c>
    </row>
    <row r="49" spans="1:8" x14ac:dyDescent="0.35">
      <c r="A49">
        <v>0.59</v>
      </c>
      <c r="B49">
        <v>0.25</v>
      </c>
      <c r="C49">
        <v>0.82</v>
      </c>
      <c r="D49">
        <v>0.59</v>
      </c>
      <c r="E49">
        <v>0.37</v>
      </c>
      <c r="F49">
        <v>0.25</v>
      </c>
      <c r="G49" s="37">
        <v>0.81</v>
      </c>
      <c r="H49">
        <v>0.89</v>
      </c>
    </row>
    <row r="50" spans="1:8" x14ac:dyDescent="0.35">
      <c r="A50">
        <v>0.54</v>
      </c>
      <c r="B50">
        <v>1</v>
      </c>
      <c r="C50">
        <v>0.62</v>
      </c>
      <c r="D50">
        <v>1</v>
      </c>
      <c r="E50">
        <v>0.44</v>
      </c>
      <c r="F50">
        <v>0.55000000000000004</v>
      </c>
      <c r="G50" s="37">
        <v>0.61</v>
      </c>
      <c r="H50">
        <v>0.82</v>
      </c>
    </row>
    <row r="51" spans="1:8" x14ac:dyDescent="0.35">
      <c r="A51">
        <v>0.43</v>
      </c>
      <c r="B51">
        <v>0.61</v>
      </c>
      <c r="C51">
        <v>0.55000000000000004</v>
      </c>
      <c r="D51">
        <v>0.79</v>
      </c>
      <c r="E51">
        <v>0.42</v>
      </c>
      <c r="F51">
        <v>0.56000000000000005</v>
      </c>
      <c r="G51" s="37">
        <v>0.74</v>
      </c>
      <c r="H51">
        <v>0.89</v>
      </c>
    </row>
    <row r="52" spans="1:8" x14ac:dyDescent="0.35">
      <c r="A52">
        <v>0.51</v>
      </c>
      <c r="B52">
        <v>0.28000000000000003</v>
      </c>
      <c r="C52">
        <v>0.77</v>
      </c>
      <c r="D52">
        <v>0.33</v>
      </c>
      <c r="E52">
        <v>0.61</v>
      </c>
      <c r="F52">
        <v>0.42</v>
      </c>
      <c r="G52" s="37">
        <v>1</v>
      </c>
      <c r="H52">
        <v>0.89</v>
      </c>
    </row>
    <row r="53" spans="1:8" x14ac:dyDescent="0.35">
      <c r="A53">
        <v>0.57999999999999996</v>
      </c>
      <c r="B53">
        <v>0.48</v>
      </c>
      <c r="C53">
        <v>0.74</v>
      </c>
      <c r="D53">
        <v>0.86</v>
      </c>
      <c r="E53">
        <v>0.32</v>
      </c>
      <c r="F53">
        <v>0.27</v>
      </c>
      <c r="G53" s="37">
        <v>0.89</v>
      </c>
      <c r="H53">
        <v>0.64</v>
      </c>
    </row>
    <row r="54" spans="1:8" x14ac:dyDescent="0.35">
      <c r="A54">
        <v>0.5</v>
      </c>
      <c r="B54">
        <v>0.34</v>
      </c>
      <c r="C54">
        <v>0.75</v>
      </c>
      <c r="D54">
        <v>0.85</v>
      </c>
      <c r="E54">
        <v>0.5</v>
      </c>
      <c r="F54">
        <v>0.42</v>
      </c>
      <c r="G54" s="37">
        <v>0.82</v>
      </c>
      <c r="H54">
        <v>0.93</v>
      </c>
    </row>
    <row r="55" spans="1:8" x14ac:dyDescent="0.35">
      <c r="A55">
        <v>0.86</v>
      </c>
      <c r="B55">
        <v>0.52</v>
      </c>
      <c r="C55">
        <v>0.93</v>
      </c>
      <c r="D55">
        <v>1</v>
      </c>
      <c r="E55">
        <v>0.2</v>
      </c>
      <c r="F55">
        <v>0.41</v>
      </c>
      <c r="G55" s="37">
        <v>0.93</v>
      </c>
      <c r="H55">
        <v>0.92</v>
      </c>
    </row>
    <row r="56" spans="1:8" x14ac:dyDescent="0.35">
      <c r="A56">
        <v>0.38</v>
      </c>
      <c r="B56">
        <v>0.49</v>
      </c>
      <c r="C56">
        <v>0.78</v>
      </c>
      <c r="D56">
        <v>0.8</v>
      </c>
      <c r="E56">
        <v>0.36</v>
      </c>
      <c r="F56">
        <v>0.56000000000000005</v>
      </c>
      <c r="G56" s="37">
        <v>0.81</v>
      </c>
      <c r="H56">
        <v>0.82</v>
      </c>
    </row>
    <row r="57" spans="1:8" x14ac:dyDescent="0.35">
      <c r="A57">
        <v>0.34</v>
      </c>
      <c r="B57">
        <v>0.5</v>
      </c>
      <c r="C57">
        <v>0.51</v>
      </c>
      <c r="D57">
        <v>1</v>
      </c>
      <c r="E57">
        <v>0.23</v>
      </c>
      <c r="F57">
        <v>0.51</v>
      </c>
      <c r="G57" s="37">
        <v>0.57999999999999996</v>
      </c>
      <c r="H57">
        <v>0.66</v>
      </c>
    </row>
    <row r="58" spans="1:8" x14ac:dyDescent="0.35">
      <c r="A58">
        <v>0.45</v>
      </c>
      <c r="B58">
        <v>0.36</v>
      </c>
      <c r="C58">
        <v>0.75</v>
      </c>
      <c r="D58">
        <v>0.7</v>
      </c>
      <c r="E58">
        <v>0.32</v>
      </c>
      <c r="F58">
        <v>0.56000000000000005</v>
      </c>
      <c r="G58" s="37">
        <v>0.71</v>
      </c>
      <c r="H58">
        <v>1</v>
      </c>
    </row>
    <row r="59" spans="1:8" x14ac:dyDescent="0.35">
      <c r="A59">
        <v>0.86</v>
      </c>
      <c r="B59">
        <v>0.32</v>
      </c>
      <c r="C59">
        <v>0.88</v>
      </c>
      <c r="D59">
        <v>0.77</v>
      </c>
      <c r="E59">
        <v>0.4</v>
      </c>
      <c r="F59">
        <v>0.44</v>
      </c>
      <c r="G59" s="37">
        <v>0.95</v>
      </c>
      <c r="H59">
        <v>0.98</v>
      </c>
    </row>
    <row r="60" spans="1:8" x14ac:dyDescent="0.35">
      <c r="A60">
        <v>0.4</v>
      </c>
      <c r="B60">
        <v>0.5</v>
      </c>
      <c r="C60">
        <v>0.53</v>
      </c>
      <c r="D60">
        <v>1</v>
      </c>
      <c r="E60">
        <v>0.65</v>
      </c>
      <c r="F60">
        <v>0.17</v>
      </c>
      <c r="G60" s="37">
        <v>0.86</v>
      </c>
      <c r="H60">
        <v>0.61</v>
      </c>
    </row>
    <row r="61" spans="1:8" x14ac:dyDescent="0.35">
      <c r="A61">
        <v>0.65</v>
      </c>
      <c r="B61">
        <v>0.18</v>
      </c>
      <c r="C61">
        <v>1</v>
      </c>
      <c r="D61">
        <v>0.41</v>
      </c>
      <c r="E61">
        <v>0.62</v>
      </c>
      <c r="F61">
        <v>0.36</v>
      </c>
      <c r="G61" s="37">
        <v>0.75</v>
      </c>
      <c r="H61">
        <v>1</v>
      </c>
    </row>
    <row r="62" spans="1:8" x14ac:dyDescent="0.35">
      <c r="A62">
        <v>0.71</v>
      </c>
      <c r="B62">
        <v>0.17</v>
      </c>
      <c r="C62">
        <v>0.89</v>
      </c>
      <c r="D62">
        <v>0.59</v>
      </c>
      <c r="E62">
        <v>0.33</v>
      </c>
      <c r="F62">
        <v>0.34</v>
      </c>
      <c r="G62" s="37">
        <v>0.41</v>
      </c>
      <c r="H62">
        <v>0.55000000000000004</v>
      </c>
    </row>
    <row r="63" spans="1:8" x14ac:dyDescent="0.35">
      <c r="A63">
        <v>0.39</v>
      </c>
      <c r="B63">
        <v>0.13</v>
      </c>
      <c r="C63">
        <v>0.66</v>
      </c>
      <c r="D63">
        <v>0.51</v>
      </c>
      <c r="E63">
        <v>0.45</v>
      </c>
      <c r="F63">
        <v>0.3</v>
      </c>
      <c r="G63" s="37">
        <v>0.89</v>
      </c>
      <c r="H63">
        <v>0.88</v>
      </c>
    </row>
    <row r="64" spans="1:8" x14ac:dyDescent="0.35">
      <c r="A64">
        <v>0.37</v>
      </c>
      <c r="B64">
        <v>0.36</v>
      </c>
      <c r="C64">
        <v>0.83</v>
      </c>
      <c r="D64">
        <v>0.76</v>
      </c>
      <c r="E64">
        <v>0.22</v>
      </c>
      <c r="F64">
        <v>0.26</v>
      </c>
      <c r="G64" s="37">
        <v>0.79</v>
      </c>
      <c r="H64">
        <v>0.71</v>
      </c>
    </row>
    <row r="65" spans="1:8" x14ac:dyDescent="0.35">
      <c r="A65">
        <v>0.36</v>
      </c>
      <c r="B65">
        <v>1</v>
      </c>
      <c r="C65">
        <v>0.57999999999999996</v>
      </c>
      <c r="D65">
        <v>1</v>
      </c>
      <c r="E65">
        <v>0.31</v>
      </c>
      <c r="F65">
        <v>0.21</v>
      </c>
      <c r="G65" s="37">
        <v>0.74</v>
      </c>
      <c r="H65">
        <v>0.81</v>
      </c>
    </row>
    <row r="66" spans="1:8" x14ac:dyDescent="0.35">
      <c r="A66">
        <v>0.36</v>
      </c>
      <c r="B66">
        <v>0.28999999999999998</v>
      </c>
      <c r="C66">
        <v>0.65</v>
      </c>
      <c r="D66">
        <v>0.31</v>
      </c>
      <c r="E66">
        <v>0.43</v>
      </c>
      <c r="F66">
        <v>0.3</v>
      </c>
      <c r="G66" s="37">
        <v>0.64</v>
      </c>
      <c r="H66">
        <v>0.9</v>
      </c>
    </row>
    <row r="67" spans="1:8" x14ac:dyDescent="0.35">
      <c r="A67">
        <v>0.33</v>
      </c>
      <c r="B67">
        <v>0.06</v>
      </c>
      <c r="C67">
        <v>1</v>
      </c>
      <c r="D67">
        <v>0.46</v>
      </c>
      <c r="E67">
        <v>0.31</v>
      </c>
      <c r="F67">
        <v>0.5</v>
      </c>
      <c r="G67" s="37">
        <v>0.63</v>
      </c>
      <c r="H67">
        <v>0.87</v>
      </c>
    </row>
    <row r="68" spans="1:8" x14ac:dyDescent="0.35">
      <c r="A68">
        <v>0.26</v>
      </c>
      <c r="B68">
        <v>0.28000000000000003</v>
      </c>
      <c r="C68">
        <v>0.75</v>
      </c>
      <c r="D68">
        <v>0.56999999999999995</v>
      </c>
      <c r="E68">
        <v>0.17</v>
      </c>
      <c r="F68">
        <v>0.51</v>
      </c>
      <c r="G68" s="37">
        <v>0.71</v>
      </c>
      <c r="H68">
        <v>0.96</v>
      </c>
    </row>
    <row r="69" spans="1:8" x14ac:dyDescent="0.35">
      <c r="A69">
        <v>0.47</v>
      </c>
      <c r="B69">
        <v>1</v>
      </c>
      <c r="C69">
        <v>0.7</v>
      </c>
      <c r="D69">
        <v>1</v>
      </c>
      <c r="E69">
        <v>0.4</v>
      </c>
      <c r="F69">
        <v>0.35</v>
      </c>
      <c r="G69" s="37">
        <v>0.72</v>
      </c>
      <c r="H69">
        <v>0.89</v>
      </c>
    </row>
    <row r="70" spans="1:8" x14ac:dyDescent="0.35">
      <c r="A70">
        <v>0.28999999999999998</v>
      </c>
      <c r="B70">
        <v>0.55000000000000004</v>
      </c>
      <c r="C70">
        <v>0.53</v>
      </c>
      <c r="D70">
        <v>1</v>
      </c>
      <c r="E70">
        <v>0.41</v>
      </c>
      <c r="F70">
        <v>0.28000000000000003</v>
      </c>
      <c r="G70" s="37">
        <v>0.77</v>
      </c>
      <c r="H70">
        <v>0.63</v>
      </c>
    </row>
    <row r="71" spans="1:8" x14ac:dyDescent="0.35">
      <c r="A71">
        <v>0.42</v>
      </c>
      <c r="B71">
        <v>0.2</v>
      </c>
      <c r="C71">
        <v>0.79</v>
      </c>
      <c r="D71">
        <v>0.27</v>
      </c>
      <c r="E71">
        <v>0.25</v>
      </c>
      <c r="F71">
        <v>0.51</v>
      </c>
      <c r="G71" s="37">
        <v>0.81</v>
      </c>
      <c r="H71">
        <v>0.96</v>
      </c>
    </row>
    <row r="72" spans="1:8" x14ac:dyDescent="0.35">
      <c r="A72">
        <v>0.33</v>
      </c>
      <c r="B72">
        <v>0.44</v>
      </c>
      <c r="C72">
        <v>0.68</v>
      </c>
      <c r="D72">
        <v>0.7</v>
      </c>
      <c r="E72">
        <v>0.37</v>
      </c>
      <c r="F72">
        <v>0.42</v>
      </c>
      <c r="G72" s="37">
        <v>0.56000000000000005</v>
      </c>
      <c r="H72">
        <v>0.91</v>
      </c>
    </row>
    <row r="73" spans="1:8" x14ac:dyDescent="0.35">
      <c r="A73">
        <v>0.25</v>
      </c>
      <c r="B73">
        <v>0.39</v>
      </c>
      <c r="C73">
        <v>0.68</v>
      </c>
      <c r="D73">
        <v>0.89</v>
      </c>
      <c r="E73">
        <v>0.32</v>
      </c>
      <c r="F73">
        <v>0.42</v>
      </c>
      <c r="G73" s="37">
        <v>0.66</v>
      </c>
      <c r="H73">
        <v>0.74</v>
      </c>
    </row>
    <row r="74" spans="1:8" x14ac:dyDescent="0.35">
      <c r="A74">
        <v>0.42</v>
      </c>
      <c r="B74">
        <v>0.41</v>
      </c>
      <c r="C74">
        <v>0.67</v>
      </c>
      <c r="D74">
        <v>1</v>
      </c>
      <c r="E74">
        <v>0.62</v>
      </c>
      <c r="F74">
        <v>0.42</v>
      </c>
      <c r="G74" s="37">
        <v>1</v>
      </c>
      <c r="H74">
        <v>0.61</v>
      </c>
    </row>
    <row r="75" spans="1:8" x14ac:dyDescent="0.35">
      <c r="A75">
        <v>0.67</v>
      </c>
      <c r="B75">
        <v>0.46</v>
      </c>
      <c r="C75">
        <v>0.82</v>
      </c>
      <c r="D75">
        <v>0.63</v>
      </c>
      <c r="E75">
        <v>0.26</v>
      </c>
      <c r="F75">
        <v>0.62</v>
      </c>
      <c r="G75" s="37">
        <v>0.86</v>
      </c>
      <c r="H75">
        <v>0.85</v>
      </c>
    </row>
    <row r="76" spans="1:8" x14ac:dyDescent="0.35">
      <c r="A76">
        <v>0.52</v>
      </c>
      <c r="B76">
        <v>0.5</v>
      </c>
      <c r="C76">
        <v>0.88</v>
      </c>
      <c r="D76">
        <v>1</v>
      </c>
      <c r="E76">
        <v>0.5</v>
      </c>
      <c r="F76">
        <v>0.45</v>
      </c>
      <c r="G76" s="37">
        <v>0.74</v>
      </c>
      <c r="H76">
        <v>1</v>
      </c>
    </row>
    <row r="77" spans="1:8" x14ac:dyDescent="0.35">
      <c r="A77">
        <v>0.47</v>
      </c>
      <c r="B77">
        <v>0.37</v>
      </c>
      <c r="C77">
        <v>0.54</v>
      </c>
      <c r="D77">
        <v>0.7</v>
      </c>
      <c r="E77">
        <v>0.15</v>
      </c>
      <c r="F77">
        <v>0.2</v>
      </c>
      <c r="G77" s="37">
        <v>0.85</v>
      </c>
      <c r="H77">
        <v>0.56000000000000005</v>
      </c>
    </row>
    <row r="78" spans="1:8" x14ac:dyDescent="0.35">
      <c r="A78">
        <v>0.41</v>
      </c>
      <c r="B78">
        <v>0.31</v>
      </c>
      <c r="C78">
        <v>0.62</v>
      </c>
      <c r="D78">
        <v>0.84</v>
      </c>
      <c r="E78">
        <v>0.45</v>
      </c>
      <c r="F78">
        <v>0.37</v>
      </c>
      <c r="G78" s="37">
        <v>0.74</v>
      </c>
      <c r="H78">
        <v>1</v>
      </c>
    </row>
    <row r="79" spans="1:8" x14ac:dyDescent="0.35">
      <c r="A79">
        <v>0.36</v>
      </c>
      <c r="B79">
        <v>0.5</v>
      </c>
      <c r="C79">
        <v>0.7</v>
      </c>
      <c r="D79">
        <v>1</v>
      </c>
      <c r="E79">
        <v>0.25</v>
      </c>
      <c r="F79">
        <v>0.26</v>
      </c>
      <c r="G79" s="37">
        <v>0.51</v>
      </c>
      <c r="H79">
        <v>0.52</v>
      </c>
    </row>
    <row r="80" spans="1:8" x14ac:dyDescent="0.35">
      <c r="A80">
        <v>0.36</v>
      </c>
      <c r="B80">
        <v>0.16</v>
      </c>
      <c r="C80">
        <v>0.7</v>
      </c>
      <c r="D80">
        <v>0.36</v>
      </c>
      <c r="E80">
        <v>0.37</v>
      </c>
      <c r="F80">
        <v>0.28000000000000003</v>
      </c>
      <c r="G80" s="37">
        <v>0.76</v>
      </c>
      <c r="H80">
        <v>0.81</v>
      </c>
    </row>
    <row r="81" spans="1:8" x14ac:dyDescent="0.35">
      <c r="A81">
        <v>0.34</v>
      </c>
      <c r="B81">
        <v>0.24</v>
      </c>
      <c r="C81">
        <v>0.57999999999999996</v>
      </c>
      <c r="D81">
        <v>0.5</v>
      </c>
      <c r="E81">
        <v>0.41</v>
      </c>
      <c r="F81">
        <v>0.18</v>
      </c>
      <c r="G81" s="37">
        <v>0.91</v>
      </c>
      <c r="H81">
        <v>0.61</v>
      </c>
    </row>
    <row r="82" spans="1:8" x14ac:dyDescent="0.35">
      <c r="A82">
        <v>0.55000000000000004</v>
      </c>
      <c r="B82">
        <v>0.11</v>
      </c>
      <c r="C82">
        <v>0.67</v>
      </c>
      <c r="D82">
        <v>0.51</v>
      </c>
      <c r="E82">
        <v>0.67</v>
      </c>
      <c r="F82">
        <v>0.14000000000000001</v>
      </c>
      <c r="G82" s="37">
        <v>0.9</v>
      </c>
      <c r="H82">
        <v>0.69</v>
      </c>
    </row>
    <row r="83" spans="1:8" x14ac:dyDescent="0.35">
      <c r="A83">
        <v>0.37</v>
      </c>
      <c r="B83">
        <v>0.24</v>
      </c>
      <c r="C83">
        <v>0.54</v>
      </c>
      <c r="D83">
        <v>0.78</v>
      </c>
      <c r="E83">
        <v>0.57999999999999996</v>
      </c>
      <c r="F83">
        <v>0.28000000000000003</v>
      </c>
      <c r="G83" s="37">
        <v>0.72</v>
      </c>
      <c r="H83">
        <v>0.83</v>
      </c>
    </row>
    <row r="84" spans="1:8" x14ac:dyDescent="0.35">
      <c r="A84">
        <v>0.48</v>
      </c>
      <c r="B84">
        <v>1</v>
      </c>
      <c r="C84">
        <v>0.59</v>
      </c>
      <c r="D84">
        <v>1</v>
      </c>
      <c r="E84">
        <v>0.39</v>
      </c>
      <c r="F84">
        <v>0.47</v>
      </c>
      <c r="G84" s="37">
        <v>0.5</v>
      </c>
      <c r="H84">
        <v>0.69</v>
      </c>
    </row>
    <row r="85" spans="1:8" x14ac:dyDescent="0.35">
      <c r="A85">
        <v>0.44</v>
      </c>
      <c r="B85">
        <v>0.22</v>
      </c>
      <c r="C85">
        <v>0.71</v>
      </c>
      <c r="D85">
        <v>0.26</v>
      </c>
      <c r="E85">
        <v>0.36</v>
      </c>
      <c r="F85">
        <v>0.39</v>
      </c>
      <c r="G85" s="37">
        <v>1</v>
      </c>
      <c r="H85">
        <v>0.96</v>
      </c>
    </row>
    <row r="86" spans="1:8" x14ac:dyDescent="0.35">
      <c r="A86">
        <v>0.5</v>
      </c>
      <c r="B86">
        <v>0.04</v>
      </c>
      <c r="C86">
        <v>0.64</v>
      </c>
      <c r="D86">
        <v>0.39</v>
      </c>
      <c r="E86">
        <v>0.22</v>
      </c>
      <c r="F86">
        <v>0.36</v>
      </c>
      <c r="G86" s="37">
        <v>0.71</v>
      </c>
      <c r="H86">
        <v>0.92</v>
      </c>
    </row>
    <row r="87" spans="1:8" x14ac:dyDescent="0.35">
      <c r="A87">
        <v>0.68</v>
      </c>
      <c r="B87">
        <v>0.28000000000000003</v>
      </c>
      <c r="C87">
        <v>0.74</v>
      </c>
      <c r="D87">
        <v>0.61</v>
      </c>
      <c r="E87">
        <v>0.36</v>
      </c>
      <c r="F87">
        <v>0.28000000000000003</v>
      </c>
      <c r="G87" s="37">
        <v>0.61</v>
      </c>
      <c r="H87">
        <v>0.62</v>
      </c>
    </row>
    <row r="88" spans="1:8" x14ac:dyDescent="0.35">
      <c r="A88">
        <v>0.83</v>
      </c>
      <c r="B88">
        <v>1</v>
      </c>
      <c r="C88">
        <v>0.85</v>
      </c>
      <c r="D88">
        <v>1</v>
      </c>
      <c r="E88">
        <v>0.4</v>
      </c>
      <c r="F88">
        <v>0.5</v>
      </c>
      <c r="G88" s="37">
        <v>0.65</v>
      </c>
      <c r="H88">
        <v>0.91</v>
      </c>
    </row>
    <row r="89" spans="1:8" x14ac:dyDescent="0.35">
      <c r="A89">
        <v>0.37</v>
      </c>
      <c r="B89">
        <v>0.6</v>
      </c>
      <c r="C89">
        <v>0.84</v>
      </c>
      <c r="D89">
        <v>0.86</v>
      </c>
      <c r="E89">
        <v>0.35</v>
      </c>
      <c r="F89">
        <v>0.34</v>
      </c>
      <c r="G89" s="37">
        <v>0.55000000000000004</v>
      </c>
      <c r="H89">
        <v>0.79</v>
      </c>
    </row>
    <row r="90" spans="1:8" x14ac:dyDescent="0.35">
      <c r="A90">
        <v>0.3</v>
      </c>
      <c r="B90">
        <v>0.12</v>
      </c>
      <c r="C90">
        <v>0.49</v>
      </c>
      <c r="D90">
        <v>0.24</v>
      </c>
      <c r="E90">
        <v>0.16</v>
      </c>
      <c r="F90">
        <v>0.41</v>
      </c>
      <c r="G90" s="37">
        <v>0.72</v>
      </c>
      <c r="H90">
        <v>0.71</v>
      </c>
    </row>
    <row r="91" spans="1:8" x14ac:dyDescent="0.35">
      <c r="A91">
        <v>0.5</v>
      </c>
      <c r="B91">
        <v>0.37</v>
      </c>
      <c r="C91">
        <v>0.72</v>
      </c>
      <c r="D91">
        <v>0.59</v>
      </c>
      <c r="E91">
        <v>0.31</v>
      </c>
      <c r="F91">
        <v>0.43</v>
      </c>
      <c r="G91" s="37">
        <v>0.79</v>
      </c>
      <c r="H91">
        <v>0.61</v>
      </c>
    </row>
    <row r="92" spans="1:8" x14ac:dyDescent="0.35">
      <c r="A92">
        <v>0.7</v>
      </c>
      <c r="B92">
        <v>0.38</v>
      </c>
      <c r="C92">
        <v>0.83</v>
      </c>
      <c r="D92">
        <v>0.96</v>
      </c>
      <c r="E92">
        <v>0.41</v>
      </c>
      <c r="F92">
        <v>0.57999999999999996</v>
      </c>
      <c r="G92" s="37">
        <v>0.8</v>
      </c>
      <c r="H92">
        <v>0.68</v>
      </c>
    </row>
    <row r="93" spans="1:8" x14ac:dyDescent="0.35">
      <c r="A93">
        <v>0.34</v>
      </c>
      <c r="B93">
        <v>0.38</v>
      </c>
      <c r="C93">
        <v>0.53</v>
      </c>
      <c r="D93">
        <v>0.84</v>
      </c>
      <c r="E93">
        <v>0.23</v>
      </c>
      <c r="F93">
        <v>0.44</v>
      </c>
      <c r="G93" s="37">
        <v>0.71</v>
      </c>
      <c r="H93">
        <v>1</v>
      </c>
    </row>
    <row r="94" spans="1:8" x14ac:dyDescent="0.35">
      <c r="A94">
        <v>0.62</v>
      </c>
      <c r="B94">
        <v>0.41</v>
      </c>
      <c r="C94">
        <v>0.88</v>
      </c>
      <c r="D94">
        <v>0.75</v>
      </c>
      <c r="E94">
        <v>0.37</v>
      </c>
      <c r="F94">
        <v>0.25</v>
      </c>
      <c r="G94" s="37">
        <v>0.41</v>
      </c>
      <c r="H94">
        <v>0.64</v>
      </c>
    </row>
    <row r="95" spans="1:8" x14ac:dyDescent="0.35">
      <c r="A95">
        <v>0.61</v>
      </c>
      <c r="B95">
        <v>0</v>
      </c>
      <c r="C95">
        <v>0.81</v>
      </c>
      <c r="D95">
        <v>1</v>
      </c>
      <c r="E95">
        <v>0.32</v>
      </c>
      <c r="F95">
        <v>0.34</v>
      </c>
      <c r="G95" s="37">
        <v>0.68</v>
      </c>
      <c r="H95">
        <v>0.85</v>
      </c>
    </row>
    <row r="96" spans="1:8" x14ac:dyDescent="0.35">
      <c r="A96">
        <v>0.35</v>
      </c>
      <c r="B96">
        <v>0.31</v>
      </c>
      <c r="C96">
        <v>0.56999999999999995</v>
      </c>
      <c r="D96">
        <v>0.61</v>
      </c>
      <c r="E96">
        <v>0.55000000000000004</v>
      </c>
      <c r="F96">
        <v>0.22</v>
      </c>
      <c r="G96" s="37">
        <v>1</v>
      </c>
      <c r="H96">
        <v>0.53</v>
      </c>
    </row>
    <row r="97" spans="1:8" x14ac:dyDescent="0.35">
      <c r="A97">
        <v>0.33</v>
      </c>
      <c r="B97">
        <v>0.23</v>
      </c>
      <c r="C97">
        <v>0.68</v>
      </c>
      <c r="D97">
        <v>0.72</v>
      </c>
      <c r="E97">
        <v>0.33</v>
      </c>
      <c r="F97">
        <v>0.4</v>
      </c>
      <c r="G97" s="37">
        <v>0.85</v>
      </c>
      <c r="H97">
        <v>0.77</v>
      </c>
    </row>
    <row r="98" spans="1:8" x14ac:dyDescent="0.35">
      <c r="A98">
        <v>0.35</v>
      </c>
      <c r="B98">
        <v>0.5</v>
      </c>
      <c r="C98">
        <v>0.49</v>
      </c>
      <c r="D98">
        <v>1</v>
      </c>
      <c r="E98">
        <v>0.44</v>
      </c>
      <c r="F98">
        <v>0.13</v>
      </c>
      <c r="G98" s="37">
        <v>0.62</v>
      </c>
      <c r="H98">
        <v>0.56999999999999995</v>
      </c>
    </row>
    <row r="99" spans="1:8" x14ac:dyDescent="0.35">
      <c r="A99">
        <v>0.31</v>
      </c>
      <c r="B99">
        <v>0.09</v>
      </c>
      <c r="C99">
        <v>0.46</v>
      </c>
      <c r="D99">
        <v>0.41</v>
      </c>
      <c r="E99">
        <v>0.11</v>
      </c>
      <c r="F99">
        <v>0.18</v>
      </c>
      <c r="G99" s="37">
        <v>0.86</v>
      </c>
      <c r="H99">
        <v>0.69</v>
      </c>
    </row>
    <row r="100" spans="1:8" x14ac:dyDescent="0.35">
      <c r="A100">
        <v>0.41</v>
      </c>
      <c r="B100">
        <v>0.26</v>
      </c>
      <c r="C100">
        <v>0.7</v>
      </c>
      <c r="D100">
        <v>0.51</v>
      </c>
      <c r="E100">
        <v>0.35</v>
      </c>
      <c r="F100">
        <v>0.33</v>
      </c>
      <c r="G100" s="37">
        <v>0.77</v>
      </c>
      <c r="H100">
        <v>0.89</v>
      </c>
    </row>
    <row r="101" spans="1:8" x14ac:dyDescent="0.35">
      <c r="A101">
        <v>0.36</v>
      </c>
      <c r="B101">
        <v>0.12</v>
      </c>
      <c r="C101">
        <v>0.7</v>
      </c>
      <c r="D101">
        <v>0.46</v>
      </c>
      <c r="E101">
        <v>0.23</v>
      </c>
      <c r="F101">
        <v>0.47</v>
      </c>
      <c r="G101" s="37">
        <v>0.49</v>
      </c>
      <c r="H101">
        <v>0.82</v>
      </c>
    </row>
    <row r="102" spans="1:8" x14ac:dyDescent="0.35">
      <c r="A102">
        <v>0.38</v>
      </c>
      <c r="B102">
        <v>0.3</v>
      </c>
      <c r="C102">
        <v>0.57999999999999996</v>
      </c>
      <c r="D102">
        <v>0.79</v>
      </c>
      <c r="E102">
        <v>0.41</v>
      </c>
      <c r="F102">
        <v>0.37</v>
      </c>
      <c r="G102" s="37">
        <v>0.83</v>
      </c>
      <c r="H102">
        <v>0.9</v>
      </c>
    </row>
    <row r="103" spans="1:8" x14ac:dyDescent="0.35">
      <c r="A103">
        <v>0.19</v>
      </c>
      <c r="B103">
        <v>0.5</v>
      </c>
      <c r="C103">
        <v>0.44</v>
      </c>
      <c r="D103">
        <v>1</v>
      </c>
      <c r="E103">
        <v>0.32</v>
      </c>
      <c r="F103">
        <v>0.28999999999999998</v>
      </c>
      <c r="G103" s="37">
        <v>0.87</v>
      </c>
      <c r="H103">
        <v>0.88</v>
      </c>
    </row>
    <row r="104" spans="1:8" x14ac:dyDescent="0.35">
      <c r="A104">
        <v>0.45</v>
      </c>
      <c r="B104">
        <v>0.19</v>
      </c>
      <c r="C104">
        <v>0.68</v>
      </c>
      <c r="D104">
        <v>0.28999999999999998</v>
      </c>
      <c r="E104">
        <v>0.71</v>
      </c>
      <c r="F104">
        <v>0.57999999999999996</v>
      </c>
      <c r="G104" s="37">
        <v>0.87</v>
      </c>
      <c r="H104">
        <v>0.81</v>
      </c>
    </row>
    <row r="105" spans="1:8" x14ac:dyDescent="0.35">
      <c r="A105">
        <v>0.42</v>
      </c>
      <c r="B105">
        <v>0.05</v>
      </c>
      <c r="C105">
        <v>0.65</v>
      </c>
      <c r="D105">
        <v>0.43</v>
      </c>
      <c r="E105">
        <v>0.56999999999999995</v>
      </c>
      <c r="F105">
        <v>0.54</v>
      </c>
      <c r="G105" s="37">
        <v>0.71</v>
      </c>
      <c r="H105">
        <v>0.93</v>
      </c>
    </row>
    <row r="106" spans="1:8" x14ac:dyDescent="0.35">
      <c r="A106">
        <v>0.22</v>
      </c>
      <c r="B106">
        <v>0.31</v>
      </c>
      <c r="C106">
        <v>0.55000000000000004</v>
      </c>
      <c r="D106">
        <v>0.56999999999999995</v>
      </c>
      <c r="E106">
        <v>0.3</v>
      </c>
      <c r="F106">
        <v>0.41</v>
      </c>
      <c r="G106" s="37">
        <v>0.39</v>
      </c>
      <c r="H106">
        <v>0.88</v>
      </c>
    </row>
    <row r="107" spans="1:8" x14ac:dyDescent="0.35">
      <c r="A107">
        <v>0.39</v>
      </c>
      <c r="B107">
        <v>0.5</v>
      </c>
      <c r="C107">
        <v>0.57999999999999996</v>
      </c>
      <c r="D107">
        <v>1</v>
      </c>
      <c r="E107">
        <v>0.33</v>
      </c>
      <c r="F107">
        <v>0.43</v>
      </c>
      <c r="G107" s="37">
        <v>0.89</v>
      </c>
      <c r="H107">
        <v>0.79</v>
      </c>
    </row>
    <row r="108" spans="1:8" x14ac:dyDescent="0.35">
      <c r="A108">
        <v>0.55000000000000004</v>
      </c>
      <c r="B108">
        <v>0.56000000000000005</v>
      </c>
      <c r="C108">
        <v>0.77</v>
      </c>
      <c r="D108">
        <v>0.92</v>
      </c>
      <c r="E108">
        <v>0.18</v>
      </c>
      <c r="F108">
        <v>0.42</v>
      </c>
      <c r="G108" s="37">
        <v>0.71</v>
      </c>
      <c r="H108">
        <v>0.64</v>
      </c>
    </row>
    <row r="109" spans="1:8" x14ac:dyDescent="0.35">
      <c r="A109">
        <v>0.39</v>
      </c>
      <c r="B109">
        <v>0.18</v>
      </c>
      <c r="C109">
        <v>0.81</v>
      </c>
      <c r="D109">
        <v>0.28000000000000003</v>
      </c>
      <c r="E109">
        <v>0.33</v>
      </c>
      <c r="F109">
        <v>0.55000000000000004</v>
      </c>
      <c r="G109" s="37">
        <v>0.57999999999999996</v>
      </c>
      <c r="H109">
        <v>0.83</v>
      </c>
    </row>
    <row r="110" spans="1:8" x14ac:dyDescent="0.35">
      <c r="A110">
        <v>0.45</v>
      </c>
      <c r="B110">
        <v>0.5</v>
      </c>
      <c r="C110">
        <v>0.45</v>
      </c>
      <c r="D110">
        <v>0.61</v>
      </c>
      <c r="E110">
        <v>0.33</v>
      </c>
      <c r="F110">
        <v>0.48</v>
      </c>
      <c r="G110" s="37">
        <v>0.59</v>
      </c>
      <c r="H110">
        <v>0.95</v>
      </c>
    </row>
    <row r="111" spans="1:8" x14ac:dyDescent="0.35">
      <c r="A111">
        <v>0.42</v>
      </c>
      <c r="B111">
        <v>0.33</v>
      </c>
      <c r="C111">
        <v>0.62</v>
      </c>
      <c r="D111">
        <v>0.87</v>
      </c>
      <c r="E111">
        <v>0.34</v>
      </c>
      <c r="F111">
        <v>0.21</v>
      </c>
      <c r="G111" s="37">
        <v>0.5</v>
      </c>
      <c r="H111">
        <v>0.54</v>
      </c>
    </row>
    <row r="112" spans="1:8" x14ac:dyDescent="0.35">
      <c r="A112">
        <v>0.34</v>
      </c>
      <c r="B112">
        <v>0.32</v>
      </c>
      <c r="C112">
        <v>0.69</v>
      </c>
      <c r="D112">
        <v>0.71</v>
      </c>
      <c r="E112">
        <v>0.15</v>
      </c>
      <c r="F112">
        <v>0.3</v>
      </c>
      <c r="G112" s="37">
        <v>0.7</v>
      </c>
      <c r="H112">
        <v>0.91</v>
      </c>
    </row>
    <row r="113" spans="1:8" x14ac:dyDescent="0.35">
      <c r="A113">
        <v>0.31</v>
      </c>
      <c r="B113">
        <v>0.5</v>
      </c>
      <c r="C113">
        <v>0.76</v>
      </c>
      <c r="D113">
        <v>0.67</v>
      </c>
      <c r="E113">
        <v>0.31</v>
      </c>
      <c r="F113">
        <v>0.18</v>
      </c>
      <c r="G113" s="37">
        <v>0.57999999999999996</v>
      </c>
      <c r="H113">
        <v>0.45</v>
      </c>
    </row>
    <row r="114" spans="1:8" x14ac:dyDescent="0.35">
      <c r="A114">
        <v>0.34</v>
      </c>
      <c r="B114">
        <v>0.5</v>
      </c>
      <c r="C114">
        <v>0.62</v>
      </c>
      <c r="D114">
        <v>1</v>
      </c>
      <c r="E114">
        <v>0.38</v>
      </c>
      <c r="F114">
        <v>0.38</v>
      </c>
      <c r="G114" s="37">
        <v>0.79</v>
      </c>
      <c r="H114">
        <v>0.69</v>
      </c>
    </row>
    <row r="115" spans="1:8" x14ac:dyDescent="0.35">
      <c r="A115">
        <v>0.53</v>
      </c>
      <c r="B115">
        <v>0.28999999999999998</v>
      </c>
      <c r="C115">
        <v>0.71</v>
      </c>
      <c r="D115">
        <v>0.6</v>
      </c>
      <c r="E115">
        <v>0.24</v>
      </c>
      <c r="F115">
        <v>0.19</v>
      </c>
      <c r="G115" s="37">
        <v>0.76</v>
      </c>
      <c r="H115">
        <v>0.65</v>
      </c>
    </row>
    <row r="116" spans="1:8" x14ac:dyDescent="0.35">
      <c r="A116">
        <v>0.4</v>
      </c>
      <c r="B116">
        <v>0.34</v>
      </c>
      <c r="C116">
        <v>0.55000000000000004</v>
      </c>
      <c r="D116">
        <v>0.69</v>
      </c>
      <c r="E116">
        <v>0.36</v>
      </c>
      <c r="F116">
        <v>0.18</v>
      </c>
      <c r="G116" s="37">
        <v>0.49</v>
      </c>
      <c r="H116">
        <v>0.83</v>
      </c>
    </row>
    <row r="117" spans="1:8" x14ac:dyDescent="0.35">
      <c r="A117">
        <v>0.5</v>
      </c>
      <c r="B117">
        <v>0.5</v>
      </c>
      <c r="C117">
        <v>0.6</v>
      </c>
      <c r="D117">
        <v>1</v>
      </c>
      <c r="E117">
        <v>0.31</v>
      </c>
      <c r="F117">
        <v>0.22</v>
      </c>
      <c r="G117" s="37">
        <v>0.61</v>
      </c>
      <c r="H117">
        <v>0.91</v>
      </c>
    </row>
    <row r="118" spans="1:8" x14ac:dyDescent="0.35">
      <c r="A118">
        <v>0.39</v>
      </c>
      <c r="B118">
        <v>0.16</v>
      </c>
      <c r="C118">
        <v>0.73</v>
      </c>
      <c r="D118">
        <v>0.71</v>
      </c>
      <c r="E118">
        <v>0.56999999999999995</v>
      </c>
      <c r="F118">
        <v>0.33</v>
      </c>
      <c r="G118" s="37">
        <v>0.9</v>
      </c>
      <c r="H118">
        <v>0.79</v>
      </c>
    </row>
    <row r="119" spans="1:8" x14ac:dyDescent="0.35">
      <c r="A119">
        <v>0.49</v>
      </c>
      <c r="B119">
        <v>0.27</v>
      </c>
      <c r="C119">
        <v>0.68</v>
      </c>
      <c r="D119">
        <v>0.61</v>
      </c>
      <c r="E119">
        <v>0.36</v>
      </c>
      <c r="F119">
        <v>0.41</v>
      </c>
      <c r="G119" s="37">
        <v>0.81</v>
      </c>
      <c r="H119">
        <v>0.87</v>
      </c>
    </row>
    <row r="120" spans="1:8" x14ac:dyDescent="0.35">
      <c r="A120">
        <v>0.52</v>
      </c>
      <c r="B120">
        <v>0.08</v>
      </c>
      <c r="C120">
        <v>0.6</v>
      </c>
      <c r="D120">
        <v>0.38</v>
      </c>
      <c r="E120">
        <v>0.44</v>
      </c>
      <c r="F120">
        <v>0.28000000000000003</v>
      </c>
      <c r="G120" s="37">
        <v>0.6</v>
      </c>
      <c r="H120">
        <v>0.86</v>
      </c>
    </row>
    <row r="121" spans="1:8" x14ac:dyDescent="0.35">
      <c r="A121">
        <v>0.76</v>
      </c>
      <c r="B121">
        <v>0.21</v>
      </c>
      <c r="C121">
        <v>0.81</v>
      </c>
      <c r="D121">
        <v>0.66</v>
      </c>
      <c r="E121">
        <v>0.15</v>
      </c>
      <c r="F121">
        <v>0.56000000000000005</v>
      </c>
      <c r="G121" s="37">
        <v>0.91</v>
      </c>
      <c r="H121">
        <v>0.76</v>
      </c>
    </row>
    <row r="122" spans="1:8" x14ac:dyDescent="0.35">
      <c r="A122">
        <v>0.43</v>
      </c>
      <c r="B122">
        <v>0.5</v>
      </c>
      <c r="C122">
        <v>0.87</v>
      </c>
      <c r="D122">
        <v>1</v>
      </c>
      <c r="E122">
        <v>0.28999999999999998</v>
      </c>
      <c r="F122">
        <v>0.5</v>
      </c>
      <c r="G122" s="37">
        <v>0.77</v>
      </c>
      <c r="H122">
        <v>0.93</v>
      </c>
    </row>
    <row r="123" spans="1:8" x14ac:dyDescent="0.35">
      <c r="A123">
        <v>0.28999999999999998</v>
      </c>
      <c r="B123">
        <v>0.12</v>
      </c>
      <c r="C123">
        <v>0.47</v>
      </c>
      <c r="D123">
        <v>0.24</v>
      </c>
      <c r="E123">
        <v>0.26</v>
      </c>
      <c r="F123">
        <v>0.38</v>
      </c>
      <c r="G123" s="37">
        <v>0.53</v>
      </c>
      <c r="H123">
        <v>0.76</v>
      </c>
    </row>
    <row r="124" spans="1:8" x14ac:dyDescent="0.35">
      <c r="A124">
        <v>0.42</v>
      </c>
      <c r="B124">
        <v>0.05</v>
      </c>
      <c r="C124">
        <v>0.76</v>
      </c>
      <c r="D124">
        <v>0.38</v>
      </c>
      <c r="E124">
        <v>0.44</v>
      </c>
      <c r="F124">
        <v>0.41</v>
      </c>
      <c r="G124" s="37">
        <v>0.82</v>
      </c>
      <c r="H124">
        <v>0.76</v>
      </c>
    </row>
    <row r="125" spans="1:8" x14ac:dyDescent="0.35">
      <c r="A125">
        <v>0.69</v>
      </c>
      <c r="B125">
        <v>0.28000000000000003</v>
      </c>
      <c r="C125">
        <v>0.8</v>
      </c>
      <c r="D125">
        <v>0.61</v>
      </c>
      <c r="E125">
        <v>0.31</v>
      </c>
      <c r="F125">
        <v>0.41</v>
      </c>
      <c r="G125" s="37">
        <v>0.8</v>
      </c>
      <c r="H125">
        <v>0.57999999999999996</v>
      </c>
    </row>
    <row r="126" spans="1:8" x14ac:dyDescent="0.35">
      <c r="A126">
        <v>0.36</v>
      </c>
      <c r="B126">
        <v>0.5</v>
      </c>
      <c r="C126">
        <v>0.6</v>
      </c>
      <c r="D126">
        <v>1</v>
      </c>
      <c r="E126">
        <v>0.75</v>
      </c>
      <c r="F126">
        <v>0.36</v>
      </c>
      <c r="G126" s="37">
        <v>0.88</v>
      </c>
      <c r="H126">
        <v>0.71</v>
      </c>
    </row>
    <row r="127" spans="1:8" x14ac:dyDescent="0.35">
      <c r="A127">
        <v>0.59</v>
      </c>
      <c r="B127">
        <v>0.35</v>
      </c>
      <c r="C127">
        <v>0.93</v>
      </c>
      <c r="D127">
        <v>0.82</v>
      </c>
      <c r="E127">
        <v>0.56000000000000005</v>
      </c>
      <c r="F127">
        <v>0</v>
      </c>
      <c r="G127" s="37">
        <v>0.69</v>
      </c>
      <c r="H127">
        <v>0.93</v>
      </c>
    </row>
    <row r="128" spans="1:8" x14ac:dyDescent="0.35">
      <c r="A128">
        <v>0.56000000000000005</v>
      </c>
      <c r="B128">
        <v>0.23</v>
      </c>
      <c r="C128">
        <v>0.75</v>
      </c>
      <c r="D128">
        <v>0.27</v>
      </c>
      <c r="E128">
        <v>0.31</v>
      </c>
      <c r="F128">
        <v>0.16</v>
      </c>
      <c r="G128" s="37">
        <v>0.4</v>
      </c>
      <c r="H128">
        <v>0.56000000000000005</v>
      </c>
    </row>
    <row r="129" spans="1:8" x14ac:dyDescent="0.35">
      <c r="A129">
        <v>0.32</v>
      </c>
      <c r="B129">
        <v>0.54</v>
      </c>
      <c r="C129">
        <v>0.57999999999999996</v>
      </c>
      <c r="D129">
        <v>0.67</v>
      </c>
      <c r="E129">
        <v>0.31</v>
      </c>
      <c r="F129">
        <v>0.2</v>
      </c>
      <c r="G129" s="37">
        <v>0.86</v>
      </c>
      <c r="H129">
        <v>0.76</v>
      </c>
    </row>
    <row r="130" spans="1:8" x14ac:dyDescent="0.35">
      <c r="A130">
        <v>0.37</v>
      </c>
      <c r="B130">
        <v>0.34</v>
      </c>
      <c r="C130">
        <v>0.77</v>
      </c>
      <c r="D130">
        <v>0.79</v>
      </c>
      <c r="E130">
        <v>0.22</v>
      </c>
      <c r="F130">
        <v>0.16</v>
      </c>
      <c r="G130" s="37">
        <v>0.73</v>
      </c>
      <c r="H130">
        <v>0.36</v>
      </c>
    </row>
    <row r="131" spans="1:8" x14ac:dyDescent="0.35">
      <c r="A131">
        <v>0.28000000000000003</v>
      </c>
      <c r="B131">
        <v>0.43</v>
      </c>
      <c r="C131">
        <v>0.52</v>
      </c>
      <c r="D131">
        <v>0.72</v>
      </c>
      <c r="E131">
        <v>0.37</v>
      </c>
      <c r="F131">
        <v>0.3</v>
      </c>
      <c r="G131" s="37">
        <v>0.56000000000000005</v>
      </c>
      <c r="H131">
        <v>0.66</v>
      </c>
    </row>
    <row r="132" spans="1:8" x14ac:dyDescent="0.35">
      <c r="A132">
        <v>0.33</v>
      </c>
      <c r="B132">
        <v>0.5</v>
      </c>
      <c r="C132">
        <v>0.52</v>
      </c>
      <c r="D132">
        <v>0.73</v>
      </c>
      <c r="E132">
        <v>0.31</v>
      </c>
      <c r="F132">
        <v>0.17</v>
      </c>
      <c r="G132" s="37">
        <v>0.56999999999999995</v>
      </c>
      <c r="H132">
        <v>0.68</v>
      </c>
    </row>
    <row r="133" spans="1:8" x14ac:dyDescent="0.35">
      <c r="A133">
        <v>0.45</v>
      </c>
      <c r="B133">
        <v>0</v>
      </c>
      <c r="C133">
        <v>0.64</v>
      </c>
      <c r="D133">
        <v>1</v>
      </c>
      <c r="E133">
        <v>0.3</v>
      </c>
      <c r="F133">
        <v>0.15</v>
      </c>
      <c r="G133" s="37">
        <v>0.49</v>
      </c>
      <c r="H133">
        <v>0.64</v>
      </c>
    </row>
    <row r="134" spans="1:8" x14ac:dyDescent="0.35">
      <c r="A134">
        <v>0.28000000000000003</v>
      </c>
      <c r="B134">
        <v>0.39</v>
      </c>
      <c r="C134">
        <v>0.67</v>
      </c>
      <c r="D134">
        <v>0.6</v>
      </c>
      <c r="E134">
        <v>0.15</v>
      </c>
      <c r="F134">
        <v>0.22</v>
      </c>
      <c r="G134" s="37">
        <v>0.82</v>
      </c>
      <c r="H134">
        <v>0.86</v>
      </c>
    </row>
    <row r="135" spans="1:8" x14ac:dyDescent="0.35">
      <c r="A135">
        <v>0.3</v>
      </c>
      <c r="B135">
        <v>0.22</v>
      </c>
      <c r="C135">
        <v>0.53</v>
      </c>
      <c r="D135">
        <v>0.62</v>
      </c>
      <c r="E135">
        <v>0.36</v>
      </c>
      <c r="F135">
        <v>0.37</v>
      </c>
      <c r="G135" s="37">
        <v>0.85</v>
      </c>
      <c r="H135">
        <v>0.76</v>
      </c>
    </row>
    <row r="136" spans="1:8" x14ac:dyDescent="0.35">
      <c r="A136">
        <v>0.12</v>
      </c>
      <c r="B136">
        <v>0.5</v>
      </c>
      <c r="C136">
        <v>0.3</v>
      </c>
      <c r="D136">
        <v>1</v>
      </c>
      <c r="E136">
        <v>0.38</v>
      </c>
      <c r="F136">
        <v>0.24</v>
      </c>
      <c r="G136" s="37">
        <v>0.75</v>
      </c>
      <c r="H136">
        <v>0.82</v>
      </c>
    </row>
    <row r="137" spans="1:8" x14ac:dyDescent="0.35">
      <c r="A137">
        <v>0.4</v>
      </c>
      <c r="B137">
        <v>0.17</v>
      </c>
      <c r="C137">
        <v>0.71</v>
      </c>
      <c r="D137">
        <v>0.7</v>
      </c>
      <c r="E137">
        <v>0.27</v>
      </c>
      <c r="F137">
        <v>0.3</v>
      </c>
      <c r="G137" s="37">
        <v>0.71</v>
      </c>
      <c r="H137">
        <v>0.88</v>
      </c>
    </row>
    <row r="138" spans="1:8" x14ac:dyDescent="0.35">
      <c r="A138">
        <v>0.33</v>
      </c>
      <c r="B138">
        <v>0.21</v>
      </c>
      <c r="C138">
        <v>0.53</v>
      </c>
      <c r="D138">
        <v>0.61</v>
      </c>
      <c r="E138">
        <v>0.31</v>
      </c>
      <c r="F138">
        <v>0.57999999999999996</v>
      </c>
      <c r="G138" s="37">
        <v>0.46</v>
      </c>
      <c r="H138">
        <v>0.82</v>
      </c>
    </row>
    <row r="139" spans="1:8" x14ac:dyDescent="0.35">
      <c r="A139">
        <v>0.12</v>
      </c>
      <c r="B139">
        <v>0.38</v>
      </c>
      <c r="C139">
        <v>0.56000000000000005</v>
      </c>
      <c r="D139">
        <v>0.43</v>
      </c>
      <c r="E139">
        <v>0.22</v>
      </c>
      <c r="F139">
        <v>0.43</v>
      </c>
      <c r="G139" s="37">
        <v>0.62</v>
      </c>
      <c r="H139">
        <v>0.87</v>
      </c>
    </row>
    <row r="140" spans="1:8" x14ac:dyDescent="0.35">
      <c r="A140">
        <v>0.42</v>
      </c>
      <c r="B140">
        <v>0.18</v>
      </c>
      <c r="C140">
        <v>0.56000000000000005</v>
      </c>
      <c r="D140">
        <v>0.64</v>
      </c>
      <c r="E140">
        <v>0.53</v>
      </c>
      <c r="F140">
        <v>0.33</v>
      </c>
      <c r="G140" s="37">
        <v>0.83</v>
      </c>
      <c r="H140">
        <v>0.75</v>
      </c>
    </row>
    <row r="141" spans="1:8" x14ac:dyDescent="0.35">
      <c r="A141">
        <v>0.49</v>
      </c>
      <c r="B141">
        <v>1</v>
      </c>
      <c r="C141">
        <v>0.76</v>
      </c>
      <c r="D141">
        <v>1</v>
      </c>
      <c r="E141">
        <v>0.19</v>
      </c>
      <c r="F141">
        <v>0.5</v>
      </c>
      <c r="G141" s="37">
        <v>0.82</v>
      </c>
      <c r="H141">
        <v>0.83</v>
      </c>
    </row>
    <row r="142" spans="1:8" x14ac:dyDescent="0.35">
      <c r="A142">
        <v>0.35</v>
      </c>
      <c r="B142">
        <v>0.09</v>
      </c>
      <c r="C142">
        <v>0.76</v>
      </c>
      <c r="D142">
        <v>0.1</v>
      </c>
      <c r="E142">
        <v>0.35</v>
      </c>
      <c r="F142">
        <v>0.48</v>
      </c>
      <c r="G142" s="37">
        <v>0.51</v>
      </c>
      <c r="H142">
        <v>0.61</v>
      </c>
    </row>
    <row r="143" spans="1:8" x14ac:dyDescent="0.35">
      <c r="A143">
        <v>0.47</v>
      </c>
      <c r="B143">
        <v>0.05</v>
      </c>
      <c r="C143">
        <v>0.55000000000000004</v>
      </c>
      <c r="D143">
        <v>0.4</v>
      </c>
      <c r="E143">
        <v>0.08</v>
      </c>
      <c r="F143">
        <v>0.23</v>
      </c>
      <c r="G143" s="37">
        <v>0.75</v>
      </c>
      <c r="H143">
        <v>0.8</v>
      </c>
    </row>
    <row r="144" spans="1:8" x14ac:dyDescent="0.35">
      <c r="A144">
        <v>0.42</v>
      </c>
      <c r="B144">
        <v>0.15</v>
      </c>
      <c r="C144">
        <v>0.56000000000000005</v>
      </c>
      <c r="D144">
        <v>0.5</v>
      </c>
      <c r="E144">
        <v>0.31</v>
      </c>
      <c r="F144">
        <v>0.08</v>
      </c>
      <c r="G144" s="37">
        <v>0.75</v>
      </c>
      <c r="H144">
        <v>0.91</v>
      </c>
    </row>
    <row r="145" spans="1:8" x14ac:dyDescent="0.35">
      <c r="A145">
        <v>0.36</v>
      </c>
      <c r="B145">
        <v>0.5</v>
      </c>
      <c r="C145">
        <v>0.71</v>
      </c>
      <c r="D145">
        <v>1</v>
      </c>
      <c r="E145">
        <v>0.15</v>
      </c>
      <c r="F145">
        <v>0.17</v>
      </c>
      <c r="G145" s="37">
        <v>0.48</v>
      </c>
      <c r="H145">
        <v>0.55000000000000004</v>
      </c>
    </row>
    <row r="146" spans="1:8" x14ac:dyDescent="0.35">
      <c r="A146">
        <v>0.21</v>
      </c>
      <c r="B146">
        <v>0.5</v>
      </c>
      <c r="C146">
        <v>0.73</v>
      </c>
      <c r="D146">
        <v>0.76</v>
      </c>
      <c r="E146">
        <v>0.36</v>
      </c>
      <c r="F146">
        <v>0.27</v>
      </c>
      <c r="G146" s="37">
        <v>0.81</v>
      </c>
      <c r="H146">
        <v>0.86</v>
      </c>
    </row>
    <row r="147" spans="1:8" x14ac:dyDescent="0.35">
      <c r="A147">
        <v>0.39</v>
      </c>
      <c r="B147">
        <v>0.08</v>
      </c>
      <c r="C147">
        <v>0.56000000000000005</v>
      </c>
      <c r="D147">
        <v>0.18</v>
      </c>
      <c r="E147">
        <v>0.3</v>
      </c>
      <c r="F147">
        <v>0.16</v>
      </c>
      <c r="G147" s="37">
        <v>0.74</v>
      </c>
      <c r="H147">
        <v>0.43</v>
      </c>
    </row>
    <row r="148" spans="1:8" x14ac:dyDescent="0.35">
      <c r="A148">
        <v>0.59</v>
      </c>
      <c r="B148">
        <v>0.44</v>
      </c>
      <c r="C148">
        <v>0.73</v>
      </c>
      <c r="D148">
        <v>0.54</v>
      </c>
      <c r="E148">
        <v>0.7</v>
      </c>
      <c r="F148">
        <v>0.26</v>
      </c>
      <c r="G148" s="37">
        <v>0.89</v>
      </c>
      <c r="H148">
        <v>0.63</v>
      </c>
    </row>
    <row r="149" spans="1:8" x14ac:dyDescent="0.35">
      <c r="A149">
        <v>0.28000000000000003</v>
      </c>
      <c r="B149">
        <v>0.36</v>
      </c>
      <c r="C149">
        <v>0.49</v>
      </c>
      <c r="D149">
        <v>0.72</v>
      </c>
      <c r="E149">
        <v>0.42</v>
      </c>
      <c r="F149">
        <v>0.24</v>
      </c>
      <c r="G149" s="37">
        <v>0.61</v>
      </c>
      <c r="H149">
        <v>0.76</v>
      </c>
    </row>
    <row r="150" spans="1:8" x14ac:dyDescent="0.35">
      <c r="A150">
        <v>0.4</v>
      </c>
      <c r="B150">
        <v>0.39</v>
      </c>
      <c r="C150">
        <v>0.54</v>
      </c>
      <c r="D150">
        <v>0.64</v>
      </c>
      <c r="E150">
        <v>0.31</v>
      </c>
      <c r="F150">
        <v>0.15</v>
      </c>
      <c r="G150" s="37">
        <v>0.45</v>
      </c>
      <c r="H150">
        <v>0.96</v>
      </c>
    </row>
    <row r="151" spans="1:8" x14ac:dyDescent="0.35">
      <c r="A151">
        <v>0.42</v>
      </c>
      <c r="B151">
        <v>0.38</v>
      </c>
      <c r="C151">
        <v>0.63</v>
      </c>
      <c r="D151">
        <v>0.54</v>
      </c>
      <c r="E151">
        <v>0.28000000000000003</v>
      </c>
      <c r="F151">
        <v>0.28000000000000003</v>
      </c>
      <c r="G151" s="37">
        <v>0.87</v>
      </c>
      <c r="H151">
        <v>0.9</v>
      </c>
    </row>
    <row r="152" spans="1:8" x14ac:dyDescent="0.35">
      <c r="A152">
        <v>0.46</v>
      </c>
      <c r="B152">
        <v>0.5</v>
      </c>
      <c r="C152">
        <v>0.69</v>
      </c>
      <c r="D152">
        <v>1</v>
      </c>
      <c r="E152">
        <v>0.24</v>
      </c>
      <c r="F152">
        <v>0.41</v>
      </c>
      <c r="G152" s="37">
        <v>0.69</v>
      </c>
      <c r="H152">
        <v>0.77</v>
      </c>
    </row>
    <row r="153" spans="1:8" x14ac:dyDescent="0.35">
      <c r="A153">
        <v>0.41</v>
      </c>
      <c r="B153">
        <v>0.39</v>
      </c>
      <c r="C153">
        <v>0.67</v>
      </c>
      <c r="D153">
        <v>0.61</v>
      </c>
      <c r="E153">
        <v>0.31</v>
      </c>
      <c r="F153">
        <v>0.37</v>
      </c>
      <c r="G153" s="37">
        <v>0.65</v>
      </c>
      <c r="H153">
        <v>0.76</v>
      </c>
    </row>
    <row r="154" spans="1:8" x14ac:dyDescent="0.35">
      <c r="A154">
        <v>0.72</v>
      </c>
      <c r="B154">
        <v>0.25</v>
      </c>
      <c r="C154">
        <v>0.85</v>
      </c>
      <c r="D154">
        <v>0.61</v>
      </c>
      <c r="E154">
        <v>0.34</v>
      </c>
      <c r="F154">
        <v>0.35</v>
      </c>
      <c r="G154" s="37">
        <v>0.57999999999999996</v>
      </c>
      <c r="H154">
        <v>0.85</v>
      </c>
    </row>
    <row r="155" spans="1:8" x14ac:dyDescent="0.35">
      <c r="A155">
        <v>0.46</v>
      </c>
      <c r="B155">
        <v>0</v>
      </c>
      <c r="C155">
        <v>0.72</v>
      </c>
      <c r="D155">
        <v>1</v>
      </c>
      <c r="E155">
        <v>0.21</v>
      </c>
      <c r="F155">
        <v>0.71</v>
      </c>
      <c r="G155" s="37">
        <v>0.73</v>
      </c>
      <c r="H155">
        <v>0.86</v>
      </c>
    </row>
    <row r="156" spans="1:8" x14ac:dyDescent="0.35">
      <c r="A156">
        <v>0.3</v>
      </c>
      <c r="B156">
        <v>0.16</v>
      </c>
      <c r="C156">
        <v>0.47</v>
      </c>
      <c r="D156">
        <v>0.46</v>
      </c>
      <c r="E156">
        <v>0.14000000000000001</v>
      </c>
      <c r="F156">
        <v>0.5</v>
      </c>
      <c r="G156" s="37">
        <v>0.72</v>
      </c>
      <c r="H156">
        <v>0.97</v>
      </c>
    </row>
    <row r="157" spans="1:8" x14ac:dyDescent="0.35">
      <c r="A157">
        <v>0.44</v>
      </c>
      <c r="B157">
        <v>0.14000000000000001</v>
      </c>
      <c r="C157">
        <v>0.76</v>
      </c>
      <c r="D157">
        <v>0.61</v>
      </c>
      <c r="E157">
        <v>0.35</v>
      </c>
      <c r="F157">
        <v>0.3</v>
      </c>
      <c r="G157" s="37">
        <v>0.51</v>
      </c>
      <c r="H157">
        <v>0.76</v>
      </c>
    </row>
    <row r="158" spans="1:8" x14ac:dyDescent="0.35">
      <c r="A158">
        <v>0.5</v>
      </c>
      <c r="B158">
        <v>0.2</v>
      </c>
      <c r="C158">
        <v>0.55000000000000004</v>
      </c>
      <c r="D158">
        <v>0.36</v>
      </c>
      <c r="E158">
        <v>0.38</v>
      </c>
      <c r="F158">
        <v>0.51</v>
      </c>
      <c r="G158" s="37">
        <v>0.64</v>
      </c>
      <c r="H158">
        <v>0.76</v>
      </c>
    </row>
    <row r="159" spans="1:8" x14ac:dyDescent="0.35">
      <c r="A159">
        <v>0.37</v>
      </c>
      <c r="B159">
        <v>0.21</v>
      </c>
      <c r="C159">
        <v>0.54</v>
      </c>
      <c r="D159">
        <v>0.56000000000000005</v>
      </c>
      <c r="E159">
        <v>0.31</v>
      </c>
      <c r="F159">
        <v>0.46</v>
      </c>
      <c r="G159" s="37">
        <v>0.68</v>
      </c>
      <c r="H159">
        <v>0.61</v>
      </c>
    </row>
    <row r="160" spans="1:8" x14ac:dyDescent="0.35">
      <c r="A160">
        <v>0.56999999999999995</v>
      </c>
      <c r="B160">
        <v>0.5</v>
      </c>
      <c r="C160">
        <v>0.9</v>
      </c>
      <c r="D160">
        <v>1</v>
      </c>
      <c r="E160">
        <v>0.24</v>
      </c>
      <c r="F160">
        <v>0.33</v>
      </c>
      <c r="G160" s="37">
        <v>0.41</v>
      </c>
      <c r="H160">
        <v>0.91</v>
      </c>
    </row>
    <row r="161" spans="1:8" x14ac:dyDescent="0.35">
      <c r="A161">
        <v>0.44</v>
      </c>
      <c r="B161">
        <v>0.08</v>
      </c>
      <c r="C161">
        <v>0.66</v>
      </c>
      <c r="D161">
        <v>0.11</v>
      </c>
      <c r="E161">
        <v>0.28000000000000003</v>
      </c>
      <c r="F161">
        <v>0.43</v>
      </c>
      <c r="G161" s="37">
        <v>0.55000000000000004</v>
      </c>
      <c r="H161">
        <v>0.94</v>
      </c>
    </row>
    <row r="162" spans="1:8" x14ac:dyDescent="0.35">
      <c r="A162">
        <v>0.28000000000000003</v>
      </c>
      <c r="B162">
        <v>0.05</v>
      </c>
      <c r="C162">
        <v>0.48</v>
      </c>
      <c r="D162">
        <v>0.38</v>
      </c>
      <c r="E162">
        <v>0.4</v>
      </c>
      <c r="F162">
        <v>0.25</v>
      </c>
      <c r="G162" s="37">
        <v>0.74</v>
      </c>
      <c r="H162">
        <v>0.61</v>
      </c>
    </row>
    <row r="163" spans="1:8" x14ac:dyDescent="0.35">
      <c r="A163">
        <v>0.37</v>
      </c>
      <c r="B163">
        <v>0.2</v>
      </c>
      <c r="C163">
        <v>0.66</v>
      </c>
      <c r="D163">
        <v>0.55000000000000004</v>
      </c>
      <c r="E163">
        <v>0.24</v>
      </c>
      <c r="F163">
        <v>0.37</v>
      </c>
      <c r="G163" s="37">
        <v>0.71</v>
      </c>
      <c r="H163">
        <v>0.89</v>
      </c>
    </row>
    <row r="164" spans="1:8" x14ac:dyDescent="0.35">
      <c r="A164">
        <v>0.37</v>
      </c>
      <c r="B164">
        <v>0.5</v>
      </c>
      <c r="C164">
        <v>0.48</v>
      </c>
      <c r="D164">
        <v>1</v>
      </c>
      <c r="E164">
        <v>0.36</v>
      </c>
      <c r="F164">
        <v>0.15</v>
      </c>
      <c r="G164" s="37">
        <v>0.49</v>
      </c>
      <c r="H164">
        <v>0.41</v>
      </c>
    </row>
    <row r="165" spans="1:8" x14ac:dyDescent="0.35">
      <c r="A165">
        <v>0.36</v>
      </c>
      <c r="B165">
        <v>0.4</v>
      </c>
      <c r="C165">
        <v>0.52</v>
      </c>
      <c r="D165">
        <v>0.61</v>
      </c>
      <c r="E165">
        <v>0.03</v>
      </c>
      <c r="F165">
        <v>0.28999999999999998</v>
      </c>
      <c r="G165" s="37">
        <v>0.74</v>
      </c>
      <c r="H165">
        <v>0.56000000000000005</v>
      </c>
    </row>
    <row r="166" spans="1:8" x14ac:dyDescent="0.35">
      <c r="A166">
        <v>0.41</v>
      </c>
      <c r="B166">
        <v>0.19</v>
      </c>
      <c r="C166">
        <v>0.49</v>
      </c>
      <c r="D166">
        <v>0.2</v>
      </c>
      <c r="E166">
        <v>0.27</v>
      </c>
      <c r="F166">
        <v>0.21</v>
      </c>
      <c r="G166" s="37">
        <v>0.67</v>
      </c>
      <c r="H166">
        <v>0.72</v>
      </c>
    </row>
    <row r="167" spans="1:8" x14ac:dyDescent="0.35">
      <c r="A167">
        <v>0.31</v>
      </c>
      <c r="B167">
        <v>0.36</v>
      </c>
      <c r="C167">
        <v>0.68</v>
      </c>
      <c r="D167">
        <v>0.51</v>
      </c>
      <c r="E167">
        <v>0.18</v>
      </c>
      <c r="F167">
        <v>0.26</v>
      </c>
      <c r="G167" s="37">
        <v>0.47</v>
      </c>
      <c r="H167">
        <v>0.61</v>
      </c>
    </row>
    <row r="168" spans="1:8" x14ac:dyDescent="0.35">
      <c r="A168">
        <v>0.25</v>
      </c>
      <c r="B168">
        <v>0.28999999999999998</v>
      </c>
      <c r="C168">
        <v>0.61</v>
      </c>
      <c r="D168">
        <v>0.67</v>
      </c>
      <c r="E168">
        <v>0.32</v>
      </c>
      <c r="F168">
        <v>0.25</v>
      </c>
      <c r="G168" s="37">
        <v>0.74</v>
      </c>
      <c r="H168">
        <v>0.86</v>
      </c>
    </row>
    <row r="169" spans="1:8" x14ac:dyDescent="0.35">
      <c r="A169">
        <v>0.25</v>
      </c>
      <c r="B169">
        <v>0.39</v>
      </c>
      <c r="C169">
        <v>0.38</v>
      </c>
      <c r="D169">
        <v>0.66</v>
      </c>
      <c r="E169">
        <v>0.3</v>
      </c>
      <c r="F169">
        <v>0.34</v>
      </c>
      <c r="G169" s="37">
        <v>0.71</v>
      </c>
      <c r="H169">
        <v>0.66</v>
      </c>
    </row>
    <row r="170" spans="1:8" x14ac:dyDescent="0.35">
      <c r="A170">
        <v>0.4</v>
      </c>
      <c r="B170">
        <v>0.28999999999999998</v>
      </c>
      <c r="C170">
        <v>0.56999999999999995</v>
      </c>
      <c r="D170">
        <v>0.6</v>
      </c>
      <c r="E170">
        <v>0.65</v>
      </c>
      <c r="F170">
        <v>0.31</v>
      </c>
      <c r="G170" s="37">
        <v>0.86</v>
      </c>
      <c r="H170">
        <v>0.77</v>
      </c>
    </row>
    <row r="171" spans="1:8" x14ac:dyDescent="0.35">
      <c r="A171">
        <v>0.31</v>
      </c>
      <c r="B171">
        <v>0.5</v>
      </c>
      <c r="C171">
        <v>0.54</v>
      </c>
      <c r="D171">
        <v>1</v>
      </c>
      <c r="E171">
        <v>0.36</v>
      </c>
      <c r="F171">
        <v>0.36</v>
      </c>
      <c r="G171" s="37">
        <v>0.56000000000000005</v>
      </c>
      <c r="H171">
        <v>0.8</v>
      </c>
    </row>
    <row r="172" spans="1:8" x14ac:dyDescent="0.35">
      <c r="A172">
        <v>0.18</v>
      </c>
      <c r="B172">
        <v>0.36</v>
      </c>
      <c r="C172">
        <v>0.54</v>
      </c>
      <c r="D172">
        <v>0.71</v>
      </c>
      <c r="E172">
        <v>0.31</v>
      </c>
      <c r="F172">
        <v>0.84</v>
      </c>
      <c r="G172" s="37">
        <v>0.38</v>
      </c>
      <c r="H172">
        <v>1</v>
      </c>
    </row>
    <row r="173" spans="1:8" x14ac:dyDescent="0.35">
      <c r="A173">
        <v>0.39</v>
      </c>
      <c r="B173">
        <v>0.27</v>
      </c>
      <c r="C173">
        <v>0.56999999999999995</v>
      </c>
      <c r="D173">
        <v>0.67</v>
      </c>
      <c r="E173">
        <v>0.21</v>
      </c>
      <c r="F173">
        <v>0.5</v>
      </c>
      <c r="G173" s="37">
        <v>0.88</v>
      </c>
      <c r="H173">
        <v>0.93</v>
      </c>
    </row>
    <row r="174" spans="1:8" x14ac:dyDescent="0.35">
      <c r="A174">
        <v>0.53</v>
      </c>
      <c r="B174">
        <v>0</v>
      </c>
      <c r="C174">
        <v>0.68</v>
      </c>
      <c r="D174">
        <v>1</v>
      </c>
      <c r="E174">
        <v>0.26</v>
      </c>
      <c r="F174">
        <v>0.35</v>
      </c>
      <c r="G174" s="37">
        <v>0.71</v>
      </c>
      <c r="H174">
        <v>0.76</v>
      </c>
    </row>
    <row r="175" spans="1:8" x14ac:dyDescent="0.35">
      <c r="A175">
        <v>0.41</v>
      </c>
      <c r="B175">
        <v>0.18</v>
      </c>
      <c r="C175">
        <v>0.73</v>
      </c>
      <c r="D175">
        <v>0.54</v>
      </c>
      <c r="E175">
        <v>0.32</v>
      </c>
      <c r="F175">
        <v>0.43</v>
      </c>
      <c r="G175" s="37">
        <v>0.59</v>
      </c>
      <c r="H175">
        <v>0.76</v>
      </c>
    </row>
    <row r="176" spans="1:8" x14ac:dyDescent="0.35">
      <c r="A176">
        <v>0.41</v>
      </c>
      <c r="B176">
        <v>0.28000000000000003</v>
      </c>
      <c r="C176">
        <v>0.5</v>
      </c>
      <c r="D176">
        <v>0.61</v>
      </c>
      <c r="E176">
        <v>0.33</v>
      </c>
      <c r="F176">
        <v>0.46</v>
      </c>
      <c r="G176" s="37">
        <v>0.57999999999999996</v>
      </c>
      <c r="H176">
        <v>0.56999999999999995</v>
      </c>
    </row>
    <row r="177" spans="1:8" x14ac:dyDescent="0.35">
      <c r="A177">
        <v>0.38</v>
      </c>
      <c r="B177">
        <v>0.11</v>
      </c>
      <c r="C177">
        <v>0.53</v>
      </c>
      <c r="D177">
        <v>0.36</v>
      </c>
      <c r="E177">
        <v>0.4</v>
      </c>
      <c r="F177">
        <v>0.33</v>
      </c>
      <c r="G177" s="37">
        <v>0.66</v>
      </c>
      <c r="H177">
        <v>0.86</v>
      </c>
    </row>
    <row r="178" spans="1:8" x14ac:dyDescent="0.35">
      <c r="A178">
        <v>0.37</v>
      </c>
      <c r="B178">
        <v>0.13</v>
      </c>
      <c r="C178">
        <v>0.75</v>
      </c>
      <c r="D178">
        <v>0.45</v>
      </c>
      <c r="E178">
        <v>0.13</v>
      </c>
      <c r="F178">
        <v>0.42</v>
      </c>
      <c r="G178" s="37">
        <v>0.68</v>
      </c>
      <c r="H178">
        <v>0.89</v>
      </c>
    </row>
    <row r="179" spans="1:8" x14ac:dyDescent="0.35">
      <c r="A179">
        <v>0.21</v>
      </c>
      <c r="B179">
        <v>0.5</v>
      </c>
      <c r="C179">
        <v>0.73</v>
      </c>
      <c r="D179">
        <v>1</v>
      </c>
      <c r="E179">
        <v>0.34</v>
      </c>
      <c r="F179">
        <v>0.3</v>
      </c>
      <c r="G179" s="37">
        <v>0.72</v>
      </c>
      <c r="H179">
        <v>0.56999999999999995</v>
      </c>
    </row>
    <row r="180" spans="1:8" x14ac:dyDescent="0.35">
      <c r="A180">
        <v>0.38</v>
      </c>
      <c r="B180">
        <v>0.22</v>
      </c>
      <c r="C180">
        <v>0.6</v>
      </c>
      <c r="D180">
        <v>0.22</v>
      </c>
      <c r="E180">
        <v>0.48</v>
      </c>
      <c r="F180">
        <v>0.28999999999999998</v>
      </c>
      <c r="G180" s="37">
        <v>0.79</v>
      </c>
      <c r="H180">
        <v>0.79</v>
      </c>
    </row>
    <row r="181" spans="1:8" x14ac:dyDescent="0.35">
      <c r="A181">
        <v>0.46</v>
      </c>
      <c r="B181">
        <v>0.35</v>
      </c>
      <c r="C181">
        <v>0.75</v>
      </c>
      <c r="D181">
        <v>0.5</v>
      </c>
      <c r="E181">
        <v>0.31</v>
      </c>
      <c r="F181">
        <v>0.15</v>
      </c>
      <c r="G181" s="37">
        <v>0.63</v>
      </c>
      <c r="H181">
        <v>0.31</v>
      </c>
    </row>
    <row r="182" spans="1:8" x14ac:dyDescent="0.35">
      <c r="A182">
        <v>0.28999999999999998</v>
      </c>
      <c r="B182">
        <v>0.35</v>
      </c>
      <c r="C182">
        <v>0.44</v>
      </c>
      <c r="D182">
        <v>0.49</v>
      </c>
      <c r="E182">
        <v>0.23</v>
      </c>
      <c r="F182">
        <v>0.36</v>
      </c>
      <c r="G182" s="37">
        <v>0.35</v>
      </c>
      <c r="H182">
        <v>0.6</v>
      </c>
    </row>
    <row r="183" spans="1:8" x14ac:dyDescent="0.35">
      <c r="A183">
        <v>0.28999999999999998</v>
      </c>
      <c r="B183">
        <v>0.5</v>
      </c>
      <c r="C183">
        <v>0.42</v>
      </c>
      <c r="D183">
        <v>1</v>
      </c>
      <c r="E183">
        <v>0.27</v>
      </c>
      <c r="F183">
        <v>0.21</v>
      </c>
      <c r="G183" s="37">
        <v>0.48</v>
      </c>
      <c r="H183">
        <v>0.72</v>
      </c>
    </row>
    <row r="184" spans="1:8" x14ac:dyDescent="0.35">
      <c r="A184">
        <v>0.4</v>
      </c>
      <c r="B184">
        <v>0.63</v>
      </c>
      <c r="C184">
        <v>0.54</v>
      </c>
      <c r="D184">
        <v>0.71</v>
      </c>
      <c r="E184">
        <v>0.39</v>
      </c>
      <c r="F184">
        <v>0.09</v>
      </c>
      <c r="G184" s="37">
        <v>0.79</v>
      </c>
      <c r="H184">
        <v>0.62</v>
      </c>
    </row>
    <row r="185" spans="1:8" x14ac:dyDescent="0.35">
      <c r="A185">
        <v>0.45</v>
      </c>
      <c r="B185">
        <v>0.23</v>
      </c>
      <c r="C185">
        <v>0.56000000000000005</v>
      </c>
      <c r="D185">
        <v>0.32</v>
      </c>
      <c r="E185">
        <v>0.23</v>
      </c>
      <c r="F185">
        <v>0.37</v>
      </c>
      <c r="G185" s="37">
        <v>0.82</v>
      </c>
      <c r="H185">
        <v>0.91</v>
      </c>
    </row>
    <row r="186" spans="1:8" x14ac:dyDescent="0.35">
      <c r="A186">
        <v>0.3</v>
      </c>
      <c r="B186">
        <v>0.56999999999999995</v>
      </c>
      <c r="C186">
        <v>1</v>
      </c>
      <c r="D186">
        <v>0.57999999999999996</v>
      </c>
      <c r="E186">
        <v>0.36</v>
      </c>
      <c r="F186">
        <v>0.32</v>
      </c>
      <c r="G186" s="37">
        <v>0.56999999999999995</v>
      </c>
      <c r="H186">
        <v>0.61</v>
      </c>
    </row>
    <row r="187" spans="1:8" x14ac:dyDescent="0.35">
      <c r="A187">
        <v>0.78</v>
      </c>
      <c r="B187">
        <v>0.42</v>
      </c>
      <c r="C187">
        <v>0.91</v>
      </c>
      <c r="D187">
        <v>0.68</v>
      </c>
      <c r="E187">
        <v>0.08</v>
      </c>
      <c r="F187">
        <v>0.28999999999999998</v>
      </c>
      <c r="G187" s="37">
        <v>0.76</v>
      </c>
      <c r="H187">
        <v>0.66</v>
      </c>
    </row>
    <row r="188" spans="1:8" x14ac:dyDescent="0.35">
      <c r="A188">
        <v>0.42</v>
      </c>
      <c r="B188">
        <v>0.39</v>
      </c>
      <c r="C188">
        <v>0.72</v>
      </c>
      <c r="D188">
        <v>0.63</v>
      </c>
      <c r="E188">
        <v>0.28000000000000003</v>
      </c>
      <c r="F188">
        <v>0.32</v>
      </c>
      <c r="G188" s="37">
        <v>0.69</v>
      </c>
      <c r="H188">
        <v>0.84</v>
      </c>
    </row>
    <row r="189" spans="1:8" x14ac:dyDescent="0.35">
      <c r="A189">
        <v>0.32</v>
      </c>
      <c r="B189">
        <v>0.35</v>
      </c>
      <c r="C189">
        <v>0.48</v>
      </c>
      <c r="D189">
        <v>0.49</v>
      </c>
      <c r="E189">
        <v>0.14000000000000001</v>
      </c>
      <c r="F189">
        <v>1</v>
      </c>
      <c r="G189" s="37">
        <v>0.39</v>
      </c>
      <c r="H189">
        <v>1</v>
      </c>
    </row>
    <row r="190" spans="1:8" x14ac:dyDescent="0.35">
      <c r="A190">
        <v>0.43</v>
      </c>
      <c r="B190">
        <v>0.5</v>
      </c>
      <c r="C190">
        <v>0.73</v>
      </c>
      <c r="D190">
        <v>1</v>
      </c>
      <c r="E190">
        <v>0.4</v>
      </c>
      <c r="F190">
        <v>0.7</v>
      </c>
      <c r="G190" s="37">
        <v>0.78</v>
      </c>
      <c r="H190">
        <v>0.91</v>
      </c>
    </row>
    <row r="191" spans="1:8" x14ac:dyDescent="0.35">
      <c r="A191">
        <v>0.54</v>
      </c>
      <c r="B191">
        <v>0.33</v>
      </c>
      <c r="C191">
        <v>0.72</v>
      </c>
      <c r="D191">
        <v>0.6</v>
      </c>
      <c r="E191">
        <v>0.23</v>
      </c>
      <c r="F191">
        <v>0.47</v>
      </c>
      <c r="G191" s="37">
        <v>0.76</v>
      </c>
      <c r="H191">
        <v>0.81</v>
      </c>
    </row>
    <row r="192" spans="1:8" x14ac:dyDescent="0.35">
      <c r="A192">
        <v>0.42</v>
      </c>
      <c r="B192">
        <v>0.14000000000000001</v>
      </c>
      <c r="C192">
        <v>0.54</v>
      </c>
      <c r="D192">
        <v>0.42</v>
      </c>
      <c r="E192">
        <v>0.6</v>
      </c>
      <c r="F192">
        <v>0.54</v>
      </c>
      <c r="G192" s="37">
        <v>0.79</v>
      </c>
      <c r="H192">
        <v>0.71</v>
      </c>
    </row>
    <row r="193" spans="1:8" x14ac:dyDescent="0.35">
      <c r="A193">
        <v>0.59</v>
      </c>
      <c r="B193">
        <v>0.5</v>
      </c>
      <c r="C193">
        <v>0.9</v>
      </c>
      <c r="D193">
        <v>1</v>
      </c>
      <c r="E193">
        <v>0.32</v>
      </c>
      <c r="F193">
        <v>0.47</v>
      </c>
      <c r="G193" s="37">
        <v>0.4</v>
      </c>
      <c r="H193">
        <v>0.54</v>
      </c>
    </row>
    <row r="194" spans="1:8" x14ac:dyDescent="0.35">
      <c r="A194">
        <v>0.42</v>
      </c>
      <c r="B194">
        <v>0.16</v>
      </c>
      <c r="C194">
        <v>0.71</v>
      </c>
      <c r="D194">
        <v>0.42</v>
      </c>
      <c r="E194">
        <v>0.46</v>
      </c>
      <c r="F194">
        <v>0.71</v>
      </c>
      <c r="G194" s="37">
        <v>0.56000000000000005</v>
      </c>
      <c r="H194">
        <v>0.93</v>
      </c>
    </row>
    <row r="195" spans="1:8" x14ac:dyDescent="0.35">
      <c r="A195">
        <v>0.28000000000000003</v>
      </c>
      <c r="B195">
        <v>0.49</v>
      </c>
      <c r="C195">
        <v>0.55000000000000004</v>
      </c>
      <c r="D195">
        <v>0.66</v>
      </c>
      <c r="E195">
        <v>0.28000000000000003</v>
      </c>
      <c r="F195">
        <v>0.47</v>
      </c>
      <c r="G195" s="37">
        <v>0.91</v>
      </c>
      <c r="H195">
        <v>0.88</v>
      </c>
    </row>
    <row r="196" spans="1:8" x14ac:dyDescent="0.35">
      <c r="A196">
        <v>0.4</v>
      </c>
      <c r="B196">
        <v>0.31</v>
      </c>
      <c r="C196">
        <v>0.73</v>
      </c>
      <c r="D196">
        <v>0.45</v>
      </c>
      <c r="E196">
        <v>0.26</v>
      </c>
      <c r="F196">
        <v>0.3</v>
      </c>
      <c r="G196" s="37">
        <v>0.64</v>
      </c>
      <c r="H196">
        <v>0.5</v>
      </c>
    </row>
    <row r="197" spans="1:8" x14ac:dyDescent="0.35">
      <c r="A197">
        <v>0.33</v>
      </c>
      <c r="B197">
        <v>0.23</v>
      </c>
      <c r="C197">
        <v>0.43</v>
      </c>
      <c r="D197">
        <v>0.62</v>
      </c>
      <c r="E197">
        <v>0.24</v>
      </c>
      <c r="F197">
        <v>0.36</v>
      </c>
      <c r="G197" s="37">
        <v>0.52</v>
      </c>
      <c r="H197">
        <v>0.81</v>
      </c>
    </row>
    <row r="198" spans="1:8" x14ac:dyDescent="0.35">
      <c r="A198">
        <v>0.32</v>
      </c>
      <c r="B198">
        <v>1</v>
      </c>
      <c r="C198">
        <v>0.55000000000000004</v>
      </c>
      <c r="D198">
        <v>1</v>
      </c>
      <c r="E198">
        <v>0.26</v>
      </c>
      <c r="F198">
        <v>0.16</v>
      </c>
      <c r="G198" s="37">
        <v>0.53</v>
      </c>
      <c r="H198">
        <v>0.4</v>
      </c>
    </row>
    <row r="199" spans="1:8" x14ac:dyDescent="0.35">
      <c r="A199">
        <v>0.43</v>
      </c>
      <c r="B199">
        <v>0.25</v>
      </c>
      <c r="C199">
        <v>0.54</v>
      </c>
      <c r="D199">
        <v>0.28999999999999998</v>
      </c>
      <c r="E199">
        <v>0.39</v>
      </c>
      <c r="F199">
        <v>0.35</v>
      </c>
      <c r="G199" s="37">
        <v>0.66</v>
      </c>
      <c r="H199">
        <v>0.56000000000000005</v>
      </c>
    </row>
    <row r="200" spans="1:8" x14ac:dyDescent="0.35">
      <c r="A200">
        <v>0.25</v>
      </c>
      <c r="B200">
        <v>0.56000000000000005</v>
      </c>
      <c r="C200">
        <v>0.72</v>
      </c>
      <c r="D200">
        <v>0.7</v>
      </c>
      <c r="E200">
        <v>0.18</v>
      </c>
      <c r="F200">
        <v>0.26</v>
      </c>
      <c r="G200" s="37">
        <v>0.62</v>
      </c>
      <c r="H200">
        <v>0.69</v>
      </c>
    </row>
    <row r="201" spans="1:8" x14ac:dyDescent="0.35">
      <c r="A201">
        <v>0.36</v>
      </c>
      <c r="B201">
        <v>0.33</v>
      </c>
      <c r="C201">
        <v>0.74</v>
      </c>
      <c r="D201">
        <v>0.57999999999999996</v>
      </c>
      <c r="E201">
        <v>0.4</v>
      </c>
      <c r="F201">
        <v>0.26</v>
      </c>
      <c r="G201" s="37">
        <v>0.51</v>
      </c>
      <c r="H201">
        <v>0.59</v>
      </c>
    </row>
    <row r="202" spans="1:8" x14ac:dyDescent="0.35">
      <c r="A202">
        <v>0.24</v>
      </c>
      <c r="B202">
        <v>0.5</v>
      </c>
      <c r="C202">
        <v>0.26</v>
      </c>
      <c r="D202">
        <v>1</v>
      </c>
      <c r="E202">
        <v>0.36</v>
      </c>
      <c r="F202">
        <v>0.24</v>
      </c>
      <c r="G202" s="37">
        <v>0.66</v>
      </c>
      <c r="H202">
        <v>0.89</v>
      </c>
    </row>
    <row r="203" spans="1:8" x14ac:dyDescent="0.35">
      <c r="A203">
        <v>0.38</v>
      </c>
      <c r="B203">
        <v>0.67</v>
      </c>
      <c r="C203">
        <v>0.52</v>
      </c>
      <c r="D203">
        <v>0.68</v>
      </c>
      <c r="E203">
        <v>0.25</v>
      </c>
      <c r="F203">
        <v>0.31</v>
      </c>
      <c r="G203" s="37">
        <v>0.64</v>
      </c>
      <c r="H203">
        <v>0.7</v>
      </c>
    </row>
    <row r="204" spans="1:8" x14ac:dyDescent="0.35">
      <c r="A204">
        <v>0.26</v>
      </c>
      <c r="B204">
        <v>0.28999999999999998</v>
      </c>
      <c r="C204">
        <v>0.47</v>
      </c>
      <c r="D204">
        <v>0.34</v>
      </c>
      <c r="E204">
        <v>0.25</v>
      </c>
      <c r="F204">
        <v>0.41</v>
      </c>
      <c r="G204" s="37">
        <v>0.28000000000000003</v>
      </c>
      <c r="H204">
        <v>0.82</v>
      </c>
    </row>
    <row r="205" spans="1:8" x14ac:dyDescent="0.35">
      <c r="A205">
        <v>0.13</v>
      </c>
      <c r="B205">
        <v>0.51</v>
      </c>
      <c r="C205">
        <v>0.46</v>
      </c>
      <c r="D205">
        <v>0.61</v>
      </c>
      <c r="E205">
        <v>0.37</v>
      </c>
      <c r="F205">
        <v>0.34</v>
      </c>
      <c r="G205" s="37">
        <v>0.54</v>
      </c>
      <c r="H205">
        <v>0.76</v>
      </c>
    </row>
    <row r="206" spans="1:8" x14ac:dyDescent="0.35">
      <c r="A206">
        <v>0.4</v>
      </c>
      <c r="B206">
        <v>0.42</v>
      </c>
      <c r="C206">
        <v>0.6</v>
      </c>
      <c r="D206">
        <v>0.71</v>
      </c>
      <c r="E206">
        <v>0.4</v>
      </c>
      <c r="F206">
        <v>1</v>
      </c>
      <c r="G206" s="37">
        <v>0.75</v>
      </c>
      <c r="H206">
        <v>1</v>
      </c>
    </row>
    <row r="207" spans="1:8" x14ac:dyDescent="0.35">
      <c r="A207">
        <v>0.54</v>
      </c>
      <c r="B207">
        <v>0.52</v>
      </c>
      <c r="C207">
        <v>0.69</v>
      </c>
      <c r="D207">
        <v>0.71</v>
      </c>
      <c r="E207">
        <v>0.33</v>
      </c>
      <c r="F207">
        <v>1</v>
      </c>
      <c r="G207" s="37">
        <v>0.77</v>
      </c>
      <c r="H207">
        <v>1</v>
      </c>
    </row>
    <row r="208" spans="1:8" x14ac:dyDescent="0.35">
      <c r="A208">
        <v>0.4</v>
      </c>
      <c r="B208">
        <v>0.4</v>
      </c>
      <c r="C208">
        <v>0.75</v>
      </c>
      <c r="D208">
        <v>0.63</v>
      </c>
      <c r="E208">
        <v>0.39</v>
      </c>
      <c r="F208">
        <v>0.46</v>
      </c>
      <c r="G208" s="37">
        <v>0.56000000000000005</v>
      </c>
      <c r="H208">
        <v>0.88</v>
      </c>
    </row>
    <row r="209" spans="1:8" x14ac:dyDescent="0.35">
      <c r="A209">
        <v>0.28999999999999998</v>
      </c>
      <c r="B209">
        <v>0.5</v>
      </c>
      <c r="C209">
        <v>0.37</v>
      </c>
      <c r="D209">
        <v>1</v>
      </c>
      <c r="E209">
        <v>0.11</v>
      </c>
      <c r="F209">
        <v>0.56999999999999995</v>
      </c>
      <c r="G209" s="37">
        <v>0.75</v>
      </c>
      <c r="H209">
        <v>0.75</v>
      </c>
    </row>
    <row r="210" spans="1:8" x14ac:dyDescent="0.35">
      <c r="A210">
        <v>0.32</v>
      </c>
      <c r="B210">
        <v>0.33</v>
      </c>
      <c r="C210">
        <v>0.49</v>
      </c>
      <c r="D210">
        <v>0.51</v>
      </c>
      <c r="E210">
        <v>0.28999999999999998</v>
      </c>
      <c r="F210">
        <v>0.51</v>
      </c>
      <c r="G210" s="37">
        <v>0.62</v>
      </c>
      <c r="H210">
        <v>0.57999999999999996</v>
      </c>
    </row>
    <row r="211" spans="1:8" x14ac:dyDescent="0.35">
      <c r="A211">
        <v>0.39</v>
      </c>
      <c r="B211">
        <v>0.28999999999999998</v>
      </c>
      <c r="C211">
        <v>0.75</v>
      </c>
      <c r="D211">
        <v>0.51</v>
      </c>
      <c r="E211">
        <v>0.28000000000000003</v>
      </c>
      <c r="F211">
        <v>0.56000000000000005</v>
      </c>
      <c r="G211" s="37">
        <v>0.45</v>
      </c>
      <c r="H211">
        <v>0.86</v>
      </c>
    </row>
    <row r="212" spans="1:8" x14ac:dyDescent="0.35">
      <c r="A212">
        <v>0.24</v>
      </c>
      <c r="B212">
        <v>0.5</v>
      </c>
      <c r="C212">
        <v>0.72</v>
      </c>
      <c r="D212">
        <v>1</v>
      </c>
      <c r="E212">
        <v>0.46</v>
      </c>
      <c r="F212">
        <v>0.43</v>
      </c>
      <c r="G212" s="37">
        <v>0.78</v>
      </c>
      <c r="H212">
        <v>0.9</v>
      </c>
    </row>
    <row r="213" spans="1:8" x14ac:dyDescent="0.35">
      <c r="A213">
        <v>0.27</v>
      </c>
      <c r="B213">
        <v>0.26</v>
      </c>
      <c r="C213">
        <v>0.34</v>
      </c>
      <c r="D213">
        <v>0.64</v>
      </c>
      <c r="E213">
        <v>0.27</v>
      </c>
      <c r="F213">
        <v>0.33</v>
      </c>
      <c r="G213" s="37">
        <v>0.68</v>
      </c>
      <c r="H213">
        <v>0.57999999999999996</v>
      </c>
    </row>
    <row r="214" spans="1:8" x14ac:dyDescent="0.35">
      <c r="A214">
        <v>0.28000000000000003</v>
      </c>
      <c r="B214">
        <v>0.48</v>
      </c>
      <c r="C214">
        <v>0.66</v>
      </c>
      <c r="D214">
        <v>0.66</v>
      </c>
      <c r="E214">
        <v>0.63</v>
      </c>
      <c r="F214">
        <v>0.28999999999999998</v>
      </c>
      <c r="G214" s="37">
        <v>0.8</v>
      </c>
      <c r="H214">
        <v>0.8</v>
      </c>
    </row>
    <row r="215" spans="1:8" x14ac:dyDescent="0.35">
      <c r="A215">
        <v>0.26</v>
      </c>
      <c r="B215">
        <v>0.44</v>
      </c>
      <c r="C215">
        <v>0.39</v>
      </c>
      <c r="D215">
        <v>0.6</v>
      </c>
      <c r="E215">
        <v>0.34</v>
      </c>
      <c r="F215">
        <v>0.34</v>
      </c>
      <c r="G215" s="37">
        <v>0.47</v>
      </c>
      <c r="H215">
        <v>0.44</v>
      </c>
    </row>
    <row r="216" spans="1:8" x14ac:dyDescent="0.35">
      <c r="A216">
        <v>0.31</v>
      </c>
      <c r="B216">
        <v>0.27</v>
      </c>
      <c r="C216">
        <v>0.43</v>
      </c>
      <c r="D216">
        <v>0.49</v>
      </c>
      <c r="E216">
        <v>0.42</v>
      </c>
      <c r="F216">
        <v>0.36</v>
      </c>
      <c r="G216" s="37">
        <v>0.51</v>
      </c>
      <c r="H216">
        <v>0.59</v>
      </c>
    </row>
    <row r="217" spans="1:8" x14ac:dyDescent="0.35">
      <c r="A217">
        <v>0.3</v>
      </c>
      <c r="B217">
        <v>1</v>
      </c>
      <c r="C217">
        <v>0.49</v>
      </c>
      <c r="D217">
        <v>1</v>
      </c>
      <c r="E217">
        <v>0.37</v>
      </c>
      <c r="F217">
        <v>0.3</v>
      </c>
      <c r="G217" s="37">
        <v>0.88</v>
      </c>
      <c r="H217">
        <v>0.56999999999999995</v>
      </c>
    </row>
    <row r="218" spans="1:8" x14ac:dyDescent="0.35">
      <c r="A218">
        <v>0.41</v>
      </c>
      <c r="B218">
        <v>0.37</v>
      </c>
      <c r="C218">
        <v>0.49</v>
      </c>
      <c r="D218">
        <v>0.38</v>
      </c>
      <c r="E218">
        <v>0.21</v>
      </c>
      <c r="F218">
        <v>0.41</v>
      </c>
      <c r="G218" s="37">
        <v>0.55000000000000004</v>
      </c>
      <c r="H218">
        <v>0.69</v>
      </c>
    </row>
    <row r="219" spans="1:8" x14ac:dyDescent="0.35">
      <c r="A219">
        <v>0.28000000000000003</v>
      </c>
      <c r="B219">
        <v>0.08</v>
      </c>
      <c r="C219">
        <v>0.7</v>
      </c>
      <c r="D219">
        <v>0.64</v>
      </c>
      <c r="E219">
        <v>0.16</v>
      </c>
      <c r="F219">
        <v>0.15</v>
      </c>
      <c r="G219" s="37">
        <v>0.38</v>
      </c>
      <c r="H219">
        <v>0.77</v>
      </c>
    </row>
    <row r="220" spans="1:8" x14ac:dyDescent="0.35">
      <c r="A220">
        <v>0.76</v>
      </c>
      <c r="B220">
        <v>0.47</v>
      </c>
      <c r="C220">
        <v>0.86</v>
      </c>
      <c r="D220">
        <v>0.55000000000000004</v>
      </c>
      <c r="E220">
        <v>0.33</v>
      </c>
      <c r="F220">
        <v>0.43</v>
      </c>
      <c r="G220" s="37">
        <v>0.54</v>
      </c>
      <c r="H220">
        <v>0.81</v>
      </c>
    </row>
    <row r="221" spans="1:8" x14ac:dyDescent="0.35">
      <c r="A221">
        <v>0.45</v>
      </c>
      <c r="B221">
        <v>1</v>
      </c>
      <c r="C221">
        <v>0.73</v>
      </c>
      <c r="D221">
        <v>1</v>
      </c>
      <c r="E221">
        <v>0.36</v>
      </c>
      <c r="F221">
        <v>0.41</v>
      </c>
      <c r="G221" s="37">
        <v>0.74</v>
      </c>
      <c r="H221">
        <v>0.66</v>
      </c>
    </row>
    <row r="222" spans="1:8" x14ac:dyDescent="0.35">
      <c r="A222">
        <v>0.23</v>
      </c>
      <c r="B222">
        <v>1</v>
      </c>
      <c r="C222">
        <v>0.45</v>
      </c>
      <c r="D222">
        <v>1</v>
      </c>
      <c r="E222">
        <v>0.36</v>
      </c>
      <c r="F222">
        <v>0.41</v>
      </c>
      <c r="G222" s="37">
        <v>0.69</v>
      </c>
      <c r="H222">
        <v>0.76</v>
      </c>
    </row>
    <row r="223" spans="1:8" x14ac:dyDescent="0.35">
      <c r="A223">
        <v>0.41</v>
      </c>
      <c r="B223">
        <v>0.32</v>
      </c>
      <c r="C223">
        <v>0.7</v>
      </c>
      <c r="D223">
        <v>0.4</v>
      </c>
      <c r="E223">
        <v>0.38</v>
      </c>
      <c r="F223">
        <v>0.71</v>
      </c>
      <c r="G223" s="37">
        <v>0.7</v>
      </c>
      <c r="H223">
        <v>0.86</v>
      </c>
    </row>
    <row r="224" spans="1:8" x14ac:dyDescent="0.35">
      <c r="A224">
        <v>0.51</v>
      </c>
      <c r="B224">
        <v>0.61</v>
      </c>
      <c r="C224">
        <v>0.61</v>
      </c>
      <c r="D224">
        <v>0.7</v>
      </c>
      <c r="E224">
        <v>0.55000000000000004</v>
      </c>
      <c r="F224">
        <v>0.43</v>
      </c>
      <c r="G224" s="37">
        <v>0.87</v>
      </c>
      <c r="H224">
        <v>0.65</v>
      </c>
    </row>
    <row r="225" spans="1:8" x14ac:dyDescent="0.35">
      <c r="A225">
        <v>0.36</v>
      </c>
      <c r="B225">
        <v>0.59</v>
      </c>
      <c r="C225">
        <v>0.61</v>
      </c>
      <c r="D225">
        <v>0.8</v>
      </c>
      <c r="E225">
        <v>0.35</v>
      </c>
      <c r="F225">
        <v>0.67</v>
      </c>
      <c r="G225" s="37">
        <v>0.62</v>
      </c>
      <c r="H225">
        <v>1</v>
      </c>
    </row>
    <row r="226" spans="1:8" x14ac:dyDescent="0.35">
      <c r="A226">
        <v>0.59</v>
      </c>
      <c r="B226">
        <v>0.51</v>
      </c>
      <c r="C226">
        <v>0.84</v>
      </c>
      <c r="D226">
        <v>0.72</v>
      </c>
      <c r="E226">
        <v>0.39</v>
      </c>
      <c r="F226">
        <v>0.98</v>
      </c>
      <c r="G226" s="37">
        <v>0.51</v>
      </c>
      <c r="H226">
        <v>1</v>
      </c>
    </row>
    <row r="227" spans="1:8" x14ac:dyDescent="0.35">
      <c r="A227">
        <v>0.35</v>
      </c>
      <c r="B227">
        <v>0.54</v>
      </c>
      <c r="C227">
        <v>0.62</v>
      </c>
      <c r="D227">
        <v>0.69</v>
      </c>
      <c r="E227">
        <v>0.36</v>
      </c>
      <c r="F227">
        <v>0.66</v>
      </c>
      <c r="G227" s="37">
        <v>0.6</v>
      </c>
      <c r="H227">
        <v>0.91</v>
      </c>
    </row>
    <row r="228" spans="1:8" x14ac:dyDescent="0.35">
      <c r="A228">
        <v>0.22</v>
      </c>
      <c r="B228">
        <v>1</v>
      </c>
      <c r="C228">
        <v>0.39</v>
      </c>
      <c r="D228">
        <v>1</v>
      </c>
      <c r="E228">
        <v>0.35</v>
      </c>
      <c r="F228">
        <v>0.56000000000000005</v>
      </c>
      <c r="G228" s="37">
        <v>0.66</v>
      </c>
      <c r="H228">
        <v>0.65</v>
      </c>
    </row>
    <row r="229" spans="1:8" x14ac:dyDescent="0.35">
      <c r="A229">
        <v>0.39</v>
      </c>
      <c r="B229">
        <v>0.36</v>
      </c>
      <c r="C229">
        <v>0.72</v>
      </c>
      <c r="D229">
        <v>0.56000000000000005</v>
      </c>
      <c r="E229">
        <v>0.27</v>
      </c>
      <c r="F229">
        <v>0.7</v>
      </c>
      <c r="G229" s="37">
        <v>0.7</v>
      </c>
      <c r="H229">
        <v>1</v>
      </c>
    </row>
    <row r="230" spans="1:8" x14ac:dyDescent="0.35">
      <c r="A230">
        <v>0.16</v>
      </c>
      <c r="B230">
        <v>0.26</v>
      </c>
      <c r="C230">
        <v>0.37</v>
      </c>
      <c r="D230">
        <v>0.52</v>
      </c>
      <c r="E230">
        <v>0.4</v>
      </c>
      <c r="F230">
        <v>0.81</v>
      </c>
      <c r="G230" s="37">
        <v>0.56000000000000005</v>
      </c>
      <c r="H230">
        <v>0.93</v>
      </c>
    </row>
    <row r="231" spans="1:8" x14ac:dyDescent="0.35">
      <c r="A231">
        <v>0.37</v>
      </c>
      <c r="B231">
        <v>0</v>
      </c>
      <c r="C231">
        <v>0.41</v>
      </c>
      <c r="D231">
        <v>1</v>
      </c>
      <c r="E231">
        <v>0.1</v>
      </c>
      <c r="F231">
        <v>0.76</v>
      </c>
      <c r="G231" s="37">
        <v>0.81</v>
      </c>
      <c r="H231">
        <v>0.85</v>
      </c>
    </row>
    <row r="232" spans="1:8" x14ac:dyDescent="0.35">
      <c r="A232">
        <v>0.56999999999999995</v>
      </c>
      <c r="B232">
        <v>0.17</v>
      </c>
      <c r="C232">
        <v>0.65</v>
      </c>
      <c r="D232">
        <v>0.55000000000000004</v>
      </c>
      <c r="E232">
        <v>0.32</v>
      </c>
      <c r="F232">
        <v>0.71</v>
      </c>
      <c r="G232" s="37">
        <v>0.62</v>
      </c>
      <c r="H232">
        <v>0.9</v>
      </c>
    </row>
    <row r="233" spans="1:8" x14ac:dyDescent="0.35">
      <c r="A233">
        <v>0.35</v>
      </c>
      <c r="B233">
        <v>0.41</v>
      </c>
      <c r="C233">
        <v>0.78</v>
      </c>
      <c r="D233">
        <v>0.48</v>
      </c>
      <c r="E233">
        <v>0.54</v>
      </c>
      <c r="F233">
        <v>0.61</v>
      </c>
      <c r="G233" s="37">
        <v>0.61</v>
      </c>
      <c r="H233">
        <v>0.76</v>
      </c>
    </row>
    <row r="234" spans="1:8" x14ac:dyDescent="0.35">
      <c r="A234">
        <v>0.47</v>
      </c>
      <c r="B234">
        <v>0.66</v>
      </c>
      <c r="C234">
        <v>0.75</v>
      </c>
      <c r="D234">
        <v>0.74</v>
      </c>
      <c r="E234">
        <v>0.41</v>
      </c>
      <c r="F234">
        <v>0.3</v>
      </c>
      <c r="G234" s="37">
        <v>0.77</v>
      </c>
      <c r="H234">
        <v>0.7</v>
      </c>
    </row>
    <row r="235" spans="1:8" x14ac:dyDescent="0.35">
      <c r="A235">
        <v>0.21</v>
      </c>
      <c r="B235">
        <v>0.42</v>
      </c>
      <c r="C235">
        <v>0.33</v>
      </c>
      <c r="D235">
        <v>0.54</v>
      </c>
      <c r="E235">
        <v>0.28000000000000003</v>
      </c>
      <c r="F235">
        <v>0.41</v>
      </c>
      <c r="G235" s="37">
        <v>0.75</v>
      </c>
      <c r="H235">
        <v>1</v>
      </c>
    </row>
    <row r="236" spans="1:8" x14ac:dyDescent="0.35">
      <c r="A236">
        <v>0.38</v>
      </c>
      <c r="B236">
        <v>1</v>
      </c>
      <c r="C236">
        <v>0.57999999999999996</v>
      </c>
      <c r="D236">
        <v>1</v>
      </c>
      <c r="E236">
        <v>0.71</v>
      </c>
      <c r="F236">
        <v>0.65</v>
      </c>
      <c r="G236" s="37">
        <v>0.85</v>
      </c>
      <c r="H236">
        <v>0.99</v>
      </c>
    </row>
    <row r="237" spans="1:8" x14ac:dyDescent="0.35">
      <c r="A237">
        <v>0.21</v>
      </c>
      <c r="B237">
        <v>0.68</v>
      </c>
      <c r="C237">
        <v>0.33</v>
      </c>
      <c r="D237">
        <v>0.75</v>
      </c>
      <c r="E237">
        <v>0.41</v>
      </c>
      <c r="F237">
        <v>0.46</v>
      </c>
      <c r="G237" s="37">
        <v>0.52</v>
      </c>
      <c r="H237">
        <v>0.71</v>
      </c>
    </row>
    <row r="238" spans="1:8" x14ac:dyDescent="0.35">
      <c r="A238">
        <v>0.13</v>
      </c>
      <c r="B238">
        <v>0.7</v>
      </c>
      <c r="C238">
        <v>0.32</v>
      </c>
      <c r="D238">
        <v>0.8</v>
      </c>
      <c r="E238">
        <v>0.41</v>
      </c>
      <c r="F238">
        <v>0.4</v>
      </c>
      <c r="G238" s="37">
        <v>0.51</v>
      </c>
      <c r="H238">
        <v>0.52</v>
      </c>
    </row>
    <row r="239" spans="1:8" x14ac:dyDescent="0.35">
      <c r="A239">
        <v>0.35</v>
      </c>
      <c r="B239">
        <v>0.43</v>
      </c>
      <c r="C239">
        <v>0.5</v>
      </c>
      <c r="D239">
        <v>0.57999999999999996</v>
      </c>
      <c r="E239">
        <v>0.38</v>
      </c>
      <c r="F239">
        <v>0.6</v>
      </c>
      <c r="G239" s="37">
        <v>0.76</v>
      </c>
      <c r="H239">
        <v>0.8</v>
      </c>
    </row>
    <row r="240" spans="1:8" x14ac:dyDescent="0.35">
      <c r="A240">
        <v>0.49</v>
      </c>
      <c r="B240">
        <v>1</v>
      </c>
      <c r="C240">
        <v>0.6</v>
      </c>
      <c r="D240">
        <v>1</v>
      </c>
      <c r="E240">
        <v>0.14000000000000001</v>
      </c>
      <c r="F240">
        <v>0.69</v>
      </c>
      <c r="G240" s="37">
        <v>0.56999999999999995</v>
      </c>
      <c r="H240">
        <v>0.86</v>
      </c>
    </row>
    <row r="241" spans="1:8" x14ac:dyDescent="0.35">
      <c r="A241">
        <v>0.38</v>
      </c>
      <c r="B241">
        <v>1</v>
      </c>
      <c r="C241">
        <v>0.6</v>
      </c>
      <c r="D241">
        <v>1</v>
      </c>
      <c r="E241">
        <v>0.3</v>
      </c>
      <c r="F241">
        <v>0.62</v>
      </c>
      <c r="G241" s="37">
        <v>0.54</v>
      </c>
      <c r="H241">
        <v>0.84</v>
      </c>
    </row>
    <row r="242" spans="1:8" x14ac:dyDescent="0.35">
      <c r="A242">
        <v>0.34</v>
      </c>
      <c r="B242">
        <v>0.34</v>
      </c>
      <c r="C242">
        <v>0.39</v>
      </c>
      <c r="D242">
        <v>0.38</v>
      </c>
      <c r="E242">
        <v>0.38</v>
      </c>
      <c r="F242">
        <v>0.65</v>
      </c>
      <c r="G242" s="37">
        <v>0.56999999999999995</v>
      </c>
      <c r="H242">
        <v>0.91</v>
      </c>
    </row>
    <row r="243" spans="1:8" x14ac:dyDescent="0.35">
      <c r="A243">
        <v>0.39</v>
      </c>
      <c r="B243">
        <v>0.57999999999999996</v>
      </c>
      <c r="C243">
        <v>0.61</v>
      </c>
      <c r="D243">
        <v>0.73</v>
      </c>
      <c r="E243">
        <v>0.45</v>
      </c>
      <c r="F243">
        <v>0.53</v>
      </c>
      <c r="G243" s="37">
        <v>0.64</v>
      </c>
      <c r="H243">
        <v>0.7</v>
      </c>
    </row>
    <row r="244" spans="1:8" x14ac:dyDescent="0.35">
      <c r="A244">
        <v>0.3</v>
      </c>
      <c r="B244">
        <v>0.61</v>
      </c>
      <c r="C244">
        <v>0.75</v>
      </c>
      <c r="D244">
        <v>0.85</v>
      </c>
      <c r="E244">
        <v>0.55000000000000004</v>
      </c>
      <c r="F244">
        <v>0.3</v>
      </c>
      <c r="G244" s="37">
        <v>0.93</v>
      </c>
      <c r="H244">
        <v>0.65</v>
      </c>
    </row>
    <row r="245" spans="1:8" x14ac:dyDescent="0.35">
      <c r="A245">
        <v>0.28000000000000003</v>
      </c>
      <c r="B245">
        <v>0.69</v>
      </c>
      <c r="C245">
        <v>0.89</v>
      </c>
      <c r="D245">
        <v>0.81</v>
      </c>
      <c r="E245">
        <v>0.52</v>
      </c>
      <c r="F245">
        <v>0.31</v>
      </c>
      <c r="G245" s="37">
        <v>0.7</v>
      </c>
      <c r="H245">
        <v>1</v>
      </c>
    </row>
    <row r="246" spans="1:8" x14ac:dyDescent="0.35">
      <c r="A246">
        <v>0.19</v>
      </c>
      <c r="B246">
        <v>0.61</v>
      </c>
      <c r="C246">
        <v>0.42</v>
      </c>
      <c r="D246">
        <v>0.76</v>
      </c>
      <c r="E246">
        <v>0.77</v>
      </c>
      <c r="F246">
        <v>0.5</v>
      </c>
      <c r="G246" s="37">
        <v>0.92</v>
      </c>
      <c r="H246">
        <v>0.89</v>
      </c>
    </row>
    <row r="247" spans="1:8" x14ac:dyDescent="0.35">
      <c r="A247">
        <v>0.26</v>
      </c>
      <c r="B247">
        <v>1</v>
      </c>
      <c r="C247">
        <v>0.51</v>
      </c>
      <c r="D247">
        <v>1</v>
      </c>
      <c r="E247">
        <v>0.4</v>
      </c>
      <c r="F247">
        <v>0.38</v>
      </c>
      <c r="G247" s="37">
        <v>0.65</v>
      </c>
      <c r="H247">
        <v>0.54</v>
      </c>
    </row>
    <row r="248" spans="1:8" x14ac:dyDescent="0.35">
      <c r="A248">
        <v>0.27</v>
      </c>
      <c r="B248">
        <v>0.36</v>
      </c>
      <c r="C248">
        <v>0.3</v>
      </c>
      <c r="D248">
        <v>0.57999999999999996</v>
      </c>
      <c r="E248">
        <v>0.41</v>
      </c>
      <c r="F248">
        <v>0.36</v>
      </c>
      <c r="G248" s="37">
        <v>0.56000000000000005</v>
      </c>
      <c r="H248">
        <v>0.46</v>
      </c>
    </row>
    <row r="249" spans="1:8" x14ac:dyDescent="0.35">
      <c r="A249">
        <v>0.38</v>
      </c>
      <c r="B249">
        <v>0.61</v>
      </c>
      <c r="C249">
        <v>0.46</v>
      </c>
      <c r="D249">
        <v>0.66</v>
      </c>
      <c r="E249">
        <v>0.39</v>
      </c>
      <c r="F249">
        <v>0.45</v>
      </c>
      <c r="G249" s="37">
        <v>0.64</v>
      </c>
      <c r="H249">
        <v>0.82</v>
      </c>
    </row>
    <row r="250" spans="1:8" x14ac:dyDescent="0.35">
      <c r="A250">
        <v>0.3</v>
      </c>
      <c r="B250">
        <v>0.64</v>
      </c>
      <c r="C250">
        <v>0.46</v>
      </c>
      <c r="D250">
        <v>1</v>
      </c>
      <c r="E250">
        <v>0.52</v>
      </c>
      <c r="F250">
        <v>0.67</v>
      </c>
      <c r="G250" s="37">
        <v>0.72</v>
      </c>
      <c r="H250">
        <v>0.83</v>
      </c>
    </row>
    <row r="251" spans="1:8" x14ac:dyDescent="0.35">
      <c r="A251">
        <v>0.37</v>
      </c>
      <c r="B251">
        <v>0.51</v>
      </c>
      <c r="C251">
        <v>0.42</v>
      </c>
      <c r="D251">
        <v>0.57999999999999996</v>
      </c>
      <c r="E251">
        <v>0.42</v>
      </c>
      <c r="F251">
        <v>0.5</v>
      </c>
      <c r="G251" s="37">
        <v>0.74</v>
      </c>
      <c r="H251">
        <v>0.76</v>
      </c>
    </row>
    <row r="252" spans="1:8" x14ac:dyDescent="0.35">
      <c r="A252">
        <v>0.21</v>
      </c>
      <c r="B252">
        <v>0.66</v>
      </c>
      <c r="C252">
        <v>0.6</v>
      </c>
      <c r="D252">
        <v>0.91</v>
      </c>
      <c r="E252">
        <v>0.36</v>
      </c>
      <c r="F252">
        <v>0.47</v>
      </c>
      <c r="G252" s="37">
        <v>0.56999999999999995</v>
      </c>
      <c r="H252">
        <v>0.91</v>
      </c>
    </row>
    <row r="253" spans="1:8" x14ac:dyDescent="0.35">
      <c r="A253">
        <v>0.65</v>
      </c>
      <c r="B253">
        <v>0.47</v>
      </c>
      <c r="C253">
        <v>0.84</v>
      </c>
      <c r="D253">
        <v>0.87</v>
      </c>
      <c r="E253">
        <v>0.11</v>
      </c>
      <c r="F253">
        <v>0.5</v>
      </c>
      <c r="G253" s="37">
        <v>0.79</v>
      </c>
      <c r="H253">
        <v>0.66</v>
      </c>
    </row>
    <row r="254" spans="1:8" x14ac:dyDescent="0.35">
      <c r="A254">
        <v>0.3</v>
      </c>
      <c r="B254">
        <v>0.56000000000000005</v>
      </c>
      <c r="C254">
        <v>0.69</v>
      </c>
      <c r="D254">
        <v>0.51</v>
      </c>
      <c r="E254">
        <v>0.33</v>
      </c>
      <c r="F254">
        <v>0.26</v>
      </c>
      <c r="G254" s="37">
        <v>0.55000000000000004</v>
      </c>
      <c r="H254">
        <v>0.64</v>
      </c>
    </row>
    <row r="255" spans="1:8" x14ac:dyDescent="0.35">
      <c r="A255">
        <v>0.16</v>
      </c>
      <c r="B255">
        <v>0.53</v>
      </c>
      <c r="C255">
        <v>0.44</v>
      </c>
      <c r="D255">
        <v>0.93</v>
      </c>
      <c r="E255">
        <v>0.62</v>
      </c>
      <c r="F255">
        <v>0.23</v>
      </c>
      <c r="G255" s="37">
        <v>0.66</v>
      </c>
      <c r="H255">
        <v>0.91</v>
      </c>
    </row>
    <row r="256" spans="1:8" x14ac:dyDescent="0.35">
      <c r="A256">
        <v>0.33</v>
      </c>
      <c r="B256">
        <v>0.53</v>
      </c>
      <c r="C256">
        <v>0.44</v>
      </c>
      <c r="D256">
        <v>0.6</v>
      </c>
      <c r="E256">
        <v>0.62</v>
      </c>
      <c r="F256">
        <v>0.36</v>
      </c>
      <c r="G256" s="37">
        <v>0.79</v>
      </c>
      <c r="H256">
        <v>0.95</v>
      </c>
    </row>
    <row r="257" spans="1:8" x14ac:dyDescent="0.35">
      <c r="A257">
        <v>0.31</v>
      </c>
      <c r="B257">
        <v>0.65</v>
      </c>
      <c r="C257">
        <v>0.48</v>
      </c>
      <c r="D257">
        <v>0.86</v>
      </c>
      <c r="E257">
        <v>0.35</v>
      </c>
      <c r="F257">
        <v>0.36</v>
      </c>
      <c r="G257" s="37">
        <v>0.74</v>
      </c>
      <c r="H257">
        <v>0.52</v>
      </c>
    </row>
    <row r="258" spans="1:8" x14ac:dyDescent="0.35">
      <c r="A258">
        <v>0.47</v>
      </c>
      <c r="B258">
        <v>0.33</v>
      </c>
      <c r="C258">
        <v>0.73</v>
      </c>
      <c r="D258">
        <v>0.72</v>
      </c>
      <c r="E258">
        <v>0.67</v>
      </c>
      <c r="F258">
        <v>0.32</v>
      </c>
      <c r="G258" s="37">
        <v>0.79</v>
      </c>
      <c r="H258">
        <v>0.43</v>
      </c>
    </row>
    <row r="259" spans="1:8" x14ac:dyDescent="0.35">
      <c r="A259">
        <v>0.5</v>
      </c>
      <c r="B259">
        <v>0.46</v>
      </c>
      <c r="C259">
        <v>0.89</v>
      </c>
      <c r="D259">
        <v>0.83</v>
      </c>
      <c r="E259">
        <v>0.43</v>
      </c>
      <c r="F259">
        <v>0.5</v>
      </c>
      <c r="G259" s="37">
        <v>0.51</v>
      </c>
      <c r="H259">
        <v>0.76</v>
      </c>
    </row>
    <row r="260" spans="1:8" x14ac:dyDescent="0.35">
      <c r="A260">
        <v>0.26</v>
      </c>
      <c r="B260">
        <v>0.52</v>
      </c>
      <c r="C260">
        <v>0.52</v>
      </c>
      <c r="D260">
        <v>0.81</v>
      </c>
      <c r="E260">
        <v>0.4</v>
      </c>
      <c r="F260">
        <v>0.74</v>
      </c>
      <c r="G260" s="37">
        <v>0.48</v>
      </c>
      <c r="H260">
        <v>0.87</v>
      </c>
    </row>
    <row r="261" spans="1:8" x14ac:dyDescent="0.35">
      <c r="A261">
        <v>0.2</v>
      </c>
      <c r="B261">
        <v>0.5</v>
      </c>
      <c r="C261">
        <v>0.42</v>
      </c>
      <c r="D261">
        <v>0</v>
      </c>
      <c r="E261">
        <v>0.35</v>
      </c>
      <c r="F261">
        <v>0.48</v>
      </c>
      <c r="G261" s="37">
        <v>0.83</v>
      </c>
      <c r="H261">
        <v>0.73</v>
      </c>
    </row>
    <row r="262" spans="1:8" x14ac:dyDescent="0.35">
      <c r="A262">
        <v>0.28000000000000003</v>
      </c>
      <c r="B262">
        <v>0.51</v>
      </c>
      <c r="C262">
        <v>0.61</v>
      </c>
      <c r="D262">
        <v>0.76</v>
      </c>
      <c r="E262">
        <v>0.2</v>
      </c>
      <c r="F262">
        <v>0.44</v>
      </c>
      <c r="G262" s="37">
        <v>0.56999999999999995</v>
      </c>
      <c r="H262">
        <v>0.82</v>
      </c>
    </row>
    <row r="263" spans="1:8" x14ac:dyDescent="0.35">
      <c r="A263">
        <v>0.28000000000000003</v>
      </c>
      <c r="B263">
        <v>0.3</v>
      </c>
      <c r="C263">
        <v>0.4</v>
      </c>
      <c r="D263">
        <v>0.71</v>
      </c>
      <c r="E263">
        <v>0.33</v>
      </c>
      <c r="F263">
        <v>0.42</v>
      </c>
      <c r="G263" s="37">
        <v>0.43</v>
      </c>
      <c r="H263">
        <v>0.65</v>
      </c>
    </row>
    <row r="264" spans="1:8" x14ac:dyDescent="0.35">
      <c r="A264">
        <v>0.53</v>
      </c>
      <c r="B264">
        <v>0.41</v>
      </c>
      <c r="C264">
        <v>0.54</v>
      </c>
      <c r="D264">
        <v>0.81</v>
      </c>
      <c r="E264">
        <v>0.28000000000000003</v>
      </c>
      <c r="F264">
        <v>0.21</v>
      </c>
      <c r="G264" s="37">
        <v>0.51</v>
      </c>
      <c r="H264">
        <v>0.55000000000000004</v>
      </c>
    </row>
    <row r="265" spans="1:8" x14ac:dyDescent="0.35">
      <c r="A265">
        <v>0.45</v>
      </c>
      <c r="B265">
        <v>0.52</v>
      </c>
      <c r="C265">
        <v>0.47</v>
      </c>
      <c r="D265">
        <v>0.88</v>
      </c>
      <c r="E265">
        <v>0.42</v>
      </c>
      <c r="F265">
        <v>0.26</v>
      </c>
      <c r="G265" s="37">
        <v>0.6</v>
      </c>
      <c r="H265">
        <v>1</v>
      </c>
    </row>
    <row r="266" spans="1:8" x14ac:dyDescent="0.35">
      <c r="A266">
        <v>0.43</v>
      </c>
      <c r="B266">
        <v>0.56000000000000005</v>
      </c>
      <c r="C266">
        <v>0.7</v>
      </c>
      <c r="D266">
        <v>0.65</v>
      </c>
      <c r="E266">
        <v>1</v>
      </c>
      <c r="F266">
        <v>0.4</v>
      </c>
      <c r="G266" s="37">
        <v>1</v>
      </c>
      <c r="H266">
        <v>0.97</v>
      </c>
    </row>
    <row r="267" spans="1:8" x14ac:dyDescent="0.35">
      <c r="A267">
        <v>0.45</v>
      </c>
      <c r="B267">
        <v>0.41</v>
      </c>
      <c r="C267">
        <v>0.72</v>
      </c>
      <c r="D267">
        <v>0.71</v>
      </c>
      <c r="E267">
        <v>0.53</v>
      </c>
      <c r="F267">
        <v>0.44</v>
      </c>
      <c r="G267" s="37">
        <v>0.65</v>
      </c>
      <c r="H267">
        <v>0.63</v>
      </c>
    </row>
    <row r="268" spans="1:8" x14ac:dyDescent="0.35">
      <c r="A268">
        <v>0.17</v>
      </c>
      <c r="B268">
        <v>0.24</v>
      </c>
      <c r="C268">
        <v>0.3</v>
      </c>
      <c r="D268">
        <v>0.63</v>
      </c>
      <c r="E268">
        <v>0.59</v>
      </c>
      <c r="F268">
        <v>0.36</v>
      </c>
      <c r="G268" s="37">
        <v>0.78</v>
      </c>
      <c r="H268">
        <v>0.52</v>
      </c>
    </row>
    <row r="269" spans="1:8" x14ac:dyDescent="0.35">
      <c r="A269">
        <v>0.44</v>
      </c>
      <c r="B269">
        <v>0.56000000000000005</v>
      </c>
      <c r="C269">
        <v>0.62</v>
      </c>
      <c r="D269">
        <v>0.81</v>
      </c>
      <c r="E269">
        <v>0.53</v>
      </c>
      <c r="F269">
        <v>0.46</v>
      </c>
      <c r="G269" s="37">
        <v>0.74</v>
      </c>
      <c r="H269">
        <v>0.74</v>
      </c>
    </row>
    <row r="270" spans="1:8" x14ac:dyDescent="0.35">
      <c r="A270">
        <v>0.22</v>
      </c>
      <c r="B270">
        <v>0.57999999999999996</v>
      </c>
      <c r="C270">
        <v>0.39</v>
      </c>
      <c r="D270">
        <v>0.89</v>
      </c>
      <c r="E270">
        <v>0.63</v>
      </c>
      <c r="F270">
        <v>0.61</v>
      </c>
      <c r="G270" s="37">
        <v>0.72</v>
      </c>
      <c r="H270">
        <v>0.76</v>
      </c>
    </row>
    <row r="271" spans="1:8" x14ac:dyDescent="0.35">
      <c r="A271">
        <v>0.15</v>
      </c>
      <c r="B271">
        <v>0.41</v>
      </c>
      <c r="C271">
        <v>0.39</v>
      </c>
      <c r="D271">
        <v>0.56000000000000005</v>
      </c>
      <c r="E271">
        <v>0.44</v>
      </c>
      <c r="F271">
        <v>0.54</v>
      </c>
      <c r="G271" s="37">
        <v>0.69</v>
      </c>
      <c r="H271">
        <v>0.77</v>
      </c>
    </row>
    <row r="272" spans="1:8" x14ac:dyDescent="0.35">
      <c r="A272">
        <v>0.44</v>
      </c>
      <c r="B272">
        <v>0.33</v>
      </c>
      <c r="C272">
        <v>0.62</v>
      </c>
      <c r="D272">
        <v>0.65</v>
      </c>
      <c r="E272">
        <v>0.59</v>
      </c>
      <c r="F272">
        <v>0.46</v>
      </c>
      <c r="G272" s="37">
        <v>0.85</v>
      </c>
      <c r="H272">
        <v>0.76</v>
      </c>
    </row>
    <row r="273" spans="1:8" x14ac:dyDescent="0.35">
      <c r="A273">
        <v>0.39</v>
      </c>
      <c r="B273">
        <v>0.26</v>
      </c>
      <c r="C273">
        <v>0.56999999999999995</v>
      </c>
      <c r="D273">
        <v>0.62</v>
      </c>
      <c r="E273">
        <v>0.44</v>
      </c>
      <c r="F273">
        <v>0.4</v>
      </c>
      <c r="G273" s="37">
        <v>0.77</v>
      </c>
      <c r="H273">
        <v>0.61</v>
      </c>
    </row>
    <row r="274" spans="1:8" x14ac:dyDescent="0.35">
      <c r="A274">
        <v>0.38</v>
      </c>
      <c r="B274">
        <v>0.5</v>
      </c>
      <c r="C274">
        <v>0.75</v>
      </c>
      <c r="D274">
        <v>0.83</v>
      </c>
      <c r="E274">
        <v>0.44</v>
      </c>
      <c r="F274">
        <v>0.24</v>
      </c>
      <c r="G274" s="37">
        <v>0.62</v>
      </c>
      <c r="H274">
        <v>0.65</v>
      </c>
    </row>
    <row r="275" spans="1:8" x14ac:dyDescent="0.35">
      <c r="A275">
        <v>0.35</v>
      </c>
      <c r="B275">
        <v>0.56000000000000005</v>
      </c>
      <c r="C275">
        <v>0.47</v>
      </c>
      <c r="D275">
        <v>0.88</v>
      </c>
      <c r="E275">
        <v>0.24</v>
      </c>
      <c r="F275">
        <v>0.24</v>
      </c>
      <c r="G275" s="37">
        <v>0.91</v>
      </c>
      <c r="H275">
        <v>1</v>
      </c>
    </row>
    <row r="276" spans="1:8" x14ac:dyDescent="0.35">
      <c r="A276">
        <v>0.38</v>
      </c>
      <c r="B276">
        <v>0.39</v>
      </c>
      <c r="C276">
        <v>0.62</v>
      </c>
      <c r="D276">
        <v>0.5</v>
      </c>
      <c r="E276">
        <v>0.5</v>
      </c>
      <c r="F276">
        <v>0.41</v>
      </c>
      <c r="G276" s="37">
        <v>0.66</v>
      </c>
      <c r="H276">
        <v>0.97</v>
      </c>
    </row>
    <row r="277" spans="1:8" x14ac:dyDescent="0.35">
      <c r="A277">
        <v>0.35</v>
      </c>
      <c r="B277">
        <v>0.28000000000000003</v>
      </c>
      <c r="C277">
        <v>0.82</v>
      </c>
      <c r="D277">
        <v>0.7</v>
      </c>
      <c r="E277">
        <v>0.62</v>
      </c>
      <c r="F277">
        <v>0.39</v>
      </c>
      <c r="G277" s="37">
        <v>0.66</v>
      </c>
      <c r="H277">
        <v>0.65</v>
      </c>
    </row>
    <row r="278" spans="1:8" x14ac:dyDescent="0.35">
      <c r="A278">
        <v>0.41</v>
      </c>
      <c r="B278">
        <v>0.22</v>
      </c>
      <c r="C278">
        <v>0.91</v>
      </c>
      <c r="D278">
        <v>0.56999999999999995</v>
      </c>
      <c r="E278">
        <v>0.61</v>
      </c>
      <c r="F278">
        <v>0.4</v>
      </c>
      <c r="G278" s="37">
        <v>0.76</v>
      </c>
      <c r="H278">
        <v>0.56000000000000005</v>
      </c>
    </row>
    <row r="279" spans="1:8" x14ac:dyDescent="0.35">
      <c r="A279">
        <v>0.16</v>
      </c>
      <c r="B279">
        <v>0.36</v>
      </c>
      <c r="C279">
        <v>0.37</v>
      </c>
      <c r="D279">
        <v>0.86</v>
      </c>
      <c r="E279">
        <v>0.44</v>
      </c>
      <c r="F279">
        <v>0.36</v>
      </c>
      <c r="G279" s="37">
        <v>0.71</v>
      </c>
      <c r="H279">
        <v>0.55000000000000004</v>
      </c>
    </row>
    <row r="280" spans="1:8" x14ac:dyDescent="0.35">
      <c r="A280">
        <v>0.37</v>
      </c>
      <c r="B280">
        <v>0.38</v>
      </c>
      <c r="C280">
        <v>0.52</v>
      </c>
      <c r="D280">
        <v>0.85</v>
      </c>
      <c r="E280">
        <v>0.91</v>
      </c>
      <c r="F280">
        <v>0.66</v>
      </c>
      <c r="G280" s="37">
        <v>0.91</v>
      </c>
      <c r="H280">
        <v>0.84</v>
      </c>
    </row>
    <row r="281" spans="1:8" x14ac:dyDescent="0.35">
      <c r="A281">
        <v>0.23</v>
      </c>
      <c r="B281">
        <v>0.28999999999999998</v>
      </c>
      <c r="C281">
        <v>0.28000000000000003</v>
      </c>
      <c r="D281">
        <v>0.54</v>
      </c>
      <c r="E281">
        <v>0.57999999999999996</v>
      </c>
      <c r="F281">
        <v>0.46</v>
      </c>
      <c r="G281" s="37">
        <v>0.57999999999999996</v>
      </c>
      <c r="H281">
        <v>0.71</v>
      </c>
    </row>
    <row r="282" spans="1:8" x14ac:dyDescent="0.35">
      <c r="A282">
        <v>0.43</v>
      </c>
      <c r="B282">
        <v>0.32</v>
      </c>
      <c r="C282">
        <v>0.51</v>
      </c>
      <c r="D282">
        <v>0.66</v>
      </c>
      <c r="E282">
        <v>0.48</v>
      </c>
      <c r="F282">
        <v>0.41</v>
      </c>
      <c r="G282" s="37">
        <v>0.62</v>
      </c>
      <c r="H282">
        <v>0.81</v>
      </c>
    </row>
    <row r="283" spans="1:8" x14ac:dyDescent="0.35">
      <c r="A283">
        <v>0.3</v>
      </c>
      <c r="B283">
        <v>0.27</v>
      </c>
      <c r="C283">
        <v>0.47</v>
      </c>
      <c r="D283">
        <v>0.55000000000000004</v>
      </c>
      <c r="E283">
        <v>0.42</v>
      </c>
      <c r="F283">
        <v>0.33</v>
      </c>
      <c r="G283" s="37">
        <v>0.83</v>
      </c>
      <c r="H283">
        <v>0.54</v>
      </c>
    </row>
    <row r="284" spans="1:8" x14ac:dyDescent="0.35">
      <c r="A284">
        <v>0.44</v>
      </c>
      <c r="B284">
        <v>0.5</v>
      </c>
      <c r="C284">
        <v>0.53</v>
      </c>
      <c r="D284">
        <v>0.96</v>
      </c>
      <c r="E284">
        <v>0.26</v>
      </c>
      <c r="F284">
        <v>0.21</v>
      </c>
      <c r="G284" s="37">
        <v>0.53</v>
      </c>
      <c r="H284">
        <v>0.76</v>
      </c>
    </row>
    <row r="285" spans="1:8" x14ac:dyDescent="0.35">
      <c r="A285">
        <v>0.23</v>
      </c>
      <c r="B285">
        <v>0.41</v>
      </c>
      <c r="C285">
        <v>0.69</v>
      </c>
      <c r="D285">
        <v>0.84</v>
      </c>
      <c r="E285">
        <v>0.33</v>
      </c>
      <c r="F285">
        <v>0.12</v>
      </c>
      <c r="G285" s="37">
        <v>0.43</v>
      </c>
      <c r="H285">
        <v>1</v>
      </c>
    </row>
    <row r="286" spans="1:8" x14ac:dyDescent="0.35">
      <c r="A286">
        <v>0.66</v>
      </c>
      <c r="B286">
        <v>0.31</v>
      </c>
      <c r="C286">
        <v>0.74</v>
      </c>
      <c r="D286">
        <v>0.43</v>
      </c>
      <c r="E286">
        <v>0.45</v>
      </c>
      <c r="F286">
        <v>0.31</v>
      </c>
      <c r="G286" s="37">
        <v>0.56999999999999995</v>
      </c>
      <c r="H286">
        <v>0.9</v>
      </c>
    </row>
    <row r="287" spans="1:8" x14ac:dyDescent="0.35">
      <c r="A287">
        <v>0.36</v>
      </c>
      <c r="B287">
        <v>0.31</v>
      </c>
      <c r="C287">
        <v>0.68</v>
      </c>
      <c r="D287">
        <v>0.67</v>
      </c>
      <c r="E287">
        <v>0.61</v>
      </c>
      <c r="F287">
        <v>0.39</v>
      </c>
      <c r="G287" s="37">
        <v>0.76</v>
      </c>
      <c r="H287">
        <v>0.63</v>
      </c>
    </row>
    <row r="288" spans="1:8" x14ac:dyDescent="0.35">
      <c r="A288">
        <v>0.16</v>
      </c>
      <c r="B288">
        <v>0.3</v>
      </c>
      <c r="C288">
        <v>0.45</v>
      </c>
      <c r="D288">
        <v>0.53</v>
      </c>
      <c r="F288">
        <v>0.36</v>
      </c>
      <c r="H288">
        <v>0.4</v>
      </c>
    </row>
    <row r="289" spans="1:8" x14ac:dyDescent="0.35">
      <c r="A289">
        <v>0.28999999999999998</v>
      </c>
      <c r="B289">
        <v>0.43</v>
      </c>
      <c r="C289">
        <v>0.57999999999999996</v>
      </c>
      <c r="D289">
        <v>0.78</v>
      </c>
      <c r="F289">
        <v>0.33</v>
      </c>
      <c r="H289">
        <v>0.64</v>
      </c>
    </row>
    <row r="290" spans="1:8" x14ac:dyDescent="0.35">
      <c r="A290">
        <v>0.33</v>
      </c>
      <c r="B290">
        <v>0.47</v>
      </c>
      <c r="C290">
        <v>0.67</v>
      </c>
      <c r="D290">
        <v>0.88</v>
      </c>
      <c r="F290">
        <v>0.59</v>
      </c>
      <c r="H290">
        <v>0.76</v>
      </c>
    </row>
    <row r="291" spans="1:8" x14ac:dyDescent="0.35">
      <c r="A291">
        <v>0.46</v>
      </c>
      <c r="B291">
        <v>0.21</v>
      </c>
      <c r="C291">
        <v>0.59</v>
      </c>
      <c r="D291">
        <v>0.52</v>
      </c>
      <c r="F291">
        <v>0.44</v>
      </c>
      <c r="H291">
        <v>0.76</v>
      </c>
    </row>
    <row r="292" spans="1:8" x14ac:dyDescent="0.35">
      <c r="A292">
        <v>0.56000000000000005</v>
      </c>
      <c r="B292">
        <v>0.3</v>
      </c>
      <c r="C292">
        <v>0.91</v>
      </c>
      <c r="D292">
        <v>0.63</v>
      </c>
      <c r="F292">
        <v>0.41</v>
      </c>
      <c r="H292">
        <v>0.71</v>
      </c>
    </row>
    <row r="293" spans="1:8" x14ac:dyDescent="0.35">
      <c r="A293">
        <v>0.33</v>
      </c>
      <c r="B293">
        <v>0.27</v>
      </c>
      <c r="C293">
        <v>0.5</v>
      </c>
      <c r="D293">
        <v>0.51</v>
      </c>
      <c r="F293">
        <v>0.28000000000000003</v>
      </c>
      <c r="H293">
        <v>0.54</v>
      </c>
    </row>
    <row r="294" spans="1:8" x14ac:dyDescent="0.35">
      <c r="A294">
        <v>0.23</v>
      </c>
      <c r="B294">
        <v>0.61</v>
      </c>
      <c r="C294">
        <v>0.3</v>
      </c>
      <c r="D294">
        <v>0.78</v>
      </c>
      <c r="F294">
        <v>0.22</v>
      </c>
      <c r="H294">
        <v>0.5</v>
      </c>
    </row>
    <row r="295" spans="1:8" x14ac:dyDescent="0.35">
      <c r="A295">
        <v>0.25</v>
      </c>
      <c r="B295">
        <v>0.74</v>
      </c>
      <c r="C295">
        <v>0.6</v>
      </c>
      <c r="D295">
        <v>0.92</v>
      </c>
      <c r="F295">
        <v>0.15</v>
      </c>
      <c r="H295">
        <v>1</v>
      </c>
    </row>
    <row r="296" spans="1:8" x14ac:dyDescent="0.35">
      <c r="A296">
        <v>0.38</v>
      </c>
      <c r="B296">
        <v>0.22</v>
      </c>
      <c r="C296">
        <v>0.46</v>
      </c>
      <c r="D296">
        <v>0.47</v>
      </c>
      <c r="F296">
        <v>0.32</v>
      </c>
      <c r="H296">
        <v>0.92</v>
      </c>
    </row>
    <row r="297" spans="1:8" x14ac:dyDescent="0.35">
      <c r="A297">
        <v>0.32</v>
      </c>
      <c r="B297">
        <v>0.28999999999999998</v>
      </c>
      <c r="C297">
        <v>0.46</v>
      </c>
      <c r="D297">
        <v>0.64</v>
      </c>
      <c r="F297">
        <v>0.3</v>
      </c>
      <c r="H297">
        <v>0.52</v>
      </c>
    </row>
    <row r="298" spans="1:8" x14ac:dyDescent="0.35">
      <c r="A298">
        <v>0.5</v>
      </c>
      <c r="B298">
        <v>0.3</v>
      </c>
      <c r="C298">
        <v>0.56999999999999995</v>
      </c>
      <c r="D298">
        <v>0.4</v>
      </c>
      <c r="F298">
        <v>0.21</v>
      </c>
      <c r="H298">
        <v>0.4</v>
      </c>
    </row>
    <row r="299" spans="1:8" x14ac:dyDescent="0.35">
      <c r="A299">
        <v>0.41</v>
      </c>
      <c r="B299">
        <v>0.61</v>
      </c>
      <c r="C299">
        <v>0.71</v>
      </c>
      <c r="D299">
        <v>0.91</v>
      </c>
      <c r="F299">
        <v>0.36</v>
      </c>
      <c r="H299">
        <v>0.61</v>
      </c>
    </row>
    <row r="300" spans="1:8" x14ac:dyDescent="0.35">
      <c r="A300">
        <v>0.45</v>
      </c>
      <c r="B300">
        <v>0.74</v>
      </c>
      <c r="C300">
        <v>0.56000000000000005</v>
      </c>
      <c r="D300">
        <v>0.86</v>
      </c>
      <c r="F300">
        <v>0.53</v>
      </c>
      <c r="H300">
        <v>0.66</v>
      </c>
    </row>
    <row r="301" spans="1:8" x14ac:dyDescent="0.35">
      <c r="A301">
        <v>0.26</v>
      </c>
      <c r="B301">
        <v>0.22</v>
      </c>
      <c r="C301">
        <v>0.35</v>
      </c>
      <c r="D301">
        <v>0.59</v>
      </c>
      <c r="F301">
        <v>0.42</v>
      </c>
      <c r="H301">
        <v>0.68</v>
      </c>
    </row>
    <row r="302" spans="1:8" x14ac:dyDescent="0.35">
      <c r="A302">
        <v>0.5</v>
      </c>
      <c r="B302">
        <v>0.28999999999999998</v>
      </c>
      <c r="C302">
        <v>0.59</v>
      </c>
      <c r="D302">
        <v>0.6</v>
      </c>
      <c r="F302">
        <v>0.41</v>
      </c>
      <c r="H302">
        <v>0.72</v>
      </c>
    </row>
    <row r="303" spans="1:8" x14ac:dyDescent="0.35">
      <c r="A303">
        <v>0.21</v>
      </c>
      <c r="B303">
        <v>0.3</v>
      </c>
      <c r="C303">
        <v>0.3</v>
      </c>
      <c r="D303">
        <v>0.52</v>
      </c>
      <c r="F303">
        <v>0.27</v>
      </c>
      <c r="H303">
        <v>0.47</v>
      </c>
    </row>
    <row r="304" spans="1:8" x14ac:dyDescent="0.35">
      <c r="A304">
        <v>0.06</v>
      </c>
      <c r="B304">
        <v>0.68</v>
      </c>
      <c r="C304">
        <v>0.28000000000000003</v>
      </c>
      <c r="D304">
        <v>0.91</v>
      </c>
      <c r="F304">
        <v>0.16</v>
      </c>
      <c r="H304">
        <v>0.51</v>
      </c>
    </row>
    <row r="305" spans="1:8" x14ac:dyDescent="0.35">
      <c r="A305">
        <v>0.44</v>
      </c>
      <c r="B305">
        <v>0.64</v>
      </c>
      <c r="C305">
        <v>0.52</v>
      </c>
      <c r="D305">
        <v>0.87</v>
      </c>
      <c r="F305">
        <v>0.19</v>
      </c>
      <c r="H305">
        <v>1</v>
      </c>
    </row>
    <row r="306" spans="1:8" x14ac:dyDescent="0.35">
      <c r="A306">
        <v>0.48</v>
      </c>
      <c r="B306">
        <v>0.39</v>
      </c>
      <c r="C306">
        <v>0.71</v>
      </c>
      <c r="D306">
        <v>0.53</v>
      </c>
      <c r="F306">
        <v>0.31</v>
      </c>
      <c r="H306">
        <v>0.76</v>
      </c>
    </row>
    <row r="307" spans="1:8" x14ac:dyDescent="0.35">
      <c r="A307">
        <v>0.45</v>
      </c>
      <c r="B307">
        <v>0.41</v>
      </c>
      <c r="C307">
        <v>0.8</v>
      </c>
      <c r="D307">
        <v>0.59</v>
      </c>
      <c r="F307">
        <v>0.32</v>
      </c>
      <c r="H307">
        <v>0.56000000000000005</v>
      </c>
    </row>
    <row r="308" spans="1:8" x14ac:dyDescent="0.35">
      <c r="A308">
        <v>0.46</v>
      </c>
      <c r="B308">
        <v>0.62</v>
      </c>
      <c r="C308">
        <v>0.47</v>
      </c>
      <c r="D308">
        <v>0.63</v>
      </c>
      <c r="F308">
        <v>0.31</v>
      </c>
      <c r="H308">
        <v>0.46</v>
      </c>
    </row>
    <row r="309" spans="1:8" x14ac:dyDescent="0.35">
      <c r="A309">
        <v>0.42</v>
      </c>
      <c r="B309">
        <v>0.63</v>
      </c>
      <c r="C309">
        <v>0.62</v>
      </c>
      <c r="D309">
        <v>0.15</v>
      </c>
      <c r="F309">
        <v>0.36</v>
      </c>
      <c r="H309">
        <v>0.55000000000000004</v>
      </c>
    </row>
    <row r="310" spans="1:8" x14ac:dyDescent="0.35">
      <c r="A310">
        <v>0.48</v>
      </c>
      <c r="B310">
        <v>0.83</v>
      </c>
      <c r="C310">
        <v>0.94</v>
      </c>
      <c r="D310">
        <v>0.06</v>
      </c>
      <c r="F310">
        <v>0.55000000000000004</v>
      </c>
      <c r="H310">
        <v>0.67</v>
      </c>
    </row>
    <row r="311" spans="1:8" x14ac:dyDescent="0.35">
      <c r="A311">
        <v>0.42</v>
      </c>
      <c r="B311">
        <v>0.37</v>
      </c>
      <c r="C311">
        <v>0.75</v>
      </c>
      <c r="D311">
        <v>0.18</v>
      </c>
      <c r="F311">
        <v>0.46</v>
      </c>
      <c r="H311">
        <v>0.73</v>
      </c>
    </row>
    <row r="312" spans="1:8" x14ac:dyDescent="0.35">
      <c r="A312">
        <v>0.17</v>
      </c>
      <c r="B312">
        <v>0.26</v>
      </c>
      <c r="C312">
        <v>0.33</v>
      </c>
      <c r="D312">
        <v>0.39</v>
      </c>
      <c r="F312">
        <v>0.42</v>
      </c>
      <c r="H312">
        <v>0.62</v>
      </c>
    </row>
    <row r="313" spans="1:8" x14ac:dyDescent="0.35">
      <c r="A313">
        <v>0.26</v>
      </c>
      <c r="B313">
        <v>0.56000000000000005</v>
      </c>
      <c r="C313">
        <v>0.45</v>
      </c>
      <c r="D313">
        <v>7.0000000000000007E-2</v>
      </c>
      <c r="F313">
        <v>0.28999999999999998</v>
      </c>
      <c r="H313">
        <v>0.48</v>
      </c>
    </row>
    <row r="314" spans="1:8" x14ac:dyDescent="0.35">
      <c r="A314">
        <v>0.25</v>
      </c>
      <c r="B314">
        <v>0.64</v>
      </c>
      <c r="C314">
        <v>0.28999999999999998</v>
      </c>
      <c r="D314">
        <v>1</v>
      </c>
      <c r="F314">
        <v>0.12</v>
      </c>
      <c r="H314">
        <v>0.48</v>
      </c>
    </row>
    <row r="315" spans="1:8" x14ac:dyDescent="0.35">
      <c r="A315">
        <v>0.3</v>
      </c>
      <c r="B315">
        <v>0.66</v>
      </c>
      <c r="C315">
        <v>0.43</v>
      </c>
      <c r="D315">
        <v>0.91</v>
      </c>
      <c r="F315">
        <v>0.21</v>
      </c>
      <c r="H315">
        <v>1</v>
      </c>
    </row>
    <row r="316" spans="1:8" x14ac:dyDescent="0.35">
      <c r="A316">
        <v>0.34</v>
      </c>
      <c r="B316">
        <v>0.47</v>
      </c>
      <c r="C316">
        <v>0.5</v>
      </c>
      <c r="D316">
        <v>0.87</v>
      </c>
      <c r="F316">
        <v>0.35</v>
      </c>
      <c r="H316">
        <v>0.81</v>
      </c>
    </row>
    <row r="317" spans="1:8" x14ac:dyDescent="0.35">
      <c r="A317">
        <v>0.56999999999999995</v>
      </c>
      <c r="B317">
        <v>0.53</v>
      </c>
      <c r="C317">
        <v>0.57999999999999996</v>
      </c>
      <c r="D317">
        <v>0.93</v>
      </c>
      <c r="F317">
        <v>0.41</v>
      </c>
      <c r="H317">
        <v>0.57999999999999996</v>
      </c>
    </row>
    <row r="318" spans="1:8" x14ac:dyDescent="0.35">
      <c r="A318">
        <v>0.22</v>
      </c>
      <c r="B318">
        <v>0.65</v>
      </c>
      <c r="C318">
        <v>0.61</v>
      </c>
      <c r="D318">
        <v>0.86</v>
      </c>
      <c r="F318">
        <v>0.3</v>
      </c>
      <c r="H318">
        <v>0.42</v>
      </c>
    </row>
    <row r="319" spans="1:8" x14ac:dyDescent="0.35">
      <c r="A319">
        <v>0.63</v>
      </c>
      <c r="B319">
        <v>0.33</v>
      </c>
      <c r="C319">
        <v>0.86</v>
      </c>
      <c r="D319">
        <v>0.72</v>
      </c>
      <c r="F319">
        <v>0.35</v>
      </c>
      <c r="H319">
        <v>0.56999999999999995</v>
      </c>
    </row>
    <row r="320" spans="1:8" x14ac:dyDescent="0.35">
      <c r="A320">
        <v>0.24</v>
      </c>
      <c r="B320">
        <v>0.52</v>
      </c>
      <c r="C320">
        <v>0.61</v>
      </c>
      <c r="D320">
        <v>0.81</v>
      </c>
      <c r="F320">
        <v>0.55000000000000004</v>
      </c>
      <c r="H320">
        <v>0.72</v>
      </c>
    </row>
    <row r="321" spans="1:8" x14ac:dyDescent="0.35">
      <c r="A321">
        <v>0.18</v>
      </c>
      <c r="B321">
        <v>0.51</v>
      </c>
      <c r="C321">
        <v>0.45</v>
      </c>
      <c r="D321">
        <v>0.76</v>
      </c>
      <c r="F321">
        <v>0.55000000000000004</v>
      </c>
      <c r="H321">
        <v>0.76</v>
      </c>
    </row>
    <row r="322" spans="1:8" x14ac:dyDescent="0.35">
      <c r="A322">
        <v>0.41</v>
      </c>
      <c r="B322">
        <v>0.3</v>
      </c>
      <c r="C322">
        <v>0.68</v>
      </c>
      <c r="D322">
        <v>0.71</v>
      </c>
      <c r="F322">
        <v>0.36</v>
      </c>
      <c r="H322">
        <v>0.6</v>
      </c>
    </row>
    <row r="323" spans="1:8" x14ac:dyDescent="0.35">
      <c r="A323">
        <v>0.5</v>
      </c>
      <c r="B323">
        <v>0.52</v>
      </c>
      <c r="C323">
        <v>0.82</v>
      </c>
      <c r="D323">
        <v>0.88</v>
      </c>
      <c r="F323">
        <v>0.37</v>
      </c>
      <c r="H323">
        <v>0.62</v>
      </c>
    </row>
    <row r="324" spans="1:8" x14ac:dyDescent="0.35">
      <c r="A324">
        <v>0.38</v>
      </c>
      <c r="B324">
        <v>0.41</v>
      </c>
      <c r="C324">
        <v>0.55000000000000004</v>
      </c>
      <c r="D324">
        <v>0.71</v>
      </c>
      <c r="F324">
        <v>0.14000000000000001</v>
      </c>
      <c r="H324">
        <v>0.45</v>
      </c>
    </row>
    <row r="325" spans="1:8" x14ac:dyDescent="0.35">
      <c r="A325">
        <v>0.62</v>
      </c>
      <c r="B325">
        <v>0.24</v>
      </c>
      <c r="C325">
        <v>0.87</v>
      </c>
      <c r="D325">
        <v>0.63</v>
      </c>
      <c r="F325">
        <v>0.23</v>
      </c>
      <c r="H325">
        <v>1</v>
      </c>
    </row>
    <row r="326" spans="1:8" x14ac:dyDescent="0.35">
      <c r="A326">
        <v>0.4</v>
      </c>
      <c r="B326">
        <v>0.57999999999999996</v>
      </c>
      <c r="C326">
        <v>0.56000000000000005</v>
      </c>
      <c r="D326">
        <v>0.89</v>
      </c>
      <c r="F326">
        <v>0.4</v>
      </c>
      <c r="H326">
        <v>0.85</v>
      </c>
    </row>
    <row r="327" spans="1:8" x14ac:dyDescent="0.35">
      <c r="A327">
        <v>0.25</v>
      </c>
      <c r="B327">
        <v>0.33</v>
      </c>
      <c r="C327">
        <v>0.32</v>
      </c>
      <c r="D327">
        <v>0.65</v>
      </c>
      <c r="F327">
        <v>0.35</v>
      </c>
      <c r="H327">
        <v>0.56000000000000005</v>
      </c>
    </row>
    <row r="328" spans="1:8" x14ac:dyDescent="0.35">
      <c r="A328">
        <v>0.41</v>
      </c>
      <c r="B328">
        <v>0.26</v>
      </c>
      <c r="C328">
        <v>0.7</v>
      </c>
      <c r="D328">
        <v>0.62</v>
      </c>
      <c r="F328">
        <v>0.28999999999999998</v>
      </c>
      <c r="H328">
        <v>0.43</v>
      </c>
    </row>
    <row r="329" spans="1:8" x14ac:dyDescent="0.35">
      <c r="A329">
        <v>0.35</v>
      </c>
      <c r="B329">
        <v>0.56000000000000005</v>
      </c>
      <c r="C329">
        <v>0.51</v>
      </c>
      <c r="D329">
        <v>0.88</v>
      </c>
      <c r="F329">
        <v>0.4</v>
      </c>
      <c r="H329">
        <v>0.61</v>
      </c>
    </row>
    <row r="330" spans="1:8" x14ac:dyDescent="0.35">
      <c r="A330">
        <v>0.33</v>
      </c>
      <c r="B330">
        <v>0.28000000000000003</v>
      </c>
      <c r="C330">
        <v>0.43</v>
      </c>
      <c r="D330">
        <v>0.7</v>
      </c>
      <c r="F330">
        <v>0.55000000000000004</v>
      </c>
      <c r="H330">
        <v>0.67</v>
      </c>
    </row>
    <row r="331" spans="1:8" x14ac:dyDescent="0.35">
      <c r="A331">
        <v>0.47</v>
      </c>
      <c r="B331">
        <v>0.22</v>
      </c>
      <c r="C331">
        <v>0.48</v>
      </c>
      <c r="D331">
        <v>0.56999999999999995</v>
      </c>
      <c r="F331">
        <v>0.49</v>
      </c>
      <c r="H331">
        <v>0.64</v>
      </c>
    </row>
    <row r="332" spans="1:8" x14ac:dyDescent="0.35">
      <c r="A332">
        <v>0.44</v>
      </c>
      <c r="B332">
        <v>0.38</v>
      </c>
      <c r="C332">
        <v>0.75</v>
      </c>
      <c r="D332">
        <v>0.85</v>
      </c>
      <c r="F332">
        <v>0.45</v>
      </c>
      <c r="H332">
        <v>0.63</v>
      </c>
    </row>
    <row r="333" spans="1:8" x14ac:dyDescent="0.35">
      <c r="A333">
        <v>0.43</v>
      </c>
      <c r="B333">
        <v>0.32</v>
      </c>
      <c r="C333">
        <v>0.68</v>
      </c>
      <c r="D333">
        <v>0.66</v>
      </c>
      <c r="F333">
        <v>0.38</v>
      </c>
      <c r="H333">
        <v>0.54</v>
      </c>
    </row>
    <row r="334" spans="1:8" x14ac:dyDescent="0.35">
      <c r="A334">
        <v>0.3</v>
      </c>
      <c r="B334">
        <v>0.27</v>
      </c>
      <c r="C334">
        <v>0.39</v>
      </c>
      <c r="D334">
        <v>0.55000000000000004</v>
      </c>
      <c r="F334">
        <v>0.22</v>
      </c>
      <c r="H334">
        <v>0.53</v>
      </c>
    </row>
    <row r="335" spans="1:8" x14ac:dyDescent="0.35">
      <c r="A335">
        <v>0.48</v>
      </c>
      <c r="B335">
        <v>0.41</v>
      </c>
      <c r="C335">
        <v>0.62</v>
      </c>
      <c r="D335">
        <v>0.84</v>
      </c>
      <c r="F335">
        <v>0.4</v>
      </c>
      <c r="H335">
        <v>1</v>
      </c>
    </row>
    <row r="336" spans="1:8" x14ac:dyDescent="0.35">
      <c r="A336">
        <v>0.25</v>
      </c>
      <c r="B336">
        <v>0.31</v>
      </c>
      <c r="C336">
        <v>0.41</v>
      </c>
      <c r="D336">
        <v>0.67</v>
      </c>
      <c r="F336">
        <v>0.43</v>
      </c>
      <c r="H336">
        <v>0.95</v>
      </c>
    </row>
    <row r="337" spans="1:8" x14ac:dyDescent="0.35">
      <c r="A337">
        <v>0.09</v>
      </c>
      <c r="B337">
        <v>0.3</v>
      </c>
      <c r="C337">
        <v>0.33</v>
      </c>
      <c r="D337">
        <v>0.53</v>
      </c>
      <c r="F337">
        <v>0.83</v>
      </c>
      <c r="H337">
        <v>1</v>
      </c>
    </row>
    <row r="338" spans="1:8" x14ac:dyDescent="0.35">
      <c r="A338">
        <v>0.45</v>
      </c>
      <c r="B338">
        <v>0.47</v>
      </c>
      <c r="C338">
        <v>0.55000000000000004</v>
      </c>
      <c r="D338">
        <v>0.88</v>
      </c>
      <c r="F338">
        <v>0.34</v>
      </c>
      <c r="H338">
        <v>0.45</v>
      </c>
    </row>
    <row r="339" spans="1:8" x14ac:dyDescent="0.35">
      <c r="A339">
        <v>0.57999999999999996</v>
      </c>
      <c r="B339">
        <v>0.3</v>
      </c>
      <c r="C339">
        <v>0.77</v>
      </c>
      <c r="D339">
        <v>0.63</v>
      </c>
      <c r="F339">
        <v>0.42</v>
      </c>
      <c r="H339">
        <v>0.59</v>
      </c>
    </row>
    <row r="340" spans="1:8" x14ac:dyDescent="0.35">
      <c r="A340">
        <v>0.51</v>
      </c>
      <c r="B340">
        <v>0.27</v>
      </c>
      <c r="C340">
        <v>0.75</v>
      </c>
      <c r="D340">
        <v>0.51</v>
      </c>
      <c r="F340">
        <v>0.67</v>
      </c>
      <c r="H340">
        <v>0.81</v>
      </c>
    </row>
    <row r="341" spans="1:8" x14ac:dyDescent="0.35">
      <c r="A341">
        <v>0.39</v>
      </c>
      <c r="B341">
        <v>0.74</v>
      </c>
      <c r="C341">
        <v>0.47</v>
      </c>
      <c r="D341">
        <v>0.92</v>
      </c>
      <c r="F341">
        <v>0.5</v>
      </c>
      <c r="H341">
        <v>0.62</v>
      </c>
    </row>
    <row r="342" spans="1:8" x14ac:dyDescent="0.35">
      <c r="A342">
        <v>0.45</v>
      </c>
      <c r="B342">
        <v>0.28999999999999998</v>
      </c>
      <c r="C342">
        <v>0.71</v>
      </c>
      <c r="D342">
        <v>0.64</v>
      </c>
      <c r="F342">
        <v>0.62</v>
      </c>
      <c r="H342">
        <v>0.71</v>
      </c>
    </row>
    <row r="343" spans="1:8" x14ac:dyDescent="0.35">
      <c r="A343">
        <v>0.51</v>
      </c>
      <c r="B343">
        <v>0.3</v>
      </c>
      <c r="C343">
        <v>0.91</v>
      </c>
      <c r="D343">
        <v>0.4</v>
      </c>
      <c r="F343">
        <v>0.5</v>
      </c>
      <c r="H343">
        <v>0.66</v>
      </c>
    </row>
    <row r="344" spans="1:8" x14ac:dyDescent="0.35">
      <c r="A344">
        <v>0.39</v>
      </c>
      <c r="B344">
        <v>0.64</v>
      </c>
      <c r="C344">
        <v>0.86</v>
      </c>
      <c r="D344">
        <v>0.86</v>
      </c>
      <c r="F344">
        <v>0.22</v>
      </c>
      <c r="H344">
        <v>0.66</v>
      </c>
    </row>
    <row r="345" spans="1:8" x14ac:dyDescent="0.35">
      <c r="A345">
        <v>0.22</v>
      </c>
      <c r="B345">
        <v>0.31</v>
      </c>
      <c r="C345">
        <v>0.47</v>
      </c>
      <c r="D345">
        <v>0.6</v>
      </c>
      <c r="F345">
        <v>0.49</v>
      </c>
      <c r="H345">
        <v>1</v>
      </c>
    </row>
    <row r="346" spans="1:8" x14ac:dyDescent="0.35">
      <c r="A346">
        <v>0.37</v>
      </c>
      <c r="B346">
        <v>0.37</v>
      </c>
      <c r="C346">
        <v>0.48</v>
      </c>
      <c r="D346">
        <v>0.52</v>
      </c>
      <c r="F346">
        <v>0.5</v>
      </c>
      <c r="H346">
        <v>0.95</v>
      </c>
    </row>
    <row r="347" spans="1:8" x14ac:dyDescent="0.35">
      <c r="A347">
        <v>0.44</v>
      </c>
      <c r="B347">
        <v>0.64</v>
      </c>
      <c r="C347">
        <v>0.52</v>
      </c>
      <c r="D347">
        <v>0.87</v>
      </c>
      <c r="F347">
        <v>0.76</v>
      </c>
      <c r="H347">
        <v>0.92</v>
      </c>
    </row>
    <row r="348" spans="1:8" x14ac:dyDescent="0.35">
      <c r="A348">
        <v>0.31</v>
      </c>
      <c r="B348">
        <v>0.41</v>
      </c>
      <c r="C348">
        <v>0.41</v>
      </c>
      <c r="D348">
        <v>0.59</v>
      </c>
      <c r="F348">
        <v>0.33</v>
      </c>
      <c r="H348">
        <v>0.37</v>
      </c>
    </row>
    <row r="349" spans="1:8" x14ac:dyDescent="0.35">
      <c r="A349">
        <v>0.34</v>
      </c>
      <c r="B349">
        <v>0.62</v>
      </c>
      <c r="C349">
        <v>0.53</v>
      </c>
      <c r="D349">
        <v>0.63</v>
      </c>
      <c r="F349">
        <v>0.41</v>
      </c>
      <c r="H349">
        <v>0.56999999999999995</v>
      </c>
    </row>
    <row r="350" spans="1:8" x14ac:dyDescent="0.35">
      <c r="A350">
        <v>0.8</v>
      </c>
      <c r="B350">
        <v>0.83</v>
      </c>
      <c r="C350">
        <v>0.85</v>
      </c>
      <c r="D350">
        <v>0.89</v>
      </c>
      <c r="F350">
        <v>0.76</v>
      </c>
      <c r="H350">
        <v>0.89</v>
      </c>
    </row>
    <row r="351" spans="1:8" x14ac:dyDescent="0.35">
      <c r="A351">
        <v>0.19</v>
      </c>
      <c r="B351">
        <v>0.26</v>
      </c>
      <c r="C351">
        <v>0.56999999999999995</v>
      </c>
      <c r="D351">
        <v>0.65</v>
      </c>
      <c r="F351">
        <v>0.55000000000000004</v>
      </c>
      <c r="H351">
        <v>0.71</v>
      </c>
    </row>
    <row r="352" spans="1:8" x14ac:dyDescent="0.35">
      <c r="A352">
        <v>0.66</v>
      </c>
      <c r="B352">
        <v>0.56000000000000005</v>
      </c>
      <c r="C352">
        <v>0.81</v>
      </c>
      <c r="D352">
        <v>0.63</v>
      </c>
      <c r="F352">
        <v>0.63</v>
      </c>
      <c r="H352">
        <v>0.69</v>
      </c>
    </row>
    <row r="353" spans="1:3" x14ac:dyDescent="0.35">
      <c r="A353">
        <v>0.24</v>
      </c>
      <c r="C353">
        <v>0.59</v>
      </c>
    </row>
    <row r="354" spans="1:3" x14ac:dyDescent="0.35">
      <c r="A354">
        <v>0.18</v>
      </c>
      <c r="C354">
        <v>0.41</v>
      </c>
    </row>
    <row r="355" spans="1:3" x14ac:dyDescent="0.35">
      <c r="A355">
        <v>0.43</v>
      </c>
      <c r="C355">
        <v>0.68</v>
      </c>
    </row>
    <row r="356" spans="1:3" x14ac:dyDescent="0.35">
      <c r="A356">
        <v>0.34</v>
      </c>
      <c r="C356">
        <v>0.66</v>
      </c>
    </row>
    <row r="357" spans="1:3" x14ac:dyDescent="0.35">
      <c r="A357">
        <v>0.43</v>
      </c>
      <c r="C357">
        <v>0.62</v>
      </c>
    </row>
    <row r="358" spans="1:3" x14ac:dyDescent="0.35">
      <c r="A358">
        <v>0.73</v>
      </c>
      <c r="C358">
        <v>1</v>
      </c>
    </row>
    <row r="359" spans="1:3" x14ac:dyDescent="0.35">
      <c r="A359">
        <v>0.41</v>
      </c>
      <c r="C359">
        <v>0.72</v>
      </c>
    </row>
    <row r="360" spans="1:3" x14ac:dyDescent="0.35">
      <c r="A360">
        <v>0.31</v>
      </c>
      <c r="C360">
        <v>0.41</v>
      </c>
    </row>
    <row r="361" spans="1:3" x14ac:dyDescent="0.35">
      <c r="A361">
        <v>0.51</v>
      </c>
      <c r="C361">
        <v>0.78</v>
      </c>
    </row>
    <row r="362" spans="1:3" x14ac:dyDescent="0.35">
      <c r="A362">
        <v>0.36</v>
      </c>
      <c r="C362">
        <v>0.42</v>
      </c>
    </row>
    <row r="363" spans="1:3" x14ac:dyDescent="0.35">
      <c r="A363">
        <v>0.41</v>
      </c>
      <c r="C363">
        <v>0.56999999999999995</v>
      </c>
    </row>
    <row r="364" spans="1:3" x14ac:dyDescent="0.35">
      <c r="A364">
        <v>0.57999999999999996</v>
      </c>
      <c r="C364">
        <v>0.57999999999999996</v>
      </c>
    </row>
    <row r="365" spans="1:3" x14ac:dyDescent="0.35">
      <c r="A365">
        <v>0.47</v>
      </c>
      <c r="C365">
        <v>0.74</v>
      </c>
    </row>
    <row r="366" spans="1:3" x14ac:dyDescent="0.35">
      <c r="A366">
        <v>0.56999999999999995</v>
      </c>
      <c r="C366">
        <v>0.72</v>
      </c>
    </row>
    <row r="367" spans="1:3" x14ac:dyDescent="0.35">
      <c r="A367">
        <v>0.38</v>
      </c>
      <c r="C367">
        <v>0.45</v>
      </c>
    </row>
    <row r="368" spans="1:3" x14ac:dyDescent="0.35">
      <c r="A368">
        <v>0.5</v>
      </c>
      <c r="C368">
        <v>0.6</v>
      </c>
    </row>
    <row r="369" spans="1:3" x14ac:dyDescent="0.35">
      <c r="A369">
        <v>0.55000000000000004</v>
      </c>
      <c r="C369">
        <v>0.63</v>
      </c>
    </row>
    <row r="370" spans="1:3" x14ac:dyDescent="0.35">
      <c r="A370">
        <v>0.16</v>
      </c>
      <c r="C370">
        <v>0.34</v>
      </c>
    </row>
    <row r="371" spans="1:3" x14ac:dyDescent="0.35">
      <c r="A371">
        <v>0.6</v>
      </c>
      <c r="C371">
        <v>0.68</v>
      </c>
    </row>
    <row r="372" spans="1:3" x14ac:dyDescent="0.35">
      <c r="A372">
        <v>0.94</v>
      </c>
      <c r="C372">
        <v>1</v>
      </c>
    </row>
    <row r="373" spans="1:3" x14ac:dyDescent="0.35">
      <c r="A373">
        <v>0.69</v>
      </c>
      <c r="C373">
        <v>1</v>
      </c>
    </row>
    <row r="374" spans="1:3" x14ac:dyDescent="0.35">
      <c r="A374">
        <v>0.86</v>
      </c>
      <c r="C374">
        <v>0.92</v>
      </c>
    </row>
    <row r="375" spans="1:3" x14ac:dyDescent="0.35">
      <c r="A375">
        <v>0.6</v>
      </c>
      <c r="C375">
        <v>0.93</v>
      </c>
    </row>
    <row r="376" spans="1:3" x14ac:dyDescent="0.35">
      <c r="A376">
        <v>0.5</v>
      </c>
      <c r="C376">
        <v>0.95</v>
      </c>
    </row>
    <row r="377" spans="1:3" x14ac:dyDescent="0.35">
      <c r="A377">
        <v>0.61</v>
      </c>
      <c r="C377">
        <v>0.75</v>
      </c>
    </row>
    <row r="378" spans="1:3" x14ac:dyDescent="0.35">
      <c r="A378">
        <v>0.36</v>
      </c>
      <c r="C378">
        <v>0.47</v>
      </c>
    </row>
    <row r="379" spans="1:3" x14ac:dyDescent="0.35">
      <c r="A379">
        <v>0.5</v>
      </c>
      <c r="C379">
        <v>0.71</v>
      </c>
    </row>
    <row r="380" spans="1:3" x14ac:dyDescent="0.35">
      <c r="A380">
        <v>0.37</v>
      </c>
      <c r="C380">
        <v>0.46</v>
      </c>
    </row>
    <row r="381" spans="1:3" x14ac:dyDescent="0.35">
      <c r="A381">
        <v>0.43</v>
      </c>
      <c r="C381">
        <v>0.47</v>
      </c>
    </row>
    <row r="382" spans="1:3" x14ac:dyDescent="0.35">
      <c r="A382">
        <v>0.4</v>
      </c>
      <c r="C382">
        <v>0.56999999999999995</v>
      </c>
    </row>
    <row r="383" spans="1:3" x14ac:dyDescent="0.35">
      <c r="A383">
        <v>0.94</v>
      </c>
      <c r="C383">
        <v>0.94</v>
      </c>
    </row>
    <row r="384" spans="1:3" x14ac:dyDescent="0.35">
      <c r="A384">
        <v>0.23</v>
      </c>
      <c r="C384">
        <v>0.6</v>
      </c>
    </row>
    <row r="385" spans="1:3" x14ac:dyDescent="0.35">
      <c r="A385">
        <v>0.69</v>
      </c>
      <c r="C385">
        <v>0.71</v>
      </c>
    </row>
    <row r="386" spans="1:3" x14ac:dyDescent="0.35">
      <c r="A386">
        <v>0.43</v>
      </c>
      <c r="C386">
        <v>0.91</v>
      </c>
    </row>
    <row r="387" spans="1:3" x14ac:dyDescent="0.35">
      <c r="A387">
        <v>0.25</v>
      </c>
      <c r="C387">
        <v>0.54</v>
      </c>
    </row>
    <row r="388" spans="1:3" x14ac:dyDescent="0.35">
      <c r="A388">
        <v>0.46</v>
      </c>
      <c r="C388">
        <v>0.71</v>
      </c>
    </row>
    <row r="389" spans="1:3" x14ac:dyDescent="0.35">
      <c r="A389">
        <v>0.61</v>
      </c>
      <c r="C389">
        <v>0.64</v>
      </c>
    </row>
    <row r="390" spans="1:3" x14ac:dyDescent="0.35">
      <c r="A390">
        <v>0.67</v>
      </c>
      <c r="C390">
        <v>0.82</v>
      </c>
    </row>
    <row r="391" spans="1:3" x14ac:dyDescent="0.35">
      <c r="A391">
        <v>0.75</v>
      </c>
      <c r="C391">
        <v>1</v>
      </c>
    </row>
    <row r="392" spans="1:3" x14ac:dyDescent="0.35">
      <c r="A392">
        <v>0.5</v>
      </c>
      <c r="C392">
        <v>0.72</v>
      </c>
    </row>
    <row r="393" spans="1:3" x14ac:dyDescent="0.35">
      <c r="A393">
        <v>0.23</v>
      </c>
      <c r="C393">
        <v>0.4</v>
      </c>
    </row>
    <row r="394" spans="1:3" x14ac:dyDescent="0.35">
      <c r="A394">
        <v>0.48</v>
      </c>
      <c r="C394">
        <v>0.71</v>
      </c>
    </row>
    <row r="395" spans="1:3" x14ac:dyDescent="0.35">
      <c r="A395">
        <v>0.41</v>
      </c>
      <c r="C395">
        <v>0.52</v>
      </c>
    </row>
    <row r="396" spans="1:3" x14ac:dyDescent="0.35">
      <c r="A396">
        <v>0.5</v>
      </c>
      <c r="C396">
        <v>0.54</v>
      </c>
    </row>
    <row r="397" spans="1:3" x14ac:dyDescent="0.35">
      <c r="A397">
        <v>0.6</v>
      </c>
      <c r="C397">
        <v>0.61</v>
      </c>
    </row>
    <row r="398" spans="1:3" x14ac:dyDescent="0.35">
      <c r="A398">
        <v>0.54</v>
      </c>
      <c r="C398">
        <v>0.75</v>
      </c>
    </row>
    <row r="399" spans="1:3" x14ac:dyDescent="0.35">
      <c r="A399">
        <v>0.57999999999999996</v>
      </c>
      <c r="C399">
        <v>0.69</v>
      </c>
    </row>
    <row r="400" spans="1:3" x14ac:dyDescent="0.35">
      <c r="A400">
        <v>0.47</v>
      </c>
      <c r="C400">
        <v>0.65</v>
      </c>
    </row>
    <row r="401" spans="1:3" x14ac:dyDescent="0.35">
      <c r="A401">
        <v>0.51</v>
      </c>
      <c r="C401">
        <v>0.65</v>
      </c>
    </row>
    <row r="402" spans="1:3" x14ac:dyDescent="0.35">
      <c r="A402">
        <v>0.76</v>
      </c>
      <c r="C402">
        <v>0.99</v>
      </c>
    </row>
    <row r="403" spans="1:3" x14ac:dyDescent="0.35">
      <c r="A403">
        <v>0.2</v>
      </c>
      <c r="C403">
        <v>0.39</v>
      </c>
    </row>
    <row r="404" spans="1:3" x14ac:dyDescent="0.35">
      <c r="A404">
        <v>0.67</v>
      </c>
      <c r="C404">
        <v>0.76</v>
      </c>
    </row>
    <row r="405" spans="1:3" x14ac:dyDescent="0.35">
      <c r="A405">
        <v>1</v>
      </c>
      <c r="C405">
        <v>1</v>
      </c>
    </row>
    <row r="406" spans="1:3" x14ac:dyDescent="0.35">
      <c r="A406">
        <v>0.62</v>
      </c>
      <c r="C406">
        <v>0.65</v>
      </c>
    </row>
    <row r="407" spans="1:3" x14ac:dyDescent="0.35">
      <c r="A407">
        <v>0.89</v>
      </c>
      <c r="C407">
        <v>0.95</v>
      </c>
    </row>
    <row r="408" spans="1:3" x14ac:dyDescent="0.35">
      <c r="A408">
        <v>0.62</v>
      </c>
      <c r="C408">
        <v>0.82</v>
      </c>
    </row>
    <row r="409" spans="1:3" x14ac:dyDescent="0.35">
      <c r="A409">
        <v>0.5</v>
      </c>
      <c r="C409">
        <v>0.97</v>
      </c>
    </row>
    <row r="410" spans="1:3" x14ac:dyDescent="0.35">
      <c r="A410">
        <v>0.45</v>
      </c>
      <c r="C410">
        <v>0.86</v>
      </c>
    </row>
    <row r="411" spans="1:3" x14ac:dyDescent="0.35">
      <c r="A411">
        <v>0.3</v>
      </c>
      <c r="C411">
        <v>0.36</v>
      </c>
    </row>
    <row r="412" spans="1:3" x14ac:dyDescent="0.35">
      <c r="A412">
        <v>0.56000000000000005</v>
      </c>
      <c r="C412">
        <v>0.76</v>
      </c>
    </row>
    <row r="413" spans="1:3" x14ac:dyDescent="0.35">
      <c r="A413">
        <v>0.53</v>
      </c>
      <c r="C413">
        <v>0.56000000000000005</v>
      </c>
    </row>
    <row r="414" spans="1:3" x14ac:dyDescent="0.35">
      <c r="A414">
        <v>0.43</v>
      </c>
      <c r="C414">
        <v>0.54</v>
      </c>
    </row>
    <row r="415" spans="1:3" x14ac:dyDescent="0.35">
      <c r="A415">
        <v>0.42</v>
      </c>
      <c r="C415">
        <v>0.46</v>
      </c>
    </row>
    <row r="416" spans="1:3" x14ac:dyDescent="0.35">
      <c r="A416">
        <v>1</v>
      </c>
      <c r="C416">
        <v>1</v>
      </c>
    </row>
    <row r="417" spans="1:3" x14ac:dyDescent="0.35">
      <c r="A417">
        <v>0.23</v>
      </c>
      <c r="C417">
        <v>0.56000000000000005</v>
      </c>
    </row>
    <row r="418" spans="1:3" x14ac:dyDescent="0.35">
      <c r="A418">
        <v>0.77</v>
      </c>
      <c r="C418">
        <v>0.83</v>
      </c>
    </row>
    <row r="419" spans="1:3" x14ac:dyDescent="0.35">
      <c r="A419">
        <v>0.6</v>
      </c>
      <c r="C419">
        <v>1</v>
      </c>
    </row>
    <row r="420" spans="1:3" x14ac:dyDescent="0.35">
      <c r="A420">
        <v>0.22</v>
      </c>
      <c r="C420">
        <v>0.49</v>
      </c>
    </row>
    <row r="421" spans="1:3" x14ac:dyDescent="0.35">
      <c r="A421">
        <v>0.62</v>
      </c>
      <c r="C421">
        <v>0.81</v>
      </c>
    </row>
    <row r="422" spans="1:3" x14ac:dyDescent="0.35">
      <c r="A422">
        <v>0.63</v>
      </c>
      <c r="C422">
        <v>0.65</v>
      </c>
    </row>
    <row r="423" spans="1:3" x14ac:dyDescent="0.35">
      <c r="A423">
        <v>0.92</v>
      </c>
      <c r="C423">
        <v>0.96</v>
      </c>
    </row>
    <row r="424" spans="1:3" x14ac:dyDescent="0.35">
      <c r="A424">
        <v>0.79</v>
      </c>
      <c r="C424">
        <v>0.94</v>
      </c>
    </row>
    <row r="425" spans="1:3" x14ac:dyDescent="0.35">
      <c r="A425">
        <v>0.5</v>
      </c>
      <c r="C425">
        <v>0.7</v>
      </c>
    </row>
    <row r="426" spans="1:3" x14ac:dyDescent="0.35">
      <c r="A426">
        <v>0.47</v>
      </c>
      <c r="C426">
        <v>0.52</v>
      </c>
    </row>
    <row r="427" spans="1:3" x14ac:dyDescent="0.35">
      <c r="A427">
        <v>0.53</v>
      </c>
      <c r="C427">
        <v>0.7</v>
      </c>
    </row>
    <row r="428" spans="1:3" x14ac:dyDescent="0.35">
      <c r="A428">
        <v>0.52</v>
      </c>
      <c r="C428">
        <v>0.61</v>
      </c>
    </row>
    <row r="429" spans="1:3" x14ac:dyDescent="0.35">
      <c r="A429">
        <v>0.38</v>
      </c>
      <c r="C429">
        <v>0.51</v>
      </c>
    </row>
    <row r="430" spans="1:3" x14ac:dyDescent="0.35">
      <c r="A430">
        <v>0.56000000000000005</v>
      </c>
      <c r="C430">
        <v>0.56999999999999995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81E8-E5F6-4B1E-B584-0F2B420AA982}">
  <dimension ref="A1:O54"/>
  <sheetViews>
    <sheetView topLeftCell="B40" workbookViewId="0">
      <selection activeCell="C51" sqref="C51:O51"/>
    </sheetView>
  </sheetViews>
  <sheetFormatPr defaultRowHeight="14.5" x14ac:dyDescent="0.35"/>
  <sheetData>
    <row r="1" spans="1:15" x14ac:dyDescent="0.35">
      <c r="A1" t="s">
        <v>104</v>
      </c>
      <c r="B1" t="s">
        <v>105</v>
      </c>
      <c r="C1" t="s">
        <v>0</v>
      </c>
      <c r="D1" t="s">
        <v>1</v>
      </c>
      <c r="E1" t="s">
        <v>2</v>
      </c>
      <c r="F1" t="s">
        <v>3</v>
      </c>
      <c r="G1" t="s">
        <v>4</v>
      </c>
      <c r="H1" t="s">
        <v>5</v>
      </c>
      <c r="I1" t="s">
        <v>6</v>
      </c>
      <c r="J1" t="s">
        <v>7</v>
      </c>
      <c r="K1" t="s">
        <v>8</v>
      </c>
      <c r="L1" t="s">
        <v>9</v>
      </c>
      <c r="M1" t="s">
        <v>10</v>
      </c>
      <c r="N1" t="s">
        <v>11</v>
      </c>
      <c r="O1" t="s">
        <v>12</v>
      </c>
    </row>
    <row r="2" spans="1:15" x14ac:dyDescent="0.35">
      <c r="A2" t="s">
        <v>15</v>
      </c>
      <c r="B2" t="s">
        <v>16</v>
      </c>
      <c r="C2">
        <v>0.43999999999999995</v>
      </c>
      <c r="D2">
        <v>0.28000000000000003</v>
      </c>
      <c r="E2">
        <v>0.38000000000000006</v>
      </c>
      <c r="F2">
        <v>0.37</v>
      </c>
      <c r="G2">
        <v>0.35</v>
      </c>
      <c r="H2">
        <v>0.33999999999999997</v>
      </c>
      <c r="I2">
        <v>0.23000000000000009</v>
      </c>
      <c r="J2">
        <v>0.19999999999999996</v>
      </c>
      <c r="K2">
        <v>0.24</v>
      </c>
      <c r="L2">
        <v>0.15000000000000002</v>
      </c>
      <c r="M2">
        <v>0.16000000000000003</v>
      </c>
      <c r="N2">
        <v>0</v>
      </c>
      <c r="O2">
        <v>0</v>
      </c>
    </row>
    <row r="3" spans="1:15" x14ac:dyDescent="0.35">
      <c r="A3" t="s">
        <v>15</v>
      </c>
      <c r="B3" t="s">
        <v>17</v>
      </c>
      <c r="C3">
        <v>0.5</v>
      </c>
      <c r="D3">
        <v>0.41000000000000003</v>
      </c>
      <c r="E3">
        <v>0.45999999999999996</v>
      </c>
      <c r="F3">
        <v>0.51</v>
      </c>
      <c r="G3">
        <v>0.44999999999999996</v>
      </c>
      <c r="H3">
        <v>0.41000000000000003</v>
      </c>
      <c r="I3">
        <v>0.39</v>
      </c>
      <c r="J3">
        <v>0.43000000000000005</v>
      </c>
      <c r="K3">
        <v>0.44</v>
      </c>
      <c r="L3">
        <v>0.47</v>
      </c>
      <c r="M3">
        <v>0.43000000000000005</v>
      </c>
      <c r="N3">
        <v>0.21000000000000008</v>
      </c>
      <c r="O3">
        <v>0</v>
      </c>
    </row>
    <row r="4" spans="1:15" x14ac:dyDescent="0.35">
      <c r="A4" t="s">
        <v>18</v>
      </c>
      <c r="B4" t="s">
        <v>16</v>
      </c>
      <c r="C4">
        <v>0.39</v>
      </c>
      <c r="D4">
        <v>0.47</v>
      </c>
      <c r="E4">
        <v>0.49999999999999994</v>
      </c>
      <c r="F4">
        <v>0.51</v>
      </c>
      <c r="G4">
        <v>0.49000000000000005</v>
      </c>
      <c r="H4">
        <v>0.45</v>
      </c>
      <c r="I4">
        <v>0.47000000000000003</v>
      </c>
      <c r="J4">
        <v>0.38</v>
      </c>
      <c r="K4">
        <v>0.42</v>
      </c>
      <c r="L4">
        <v>0.46</v>
      </c>
      <c r="M4">
        <v>0.41000000000000003</v>
      </c>
      <c r="N4">
        <v>0.34000000000000008</v>
      </c>
      <c r="O4">
        <v>0.42</v>
      </c>
    </row>
    <row r="5" spans="1:15" x14ac:dyDescent="0.35">
      <c r="A5" t="s">
        <v>18</v>
      </c>
      <c r="B5" t="s">
        <v>16</v>
      </c>
      <c r="C5">
        <v>0.15999999999999992</v>
      </c>
      <c r="D5">
        <v>0.12</v>
      </c>
      <c r="E5">
        <v>0.24</v>
      </c>
      <c r="F5">
        <v>0.2599999999999999</v>
      </c>
      <c r="G5">
        <v>0.32</v>
      </c>
      <c r="H5">
        <v>0.3</v>
      </c>
      <c r="I5">
        <v>0.36000000000000004</v>
      </c>
      <c r="J5">
        <v>0.35000000000000003</v>
      </c>
      <c r="K5">
        <v>0.32999999999999996</v>
      </c>
      <c r="L5">
        <v>0.25</v>
      </c>
      <c r="M5">
        <v>0.33</v>
      </c>
      <c r="N5">
        <v>0.16999999999999993</v>
      </c>
      <c r="O5">
        <v>0.18000000000000005</v>
      </c>
    </row>
    <row r="6" spans="1:15" x14ac:dyDescent="0.35">
      <c r="A6" t="s">
        <v>18</v>
      </c>
      <c r="B6" t="s">
        <v>17</v>
      </c>
      <c r="C6">
        <v>0.16000000000000003</v>
      </c>
      <c r="D6">
        <v>0.13</v>
      </c>
      <c r="E6">
        <v>0.1399999999999999</v>
      </c>
      <c r="F6">
        <v>0.15000000000000002</v>
      </c>
      <c r="G6">
        <v>0.19</v>
      </c>
      <c r="H6">
        <v>0.18</v>
      </c>
      <c r="I6">
        <v>0.22000000000000003</v>
      </c>
      <c r="J6">
        <v>0.16999999999999998</v>
      </c>
      <c r="K6">
        <v>0.13</v>
      </c>
      <c r="L6">
        <v>0.14999999999999997</v>
      </c>
      <c r="M6">
        <v>0.10999999999999993</v>
      </c>
      <c r="N6">
        <v>7.0000000000000062E-2</v>
      </c>
      <c r="O6">
        <v>6.9999999999999951E-2</v>
      </c>
    </row>
    <row r="7" spans="1:15" x14ac:dyDescent="0.35">
      <c r="A7" t="s">
        <v>18</v>
      </c>
      <c r="B7" t="s">
        <v>16</v>
      </c>
      <c r="C7">
        <v>0.49</v>
      </c>
      <c r="D7">
        <v>0.5</v>
      </c>
      <c r="E7">
        <v>0.53</v>
      </c>
      <c r="F7">
        <v>0.43999999999999995</v>
      </c>
      <c r="G7">
        <v>0.22999999999999998</v>
      </c>
      <c r="H7">
        <v>0.10000000000000009</v>
      </c>
      <c r="I7">
        <v>0.27999999999999992</v>
      </c>
      <c r="J7">
        <v>0.35</v>
      </c>
      <c r="K7">
        <v>0.57000000000000006</v>
      </c>
      <c r="L7">
        <v>0.58000000000000007</v>
      </c>
      <c r="M7">
        <v>0.53</v>
      </c>
      <c r="N7">
        <v>0.22000000000000008</v>
      </c>
      <c r="O7">
        <v>0.29999999999999993</v>
      </c>
    </row>
    <row r="8" spans="1:15" x14ac:dyDescent="0.35">
      <c r="A8" t="s">
        <v>18</v>
      </c>
      <c r="B8" t="s">
        <v>16</v>
      </c>
      <c r="C8">
        <v>0.37</v>
      </c>
      <c r="D8">
        <v>0.43000000000000005</v>
      </c>
      <c r="E8">
        <v>0.56000000000000005</v>
      </c>
      <c r="F8">
        <v>0.54</v>
      </c>
      <c r="G8">
        <v>0.55000000000000004</v>
      </c>
      <c r="H8">
        <v>0.56000000000000005</v>
      </c>
      <c r="I8">
        <v>0.47</v>
      </c>
      <c r="J8">
        <v>0.93</v>
      </c>
      <c r="K8">
        <v>0.83000000000000007</v>
      </c>
      <c r="L8">
        <v>0.51</v>
      </c>
      <c r="M8">
        <v>0.47000000000000003</v>
      </c>
      <c r="N8">
        <v>0.41000000000000003</v>
      </c>
      <c r="O8">
        <v>0.47000000000000003</v>
      </c>
    </row>
    <row r="9" spans="1:15" x14ac:dyDescent="0.35">
      <c r="A9" t="s">
        <v>18</v>
      </c>
      <c r="B9" t="s">
        <v>16</v>
      </c>
      <c r="C9">
        <v>0.53</v>
      </c>
      <c r="D9">
        <v>0.43000000000000005</v>
      </c>
      <c r="E9">
        <v>0.41999999999999993</v>
      </c>
      <c r="F9">
        <v>0.43999999999999995</v>
      </c>
      <c r="G9">
        <v>0.36000000000000004</v>
      </c>
      <c r="H9">
        <v>0.39</v>
      </c>
      <c r="I9">
        <v>0.33000000000000007</v>
      </c>
      <c r="J9">
        <v>0.4</v>
      </c>
      <c r="K9">
        <v>0.38</v>
      </c>
      <c r="L9">
        <v>0.36</v>
      </c>
      <c r="M9">
        <v>0.26999999999999996</v>
      </c>
      <c r="N9">
        <v>0.2</v>
      </c>
      <c r="O9">
        <v>0.24999999999999994</v>
      </c>
    </row>
    <row r="10" spans="1:15" x14ac:dyDescent="0.35">
      <c r="A10" t="s">
        <v>18</v>
      </c>
      <c r="B10" t="s">
        <v>16</v>
      </c>
      <c r="C10">
        <v>0.51</v>
      </c>
      <c r="D10">
        <v>0.51</v>
      </c>
      <c r="E10">
        <v>0.61</v>
      </c>
      <c r="F10">
        <v>0.64</v>
      </c>
      <c r="G10">
        <v>0.63</v>
      </c>
      <c r="H10">
        <v>0.51</v>
      </c>
      <c r="I10">
        <v>0.6100000000000001</v>
      </c>
      <c r="J10">
        <v>0.56000000000000005</v>
      </c>
      <c r="K10">
        <v>0.59</v>
      </c>
      <c r="L10">
        <v>0.52</v>
      </c>
      <c r="M10">
        <v>0.5</v>
      </c>
      <c r="N10">
        <v>0.45000000000000007</v>
      </c>
      <c r="O10">
        <v>0.51</v>
      </c>
    </row>
    <row r="11" spans="1:15" x14ac:dyDescent="0.35">
      <c r="A11" t="s">
        <v>18</v>
      </c>
      <c r="B11" t="s">
        <v>16</v>
      </c>
      <c r="C11">
        <v>0.32999999999999996</v>
      </c>
      <c r="D11">
        <v>0.28000000000000003</v>
      </c>
      <c r="E11">
        <v>0.25999999999999995</v>
      </c>
      <c r="F11">
        <v>0.21000000000000002</v>
      </c>
      <c r="G11">
        <v>0.26</v>
      </c>
      <c r="H11">
        <v>0.31000000000000005</v>
      </c>
      <c r="I11">
        <v>0.27</v>
      </c>
      <c r="J11">
        <v>0.19999999999999998</v>
      </c>
      <c r="K11">
        <v>0.27</v>
      </c>
      <c r="L11">
        <v>0.26</v>
      </c>
      <c r="M11">
        <v>0.16</v>
      </c>
      <c r="N11">
        <v>0.24000000000000002</v>
      </c>
      <c r="O11">
        <v>9.9999999999999978E-2</v>
      </c>
    </row>
    <row r="12" spans="1:15" x14ac:dyDescent="0.35">
      <c r="A12" t="s">
        <v>18</v>
      </c>
      <c r="B12" t="s">
        <v>16</v>
      </c>
      <c r="C12">
        <v>0.38</v>
      </c>
      <c r="D12">
        <v>0.45999999999999996</v>
      </c>
      <c r="E12">
        <v>0.51</v>
      </c>
      <c r="F12">
        <v>0.58000000000000007</v>
      </c>
      <c r="G12">
        <v>0.53</v>
      </c>
      <c r="H12">
        <v>0.37</v>
      </c>
      <c r="I12">
        <v>0.30999999999999994</v>
      </c>
      <c r="J12">
        <v>0.36000000000000004</v>
      </c>
      <c r="K12">
        <v>0.37</v>
      </c>
      <c r="L12">
        <v>0.27000000000000007</v>
      </c>
      <c r="M12">
        <v>0.24</v>
      </c>
      <c r="N12">
        <v>0.21000000000000008</v>
      </c>
      <c r="O12">
        <v>0.22999999999999998</v>
      </c>
    </row>
    <row r="13" spans="1:15" x14ac:dyDescent="0.35">
      <c r="A13" t="s">
        <v>18</v>
      </c>
      <c r="B13" t="s">
        <v>17</v>
      </c>
      <c r="C13">
        <v>0.32000000000000006</v>
      </c>
      <c r="D13">
        <v>0.38</v>
      </c>
      <c r="E13">
        <v>0.47</v>
      </c>
      <c r="F13">
        <v>0.44999999999999996</v>
      </c>
      <c r="G13">
        <v>0.43</v>
      </c>
      <c r="H13">
        <v>0.43999999999999995</v>
      </c>
      <c r="I13">
        <v>0.46</v>
      </c>
      <c r="J13">
        <v>0.51</v>
      </c>
      <c r="K13">
        <v>0.52</v>
      </c>
      <c r="L13">
        <v>0.51</v>
      </c>
      <c r="M13">
        <v>0.51</v>
      </c>
      <c r="N13">
        <v>0.42999999999999994</v>
      </c>
      <c r="O13">
        <v>0.26999999999999996</v>
      </c>
    </row>
    <row r="14" spans="1:15" x14ac:dyDescent="0.35">
      <c r="A14" t="s">
        <v>18</v>
      </c>
      <c r="B14" t="s">
        <v>17</v>
      </c>
      <c r="C14">
        <v>0.26</v>
      </c>
      <c r="D14">
        <v>0.6399999999999999</v>
      </c>
      <c r="E14">
        <v>0.65</v>
      </c>
      <c r="F14">
        <v>0.60000000000000009</v>
      </c>
      <c r="G14">
        <v>0.54999999999999993</v>
      </c>
      <c r="H14">
        <v>0.51</v>
      </c>
      <c r="I14">
        <v>0.64999999999999991</v>
      </c>
      <c r="J14">
        <v>0.49</v>
      </c>
      <c r="K14">
        <v>0.80999999999999994</v>
      </c>
      <c r="L14">
        <v>0.35</v>
      </c>
      <c r="M14">
        <v>0.53</v>
      </c>
      <c r="N14">
        <v>0.32999999999999996</v>
      </c>
      <c r="O14">
        <v>0.27999999999999997</v>
      </c>
    </row>
    <row r="15" spans="1:15" x14ac:dyDescent="0.35">
      <c r="A15" t="s">
        <v>18</v>
      </c>
      <c r="B15" t="s">
        <v>16</v>
      </c>
      <c r="C15">
        <v>0.29999999999999993</v>
      </c>
      <c r="D15">
        <v>0.51</v>
      </c>
      <c r="E15">
        <v>0.64</v>
      </c>
      <c r="F15">
        <v>0.60000000000000009</v>
      </c>
      <c r="G15">
        <v>0.54999999999999993</v>
      </c>
      <c r="H15">
        <v>0.56000000000000005</v>
      </c>
      <c r="I15">
        <v>0.69000000000000006</v>
      </c>
      <c r="J15">
        <v>0.64</v>
      </c>
      <c r="K15">
        <v>0.62</v>
      </c>
      <c r="L15">
        <v>0.61</v>
      </c>
      <c r="M15">
        <v>0.54</v>
      </c>
      <c r="N15">
        <v>0.65</v>
      </c>
      <c r="O15">
        <v>0.62</v>
      </c>
    </row>
    <row r="16" spans="1:15" x14ac:dyDescent="0.35">
      <c r="A16" t="s">
        <v>18</v>
      </c>
      <c r="B16" t="s">
        <v>16</v>
      </c>
      <c r="C16">
        <v>0.18000000000000005</v>
      </c>
      <c r="D16">
        <v>0.18000000000000005</v>
      </c>
      <c r="E16">
        <v>0.26999999999999991</v>
      </c>
      <c r="F16">
        <v>0.37</v>
      </c>
      <c r="G16">
        <v>0.21999999999999997</v>
      </c>
      <c r="H16">
        <v>0.35</v>
      </c>
      <c r="I16">
        <v>0.46</v>
      </c>
      <c r="J16">
        <v>0.39</v>
      </c>
      <c r="K16">
        <v>0.36000000000000004</v>
      </c>
      <c r="L16">
        <v>0.32</v>
      </c>
      <c r="M16">
        <v>0.28999999999999998</v>
      </c>
      <c r="N16">
        <v>0.38999999999999996</v>
      </c>
      <c r="O16">
        <v>0.38000000000000006</v>
      </c>
    </row>
    <row r="17" spans="1:15" x14ac:dyDescent="0.35">
      <c r="A17" t="s">
        <v>18</v>
      </c>
      <c r="B17" t="s">
        <v>16</v>
      </c>
      <c r="C17">
        <v>0.19000000000000006</v>
      </c>
      <c r="D17">
        <v>0.27</v>
      </c>
      <c r="E17">
        <v>0.32999999999999996</v>
      </c>
      <c r="F17">
        <v>0.44999999999999996</v>
      </c>
      <c r="G17">
        <v>0.56999999999999995</v>
      </c>
      <c r="H17">
        <v>0.53</v>
      </c>
      <c r="I17">
        <v>0.46</v>
      </c>
      <c r="J17">
        <v>0.57999999999999996</v>
      </c>
      <c r="K17">
        <v>0.39</v>
      </c>
      <c r="L17">
        <v>0.46</v>
      </c>
      <c r="M17">
        <v>0.37000000000000005</v>
      </c>
      <c r="N17">
        <v>0.41</v>
      </c>
      <c r="O17">
        <v>0.25000000000000006</v>
      </c>
    </row>
    <row r="18" spans="1:15" x14ac:dyDescent="0.35">
      <c r="A18" t="s">
        <v>18</v>
      </c>
      <c r="B18" t="s">
        <v>16</v>
      </c>
      <c r="C18">
        <v>0.49</v>
      </c>
      <c r="D18">
        <v>0.69</v>
      </c>
      <c r="E18">
        <v>0.47000000000000003</v>
      </c>
      <c r="F18">
        <v>0.54</v>
      </c>
      <c r="G18">
        <v>0.56000000000000005</v>
      </c>
      <c r="H18">
        <v>0.59000000000000008</v>
      </c>
      <c r="I18">
        <v>0.57999999999999996</v>
      </c>
      <c r="J18">
        <v>0.58000000000000007</v>
      </c>
      <c r="K18">
        <v>0.5</v>
      </c>
      <c r="L18">
        <v>0.44000000000000006</v>
      </c>
      <c r="M18">
        <v>0.52</v>
      </c>
      <c r="N18">
        <v>0.42</v>
      </c>
      <c r="O18">
        <v>0.35000000000000003</v>
      </c>
    </row>
    <row r="19" spans="1:15" x14ac:dyDescent="0.35">
      <c r="A19" s="3" t="s">
        <v>18</v>
      </c>
      <c r="B19" t="s">
        <v>16</v>
      </c>
      <c r="C19" s="3">
        <v>0.55000000000000004</v>
      </c>
      <c r="D19" s="3">
        <v>0.42000000000000004</v>
      </c>
      <c r="E19" s="3">
        <v>0.55999999999999994</v>
      </c>
      <c r="F19" s="3">
        <v>0.53999999999999992</v>
      </c>
      <c r="G19" s="3">
        <v>0.55999999999999994</v>
      </c>
      <c r="H19" s="3">
        <v>0.54999999999999993</v>
      </c>
      <c r="I19" s="3">
        <v>0.66999999999999993</v>
      </c>
      <c r="J19" s="3">
        <v>0.57999999999999996</v>
      </c>
      <c r="K19" s="3">
        <v>0.55000000000000004</v>
      </c>
      <c r="L19" s="3">
        <v>0.44</v>
      </c>
      <c r="M19" s="3">
        <v>0.32999999999999996</v>
      </c>
      <c r="N19" s="3">
        <v>0.38</v>
      </c>
      <c r="O19" s="3">
        <v>0</v>
      </c>
    </row>
    <row r="20" spans="1:15" x14ac:dyDescent="0.35">
      <c r="A20" s="3" t="s">
        <v>18</v>
      </c>
      <c r="B20" t="s">
        <v>16</v>
      </c>
      <c r="C20" s="3">
        <v>0.49000000000000005</v>
      </c>
      <c r="D20" s="3">
        <v>0.28000000000000003</v>
      </c>
      <c r="E20" s="3">
        <v>0.19999999999999996</v>
      </c>
      <c r="F20" s="3">
        <v>0.31999999999999995</v>
      </c>
      <c r="G20" s="3">
        <v>0.48000000000000004</v>
      </c>
      <c r="H20" s="3">
        <v>0.26999999999999996</v>
      </c>
      <c r="I20" s="3">
        <v>0.49</v>
      </c>
      <c r="J20" s="3">
        <v>0.16000000000000003</v>
      </c>
      <c r="K20" s="3">
        <v>0.37999999999999995</v>
      </c>
      <c r="L20" s="3">
        <v>0.10999999999999999</v>
      </c>
      <c r="M20" s="3">
        <v>0.31999999999999995</v>
      </c>
      <c r="N20" s="3">
        <v>0.17999999999999994</v>
      </c>
      <c r="O20" s="3">
        <v>0.12</v>
      </c>
    </row>
    <row r="21" spans="1:15" x14ac:dyDescent="0.35">
      <c r="A21" s="3" t="s">
        <v>18</v>
      </c>
      <c r="B21" t="s">
        <v>16</v>
      </c>
      <c r="C21" s="3">
        <v>0.22999999999999998</v>
      </c>
      <c r="D21" s="3">
        <v>0.37000000000000005</v>
      </c>
      <c r="E21" s="3">
        <v>0.32999999999999996</v>
      </c>
      <c r="F21" s="3">
        <v>0.36000000000000004</v>
      </c>
      <c r="G21" s="3">
        <v>0.39000000000000007</v>
      </c>
      <c r="H21" s="3">
        <v>0.41000000000000003</v>
      </c>
      <c r="I21" s="3">
        <v>0.37</v>
      </c>
      <c r="J21" s="3">
        <v>0.26</v>
      </c>
      <c r="K21" s="3">
        <v>0.31000000000000005</v>
      </c>
      <c r="L21" s="3">
        <v>0.30000000000000004</v>
      </c>
      <c r="M21" s="3">
        <v>0.31999999999999995</v>
      </c>
      <c r="N21" s="3">
        <v>0.15000000000000002</v>
      </c>
      <c r="O21" s="3">
        <v>0.19000000000000006</v>
      </c>
    </row>
    <row r="22" spans="1:15" x14ac:dyDescent="0.35">
      <c r="A22" s="3" t="s">
        <v>20</v>
      </c>
      <c r="B22" s="46" t="s">
        <v>8386</v>
      </c>
      <c r="C22" s="3">
        <v>0.32000000000000006</v>
      </c>
      <c r="D22" s="3">
        <v>0.41</v>
      </c>
      <c r="E22" s="3">
        <v>0.44000000000000006</v>
      </c>
      <c r="F22" s="3">
        <v>0.56000000000000005</v>
      </c>
      <c r="G22" s="3">
        <v>0.48</v>
      </c>
      <c r="H22" s="3">
        <v>0.52</v>
      </c>
      <c r="I22" s="3">
        <v>0.43999999999999995</v>
      </c>
      <c r="J22" s="3">
        <v>0.37000000000000005</v>
      </c>
      <c r="K22" s="3">
        <v>0.32</v>
      </c>
      <c r="L22" s="3">
        <v>0.39</v>
      </c>
      <c r="M22" s="3">
        <v>0.27</v>
      </c>
      <c r="N22" s="3">
        <v>0.25</v>
      </c>
      <c r="O22" s="3">
        <v>0.20999999999999996</v>
      </c>
    </row>
    <row r="23" spans="1:15" x14ac:dyDescent="0.35">
      <c r="A23" s="3" t="s">
        <v>18</v>
      </c>
      <c r="B23" t="s">
        <v>16</v>
      </c>
      <c r="C23" s="3">
        <v>0.12</v>
      </c>
      <c r="D23" s="3">
        <v>6.9999999999999951E-2</v>
      </c>
      <c r="E23" s="3">
        <v>0.16999999999999998</v>
      </c>
      <c r="F23" s="3">
        <v>0.19000000000000006</v>
      </c>
      <c r="G23" s="3">
        <v>3.999999999999998E-2</v>
      </c>
      <c r="H23" s="3">
        <v>0.13</v>
      </c>
      <c r="I23" s="3">
        <v>0.15000000000000002</v>
      </c>
      <c r="J23" s="3">
        <v>0.16999999999999998</v>
      </c>
      <c r="K23" s="3">
        <v>0.11999999999999997</v>
      </c>
      <c r="L23" s="3">
        <v>3.0000000000000027E-2</v>
      </c>
      <c r="M23" s="3">
        <v>0.12</v>
      </c>
      <c r="N23" s="3">
        <v>0.15000000000000008</v>
      </c>
      <c r="O23" s="3">
        <v>8.9999999999999969E-2</v>
      </c>
    </row>
    <row r="24" spans="1:15" x14ac:dyDescent="0.35">
      <c r="A24" s="3" t="s">
        <v>18</v>
      </c>
      <c r="B24" t="s">
        <v>16</v>
      </c>
      <c r="C24" s="3">
        <v>0.20999999999999996</v>
      </c>
      <c r="D24" s="3">
        <v>0.34</v>
      </c>
      <c r="E24" s="3">
        <v>0.32</v>
      </c>
      <c r="F24" s="3">
        <v>0.34</v>
      </c>
      <c r="G24" s="3">
        <v>0.36000000000000004</v>
      </c>
      <c r="H24" s="3">
        <v>0.3</v>
      </c>
      <c r="I24" s="3">
        <v>0.4</v>
      </c>
      <c r="J24" s="3">
        <v>0.27</v>
      </c>
      <c r="K24" s="3">
        <v>0.20999999999999996</v>
      </c>
      <c r="L24" s="3">
        <v>0.17000000000000004</v>
      </c>
      <c r="M24" s="3">
        <v>0.24</v>
      </c>
      <c r="N24" s="3">
        <v>0.25</v>
      </c>
      <c r="O24" s="3">
        <v>0.24999999999999994</v>
      </c>
    </row>
    <row r="25" spans="1:15" x14ac:dyDescent="0.35">
      <c r="A25" s="3" t="s">
        <v>18</v>
      </c>
      <c r="B25" t="s">
        <v>16</v>
      </c>
      <c r="C25" s="3">
        <v>0.25</v>
      </c>
      <c r="D25" s="3">
        <v>0.29000000000000004</v>
      </c>
      <c r="E25" s="3">
        <v>0.39</v>
      </c>
      <c r="F25" s="3">
        <v>0.38</v>
      </c>
      <c r="G25" s="3">
        <v>0.44999999999999996</v>
      </c>
      <c r="H25" s="3">
        <v>0.33000000000000007</v>
      </c>
      <c r="I25" s="3">
        <v>0.29999999999999993</v>
      </c>
      <c r="J25" s="3">
        <v>0.33999999999999997</v>
      </c>
      <c r="K25" s="3">
        <v>0.4</v>
      </c>
      <c r="L25" s="3">
        <v>0.35</v>
      </c>
      <c r="M25" s="3">
        <v>0.31000000000000005</v>
      </c>
      <c r="N25" s="3">
        <v>0.19999999999999996</v>
      </c>
      <c r="O25" s="3">
        <v>0.26</v>
      </c>
    </row>
    <row r="26" spans="1:15" x14ac:dyDescent="0.35">
      <c r="A26" s="3" t="s">
        <v>18</v>
      </c>
      <c r="B26" t="s">
        <v>16</v>
      </c>
      <c r="C26" s="3">
        <v>0.47</v>
      </c>
      <c r="D26" s="3">
        <v>0.54</v>
      </c>
      <c r="E26" s="3">
        <v>0.57000000000000006</v>
      </c>
      <c r="F26" s="3">
        <v>0.6</v>
      </c>
      <c r="G26" s="3">
        <v>0.52</v>
      </c>
      <c r="H26" s="3">
        <v>0.45000000000000007</v>
      </c>
      <c r="I26" s="3">
        <v>0.62999999999999989</v>
      </c>
      <c r="J26" s="3">
        <v>0.47</v>
      </c>
      <c r="K26" s="3">
        <v>0.59</v>
      </c>
      <c r="L26" s="3">
        <v>0.44</v>
      </c>
      <c r="M26" s="3">
        <v>0.42999999999999994</v>
      </c>
      <c r="N26" s="3">
        <v>0.32</v>
      </c>
      <c r="O26" s="3">
        <v>0.33</v>
      </c>
    </row>
    <row r="27" spans="1:15" x14ac:dyDescent="0.35">
      <c r="A27" s="3" t="s">
        <v>18</v>
      </c>
      <c r="B27" t="s">
        <v>16</v>
      </c>
      <c r="C27" s="3">
        <v>0.15000000000000002</v>
      </c>
      <c r="D27" s="3">
        <v>0.20999999999999996</v>
      </c>
      <c r="E27" s="3">
        <v>0.31999999999999995</v>
      </c>
      <c r="F27" s="3">
        <v>0.24</v>
      </c>
      <c r="G27" s="3">
        <v>0.18</v>
      </c>
      <c r="H27" s="3">
        <v>0.15999999999999998</v>
      </c>
      <c r="I27" s="3">
        <v>0.16000000000000003</v>
      </c>
      <c r="J27" s="3">
        <v>0.13</v>
      </c>
      <c r="K27" s="3">
        <v>0.20999999999999996</v>
      </c>
      <c r="L27" s="3">
        <v>0.17000000000000004</v>
      </c>
      <c r="M27" s="3">
        <v>0.16000000000000003</v>
      </c>
      <c r="N27" s="3">
        <v>0.20999999999999996</v>
      </c>
      <c r="O27" s="3">
        <v>0.18</v>
      </c>
    </row>
    <row r="28" spans="1:15" x14ac:dyDescent="0.35">
      <c r="A28" s="3" t="s">
        <v>18</v>
      </c>
      <c r="B28" s="46" t="s">
        <v>8386</v>
      </c>
      <c r="C28" s="3">
        <v>0.71</v>
      </c>
      <c r="D28" s="3">
        <v>0.69</v>
      </c>
      <c r="E28" s="3">
        <v>0.73</v>
      </c>
      <c r="F28" s="3">
        <v>0.7</v>
      </c>
      <c r="G28" s="3">
        <v>0.75</v>
      </c>
      <c r="H28" s="3">
        <v>0.76</v>
      </c>
      <c r="I28" s="3">
        <v>0.67</v>
      </c>
      <c r="J28" s="3">
        <v>0.71</v>
      </c>
      <c r="K28" s="3">
        <v>0.68</v>
      </c>
      <c r="L28" s="3">
        <v>0.64</v>
      </c>
      <c r="M28" s="3">
        <v>0.71000000000000008</v>
      </c>
      <c r="N28" s="3">
        <v>0.68</v>
      </c>
      <c r="O28" s="3">
        <v>0.67</v>
      </c>
    </row>
    <row r="29" spans="1:15" x14ac:dyDescent="0.35">
      <c r="A29" s="3" t="s">
        <v>18</v>
      </c>
      <c r="B29" t="s">
        <v>16</v>
      </c>
      <c r="C29" s="3">
        <v>0.31000000000000005</v>
      </c>
      <c r="D29" s="3">
        <v>0.38999999999999996</v>
      </c>
      <c r="E29" s="3">
        <v>0.45000000000000007</v>
      </c>
      <c r="F29" s="3">
        <v>0.28999999999999998</v>
      </c>
      <c r="G29" s="3">
        <v>0.42000000000000004</v>
      </c>
      <c r="H29" s="3">
        <v>0.48000000000000004</v>
      </c>
      <c r="I29" s="3">
        <v>0.44</v>
      </c>
      <c r="J29" s="3">
        <v>0.4</v>
      </c>
      <c r="K29" s="3">
        <v>0.40999999999999992</v>
      </c>
      <c r="L29" s="3">
        <v>0.33</v>
      </c>
      <c r="M29" s="3">
        <v>0.3</v>
      </c>
      <c r="N29" s="3">
        <v>0.22000000000000003</v>
      </c>
      <c r="O29" s="3">
        <v>0.16000000000000003</v>
      </c>
    </row>
    <row r="30" spans="1:15" x14ac:dyDescent="0.35">
      <c r="A30" s="3" t="s">
        <v>18</v>
      </c>
      <c r="B30" t="s">
        <v>16</v>
      </c>
      <c r="C30" s="3">
        <v>0.43000000000000005</v>
      </c>
      <c r="D30" s="3">
        <v>0.43999999999999995</v>
      </c>
      <c r="E30" s="3">
        <v>0.35</v>
      </c>
      <c r="F30" s="3">
        <v>0.26</v>
      </c>
      <c r="G30" s="3">
        <v>0.26</v>
      </c>
      <c r="H30" s="3">
        <v>0.27</v>
      </c>
      <c r="I30" s="3">
        <v>0.32999999999999996</v>
      </c>
      <c r="J30" s="3">
        <v>0.28999999999999998</v>
      </c>
      <c r="K30" s="3">
        <v>0.25</v>
      </c>
      <c r="L30" s="3">
        <v>0.16999999999999998</v>
      </c>
      <c r="M30" s="3">
        <v>6.9999999999999951E-2</v>
      </c>
      <c r="N30" s="3">
        <v>4.0000000000000036E-2</v>
      </c>
      <c r="O30" s="3">
        <v>4.0000000000000036E-2</v>
      </c>
    </row>
    <row r="31" spans="1:15" x14ac:dyDescent="0.35">
      <c r="A31" s="3" t="s">
        <v>15</v>
      </c>
      <c r="B31" t="s">
        <v>16</v>
      </c>
      <c r="C31" s="3">
        <v>0.17000000000000004</v>
      </c>
      <c r="D31" s="3">
        <v>0.4</v>
      </c>
      <c r="E31" s="3">
        <v>0.38999999999999996</v>
      </c>
      <c r="F31" s="3">
        <v>0.39</v>
      </c>
      <c r="G31" s="3">
        <v>0.42</v>
      </c>
      <c r="H31" s="3">
        <v>0.37999999999999995</v>
      </c>
      <c r="I31" s="3">
        <v>0.45000000000000007</v>
      </c>
      <c r="J31" s="3">
        <v>0.42</v>
      </c>
      <c r="K31" s="3">
        <v>0.38</v>
      </c>
      <c r="L31" s="3">
        <v>0.32</v>
      </c>
      <c r="M31" s="3">
        <v>0.36000000000000004</v>
      </c>
      <c r="N31" s="3">
        <v>0.17000000000000004</v>
      </c>
      <c r="O31" s="3">
        <v>0.15000000000000002</v>
      </c>
    </row>
    <row r="32" spans="1:15" x14ac:dyDescent="0.35">
      <c r="A32" s="3" t="s">
        <v>18</v>
      </c>
      <c r="B32" t="s">
        <v>16</v>
      </c>
      <c r="C32" s="3">
        <v>0.35</v>
      </c>
      <c r="D32" s="3">
        <v>0.44999999999999996</v>
      </c>
      <c r="E32" s="3">
        <v>0.54999999999999993</v>
      </c>
      <c r="F32" s="3">
        <v>0.5</v>
      </c>
      <c r="G32" s="3">
        <v>0.55000000000000004</v>
      </c>
      <c r="H32" s="3">
        <v>0.49000000000000005</v>
      </c>
      <c r="I32" s="3">
        <v>0.44</v>
      </c>
      <c r="J32" s="3">
        <v>0.41</v>
      </c>
      <c r="K32" s="3">
        <v>0.53</v>
      </c>
      <c r="L32" s="3">
        <v>0.41000000000000003</v>
      </c>
      <c r="M32" s="3">
        <v>0.47</v>
      </c>
      <c r="N32" s="3">
        <v>0.39</v>
      </c>
      <c r="O32" s="3">
        <v>0.26999999999999996</v>
      </c>
    </row>
    <row r="33" spans="1:15" x14ac:dyDescent="0.35">
      <c r="A33" s="3" t="s">
        <v>15</v>
      </c>
      <c r="B33" s="46" t="s">
        <v>8386</v>
      </c>
      <c r="C33" s="3">
        <v>0.12</v>
      </c>
      <c r="D33" s="3">
        <v>0.15000000000000002</v>
      </c>
      <c r="E33" s="3">
        <v>0.20999999999999996</v>
      </c>
      <c r="F33" s="3">
        <v>0.22999999999999998</v>
      </c>
      <c r="G33" s="3">
        <v>0.16000000000000003</v>
      </c>
      <c r="H33" s="3">
        <v>0.13</v>
      </c>
      <c r="I33" s="3">
        <v>0.19000000000000006</v>
      </c>
      <c r="J33" s="3">
        <v>0.20999999999999996</v>
      </c>
      <c r="K33" s="3">
        <v>0.19000000000000006</v>
      </c>
      <c r="L33" s="3">
        <v>0.17000000000000004</v>
      </c>
      <c r="M33" s="3">
        <v>0.14000000000000001</v>
      </c>
      <c r="N33" s="3">
        <v>0.12</v>
      </c>
      <c r="O33" s="3">
        <v>0</v>
      </c>
    </row>
    <row r="34" spans="1:15" x14ac:dyDescent="0.35">
      <c r="A34" s="3" t="s">
        <v>18</v>
      </c>
      <c r="B34" s="46" t="s">
        <v>8386</v>
      </c>
      <c r="C34" s="3">
        <v>0.14999999999999991</v>
      </c>
      <c r="D34" s="3">
        <v>8.0000000000000071E-2</v>
      </c>
      <c r="E34" s="3">
        <v>0.13</v>
      </c>
      <c r="F34" s="3">
        <v>0.14000000000000001</v>
      </c>
      <c r="G34" s="3">
        <v>0.14000000000000001</v>
      </c>
      <c r="H34" s="3">
        <v>0.12999999999999989</v>
      </c>
      <c r="I34" s="3">
        <v>0.19</v>
      </c>
      <c r="J34" s="3">
        <v>0.20000000000000007</v>
      </c>
      <c r="K34" s="3">
        <v>8.0000000000000016E-2</v>
      </c>
      <c r="L34" s="3">
        <v>0.12999999999999995</v>
      </c>
      <c r="M34" s="3">
        <v>0.11000000000000004</v>
      </c>
      <c r="N34" s="3">
        <v>8.0000000000000016E-2</v>
      </c>
      <c r="O34" s="3">
        <v>0</v>
      </c>
    </row>
    <row r="35" spans="1:15" x14ac:dyDescent="0.35">
      <c r="A35" s="3" t="s">
        <v>15</v>
      </c>
      <c r="B35" t="s">
        <v>16</v>
      </c>
      <c r="C35" s="3">
        <v>7.0000000000000007E-2</v>
      </c>
      <c r="D35" s="3">
        <v>0.16000000000000003</v>
      </c>
      <c r="E35" s="3">
        <v>7.999999999999996E-2</v>
      </c>
      <c r="F35" s="3">
        <v>0.10999999999999999</v>
      </c>
      <c r="G35" s="3">
        <v>9.0000000000000024E-2</v>
      </c>
      <c r="H35" s="3">
        <v>9.0000000000000024E-2</v>
      </c>
      <c r="I35" s="3">
        <v>0.14000000000000001</v>
      </c>
      <c r="J35" s="3">
        <v>7.0000000000000007E-2</v>
      </c>
      <c r="K35" s="3">
        <v>0.10000000000000003</v>
      </c>
      <c r="L35" s="3">
        <v>9.0000000000000024E-2</v>
      </c>
      <c r="M35" s="3">
        <v>0.10000000000000003</v>
      </c>
      <c r="N35" s="3">
        <v>7.999999999999996E-2</v>
      </c>
      <c r="O35" s="3">
        <v>0.14000000000000001</v>
      </c>
    </row>
    <row r="36" spans="1:15" x14ac:dyDescent="0.35">
      <c r="A36" s="3" t="s">
        <v>18</v>
      </c>
      <c r="B36" t="s">
        <v>16</v>
      </c>
      <c r="C36" s="3">
        <v>0.41000000000000003</v>
      </c>
      <c r="D36" s="3">
        <v>0.54</v>
      </c>
      <c r="E36" s="3">
        <v>0.44</v>
      </c>
      <c r="F36" s="3">
        <v>0.64</v>
      </c>
      <c r="G36" s="3">
        <v>0.56000000000000005</v>
      </c>
      <c r="H36" s="3">
        <v>0.55000000000000004</v>
      </c>
      <c r="I36" s="3">
        <v>0.59</v>
      </c>
      <c r="J36" s="3">
        <v>0.67</v>
      </c>
      <c r="K36" s="3">
        <v>0.63</v>
      </c>
      <c r="L36" s="3">
        <v>0.51</v>
      </c>
      <c r="M36" s="3">
        <v>0.38</v>
      </c>
      <c r="N36" s="3">
        <v>0.48</v>
      </c>
      <c r="O36" s="3">
        <v>0.41</v>
      </c>
    </row>
    <row r="37" spans="1:15" x14ac:dyDescent="0.35">
      <c r="A37" s="3" t="s">
        <v>18</v>
      </c>
      <c r="B37" s="46" t="s">
        <v>8386</v>
      </c>
      <c r="C37" s="3">
        <v>0.59</v>
      </c>
      <c r="D37" s="3">
        <v>0.52</v>
      </c>
      <c r="E37" s="3">
        <v>0.57000000000000006</v>
      </c>
      <c r="F37" s="3">
        <v>0.49</v>
      </c>
      <c r="G37" s="3">
        <v>0.53</v>
      </c>
      <c r="H37" s="3">
        <v>0.51</v>
      </c>
      <c r="I37" s="3">
        <v>0.44999999999999996</v>
      </c>
      <c r="J37" s="3">
        <v>0.44999999999999996</v>
      </c>
      <c r="K37" s="3">
        <v>0.38</v>
      </c>
      <c r="L37" s="3">
        <v>0.34000000000000008</v>
      </c>
      <c r="M37" s="3">
        <v>0.42999999999999994</v>
      </c>
      <c r="N37" s="3">
        <v>0.36999999999999994</v>
      </c>
      <c r="O37" s="3">
        <v>0.27</v>
      </c>
    </row>
    <row r="38" spans="1:15" x14ac:dyDescent="0.35">
      <c r="A38" s="3" t="s">
        <v>18</v>
      </c>
      <c r="B38" s="3" t="s">
        <v>16</v>
      </c>
      <c r="C38" s="3">
        <v>9.9999999999999978E-2</v>
      </c>
      <c r="D38" s="3">
        <v>0.24999999999999994</v>
      </c>
      <c r="E38" s="3">
        <v>0.43</v>
      </c>
      <c r="F38" s="3">
        <v>0.25</v>
      </c>
      <c r="G38" s="3">
        <v>0.24999999999999994</v>
      </c>
      <c r="H38" s="3">
        <v>0.19000000000000006</v>
      </c>
      <c r="I38" s="3">
        <v>0.34</v>
      </c>
      <c r="J38" s="3">
        <v>0.26999999999999996</v>
      </c>
      <c r="K38" s="3">
        <v>0.28000000000000003</v>
      </c>
      <c r="L38" s="3">
        <v>0.22</v>
      </c>
      <c r="M38" s="3">
        <v>0.24000000000000005</v>
      </c>
      <c r="N38" s="3">
        <v>9.9999999999999978E-2</v>
      </c>
      <c r="O38" s="3">
        <v>9.9999999999999978E-2</v>
      </c>
    </row>
    <row r="39" spans="1:15" x14ac:dyDescent="0.35">
      <c r="A39" s="3" t="s">
        <v>18</v>
      </c>
      <c r="B39" s="3" t="s">
        <v>16</v>
      </c>
      <c r="C39" s="3">
        <v>0.22999999999999998</v>
      </c>
      <c r="D39" s="3">
        <v>0.25999999999999995</v>
      </c>
      <c r="E39" s="3">
        <v>0.21000000000000002</v>
      </c>
      <c r="F39" s="3">
        <v>0.25</v>
      </c>
      <c r="G39" s="3">
        <v>0.25999999999999995</v>
      </c>
      <c r="H39" s="3">
        <v>0.25999999999999995</v>
      </c>
      <c r="I39" s="3">
        <v>0.23999999999999994</v>
      </c>
      <c r="J39" s="3">
        <v>0.24999999999999994</v>
      </c>
      <c r="K39" s="3">
        <v>0.27</v>
      </c>
      <c r="L39" s="3">
        <v>0.21000000000000002</v>
      </c>
      <c r="M39" s="3">
        <v>0.18999999999999995</v>
      </c>
      <c r="N39" s="3">
        <v>0.22999999999999998</v>
      </c>
      <c r="O39" s="3">
        <v>0.11999999999999994</v>
      </c>
    </row>
    <row r="40" spans="1:15" x14ac:dyDescent="0.35">
      <c r="A40" s="3" t="s">
        <v>15</v>
      </c>
      <c r="B40" s="3" t="s">
        <v>16</v>
      </c>
      <c r="C40" s="3">
        <v>0.42000000000000004</v>
      </c>
      <c r="D40" s="3">
        <v>0.5</v>
      </c>
      <c r="E40" s="3">
        <v>0.32</v>
      </c>
      <c r="F40" s="3">
        <v>0.20000000000000007</v>
      </c>
      <c r="G40" s="3">
        <v>0.15999999999999998</v>
      </c>
      <c r="H40" s="3">
        <v>0.19</v>
      </c>
      <c r="I40" s="3">
        <v>0.52</v>
      </c>
      <c r="J40" s="3">
        <v>0.26</v>
      </c>
      <c r="K40" s="3">
        <v>0.27</v>
      </c>
      <c r="L40" s="3">
        <v>0.38</v>
      </c>
      <c r="M40" s="3">
        <v>0.19</v>
      </c>
      <c r="N40" s="3">
        <v>0.18</v>
      </c>
      <c r="O40" s="3">
        <v>0.15000000000000002</v>
      </c>
    </row>
    <row r="41" spans="1:15" x14ac:dyDescent="0.35">
      <c r="A41" s="46" t="s">
        <v>20</v>
      </c>
      <c r="B41" s="46" t="s">
        <v>8386</v>
      </c>
      <c r="C41" s="46">
        <v>0.15000000000000002</v>
      </c>
      <c r="D41" s="46">
        <v>0.15000000000000002</v>
      </c>
      <c r="E41" s="46">
        <v>0.16999999999999993</v>
      </c>
      <c r="F41" s="46">
        <v>0.16000000000000003</v>
      </c>
      <c r="G41" s="46">
        <v>0.23000000000000004</v>
      </c>
      <c r="H41" s="46">
        <v>0.20999999999999996</v>
      </c>
      <c r="I41" s="46">
        <v>0.21000000000000002</v>
      </c>
      <c r="J41" s="46">
        <v>0.26</v>
      </c>
      <c r="K41" s="46">
        <v>0.19999999999999996</v>
      </c>
      <c r="L41" s="46">
        <v>0.19</v>
      </c>
      <c r="M41" s="46">
        <v>0.25</v>
      </c>
      <c r="N41" s="46">
        <v>0.16000000000000003</v>
      </c>
      <c r="O41" s="45">
        <v>0.16000000000000003</v>
      </c>
    </row>
    <row r="42" spans="1:15" x14ac:dyDescent="0.35">
      <c r="A42" s="46" t="s">
        <v>20</v>
      </c>
      <c r="B42" s="46" t="s">
        <v>8386</v>
      </c>
      <c r="C42" s="46">
        <v>0.22000000000000003</v>
      </c>
      <c r="D42" s="46">
        <v>0.39999999999999997</v>
      </c>
      <c r="E42" s="46">
        <v>0.35000000000000003</v>
      </c>
      <c r="F42" s="46">
        <v>0.38</v>
      </c>
      <c r="G42" s="46">
        <v>0.34000000000000008</v>
      </c>
      <c r="H42" s="46">
        <v>0.41000000000000003</v>
      </c>
      <c r="I42" s="46">
        <v>0.55000000000000004</v>
      </c>
      <c r="J42" s="46">
        <v>0.28000000000000003</v>
      </c>
      <c r="K42" s="46">
        <v>0.35</v>
      </c>
      <c r="L42" s="46">
        <v>0.36</v>
      </c>
      <c r="M42" s="46">
        <v>0.31</v>
      </c>
      <c r="N42" s="46">
        <v>0.31000000000000005</v>
      </c>
      <c r="O42" s="45">
        <v>0.44000000000000006</v>
      </c>
    </row>
    <row r="43" spans="1:15" x14ac:dyDescent="0.35">
      <c r="A43" s="46" t="s">
        <v>18</v>
      </c>
      <c r="B43" s="46" t="s">
        <v>8386</v>
      </c>
      <c r="C43" s="46">
        <v>0.32999999999999996</v>
      </c>
      <c r="D43" s="46">
        <v>0.59000000000000008</v>
      </c>
      <c r="E43" s="46">
        <v>0.69</v>
      </c>
      <c r="F43" s="46">
        <v>0.68</v>
      </c>
      <c r="G43" s="46">
        <v>0.74</v>
      </c>
      <c r="H43" s="46">
        <v>0.76</v>
      </c>
      <c r="I43" s="46">
        <v>0.88</v>
      </c>
      <c r="J43" s="46">
        <v>0.85</v>
      </c>
      <c r="K43" s="46">
        <v>0.81</v>
      </c>
      <c r="L43" s="46">
        <v>0.79</v>
      </c>
      <c r="M43" s="46">
        <v>0.77</v>
      </c>
      <c r="N43" s="46">
        <v>0.6</v>
      </c>
      <c r="O43" s="45">
        <v>0.51</v>
      </c>
    </row>
    <row r="44" spans="1:15" x14ac:dyDescent="0.35">
      <c r="A44" s="46" t="s">
        <v>18</v>
      </c>
      <c r="B44" s="46" t="s">
        <v>8386</v>
      </c>
      <c r="C44" s="46">
        <v>2.0000000000000018E-2</v>
      </c>
      <c r="D44" s="46">
        <v>0.33999999999999997</v>
      </c>
      <c r="E44" s="46">
        <v>0.39</v>
      </c>
      <c r="F44" s="46">
        <v>0.59</v>
      </c>
      <c r="G44" s="46">
        <v>0.56999999999999995</v>
      </c>
      <c r="H44" s="46">
        <v>0.56000000000000005</v>
      </c>
      <c r="I44" s="46">
        <v>0.59000000000000008</v>
      </c>
      <c r="J44" s="46">
        <v>0.60000000000000009</v>
      </c>
      <c r="K44" s="46">
        <v>0.45</v>
      </c>
      <c r="L44" s="46">
        <v>0.46000000000000008</v>
      </c>
      <c r="M44" s="46">
        <v>0.44999999999999996</v>
      </c>
      <c r="N44" s="46">
        <v>0.52</v>
      </c>
      <c r="O44" s="45">
        <v>0.44999999999999996</v>
      </c>
    </row>
    <row r="45" spans="1:15" x14ac:dyDescent="0.35">
      <c r="A45" s="46" t="s">
        <v>18</v>
      </c>
      <c r="B45" s="46" t="s">
        <v>8386</v>
      </c>
      <c r="C45" s="46">
        <v>0.25</v>
      </c>
      <c r="D45" s="46">
        <v>0.24999999999999994</v>
      </c>
      <c r="E45" s="46">
        <v>0.16000000000000003</v>
      </c>
      <c r="F45" s="46">
        <v>0.16000000000000003</v>
      </c>
      <c r="G45" s="46">
        <v>0.19</v>
      </c>
      <c r="H45" s="46">
        <v>0.26</v>
      </c>
      <c r="I45" s="46">
        <v>0.24</v>
      </c>
      <c r="J45" s="46">
        <v>0.22000000000000003</v>
      </c>
      <c r="K45" s="46">
        <v>0.24000000000000005</v>
      </c>
      <c r="L45" s="46">
        <v>0.16999999999999998</v>
      </c>
      <c r="M45" s="46">
        <v>0.21000000000000008</v>
      </c>
      <c r="N45" s="46">
        <v>0.17000000000000004</v>
      </c>
      <c r="O45" s="45">
        <v>0.16000000000000003</v>
      </c>
    </row>
    <row r="46" spans="1:15" x14ac:dyDescent="0.35">
      <c r="A46" s="46" t="s">
        <v>20</v>
      </c>
      <c r="B46" s="46" t="s">
        <v>8386</v>
      </c>
      <c r="C46" s="46">
        <v>8.9999999999999969E-2</v>
      </c>
      <c r="D46" s="46">
        <v>0.12</v>
      </c>
      <c r="E46" s="46">
        <v>0.10000000000000003</v>
      </c>
      <c r="F46" s="46">
        <v>0.10999999999999999</v>
      </c>
      <c r="G46" s="46">
        <v>0.16000000000000003</v>
      </c>
      <c r="H46" s="46">
        <v>0.16000000000000003</v>
      </c>
      <c r="I46" s="46">
        <v>4.0000000000000036E-2</v>
      </c>
      <c r="J46" s="46">
        <v>0.19000000000000003</v>
      </c>
      <c r="K46" s="46">
        <v>0.15000000000000002</v>
      </c>
      <c r="L46" s="46">
        <v>0.12</v>
      </c>
      <c r="M46" s="46">
        <v>0.14000000000000001</v>
      </c>
      <c r="N46" s="46">
        <v>0.10999999999999999</v>
      </c>
      <c r="O46" s="45">
        <v>3.999999999999998E-2</v>
      </c>
    </row>
    <row r="47" spans="1:15" x14ac:dyDescent="0.35">
      <c r="A47" s="46" t="s">
        <v>18</v>
      </c>
      <c r="B47" s="46" t="s">
        <v>8386</v>
      </c>
      <c r="C47" s="46">
        <v>0.30000000000000004</v>
      </c>
      <c r="D47" s="46">
        <v>0.20000000000000007</v>
      </c>
      <c r="E47" s="46">
        <v>0.36999999999999994</v>
      </c>
      <c r="F47" s="46">
        <v>0.26</v>
      </c>
      <c r="G47" s="46">
        <v>0.27999999999999997</v>
      </c>
      <c r="H47" s="46">
        <v>0.19000000000000006</v>
      </c>
      <c r="I47" s="46">
        <v>0.31</v>
      </c>
      <c r="J47" s="46">
        <v>0.25</v>
      </c>
      <c r="K47" s="46">
        <v>0.19000000000000006</v>
      </c>
      <c r="L47" s="46">
        <v>0.21999999999999997</v>
      </c>
      <c r="M47" s="46">
        <v>0.20999999999999996</v>
      </c>
      <c r="N47" s="46">
        <v>0.16999999999999998</v>
      </c>
      <c r="O47" s="45">
        <v>0.15999999999999998</v>
      </c>
    </row>
    <row r="48" spans="1:15" x14ac:dyDescent="0.35">
      <c r="A48" s="46" t="s">
        <v>20</v>
      </c>
      <c r="B48" s="46" t="s">
        <v>8386</v>
      </c>
      <c r="C48" s="46">
        <v>0.12</v>
      </c>
      <c r="D48" s="46">
        <v>0.17000000000000004</v>
      </c>
      <c r="E48" s="46">
        <v>0.15999999999999992</v>
      </c>
      <c r="F48" s="46">
        <v>0.13</v>
      </c>
      <c r="G48" s="46">
        <v>0.15000000000000002</v>
      </c>
      <c r="H48" s="46">
        <v>0.17999999999999994</v>
      </c>
      <c r="I48" s="46">
        <v>0.17000000000000004</v>
      </c>
      <c r="J48" s="46">
        <v>0.13</v>
      </c>
      <c r="K48" s="46">
        <v>0.12</v>
      </c>
      <c r="L48" s="46">
        <v>0.16999999999999993</v>
      </c>
      <c r="M48" s="46">
        <v>0.12</v>
      </c>
      <c r="N48" s="46">
        <v>0.14000000000000001</v>
      </c>
      <c r="O48" s="45">
        <v>0.13</v>
      </c>
    </row>
    <row r="49" spans="1:15" x14ac:dyDescent="0.35">
      <c r="A49" s="46" t="s">
        <v>20</v>
      </c>
      <c r="B49" s="46" t="s">
        <v>8386</v>
      </c>
      <c r="C49" s="46">
        <v>8.9999999999999969E-2</v>
      </c>
      <c r="D49" s="46">
        <v>0.21999999999999997</v>
      </c>
      <c r="E49" s="46">
        <v>0.26</v>
      </c>
      <c r="F49" s="46">
        <v>0.25</v>
      </c>
      <c r="G49" s="46">
        <v>0.22999999999999998</v>
      </c>
      <c r="H49" s="46">
        <v>0.24999999999999994</v>
      </c>
      <c r="I49" s="46">
        <v>0.32</v>
      </c>
      <c r="J49" s="46">
        <v>0.26000000000000006</v>
      </c>
      <c r="K49" s="46">
        <v>0.26999999999999996</v>
      </c>
      <c r="L49" s="46">
        <v>0.20999999999999996</v>
      </c>
      <c r="M49" s="46">
        <v>0.15000000000000002</v>
      </c>
      <c r="N49" s="46">
        <v>0.12</v>
      </c>
      <c r="O49" s="45">
        <v>0.15999999999999992</v>
      </c>
    </row>
    <row r="50" spans="1:15" x14ac:dyDescent="0.35">
      <c r="A50" s="46" t="s">
        <v>18</v>
      </c>
      <c r="B50" s="46" t="s">
        <v>8386</v>
      </c>
      <c r="C50" s="46">
        <v>0.19000000000000006</v>
      </c>
      <c r="D50" s="46">
        <v>0.26</v>
      </c>
      <c r="E50" s="46">
        <v>0.44000000000000006</v>
      </c>
      <c r="F50" s="46">
        <v>0.37999999999999995</v>
      </c>
      <c r="G50" s="46">
        <v>0.3</v>
      </c>
      <c r="H50" s="46">
        <v>0.40000000000000008</v>
      </c>
      <c r="I50" s="46">
        <v>0.3</v>
      </c>
      <c r="J50" s="46">
        <v>0.31</v>
      </c>
      <c r="K50" s="46">
        <v>0.2</v>
      </c>
      <c r="L50" s="46">
        <v>0.24</v>
      </c>
      <c r="M50" s="46">
        <v>0.18</v>
      </c>
      <c r="N50" s="46">
        <v>8.9999999999999969E-2</v>
      </c>
      <c r="O50" s="45">
        <v>5.9999999999999942E-2</v>
      </c>
    </row>
    <row r="51" spans="1:15" x14ac:dyDescent="0.35">
      <c r="A51" s="3"/>
      <c r="B51" s="3"/>
      <c r="C51" s="3">
        <f>SUBTOTAL(101,Table13[100])</f>
        <v>0.29816326530612242</v>
      </c>
      <c r="D51" s="3">
        <f>SUBTOTAL(101,Table13[200])</f>
        <v>0.35000000000000003</v>
      </c>
      <c r="E51" s="3">
        <f>SUBTOTAL(101,Table13[400])</f>
        <v>0.38142857142857162</v>
      </c>
      <c r="F51" s="3">
        <f>SUBTOTAL(101,Table13[500])</f>
        <v>0.38244897959183671</v>
      </c>
      <c r="G51" s="3">
        <f>SUBTOTAL(101,Table13[800])</f>
        <v>0.37632653061224491</v>
      </c>
      <c r="H51" s="3">
        <f>SUBTOTAL(101,Table13[1000])</f>
        <v>0.3638775510204082</v>
      </c>
      <c r="I51" s="3">
        <f>SUBTOTAL(101,Table13[2000])</f>
        <v>0.39693877551020401</v>
      </c>
      <c r="J51" s="3">
        <f>SUBTOTAL(101,Table13[3000])</f>
        <v>0.37204081632653063</v>
      </c>
      <c r="K51" s="3">
        <f>SUBTOTAL(101,Table13[4000])</f>
        <v>0.3732653061224489</v>
      </c>
      <c r="L51" s="3">
        <f>SUBTOTAL(101,Table13[6000])</f>
        <v>0.32489795918367353</v>
      </c>
      <c r="M51" s="3">
        <f>SUBTOTAL(101,Table13[8000])</f>
        <v>0.31326530612244902</v>
      </c>
      <c r="N51" s="3">
        <f>SUBTOTAL(101,Table13[10000])</f>
        <v>0.26061224489795914</v>
      </c>
      <c r="O51" s="3">
        <f>SUBTOTAL(101,Table13[12000])</f>
        <v>0.22571428571428565</v>
      </c>
    </row>
    <row r="52" spans="1:15" x14ac:dyDescent="0.35">
      <c r="C52" s="11">
        <f>STDEV(Table13[100])/SQRT(COUNT(Table13[100]))</f>
        <v>2.2832340467119048E-2</v>
      </c>
      <c r="D52" s="11">
        <f>STDEV(Table13[200])/SQRT(COUNT(Table13[100]))</f>
        <v>2.3059004468424682E-2</v>
      </c>
      <c r="E52" s="11">
        <f>STDEV(Table13[400])/SQRT(COUNT(Table13[100]))</f>
        <v>2.3656052999970499E-2</v>
      </c>
      <c r="F52" s="11">
        <f>STDEV(Table13[500])/SQRT(COUNT(Table13[100]))</f>
        <v>2.4450648983924982E-2</v>
      </c>
      <c r="G52" s="11">
        <f>STDEV(Table13[800])/SQRT(COUNT(Table13[100]))</f>
        <v>2.4997778604626091E-2</v>
      </c>
      <c r="H52" s="11">
        <f>STDEV(Table13[1000])/SQRT(COUNT(Table13[100]))</f>
        <v>2.4076155263164509E-2</v>
      </c>
      <c r="I52" s="11">
        <f>STDEV(Table13[2000])/SQRT(COUNT(Table13[100]))</f>
        <v>2.5222149188018097E-2</v>
      </c>
      <c r="J52" s="11">
        <f>STDEV(Table13[3000])/SQRT(COUNT(Table13[100]))</f>
        <v>2.7023515194280427E-2</v>
      </c>
      <c r="K52" s="11">
        <f>STDEV(Table13[4000])/SQRT(COUNT(Table13[100]))</f>
        <v>2.7215422665761147E-2</v>
      </c>
      <c r="L52" s="11">
        <f>STDEV(Table13[6000])/SQRT(COUNT(Table13[100]))</f>
        <v>2.3488531086475056E-2</v>
      </c>
      <c r="M52" s="11">
        <f>STDEV(Table13[8000])/SQRT(COUNT(Table13[100]))</f>
        <v>2.3232388097790619E-2</v>
      </c>
      <c r="N52" s="11">
        <f>STDEV(Table13[10000])/SQRT(COUNT(Table13[100]))</f>
        <v>2.2772178699602769E-2</v>
      </c>
      <c r="O52" s="11">
        <f>STDEV(Table13[12000])/SQRT(COUNT(Table13[100]))</f>
        <v>2.3623679461348048E-2</v>
      </c>
    </row>
    <row r="53" spans="1:15" ht="15" thickBot="1" x14ac:dyDescent="0.4"/>
    <row r="54" spans="1:15" ht="15" thickTop="1" x14ac:dyDescent="0.35">
      <c r="E54" s="5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8F1E-74E6-4E2A-A0F5-90E5630443EA}">
  <dimension ref="A1:U63"/>
  <sheetViews>
    <sheetView topLeftCell="H40" workbookViewId="0">
      <selection activeCell="I57" sqref="I57:U57"/>
    </sheetView>
  </sheetViews>
  <sheetFormatPr defaultRowHeight="14.5" x14ac:dyDescent="0.35"/>
  <cols>
    <col min="6" max="6" width="29.453125" customWidth="1"/>
    <col min="7" max="7" width="51.54296875" bestFit="1" customWidth="1"/>
  </cols>
  <sheetData>
    <row r="1" spans="1:21" x14ac:dyDescent="0.35">
      <c r="A1" t="s">
        <v>104</v>
      </c>
      <c r="B1" t="s">
        <v>105</v>
      </c>
      <c r="C1" t="s">
        <v>22</v>
      </c>
      <c r="D1" t="s">
        <v>23</v>
      </c>
      <c r="E1" t="s">
        <v>24</v>
      </c>
      <c r="F1" t="s">
        <v>25</v>
      </c>
      <c r="G1" t="s">
        <v>26</v>
      </c>
      <c r="H1" t="s">
        <v>27</v>
      </c>
      <c r="I1" t="s">
        <v>0</v>
      </c>
      <c r="J1" t="s">
        <v>1</v>
      </c>
      <c r="K1" t="s">
        <v>2</v>
      </c>
      <c r="L1" t="s">
        <v>3</v>
      </c>
      <c r="M1" t="s">
        <v>4</v>
      </c>
      <c r="N1" t="s">
        <v>5</v>
      </c>
      <c r="O1" t="s">
        <v>6</v>
      </c>
      <c r="P1" t="s">
        <v>7</v>
      </c>
      <c r="Q1" t="s">
        <v>8</v>
      </c>
      <c r="R1" t="s">
        <v>9</v>
      </c>
      <c r="S1" t="s">
        <v>10</v>
      </c>
      <c r="T1" t="s">
        <v>11</v>
      </c>
      <c r="U1" t="s">
        <v>12</v>
      </c>
    </row>
    <row r="2" spans="1:21" x14ac:dyDescent="0.35">
      <c r="A2" t="s">
        <v>18</v>
      </c>
      <c r="B2" t="s">
        <v>17</v>
      </c>
      <c r="C2" t="s">
        <v>28</v>
      </c>
      <c r="D2" t="s">
        <v>29</v>
      </c>
      <c r="E2" t="s">
        <v>29</v>
      </c>
      <c r="F2" t="s">
        <v>30</v>
      </c>
      <c r="G2" t="s">
        <v>31</v>
      </c>
      <c r="H2" t="s">
        <v>32</v>
      </c>
      <c r="I2">
        <v>0.69000000000000006</v>
      </c>
      <c r="J2">
        <v>0.49999999999999994</v>
      </c>
      <c r="K2">
        <v>0.43000000000000005</v>
      </c>
      <c r="L2">
        <v>0.45</v>
      </c>
      <c r="M2">
        <v>0.53</v>
      </c>
      <c r="N2">
        <v>0.49</v>
      </c>
      <c r="O2">
        <v>0.34999999999999992</v>
      </c>
      <c r="P2">
        <v>0.4</v>
      </c>
      <c r="Q2">
        <v>0.36</v>
      </c>
      <c r="R2">
        <v>0.4</v>
      </c>
      <c r="S2">
        <v>0.27999999999999997</v>
      </c>
      <c r="T2">
        <v>0.22000000000000003</v>
      </c>
      <c r="U2">
        <v>0.26</v>
      </c>
    </row>
    <row r="3" spans="1:21" x14ac:dyDescent="0.35">
      <c r="A3" t="s">
        <v>15</v>
      </c>
      <c r="B3" t="s">
        <v>17</v>
      </c>
      <c r="C3" t="s">
        <v>28</v>
      </c>
      <c r="D3" t="s">
        <v>28</v>
      </c>
      <c r="E3" t="s">
        <v>33</v>
      </c>
      <c r="F3" t="s">
        <v>34</v>
      </c>
      <c r="G3" t="s">
        <v>31</v>
      </c>
      <c r="H3" t="s">
        <v>32</v>
      </c>
      <c r="I3">
        <v>1</v>
      </c>
      <c r="J3">
        <v>1</v>
      </c>
      <c r="K3">
        <v>1</v>
      </c>
      <c r="L3">
        <v>0.5</v>
      </c>
      <c r="M3">
        <v>0.5</v>
      </c>
      <c r="N3">
        <v>0.5</v>
      </c>
      <c r="O3">
        <v>0.5</v>
      </c>
      <c r="P3">
        <v>0.5</v>
      </c>
      <c r="Q3">
        <v>1</v>
      </c>
      <c r="R3">
        <v>1</v>
      </c>
      <c r="S3">
        <v>0.5</v>
      </c>
      <c r="T3">
        <v>0.5</v>
      </c>
      <c r="U3">
        <v>1</v>
      </c>
    </row>
    <row r="4" spans="1:21" x14ac:dyDescent="0.35">
      <c r="A4" t="s">
        <v>20</v>
      </c>
      <c r="B4" t="s">
        <v>17</v>
      </c>
      <c r="C4" t="s">
        <v>28</v>
      </c>
      <c r="D4" t="s">
        <v>28</v>
      </c>
      <c r="E4" t="s">
        <v>33</v>
      </c>
      <c r="F4" t="s">
        <v>34</v>
      </c>
      <c r="G4" t="s">
        <v>31</v>
      </c>
      <c r="H4" t="s">
        <v>35</v>
      </c>
      <c r="I4">
        <v>0.51</v>
      </c>
      <c r="J4">
        <v>0.42000000000000004</v>
      </c>
      <c r="K4">
        <v>0.32</v>
      </c>
      <c r="L4">
        <v>0.22999999999999998</v>
      </c>
      <c r="M4">
        <v>0.19999999999999998</v>
      </c>
      <c r="N4">
        <v>0.31999999999999995</v>
      </c>
      <c r="O4">
        <v>0.54999999999999993</v>
      </c>
      <c r="P4">
        <v>0.52999999999999992</v>
      </c>
      <c r="Q4">
        <v>0.30000000000000004</v>
      </c>
      <c r="R4">
        <v>0.36000000000000004</v>
      </c>
      <c r="S4">
        <v>0.26</v>
      </c>
      <c r="T4">
        <v>0.38</v>
      </c>
      <c r="U4">
        <v>0.38</v>
      </c>
    </row>
    <row r="5" spans="1:21" x14ac:dyDescent="0.35">
      <c r="A5" t="s">
        <v>20</v>
      </c>
      <c r="B5" t="s">
        <v>17</v>
      </c>
      <c r="C5" t="s">
        <v>28</v>
      </c>
      <c r="D5" t="s">
        <v>29</v>
      </c>
      <c r="E5" t="s">
        <v>33</v>
      </c>
      <c r="F5" t="s">
        <v>30</v>
      </c>
      <c r="G5" t="s">
        <v>31</v>
      </c>
      <c r="H5" t="s">
        <v>32</v>
      </c>
      <c r="I5">
        <v>0.20000000000000007</v>
      </c>
      <c r="J5">
        <v>0.4</v>
      </c>
      <c r="K5">
        <v>0.41</v>
      </c>
      <c r="L5">
        <v>0.41999999999999993</v>
      </c>
      <c r="M5">
        <v>0.26</v>
      </c>
      <c r="N5">
        <v>0.25</v>
      </c>
      <c r="O5">
        <v>0.33999999999999997</v>
      </c>
      <c r="P5">
        <v>0.4</v>
      </c>
      <c r="Q5">
        <v>0.47</v>
      </c>
      <c r="R5">
        <v>0.32999999999999996</v>
      </c>
      <c r="S5">
        <v>0.17000000000000004</v>
      </c>
      <c r="T5">
        <v>0.18000000000000005</v>
      </c>
      <c r="U5">
        <v>7.0000000000000007E-2</v>
      </c>
    </row>
    <row r="6" spans="1:21" x14ac:dyDescent="0.35">
      <c r="A6" t="s">
        <v>18</v>
      </c>
      <c r="B6" t="s">
        <v>17</v>
      </c>
      <c r="C6" t="s">
        <v>28</v>
      </c>
      <c r="D6" t="s">
        <v>28</v>
      </c>
      <c r="E6" t="s">
        <v>33</v>
      </c>
      <c r="F6" t="s">
        <v>30</v>
      </c>
      <c r="G6" t="s">
        <v>31</v>
      </c>
      <c r="H6" t="s">
        <v>32</v>
      </c>
      <c r="I6">
        <v>0.33000000000000007</v>
      </c>
      <c r="J6">
        <v>0.06</v>
      </c>
      <c r="K6">
        <v>0.42000000000000004</v>
      </c>
      <c r="L6">
        <v>0.38</v>
      </c>
      <c r="M6">
        <v>0.4</v>
      </c>
      <c r="N6">
        <v>0.34</v>
      </c>
      <c r="O6">
        <v>0.3</v>
      </c>
      <c r="P6">
        <v>4.9999999999999989E-2</v>
      </c>
      <c r="Q6">
        <v>0.15999999999999998</v>
      </c>
      <c r="R6">
        <v>0.25</v>
      </c>
      <c r="S6">
        <v>0.14000000000000001</v>
      </c>
      <c r="T6">
        <v>0.15999999999999998</v>
      </c>
      <c r="U6">
        <v>7.999999999999996E-2</v>
      </c>
    </row>
    <row r="7" spans="1:21" x14ac:dyDescent="0.35">
      <c r="A7" t="s">
        <v>18</v>
      </c>
      <c r="B7" t="s">
        <v>17</v>
      </c>
      <c r="C7" t="s">
        <v>28</v>
      </c>
      <c r="D7" t="s">
        <v>28</v>
      </c>
      <c r="E7" t="s">
        <v>29</v>
      </c>
      <c r="F7" t="s">
        <v>30</v>
      </c>
      <c r="G7" t="s">
        <v>31</v>
      </c>
      <c r="H7" t="s">
        <v>32</v>
      </c>
      <c r="I7">
        <v>0.31999999999999995</v>
      </c>
      <c r="J7">
        <v>0.41000000000000003</v>
      </c>
      <c r="K7">
        <v>0.58000000000000007</v>
      </c>
      <c r="L7">
        <v>0.4</v>
      </c>
      <c r="M7">
        <v>0.54</v>
      </c>
      <c r="N7">
        <v>0.49000000000000005</v>
      </c>
      <c r="O7">
        <v>0.45000000000000007</v>
      </c>
      <c r="P7">
        <v>0.46</v>
      </c>
      <c r="Q7">
        <v>0.35000000000000009</v>
      </c>
      <c r="R7">
        <v>0.32</v>
      </c>
      <c r="S7">
        <v>0.39</v>
      </c>
      <c r="T7">
        <v>0.21999999999999997</v>
      </c>
      <c r="U7">
        <v>0.12000000000000005</v>
      </c>
    </row>
    <row r="8" spans="1:21" x14ac:dyDescent="0.35">
      <c r="A8" t="s">
        <v>18</v>
      </c>
      <c r="B8" t="s">
        <v>17</v>
      </c>
      <c r="C8" t="s">
        <v>29</v>
      </c>
      <c r="D8" t="s">
        <v>28</v>
      </c>
      <c r="E8" t="s">
        <v>33</v>
      </c>
      <c r="F8" t="s">
        <v>30</v>
      </c>
      <c r="G8" t="s">
        <v>36</v>
      </c>
      <c r="H8" t="s">
        <v>32</v>
      </c>
      <c r="I8">
        <v>1</v>
      </c>
      <c r="J8">
        <v>0</v>
      </c>
      <c r="K8">
        <v>0</v>
      </c>
      <c r="L8">
        <v>0</v>
      </c>
      <c r="M8">
        <v>0</v>
      </c>
      <c r="N8">
        <v>0.5</v>
      </c>
      <c r="O8">
        <v>0.5</v>
      </c>
      <c r="P8">
        <v>0</v>
      </c>
      <c r="Q8">
        <v>0.5</v>
      </c>
      <c r="R8">
        <v>0.5</v>
      </c>
      <c r="S8">
        <v>0</v>
      </c>
      <c r="T8">
        <v>0</v>
      </c>
      <c r="U8">
        <v>0</v>
      </c>
    </row>
    <row r="9" spans="1:21" x14ac:dyDescent="0.35">
      <c r="A9" t="s">
        <v>18</v>
      </c>
      <c r="B9" t="s">
        <v>37</v>
      </c>
      <c r="C9" t="s">
        <v>28</v>
      </c>
      <c r="D9" t="s">
        <v>28</v>
      </c>
      <c r="E9" t="s">
        <v>33</v>
      </c>
      <c r="F9" t="s">
        <v>34</v>
      </c>
      <c r="G9" t="s">
        <v>31</v>
      </c>
      <c r="H9" t="s">
        <v>35</v>
      </c>
      <c r="I9">
        <v>5.0000000000000017E-2</v>
      </c>
      <c r="J9">
        <v>0.09</v>
      </c>
      <c r="K9">
        <v>9.9999999999999978E-2</v>
      </c>
      <c r="L9">
        <v>2.0000000000000018E-2</v>
      </c>
      <c r="M9">
        <v>4.0000000000000008E-2</v>
      </c>
      <c r="N9">
        <v>9.9999999999999978E-2</v>
      </c>
      <c r="O9">
        <v>0.12</v>
      </c>
      <c r="P9">
        <v>1.0000000000000009E-2</v>
      </c>
      <c r="Q9">
        <v>0.03</v>
      </c>
      <c r="R9">
        <v>0</v>
      </c>
      <c r="S9">
        <v>3.999999999999998E-2</v>
      </c>
      <c r="T9">
        <v>1.0000000000000009E-2</v>
      </c>
      <c r="U9">
        <v>6.9999999999999951E-2</v>
      </c>
    </row>
    <row r="10" spans="1:21" x14ac:dyDescent="0.35">
      <c r="A10" t="s">
        <v>18</v>
      </c>
      <c r="B10" t="s">
        <v>17</v>
      </c>
      <c r="C10" t="s">
        <v>28</v>
      </c>
      <c r="D10" t="s">
        <v>29</v>
      </c>
      <c r="E10" t="s">
        <v>33</v>
      </c>
      <c r="F10" t="s">
        <v>30</v>
      </c>
      <c r="G10" t="s">
        <v>31</v>
      </c>
      <c r="H10" t="s">
        <v>32</v>
      </c>
      <c r="I10">
        <v>0.35000000000000003</v>
      </c>
      <c r="J10">
        <v>0.35000000000000003</v>
      </c>
      <c r="K10">
        <v>0.33</v>
      </c>
      <c r="L10">
        <v>0.4</v>
      </c>
      <c r="M10">
        <v>0.35000000000000003</v>
      </c>
      <c r="N10">
        <v>0.38</v>
      </c>
      <c r="O10">
        <v>0.33</v>
      </c>
      <c r="P10">
        <v>0.35000000000000003</v>
      </c>
      <c r="Q10">
        <v>0.33</v>
      </c>
      <c r="R10">
        <v>0.15000000000000002</v>
      </c>
      <c r="S10">
        <v>0.1399999999999999</v>
      </c>
      <c r="T10">
        <v>0.56000000000000005</v>
      </c>
      <c r="U10">
        <v>0.10000000000000009</v>
      </c>
    </row>
    <row r="11" spans="1:21" x14ac:dyDescent="0.35">
      <c r="A11" t="s">
        <v>18</v>
      </c>
      <c r="B11" t="s">
        <v>17</v>
      </c>
      <c r="C11" t="s">
        <v>28</v>
      </c>
      <c r="D11" t="s">
        <v>28</v>
      </c>
      <c r="E11" t="s">
        <v>29</v>
      </c>
      <c r="F11" t="s">
        <v>30</v>
      </c>
      <c r="G11" t="s">
        <v>31</v>
      </c>
      <c r="H11" t="s">
        <v>32</v>
      </c>
      <c r="I11">
        <v>0</v>
      </c>
      <c r="J11">
        <v>0.39</v>
      </c>
      <c r="K11">
        <v>0.33999999999999997</v>
      </c>
      <c r="L11">
        <v>0.28999999999999992</v>
      </c>
      <c r="M11">
        <v>0.32999999999999996</v>
      </c>
      <c r="N11">
        <v>0.25999999999999995</v>
      </c>
      <c r="O11">
        <v>0.32999999999999996</v>
      </c>
      <c r="P11">
        <v>0.35</v>
      </c>
      <c r="Q11">
        <v>0.35000000000000003</v>
      </c>
      <c r="R11">
        <v>0.14000000000000001</v>
      </c>
      <c r="S11">
        <v>0.24999999999999994</v>
      </c>
      <c r="T11">
        <v>8.0000000000000071E-2</v>
      </c>
      <c r="U11">
        <v>0.14999999999999997</v>
      </c>
    </row>
    <row r="12" spans="1:21" x14ac:dyDescent="0.35">
      <c r="A12" t="s">
        <v>18</v>
      </c>
      <c r="B12" t="s">
        <v>17</v>
      </c>
      <c r="C12" t="s">
        <v>28</v>
      </c>
      <c r="D12" t="s">
        <v>28</v>
      </c>
      <c r="E12" t="s">
        <v>33</v>
      </c>
      <c r="F12" t="s">
        <v>30</v>
      </c>
      <c r="G12" t="s">
        <v>36</v>
      </c>
      <c r="H12" t="s">
        <v>32</v>
      </c>
      <c r="I12">
        <v>0</v>
      </c>
      <c r="J12">
        <v>0</v>
      </c>
      <c r="K12">
        <v>0</v>
      </c>
      <c r="L12">
        <v>0</v>
      </c>
      <c r="M12">
        <v>0</v>
      </c>
      <c r="N12">
        <v>0.5</v>
      </c>
      <c r="O12">
        <v>0.5</v>
      </c>
      <c r="P12">
        <v>0.5</v>
      </c>
      <c r="Q12">
        <v>0.5</v>
      </c>
      <c r="R12">
        <v>0.5</v>
      </c>
      <c r="S12">
        <v>0.5</v>
      </c>
      <c r="T12">
        <v>0</v>
      </c>
      <c r="U12">
        <v>0</v>
      </c>
    </row>
    <row r="13" spans="1:21" x14ac:dyDescent="0.35">
      <c r="A13" t="s">
        <v>15</v>
      </c>
      <c r="B13" t="s">
        <v>17</v>
      </c>
      <c r="C13" t="s">
        <v>28</v>
      </c>
      <c r="D13" t="s">
        <v>28</v>
      </c>
      <c r="E13" t="s">
        <v>33</v>
      </c>
      <c r="F13" t="s">
        <v>30</v>
      </c>
      <c r="G13" t="s">
        <v>36</v>
      </c>
      <c r="H13" t="s">
        <v>32</v>
      </c>
      <c r="I13">
        <v>0.19999999999999996</v>
      </c>
      <c r="J13">
        <v>5.9999999999999942E-2</v>
      </c>
      <c r="K13">
        <v>0.18000000000000005</v>
      </c>
      <c r="L13">
        <v>0.44999999999999996</v>
      </c>
      <c r="M13">
        <v>0.26</v>
      </c>
      <c r="N13">
        <v>0.36</v>
      </c>
      <c r="O13">
        <v>0.47</v>
      </c>
      <c r="P13">
        <v>0.26</v>
      </c>
      <c r="Q13">
        <v>0.20999999999999996</v>
      </c>
      <c r="R13">
        <v>7.999999999999996E-2</v>
      </c>
      <c r="S13">
        <v>1.0000000000000009E-2</v>
      </c>
      <c r="T13">
        <v>0</v>
      </c>
      <c r="U13">
        <v>0</v>
      </c>
    </row>
    <row r="14" spans="1:21" x14ac:dyDescent="0.35">
      <c r="A14" t="s">
        <v>18</v>
      </c>
      <c r="B14" t="s">
        <v>17</v>
      </c>
      <c r="C14" t="s">
        <v>28</v>
      </c>
      <c r="D14" t="s">
        <v>28</v>
      </c>
      <c r="E14" t="s">
        <v>33</v>
      </c>
      <c r="F14" t="s">
        <v>34</v>
      </c>
      <c r="G14" t="s">
        <v>36</v>
      </c>
      <c r="H14" t="s">
        <v>35</v>
      </c>
      <c r="I14">
        <v>0.21000000000000002</v>
      </c>
      <c r="J14">
        <v>0.18</v>
      </c>
      <c r="K14">
        <v>4.9999999999999989E-2</v>
      </c>
      <c r="L14">
        <v>7.0000000000000007E-2</v>
      </c>
      <c r="M14">
        <v>0.12</v>
      </c>
      <c r="N14">
        <v>0.10000000000000003</v>
      </c>
      <c r="O14">
        <v>4.0000000000000008E-2</v>
      </c>
      <c r="P14">
        <v>9.9999999999999992E-2</v>
      </c>
      <c r="Q14">
        <v>1.0000000000000009E-2</v>
      </c>
      <c r="R14">
        <v>0.09</v>
      </c>
      <c r="S14">
        <v>5.0000000000000044E-2</v>
      </c>
      <c r="T14">
        <v>8.0000000000000016E-2</v>
      </c>
      <c r="U14">
        <v>3.999999999999998E-2</v>
      </c>
    </row>
    <row r="15" spans="1:21" x14ac:dyDescent="0.35">
      <c r="A15" t="s">
        <v>18</v>
      </c>
      <c r="B15" t="s">
        <v>17</v>
      </c>
      <c r="C15" t="s">
        <v>28</v>
      </c>
      <c r="D15" t="s">
        <v>29</v>
      </c>
      <c r="E15" t="s">
        <v>33</v>
      </c>
      <c r="F15" t="s">
        <v>30</v>
      </c>
      <c r="G15" t="s">
        <v>31</v>
      </c>
      <c r="H15" t="s">
        <v>32</v>
      </c>
      <c r="I15">
        <v>0.13</v>
      </c>
      <c r="J15">
        <v>0.10000000000000009</v>
      </c>
      <c r="K15">
        <v>0.38</v>
      </c>
      <c r="L15">
        <v>0.25999999999999995</v>
      </c>
      <c r="M15">
        <v>0.21999999999999997</v>
      </c>
      <c r="N15">
        <v>0.10999999999999999</v>
      </c>
      <c r="O15">
        <v>0.13</v>
      </c>
      <c r="P15">
        <v>0.10000000000000003</v>
      </c>
      <c r="Q15">
        <v>0.15000000000000002</v>
      </c>
      <c r="R15">
        <v>1.0000000000000009E-2</v>
      </c>
      <c r="S15">
        <v>9.9999999999999978E-2</v>
      </c>
      <c r="T15">
        <v>8.9999999999999969E-2</v>
      </c>
      <c r="U15">
        <v>0.15000000000000002</v>
      </c>
    </row>
    <row r="16" spans="1:21" x14ac:dyDescent="0.35">
      <c r="A16" t="s">
        <v>18</v>
      </c>
      <c r="B16" t="s">
        <v>17</v>
      </c>
      <c r="C16" t="s">
        <v>28</v>
      </c>
      <c r="D16" t="s">
        <v>29</v>
      </c>
      <c r="E16" t="s">
        <v>29</v>
      </c>
      <c r="F16" t="s">
        <v>30</v>
      </c>
      <c r="G16" t="s">
        <v>31</v>
      </c>
      <c r="H16" t="s">
        <v>32</v>
      </c>
      <c r="I16">
        <v>0.33000000000000007</v>
      </c>
      <c r="J16">
        <v>0.53</v>
      </c>
      <c r="K16">
        <v>0.51</v>
      </c>
      <c r="L16">
        <v>0.5</v>
      </c>
      <c r="M16">
        <v>0.57999999999999996</v>
      </c>
      <c r="N16">
        <v>0.54</v>
      </c>
      <c r="O16">
        <v>0.45</v>
      </c>
      <c r="P16">
        <v>0.36</v>
      </c>
      <c r="Q16">
        <v>0.38000000000000006</v>
      </c>
      <c r="R16">
        <v>0.26000000000000006</v>
      </c>
      <c r="S16">
        <v>0.28999999999999998</v>
      </c>
      <c r="T16">
        <v>0.21000000000000008</v>
      </c>
      <c r="U16">
        <v>0.24</v>
      </c>
    </row>
    <row r="17" spans="1:21" x14ac:dyDescent="0.35">
      <c r="A17" t="s">
        <v>18</v>
      </c>
      <c r="B17" t="s">
        <v>17</v>
      </c>
      <c r="C17" t="s">
        <v>28</v>
      </c>
      <c r="D17" t="s">
        <v>28</v>
      </c>
      <c r="E17" t="s">
        <v>33</v>
      </c>
      <c r="F17" t="s">
        <v>38</v>
      </c>
      <c r="G17" t="s">
        <v>36</v>
      </c>
      <c r="H17" t="s">
        <v>32</v>
      </c>
      <c r="I17">
        <v>0.31999999999999995</v>
      </c>
      <c r="J17">
        <v>0.56000000000000005</v>
      </c>
      <c r="K17">
        <v>0.48</v>
      </c>
      <c r="L17">
        <v>0.59000000000000008</v>
      </c>
      <c r="M17">
        <v>0.45999999999999996</v>
      </c>
      <c r="N17">
        <v>0.38999999999999996</v>
      </c>
      <c r="O17">
        <v>0.28999999999999998</v>
      </c>
      <c r="P17">
        <v>0.25</v>
      </c>
      <c r="Q17">
        <v>0.27</v>
      </c>
      <c r="R17">
        <v>0.24</v>
      </c>
      <c r="S17">
        <v>0.18999999999999995</v>
      </c>
      <c r="T17">
        <v>0.20999999999999996</v>
      </c>
      <c r="U17">
        <v>0.12000000000000011</v>
      </c>
    </row>
    <row r="18" spans="1:21" x14ac:dyDescent="0.35">
      <c r="A18" t="s">
        <v>18</v>
      </c>
      <c r="B18" t="s">
        <v>17</v>
      </c>
      <c r="C18" t="s">
        <v>28</v>
      </c>
      <c r="D18" t="s">
        <v>28</v>
      </c>
      <c r="E18" t="s">
        <v>33</v>
      </c>
      <c r="F18" t="s">
        <v>30</v>
      </c>
      <c r="G18" t="s">
        <v>36</v>
      </c>
      <c r="H18" t="s">
        <v>32</v>
      </c>
      <c r="I18">
        <v>0.28000000000000003</v>
      </c>
      <c r="J18">
        <v>0.26</v>
      </c>
      <c r="K18">
        <v>0.31000000000000005</v>
      </c>
      <c r="L18">
        <v>0.16999999999999998</v>
      </c>
      <c r="M18">
        <v>0.34</v>
      </c>
      <c r="N18">
        <v>0.17000000000000004</v>
      </c>
      <c r="O18">
        <v>0.22999999999999998</v>
      </c>
      <c r="P18">
        <v>0.16000000000000003</v>
      </c>
      <c r="Q18">
        <v>0.31</v>
      </c>
      <c r="R18">
        <v>0.14000000000000001</v>
      </c>
      <c r="S18">
        <v>0.22999999999999998</v>
      </c>
      <c r="T18">
        <v>0.14999999999999991</v>
      </c>
      <c r="U18">
        <v>0.15000000000000002</v>
      </c>
    </row>
    <row r="19" spans="1:21" x14ac:dyDescent="0.35">
      <c r="A19" t="s">
        <v>18</v>
      </c>
      <c r="B19" t="s">
        <v>16</v>
      </c>
      <c r="C19" t="s">
        <v>29</v>
      </c>
      <c r="D19" t="s">
        <v>29</v>
      </c>
      <c r="E19" t="s">
        <v>29</v>
      </c>
      <c r="F19" t="s">
        <v>30</v>
      </c>
      <c r="G19" t="s">
        <v>31</v>
      </c>
      <c r="H19" t="s">
        <v>32</v>
      </c>
      <c r="I19">
        <v>0</v>
      </c>
      <c r="J19">
        <v>0.5</v>
      </c>
      <c r="K19">
        <v>0.5</v>
      </c>
      <c r="L19">
        <v>0.5</v>
      </c>
      <c r="M19">
        <v>1</v>
      </c>
      <c r="N19">
        <v>0.5</v>
      </c>
      <c r="O19">
        <v>1</v>
      </c>
      <c r="P19">
        <v>0.5</v>
      </c>
      <c r="Q19">
        <v>0.5</v>
      </c>
      <c r="R19">
        <v>0.5</v>
      </c>
      <c r="S19">
        <v>0.5</v>
      </c>
      <c r="T19">
        <v>0</v>
      </c>
      <c r="U19">
        <v>0</v>
      </c>
    </row>
    <row r="20" spans="1:21" x14ac:dyDescent="0.35">
      <c r="A20" t="s">
        <v>18</v>
      </c>
      <c r="B20" t="s">
        <v>17</v>
      </c>
      <c r="C20" t="s">
        <v>29</v>
      </c>
      <c r="D20" t="s">
        <v>29</v>
      </c>
      <c r="E20" t="s">
        <v>33</v>
      </c>
      <c r="F20" t="s">
        <v>30</v>
      </c>
      <c r="G20" t="s">
        <v>36</v>
      </c>
      <c r="H20" t="s">
        <v>32</v>
      </c>
      <c r="I20">
        <v>0.37000000000000005</v>
      </c>
      <c r="J20">
        <v>0.37000000000000005</v>
      </c>
      <c r="K20">
        <v>0.33999999999999997</v>
      </c>
      <c r="L20">
        <v>0.32999999999999996</v>
      </c>
      <c r="M20">
        <v>0.3</v>
      </c>
      <c r="N20">
        <v>0.31</v>
      </c>
      <c r="O20">
        <v>0.20999999999999996</v>
      </c>
      <c r="P20">
        <v>0.21999999999999997</v>
      </c>
      <c r="Q20">
        <v>0.35</v>
      </c>
      <c r="R20">
        <v>0.26999999999999996</v>
      </c>
      <c r="S20">
        <v>0.18</v>
      </c>
      <c r="T20">
        <v>0.20000000000000007</v>
      </c>
      <c r="U20">
        <v>0.21999999999999997</v>
      </c>
    </row>
    <row r="21" spans="1:21" x14ac:dyDescent="0.35">
      <c r="A21" s="17" t="s">
        <v>18</v>
      </c>
      <c r="B21" t="s">
        <v>17</v>
      </c>
      <c r="C21" s="17" t="s">
        <v>29</v>
      </c>
      <c r="D21" s="17" t="s">
        <v>28</v>
      </c>
      <c r="E21" s="17" t="s">
        <v>28</v>
      </c>
      <c r="F21" s="17" t="s">
        <v>30</v>
      </c>
      <c r="G21" s="17" t="s">
        <v>31</v>
      </c>
      <c r="H21" s="17" t="s">
        <v>32</v>
      </c>
      <c r="I21" s="17">
        <v>0.48000000000000004</v>
      </c>
      <c r="J21" s="17">
        <v>0.51</v>
      </c>
      <c r="K21" s="17">
        <v>0.49</v>
      </c>
      <c r="L21" s="17">
        <v>0.33999999999999997</v>
      </c>
      <c r="M21" s="17">
        <v>0.39</v>
      </c>
      <c r="N21" s="17">
        <v>0.37000000000000005</v>
      </c>
      <c r="O21" s="17">
        <v>0.47</v>
      </c>
      <c r="P21" s="17">
        <v>0.43000000000000005</v>
      </c>
      <c r="Q21" s="17">
        <v>0.26999999999999996</v>
      </c>
      <c r="R21" s="17">
        <v>0.3</v>
      </c>
      <c r="S21" s="17">
        <v>0.31</v>
      </c>
      <c r="T21" s="17">
        <v>0.27</v>
      </c>
      <c r="U21" s="19">
        <v>0.20999999999999996</v>
      </c>
    </row>
    <row r="22" spans="1:21" x14ac:dyDescent="0.35">
      <c r="A22" s="18" t="s">
        <v>20</v>
      </c>
      <c r="B22" t="s">
        <v>17</v>
      </c>
      <c r="C22" s="18" t="s">
        <v>28</v>
      </c>
      <c r="D22" s="18" t="s">
        <v>28</v>
      </c>
      <c r="E22" s="18" t="s">
        <v>28</v>
      </c>
      <c r="F22" s="18" t="s">
        <v>34</v>
      </c>
      <c r="G22" s="18" t="s">
        <v>42</v>
      </c>
      <c r="H22" s="18" t="s">
        <v>32</v>
      </c>
      <c r="I22" s="18">
        <v>0.21999999999999997</v>
      </c>
      <c r="J22" s="18">
        <v>0.27</v>
      </c>
      <c r="K22" s="18">
        <v>0.22999999999999998</v>
      </c>
      <c r="L22" s="18">
        <v>0.19999999999999996</v>
      </c>
      <c r="M22" s="18">
        <v>0.23000000000000004</v>
      </c>
      <c r="N22" s="18">
        <v>0.36</v>
      </c>
      <c r="O22" s="18">
        <v>0.38</v>
      </c>
      <c r="P22" s="18">
        <v>0.28000000000000003</v>
      </c>
      <c r="Q22" s="18">
        <v>0.26999999999999996</v>
      </c>
      <c r="R22" s="18">
        <v>0.11000000000000004</v>
      </c>
      <c r="S22" s="18">
        <v>0.25000000000000006</v>
      </c>
      <c r="T22" s="18">
        <v>0.15000000000000002</v>
      </c>
      <c r="U22" s="20">
        <v>0.10999999999999999</v>
      </c>
    </row>
    <row r="23" spans="1:21" x14ac:dyDescent="0.35">
      <c r="A23" s="17" t="s">
        <v>18</v>
      </c>
      <c r="B23" t="s">
        <v>17</v>
      </c>
      <c r="C23" s="17" t="s">
        <v>28</v>
      </c>
      <c r="D23" s="17" t="s">
        <v>28</v>
      </c>
      <c r="E23" s="17" t="s">
        <v>29</v>
      </c>
      <c r="F23" s="17" t="s">
        <v>30</v>
      </c>
      <c r="G23" s="17" t="s">
        <v>36</v>
      </c>
      <c r="H23" s="17" t="s">
        <v>32</v>
      </c>
      <c r="I23" s="17">
        <v>0.52</v>
      </c>
      <c r="J23" s="17">
        <v>0.36000000000000004</v>
      </c>
      <c r="K23" s="17">
        <v>0.24000000000000005</v>
      </c>
      <c r="L23" s="17">
        <v>0.25</v>
      </c>
      <c r="M23" s="17">
        <v>0.18</v>
      </c>
      <c r="N23" s="17">
        <v>0.13</v>
      </c>
      <c r="O23" s="17">
        <v>2.0000000000000018E-2</v>
      </c>
      <c r="P23" s="17">
        <v>0.12000000000000002</v>
      </c>
      <c r="Q23" s="17">
        <v>0.12999999999999998</v>
      </c>
      <c r="R23" s="17">
        <v>8.9999999999999969E-2</v>
      </c>
      <c r="S23" s="17">
        <v>9.0000000000000024E-2</v>
      </c>
      <c r="T23" s="17">
        <v>7.0000000000000007E-2</v>
      </c>
      <c r="U23" s="19">
        <v>0.18000000000000005</v>
      </c>
    </row>
    <row r="24" spans="1:21" x14ac:dyDescent="0.35">
      <c r="A24" s="17" t="s">
        <v>18</v>
      </c>
      <c r="B24" t="s">
        <v>17</v>
      </c>
      <c r="C24" s="17" t="s">
        <v>28</v>
      </c>
      <c r="D24" s="17" t="s">
        <v>29</v>
      </c>
      <c r="E24" s="17" t="s">
        <v>29</v>
      </c>
      <c r="F24" s="17" t="s">
        <v>30</v>
      </c>
      <c r="G24" s="17" t="s">
        <v>31</v>
      </c>
      <c r="H24" s="17" t="s">
        <v>35</v>
      </c>
      <c r="I24" s="17">
        <v>0.19999999999999996</v>
      </c>
      <c r="J24" s="17">
        <v>0.24</v>
      </c>
      <c r="K24" s="17">
        <v>0.37000000000000005</v>
      </c>
      <c r="L24" s="17">
        <v>0.23000000000000004</v>
      </c>
      <c r="M24" s="17">
        <v>0.30999999999999994</v>
      </c>
      <c r="N24" s="17">
        <v>0.16999999999999993</v>
      </c>
      <c r="O24" s="17">
        <v>0.14000000000000001</v>
      </c>
      <c r="P24" s="17">
        <v>0.19999999999999996</v>
      </c>
      <c r="Q24" s="17">
        <v>0.18</v>
      </c>
      <c r="R24" s="17">
        <v>8.9999999999999969E-2</v>
      </c>
      <c r="S24" s="17">
        <v>0.14000000000000001</v>
      </c>
      <c r="T24" s="17">
        <v>9.9999999999999978E-2</v>
      </c>
      <c r="U24" s="19">
        <v>0.14000000000000001</v>
      </c>
    </row>
    <row r="25" spans="1:21" x14ac:dyDescent="0.35">
      <c r="A25" s="17" t="s">
        <v>15</v>
      </c>
      <c r="B25" t="s">
        <v>17</v>
      </c>
      <c r="C25" s="17" t="s">
        <v>28</v>
      </c>
      <c r="D25" s="17" t="s">
        <v>28</v>
      </c>
      <c r="E25" s="17" t="s">
        <v>28</v>
      </c>
      <c r="F25" s="17" t="s">
        <v>38</v>
      </c>
      <c r="G25" s="17" t="s">
        <v>31</v>
      </c>
      <c r="H25" s="17" t="s">
        <v>35</v>
      </c>
      <c r="I25" s="17">
        <v>0</v>
      </c>
      <c r="J25" s="17">
        <v>0.24</v>
      </c>
      <c r="K25" s="17">
        <v>0.35000000000000003</v>
      </c>
      <c r="L25" s="17">
        <v>0.23000000000000004</v>
      </c>
      <c r="M25" s="17">
        <v>0.2</v>
      </c>
      <c r="N25" s="17">
        <v>0.23000000000000004</v>
      </c>
      <c r="O25" s="17">
        <v>0.20999999999999996</v>
      </c>
      <c r="P25" s="17">
        <v>0.12000000000000002</v>
      </c>
      <c r="Q25" s="17">
        <v>0.17</v>
      </c>
      <c r="R25" s="17">
        <v>0.09</v>
      </c>
      <c r="S25" s="17">
        <v>0.15999999999999998</v>
      </c>
      <c r="T25" s="17">
        <v>7.999999999999996E-2</v>
      </c>
      <c r="U25" s="19">
        <v>0.22999999999999998</v>
      </c>
    </row>
    <row r="26" spans="1:21" x14ac:dyDescent="0.35">
      <c r="A26" s="17" t="s">
        <v>18</v>
      </c>
      <c r="B26" t="s">
        <v>17</v>
      </c>
      <c r="C26" s="17" t="s">
        <v>28</v>
      </c>
      <c r="D26" s="17" t="s">
        <v>28</v>
      </c>
      <c r="E26" s="17" t="s">
        <v>28</v>
      </c>
      <c r="F26" s="17" t="s">
        <v>30</v>
      </c>
      <c r="G26" s="17" t="s">
        <v>31</v>
      </c>
      <c r="H26" s="17" t="s">
        <v>35</v>
      </c>
      <c r="I26" s="17">
        <v>0.45999999999999996</v>
      </c>
      <c r="J26" s="17">
        <v>0.47</v>
      </c>
      <c r="K26" s="17">
        <v>0.43000000000000005</v>
      </c>
      <c r="L26" s="17">
        <v>0.33000000000000007</v>
      </c>
      <c r="M26" s="17">
        <v>0.44000000000000006</v>
      </c>
      <c r="N26" s="17">
        <v>0.36000000000000004</v>
      </c>
      <c r="O26" s="17">
        <v>0.33</v>
      </c>
      <c r="P26" s="17">
        <v>0.19</v>
      </c>
      <c r="Q26" s="17">
        <v>0.24000000000000002</v>
      </c>
      <c r="R26" s="17">
        <v>0.22000000000000003</v>
      </c>
      <c r="S26" s="17">
        <v>0.24000000000000002</v>
      </c>
      <c r="T26" s="17">
        <v>0.18000000000000002</v>
      </c>
      <c r="U26" s="19">
        <v>0.19</v>
      </c>
    </row>
    <row r="27" spans="1:21" x14ac:dyDescent="0.35">
      <c r="A27" s="17" t="s">
        <v>18</v>
      </c>
      <c r="B27" t="s">
        <v>17</v>
      </c>
      <c r="C27" s="17" t="s">
        <v>28</v>
      </c>
      <c r="D27" s="17" t="s">
        <v>28</v>
      </c>
      <c r="E27" s="17" t="s">
        <v>29</v>
      </c>
      <c r="F27" s="17" t="s">
        <v>34</v>
      </c>
      <c r="G27" s="17" t="s">
        <v>31</v>
      </c>
      <c r="H27" s="17" t="s">
        <v>32</v>
      </c>
      <c r="I27" s="17">
        <v>0.27</v>
      </c>
      <c r="J27" s="17">
        <v>0.20999999999999996</v>
      </c>
      <c r="K27" s="17">
        <v>0.25000000000000006</v>
      </c>
      <c r="L27" s="17">
        <v>0.18999999999999995</v>
      </c>
      <c r="M27" s="17">
        <v>0.14000000000000007</v>
      </c>
      <c r="N27" s="17">
        <v>0.17999999999999994</v>
      </c>
      <c r="O27" s="17">
        <v>0.19999999999999996</v>
      </c>
      <c r="P27" s="17">
        <v>0.15000000000000002</v>
      </c>
      <c r="Q27" s="17">
        <v>0.18</v>
      </c>
      <c r="R27" s="17">
        <v>8.0000000000000016E-2</v>
      </c>
      <c r="S27" s="17">
        <v>0.10000000000000003</v>
      </c>
      <c r="T27" s="17">
        <v>8.0000000000000071E-2</v>
      </c>
      <c r="U27" s="19">
        <v>8.9999999999999969E-2</v>
      </c>
    </row>
    <row r="28" spans="1:21" x14ac:dyDescent="0.35">
      <c r="A28" s="18" t="s">
        <v>15</v>
      </c>
      <c r="B28" t="s">
        <v>17</v>
      </c>
      <c r="C28" s="18" t="s">
        <v>28</v>
      </c>
      <c r="D28" s="18" t="s">
        <v>28</v>
      </c>
      <c r="E28" s="18" t="s">
        <v>28</v>
      </c>
      <c r="F28" s="18" t="s">
        <v>30</v>
      </c>
      <c r="G28" s="18" t="s">
        <v>42</v>
      </c>
      <c r="H28" s="18" t="s">
        <v>32</v>
      </c>
      <c r="I28" s="18">
        <v>0.27999999999999992</v>
      </c>
      <c r="J28" s="18">
        <v>0.16999999999999993</v>
      </c>
      <c r="K28" s="18">
        <v>0.14999999999999991</v>
      </c>
      <c r="L28" s="18">
        <v>0.21999999999999997</v>
      </c>
      <c r="M28" s="18">
        <v>0.27</v>
      </c>
      <c r="N28" s="18">
        <v>0.15000000000000002</v>
      </c>
      <c r="O28" s="18">
        <v>0.14999999999999991</v>
      </c>
      <c r="P28" s="18">
        <v>0.10999999999999999</v>
      </c>
      <c r="Q28" s="18">
        <v>0.17999999999999994</v>
      </c>
      <c r="R28" s="18">
        <v>0.22999999999999998</v>
      </c>
      <c r="S28" s="18">
        <v>0.19000000000000006</v>
      </c>
      <c r="T28" s="18">
        <v>6.0000000000000053E-2</v>
      </c>
      <c r="U28" s="20">
        <v>0</v>
      </c>
    </row>
    <row r="29" spans="1:21" x14ac:dyDescent="0.35">
      <c r="A29" s="17" t="s">
        <v>18</v>
      </c>
      <c r="B29" t="s">
        <v>17</v>
      </c>
      <c r="C29" s="17" t="s">
        <v>28</v>
      </c>
      <c r="D29" s="17" t="s">
        <v>28</v>
      </c>
      <c r="E29" s="17" t="s">
        <v>28</v>
      </c>
      <c r="F29" s="17" t="s">
        <v>30</v>
      </c>
      <c r="G29" s="18" t="s">
        <v>42</v>
      </c>
      <c r="H29" s="17" t="s">
        <v>32</v>
      </c>
      <c r="I29" s="17">
        <v>0.28000000000000003</v>
      </c>
      <c r="J29" s="17">
        <v>0.28999999999999992</v>
      </c>
      <c r="K29" s="17">
        <v>0.36</v>
      </c>
      <c r="L29" s="17">
        <v>0.42000000000000004</v>
      </c>
      <c r="M29" s="17">
        <v>0.41000000000000003</v>
      </c>
      <c r="N29" s="17">
        <v>0.32</v>
      </c>
      <c r="O29" s="17">
        <v>0.35</v>
      </c>
      <c r="P29" s="17">
        <v>0.21999999999999997</v>
      </c>
      <c r="Q29" s="17">
        <v>0.37</v>
      </c>
      <c r="R29" s="17">
        <v>0.35000000000000003</v>
      </c>
      <c r="S29" s="17">
        <v>0.24</v>
      </c>
      <c r="T29" s="17">
        <v>0.31000000000000005</v>
      </c>
      <c r="U29" s="19">
        <v>3.0000000000000027E-2</v>
      </c>
    </row>
    <row r="30" spans="1:21" x14ac:dyDescent="0.35">
      <c r="A30" s="18" t="s">
        <v>15</v>
      </c>
      <c r="B30" t="s">
        <v>17</v>
      </c>
      <c r="C30" s="18" t="s">
        <v>28</v>
      </c>
      <c r="D30" s="18" t="s">
        <v>28</v>
      </c>
      <c r="E30" s="18" t="s">
        <v>28</v>
      </c>
      <c r="F30" s="18" t="s">
        <v>30</v>
      </c>
      <c r="G30" s="18" t="s">
        <v>42</v>
      </c>
      <c r="H30" s="18" t="s">
        <v>35</v>
      </c>
      <c r="I30" s="18">
        <v>0.22999999999999998</v>
      </c>
      <c r="J30" s="18">
        <v>4.0000000000000036E-2</v>
      </c>
      <c r="K30" s="18">
        <v>7.0000000000000062E-2</v>
      </c>
      <c r="L30" s="18">
        <v>0</v>
      </c>
      <c r="M30" s="18">
        <v>8.0000000000000071E-2</v>
      </c>
      <c r="N30" s="18">
        <v>9.0000000000000024E-2</v>
      </c>
      <c r="O30" s="18">
        <v>8.0000000000000016E-2</v>
      </c>
      <c r="P30" s="18">
        <v>4.9999999999999989E-2</v>
      </c>
      <c r="Q30" s="18">
        <v>0.12</v>
      </c>
      <c r="R30" s="18">
        <v>9.9999999999999534E-3</v>
      </c>
      <c r="S30" s="18">
        <v>7.999999999999996E-2</v>
      </c>
      <c r="T30" s="18">
        <v>6.0000000000000053E-2</v>
      </c>
      <c r="U30" s="20">
        <v>5.9999999999999942E-2</v>
      </c>
    </row>
    <row r="31" spans="1:21" x14ac:dyDescent="0.35">
      <c r="A31" s="17" t="s">
        <v>18</v>
      </c>
      <c r="B31" t="s">
        <v>17</v>
      </c>
      <c r="C31" s="17" t="s">
        <v>28</v>
      </c>
      <c r="D31" s="17" t="s">
        <v>28</v>
      </c>
      <c r="E31" s="17" t="s">
        <v>28</v>
      </c>
      <c r="F31" s="17" t="s">
        <v>30</v>
      </c>
      <c r="G31" s="26" t="s">
        <v>36</v>
      </c>
      <c r="H31" s="17" t="s">
        <v>32</v>
      </c>
      <c r="I31" s="17">
        <v>0.37</v>
      </c>
      <c r="J31" s="17">
        <v>0.36000000000000004</v>
      </c>
      <c r="K31" s="17">
        <v>0.21000000000000002</v>
      </c>
      <c r="L31" s="17">
        <v>0.2</v>
      </c>
      <c r="M31" s="17">
        <v>0.14000000000000007</v>
      </c>
      <c r="N31" s="17">
        <v>0.15000000000000002</v>
      </c>
      <c r="O31" s="17">
        <v>0.16999999999999998</v>
      </c>
      <c r="P31" s="17">
        <v>0.21999999999999997</v>
      </c>
      <c r="Q31" s="17">
        <v>0.24</v>
      </c>
      <c r="R31" s="17">
        <v>0.2</v>
      </c>
      <c r="S31" s="17">
        <v>0.25999999999999995</v>
      </c>
      <c r="T31" s="17">
        <v>0.33000000000000007</v>
      </c>
      <c r="U31" s="19">
        <v>0.19999999999999996</v>
      </c>
    </row>
    <row r="32" spans="1:21" x14ac:dyDescent="0.35">
      <c r="A32" s="18" t="s">
        <v>15</v>
      </c>
      <c r="B32" t="s">
        <v>17</v>
      </c>
      <c r="C32" s="18" t="s">
        <v>28</v>
      </c>
      <c r="D32" s="18" t="s">
        <v>28</v>
      </c>
      <c r="E32" s="18" t="s">
        <v>28</v>
      </c>
      <c r="F32" s="18" t="s">
        <v>30</v>
      </c>
      <c r="G32" s="17" t="s">
        <v>31</v>
      </c>
      <c r="H32" s="18" t="s">
        <v>32</v>
      </c>
      <c r="I32" s="18">
        <v>0.27</v>
      </c>
      <c r="J32" s="18">
        <v>0.35000000000000003</v>
      </c>
      <c r="K32" s="18">
        <v>0.33999999999999997</v>
      </c>
      <c r="L32" s="18">
        <v>0.34999999999999992</v>
      </c>
      <c r="M32" s="18">
        <v>0.35</v>
      </c>
      <c r="N32" s="18">
        <v>0.38</v>
      </c>
      <c r="O32" s="18">
        <v>0.36</v>
      </c>
      <c r="P32" s="18">
        <v>0.45</v>
      </c>
      <c r="Q32" s="18">
        <v>0.47</v>
      </c>
      <c r="R32" s="18">
        <v>0.45999999999999996</v>
      </c>
      <c r="S32" s="18">
        <v>0.4</v>
      </c>
      <c r="T32" s="18">
        <v>0.44999999999999996</v>
      </c>
      <c r="U32" s="20">
        <v>0.47</v>
      </c>
    </row>
    <row r="33" spans="1:21" x14ac:dyDescent="0.35">
      <c r="A33" s="17" t="s">
        <v>18</v>
      </c>
      <c r="B33" s="17" t="s">
        <v>16</v>
      </c>
      <c r="C33" s="17" t="s">
        <v>29</v>
      </c>
      <c r="D33" s="17" t="s">
        <v>28</v>
      </c>
      <c r="E33" s="17" t="s">
        <v>28</v>
      </c>
      <c r="F33" s="17" t="s">
        <v>30</v>
      </c>
      <c r="G33" s="17" t="s">
        <v>31</v>
      </c>
      <c r="H33" s="17" t="s">
        <v>46</v>
      </c>
      <c r="I33" s="17">
        <v>0.31999999999999995</v>
      </c>
      <c r="J33" s="17">
        <v>0.31999999999999995</v>
      </c>
      <c r="K33" s="17">
        <v>0.33999999999999997</v>
      </c>
      <c r="L33" s="17">
        <v>0.45</v>
      </c>
      <c r="M33" s="17">
        <v>0.52</v>
      </c>
      <c r="N33" s="17">
        <v>0.52</v>
      </c>
      <c r="O33" s="17">
        <v>0.48</v>
      </c>
      <c r="P33" s="17">
        <v>0.61</v>
      </c>
      <c r="Q33" s="17">
        <v>0.5</v>
      </c>
      <c r="R33" s="17">
        <v>0.33</v>
      </c>
      <c r="S33" s="17">
        <v>0.47</v>
      </c>
      <c r="T33" s="17">
        <v>0.14000000000000001</v>
      </c>
      <c r="U33" s="19">
        <v>0.41</v>
      </c>
    </row>
    <row r="34" spans="1:21" x14ac:dyDescent="0.35">
      <c r="A34" s="17" t="s">
        <v>18</v>
      </c>
      <c r="B34" t="s">
        <v>17</v>
      </c>
      <c r="C34" s="17" t="s">
        <v>28</v>
      </c>
      <c r="D34" s="17" t="s">
        <v>29</v>
      </c>
      <c r="E34" s="17" t="s">
        <v>28</v>
      </c>
      <c r="F34" s="17" t="s">
        <v>30</v>
      </c>
      <c r="G34" s="18" t="s">
        <v>42</v>
      </c>
      <c r="H34" s="17" t="s">
        <v>32</v>
      </c>
      <c r="I34" s="17">
        <v>0.20999999999999996</v>
      </c>
      <c r="J34" s="17">
        <v>0.16999999999999998</v>
      </c>
      <c r="K34" s="17">
        <v>0.23999999999999994</v>
      </c>
      <c r="L34" s="17">
        <v>0.27999999999999997</v>
      </c>
      <c r="M34" s="17">
        <v>0.17000000000000004</v>
      </c>
      <c r="N34" s="17">
        <v>0.21999999999999997</v>
      </c>
      <c r="O34" s="17">
        <v>7.0000000000000007E-2</v>
      </c>
      <c r="P34" s="17">
        <v>0.22999999999999998</v>
      </c>
      <c r="Q34" s="17">
        <v>0.21</v>
      </c>
      <c r="R34" s="17">
        <v>0.16</v>
      </c>
      <c r="S34" s="17">
        <v>0.24999999999999997</v>
      </c>
      <c r="T34" s="17">
        <v>0.10999999999999999</v>
      </c>
      <c r="U34" s="19">
        <v>0.06</v>
      </c>
    </row>
    <row r="35" spans="1:21" x14ac:dyDescent="0.35">
      <c r="A35" s="18" t="s">
        <v>18</v>
      </c>
      <c r="B35" t="s">
        <v>17</v>
      </c>
      <c r="C35" s="18" t="s">
        <v>28</v>
      </c>
      <c r="D35" s="18" t="s">
        <v>29</v>
      </c>
      <c r="E35" s="18" t="s">
        <v>28</v>
      </c>
      <c r="F35" s="18" t="s">
        <v>30</v>
      </c>
      <c r="G35" s="18" t="s">
        <v>36</v>
      </c>
      <c r="H35" s="18" t="s">
        <v>32</v>
      </c>
      <c r="I35" s="18">
        <v>0.13</v>
      </c>
      <c r="J35" s="18">
        <v>0.22999999999999998</v>
      </c>
      <c r="K35" s="18">
        <v>0.12</v>
      </c>
      <c r="L35" s="18">
        <v>0.17999999999999994</v>
      </c>
      <c r="M35" s="18">
        <v>0.14000000000000001</v>
      </c>
      <c r="N35" s="18">
        <v>0.28999999999999998</v>
      </c>
      <c r="O35" s="18">
        <v>0.38</v>
      </c>
      <c r="P35" s="18">
        <v>0.25</v>
      </c>
      <c r="Q35" s="18">
        <v>0.15000000000000002</v>
      </c>
      <c r="R35" s="18">
        <v>0.19</v>
      </c>
      <c r="S35" s="18">
        <v>0.10999999999999999</v>
      </c>
      <c r="T35" s="18">
        <v>0.20999999999999996</v>
      </c>
      <c r="U35" s="20">
        <v>0.19999999999999996</v>
      </c>
    </row>
    <row r="36" spans="1:21" x14ac:dyDescent="0.35">
      <c r="A36" s="17" t="s">
        <v>15</v>
      </c>
      <c r="B36" t="s">
        <v>17</v>
      </c>
      <c r="C36" s="17" t="s">
        <v>28</v>
      </c>
      <c r="D36" s="17" t="s">
        <v>28</v>
      </c>
      <c r="E36" s="17" t="s">
        <v>28</v>
      </c>
      <c r="F36" s="17" t="s">
        <v>34</v>
      </c>
      <c r="G36" s="17" t="s">
        <v>31</v>
      </c>
      <c r="H36" s="17" t="s">
        <v>32</v>
      </c>
      <c r="I36" s="17">
        <v>0.18999999999999995</v>
      </c>
      <c r="J36" s="17">
        <v>7.999999999999996E-2</v>
      </c>
      <c r="K36" s="17">
        <v>0.17000000000000004</v>
      </c>
      <c r="L36" s="17">
        <v>0.15000000000000002</v>
      </c>
      <c r="M36" s="17">
        <v>0.20999999999999996</v>
      </c>
      <c r="N36" s="17">
        <v>0.15000000000000002</v>
      </c>
      <c r="O36" s="17">
        <v>0.13</v>
      </c>
      <c r="P36" s="17">
        <v>2.9999999999999971E-2</v>
      </c>
      <c r="Q36" s="17">
        <v>5.0000000000000017E-2</v>
      </c>
      <c r="R36" s="17">
        <v>3.999999999999998E-2</v>
      </c>
      <c r="S36" s="17">
        <v>8.0000000000000016E-2</v>
      </c>
      <c r="T36" s="17">
        <v>9.0000000000000024E-2</v>
      </c>
      <c r="U36" s="19">
        <v>3.0000000000000027E-2</v>
      </c>
    </row>
    <row r="37" spans="1:21" x14ac:dyDescent="0.35">
      <c r="A37" s="18" t="s">
        <v>18</v>
      </c>
      <c r="B37" t="s">
        <v>17</v>
      </c>
      <c r="C37" s="18" t="s">
        <v>28</v>
      </c>
      <c r="D37" s="18" t="s">
        <v>29</v>
      </c>
      <c r="E37" s="18" t="s">
        <v>29</v>
      </c>
      <c r="F37" s="18" t="s">
        <v>30</v>
      </c>
      <c r="G37" s="17" t="s">
        <v>31</v>
      </c>
      <c r="H37" s="18" t="s">
        <v>46</v>
      </c>
      <c r="I37" s="18">
        <v>9.9999999999999978E-2</v>
      </c>
      <c r="J37" s="18">
        <v>0.12000000000000005</v>
      </c>
      <c r="K37" s="18">
        <v>0.10999999999999999</v>
      </c>
      <c r="L37" s="18">
        <v>9.9999999999999978E-2</v>
      </c>
      <c r="M37" s="18">
        <v>0.14000000000000001</v>
      </c>
      <c r="N37" s="18">
        <v>0.13</v>
      </c>
      <c r="O37" s="18">
        <v>0.12</v>
      </c>
      <c r="P37" s="18">
        <v>8.0000000000000016E-2</v>
      </c>
      <c r="Q37" s="18">
        <v>8.0000000000000016E-2</v>
      </c>
      <c r="R37" s="18">
        <v>0.13</v>
      </c>
      <c r="S37" s="18">
        <v>9.9999999999999978E-2</v>
      </c>
      <c r="T37" s="18">
        <v>3.999999999999998E-2</v>
      </c>
      <c r="U37" s="20">
        <v>0.11000000000000004</v>
      </c>
    </row>
    <row r="38" spans="1:21" x14ac:dyDescent="0.35">
      <c r="A38" s="18" t="s">
        <v>18</v>
      </c>
      <c r="B38" t="s">
        <v>17</v>
      </c>
      <c r="C38" s="18" t="s">
        <v>28</v>
      </c>
      <c r="D38" s="18" t="s">
        <v>28</v>
      </c>
      <c r="E38" s="18" t="s">
        <v>28</v>
      </c>
      <c r="F38" s="18" t="s">
        <v>30</v>
      </c>
      <c r="G38" s="18" t="s">
        <v>36</v>
      </c>
      <c r="H38" s="18" t="s">
        <v>35</v>
      </c>
      <c r="I38" s="18">
        <v>0.24</v>
      </c>
      <c r="J38" s="18">
        <v>0.26</v>
      </c>
      <c r="K38" s="18">
        <v>0.26999999999999996</v>
      </c>
      <c r="L38" s="18">
        <v>0.33999999999999997</v>
      </c>
      <c r="M38" s="18">
        <v>0.21000000000000002</v>
      </c>
      <c r="N38" s="18">
        <v>0.14000000000000001</v>
      </c>
      <c r="O38" s="18">
        <v>0.19</v>
      </c>
      <c r="P38" s="18">
        <v>0.16000000000000003</v>
      </c>
      <c r="Q38" s="18">
        <v>0.16999999999999998</v>
      </c>
      <c r="R38" s="18">
        <v>0.15999999999999998</v>
      </c>
      <c r="S38" s="18">
        <v>0.19</v>
      </c>
      <c r="T38" s="18">
        <v>0.16999999999999993</v>
      </c>
      <c r="U38" s="20">
        <v>4.0000000000000036E-2</v>
      </c>
    </row>
    <row r="39" spans="1:21" x14ac:dyDescent="0.35">
      <c r="A39" s="17" t="s">
        <v>15</v>
      </c>
      <c r="B39" t="s">
        <v>17</v>
      </c>
      <c r="C39" s="17" t="s">
        <v>28</v>
      </c>
      <c r="D39" s="17" t="s">
        <v>28</v>
      </c>
      <c r="E39" s="17" t="s">
        <v>29</v>
      </c>
      <c r="F39" s="17" t="s">
        <v>30</v>
      </c>
      <c r="G39" s="18" t="s">
        <v>42</v>
      </c>
      <c r="H39" s="17" t="s">
        <v>32</v>
      </c>
      <c r="I39" s="17">
        <v>3.0000000000000027E-2</v>
      </c>
      <c r="J39" s="17">
        <v>0.16000000000000003</v>
      </c>
      <c r="K39" s="17">
        <v>0.14000000000000001</v>
      </c>
      <c r="L39" s="17">
        <v>0.19000000000000006</v>
      </c>
      <c r="M39" s="17">
        <v>0.22999999999999993</v>
      </c>
      <c r="N39" s="17">
        <v>0.11000000000000004</v>
      </c>
      <c r="O39" s="17">
        <v>8.0000000000000016E-2</v>
      </c>
      <c r="P39" s="17">
        <v>4.9999999999999989E-2</v>
      </c>
      <c r="Q39" s="17">
        <v>9.0000000000000024E-2</v>
      </c>
      <c r="R39" s="17">
        <v>1.0000000000000009E-2</v>
      </c>
      <c r="S39" s="17">
        <v>4.9999999999999933E-2</v>
      </c>
      <c r="T39" s="17">
        <v>0</v>
      </c>
      <c r="U39" s="19">
        <v>0</v>
      </c>
    </row>
    <row r="40" spans="1:21" x14ac:dyDescent="0.35">
      <c r="A40" s="18" t="s">
        <v>18</v>
      </c>
      <c r="B40" t="s">
        <v>17</v>
      </c>
      <c r="C40" s="18" t="s">
        <v>29</v>
      </c>
      <c r="D40" s="18" t="s">
        <v>28</v>
      </c>
      <c r="E40" s="18" t="s">
        <v>28</v>
      </c>
      <c r="F40" s="18" t="s">
        <v>30</v>
      </c>
      <c r="G40" s="18" t="s">
        <v>36</v>
      </c>
      <c r="H40" s="18" t="s">
        <v>32</v>
      </c>
      <c r="I40" s="18">
        <v>0.63</v>
      </c>
      <c r="J40" s="18">
        <v>0.25</v>
      </c>
      <c r="K40" s="18">
        <v>5.9999999999999942E-2</v>
      </c>
      <c r="L40" s="18">
        <v>7.999999999999996E-2</v>
      </c>
      <c r="M40" s="18">
        <v>0.26000000000000006</v>
      </c>
      <c r="N40" s="18">
        <v>0.7</v>
      </c>
      <c r="O40" s="18">
        <v>0.41999999999999993</v>
      </c>
      <c r="P40" s="18">
        <v>0.39</v>
      </c>
      <c r="Q40" s="18">
        <v>0.45999999999999996</v>
      </c>
      <c r="R40" s="18">
        <v>0.39</v>
      </c>
      <c r="S40" s="18">
        <v>0.37999999999999995</v>
      </c>
      <c r="T40" s="18">
        <v>0.37</v>
      </c>
      <c r="U40" s="20">
        <v>0.33000000000000007</v>
      </c>
    </row>
    <row r="41" spans="1:21" x14ac:dyDescent="0.35">
      <c r="A41" s="17" t="s">
        <v>18</v>
      </c>
      <c r="B41" s="18" t="s">
        <v>16</v>
      </c>
      <c r="C41" s="17" t="s">
        <v>28</v>
      </c>
      <c r="D41" s="17" t="s">
        <v>29</v>
      </c>
      <c r="E41" s="17" t="s">
        <v>28</v>
      </c>
      <c r="F41" s="17" t="s">
        <v>30</v>
      </c>
      <c r="G41" s="17" t="s">
        <v>36</v>
      </c>
      <c r="H41" s="17" t="s">
        <v>32</v>
      </c>
      <c r="I41" s="17">
        <v>0.36</v>
      </c>
      <c r="J41" s="17">
        <v>7.0000000000000062E-2</v>
      </c>
      <c r="K41" s="17">
        <v>2.0000000000000018E-2</v>
      </c>
      <c r="L41" s="17">
        <v>5.0000000000000044E-2</v>
      </c>
      <c r="M41" s="17">
        <v>0.13</v>
      </c>
      <c r="N41" s="17">
        <v>0.13</v>
      </c>
      <c r="O41" s="17">
        <v>9.9999999999999978E-2</v>
      </c>
      <c r="P41" s="17">
        <v>0.18999999999999995</v>
      </c>
      <c r="Q41" s="17">
        <v>7.999999999999996E-2</v>
      </c>
      <c r="R41" s="17">
        <v>0.22999999999999998</v>
      </c>
      <c r="S41" s="17">
        <v>0.15000000000000002</v>
      </c>
      <c r="T41" s="17">
        <v>2.0000000000000018E-2</v>
      </c>
      <c r="U41" s="19">
        <v>5.9999999999999942E-2</v>
      </c>
    </row>
    <row r="42" spans="1:21" x14ac:dyDescent="0.35">
      <c r="A42" s="18" t="s">
        <v>18</v>
      </c>
      <c r="B42" t="s">
        <v>17</v>
      </c>
      <c r="C42" s="18" t="s">
        <v>28</v>
      </c>
      <c r="D42" s="18" t="s">
        <v>28</v>
      </c>
      <c r="E42" s="18" t="s">
        <v>28</v>
      </c>
      <c r="F42" s="18" t="s">
        <v>34</v>
      </c>
      <c r="G42" s="18" t="s">
        <v>31</v>
      </c>
      <c r="H42" s="18" t="s">
        <v>32</v>
      </c>
      <c r="I42" s="18">
        <v>0.12</v>
      </c>
      <c r="J42" s="18">
        <v>0.4</v>
      </c>
      <c r="K42" s="18">
        <v>0.47</v>
      </c>
      <c r="L42" s="18">
        <v>0.44</v>
      </c>
      <c r="M42" s="18">
        <v>0.25999999999999995</v>
      </c>
      <c r="N42" s="18">
        <v>0.3</v>
      </c>
      <c r="O42" s="18">
        <v>0.27999999999999997</v>
      </c>
      <c r="P42" s="18">
        <v>0.38999999999999996</v>
      </c>
      <c r="Q42" s="18">
        <v>0.32000000000000006</v>
      </c>
      <c r="R42" s="18">
        <v>0.37</v>
      </c>
      <c r="S42" s="18">
        <v>0.35</v>
      </c>
      <c r="T42" s="18">
        <v>0.48000000000000004</v>
      </c>
      <c r="U42" s="20">
        <v>0.4</v>
      </c>
    </row>
    <row r="43" spans="1:21" x14ac:dyDescent="0.35">
      <c r="A43" s="18" t="s">
        <v>18</v>
      </c>
      <c r="B43" t="s">
        <v>17</v>
      </c>
      <c r="C43" s="18" t="s">
        <v>28</v>
      </c>
      <c r="D43" s="18" t="s">
        <v>28</v>
      </c>
      <c r="E43" s="18" t="s">
        <v>28</v>
      </c>
      <c r="F43" s="18" t="s">
        <v>30</v>
      </c>
      <c r="G43" s="18" t="s">
        <v>36</v>
      </c>
      <c r="H43" s="18" t="s">
        <v>32</v>
      </c>
      <c r="I43" s="18">
        <v>0.19000000000000006</v>
      </c>
      <c r="J43" s="18">
        <v>0.16999999999999998</v>
      </c>
      <c r="K43" s="18">
        <v>0.19</v>
      </c>
      <c r="L43" s="18">
        <v>0.18</v>
      </c>
      <c r="M43" s="18">
        <v>0.16999999999999998</v>
      </c>
      <c r="N43" s="18">
        <v>0.15999999999999998</v>
      </c>
      <c r="O43" s="18">
        <v>0.22</v>
      </c>
      <c r="P43" s="18">
        <v>0.28000000000000003</v>
      </c>
      <c r="Q43" s="18">
        <v>0.29000000000000004</v>
      </c>
      <c r="R43" s="18">
        <v>0.27</v>
      </c>
      <c r="S43" s="18">
        <v>0.22999999999999998</v>
      </c>
      <c r="T43" s="18">
        <v>0.29000000000000004</v>
      </c>
      <c r="U43" s="20">
        <v>0.27</v>
      </c>
    </row>
    <row r="44" spans="1:21" x14ac:dyDescent="0.35">
      <c r="A44" s="17" t="s">
        <v>15</v>
      </c>
      <c r="B44" t="s">
        <v>17</v>
      </c>
      <c r="C44" s="17" t="s">
        <v>28</v>
      </c>
      <c r="D44" s="17" t="s">
        <v>28</v>
      </c>
      <c r="E44" s="17" t="s">
        <v>29</v>
      </c>
      <c r="F44" s="17" t="s">
        <v>30</v>
      </c>
      <c r="G44" s="17" t="s">
        <v>31</v>
      </c>
      <c r="H44" s="17" t="s">
        <v>32</v>
      </c>
      <c r="I44" s="17">
        <v>0.36</v>
      </c>
      <c r="J44" s="17">
        <v>0.3</v>
      </c>
      <c r="K44" s="17">
        <v>0.21999999999999997</v>
      </c>
      <c r="L44" s="17">
        <v>0.34</v>
      </c>
      <c r="M44" s="17">
        <v>0.32</v>
      </c>
      <c r="N44" s="17">
        <v>0.3</v>
      </c>
      <c r="O44" s="17">
        <v>0.28999999999999998</v>
      </c>
      <c r="P44" s="17">
        <v>0.10999999999999999</v>
      </c>
      <c r="Q44" s="17">
        <v>0.28999999999999998</v>
      </c>
      <c r="R44" s="17">
        <v>0.27000000000000007</v>
      </c>
      <c r="S44" s="17">
        <v>0.25000000000000006</v>
      </c>
      <c r="T44" s="17">
        <v>0.24999999999999994</v>
      </c>
      <c r="U44" s="19">
        <v>0.19000000000000006</v>
      </c>
    </row>
    <row r="45" spans="1:21" x14ac:dyDescent="0.35">
      <c r="A45" s="18" t="s">
        <v>18</v>
      </c>
      <c r="B45" t="s">
        <v>17</v>
      </c>
      <c r="C45" s="18" t="s">
        <v>28</v>
      </c>
      <c r="D45" s="18" t="s">
        <v>28</v>
      </c>
      <c r="E45" s="18" t="s">
        <v>28</v>
      </c>
      <c r="F45" s="18" t="s">
        <v>30</v>
      </c>
      <c r="G45" s="18" t="s">
        <v>36</v>
      </c>
      <c r="H45" s="18" t="s">
        <v>32</v>
      </c>
      <c r="I45" s="18">
        <v>0.21999999999999997</v>
      </c>
      <c r="J45" s="18">
        <v>2.0000000000000018E-2</v>
      </c>
      <c r="K45" s="18">
        <v>0.13</v>
      </c>
      <c r="L45" s="18">
        <v>0.1100000000000001</v>
      </c>
      <c r="M45" s="18">
        <v>5.0000000000000044E-2</v>
      </c>
      <c r="N45" s="18">
        <v>0.17999999999999994</v>
      </c>
      <c r="O45" s="18">
        <v>9.9999999999999978E-2</v>
      </c>
      <c r="P45" s="18">
        <v>0.16999999999999998</v>
      </c>
      <c r="Q45" s="18">
        <v>0.34</v>
      </c>
      <c r="R45" s="18">
        <v>0.31999999999999995</v>
      </c>
      <c r="S45" s="18">
        <v>0.32</v>
      </c>
      <c r="T45" s="18">
        <v>3.0000000000000027E-2</v>
      </c>
      <c r="U45" s="20">
        <v>2.0000000000000018E-2</v>
      </c>
    </row>
    <row r="46" spans="1:21" x14ac:dyDescent="0.35">
      <c r="A46" s="18" t="s">
        <v>18</v>
      </c>
      <c r="B46" t="s">
        <v>17</v>
      </c>
      <c r="C46" s="18" t="s">
        <v>29</v>
      </c>
      <c r="D46" s="18" t="s">
        <v>29</v>
      </c>
      <c r="E46" s="18" t="s">
        <v>28</v>
      </c>
      <c r="F46" s="18" t="s">
        <v>30</v>
      </c>
      <c r="G46" s="18" t="s">
        <v>31</v>
      </c>
      <c r="H46" s="18" t="s">
        <v>32</v>
      </c>
      <c r="I46" s="18">
        <v>8.9999999999999969E-2</v>
      </c>
      <c r="J46" s="18">
        <v>0.13</v>
      </c>
      <c r="K46" s="18">
        <v>0.19</v>
      </c>
      <c r="L46" s="18">
        <v>0.24</v>
      </c>
      <c r="M46" s="18">
        <v>0.17000000000000004</v>
      </c>
      <c r="N46" s="18">
        <v>0.12000000000000005</v>
      </c>
      <c r="O46" s="18">
        <v>0.25</v>
      </c>
      <c r="P46" s="18">
        <v>0.26</v>
      </c>
      <c r="Q46" s="18">
        <v>0.12999999999999995</v>
      </c>
      <c r="R46" s="18">
        <v>0.17000000000000004</v>
      </c>
      <c r="S46" s="18">
        <v>0.19</v>
      </c>
      <c r="T46" s="18">
        <v>0.14999999999999991</v>
      </c>
      <c r="U46" s="20">
        <v>3.9999999999999925E-2</v>
      </c>
    </row>
    <row r="47" spans="1:21" x14ac:dyDescent="0.35">
      <c r="A47" s="17" t="s">
        <v>18</v>
      </c>
      <c r="B47" s="18" t="s">
        <v>16</v>
      </c>
      <c r="C47" s="17" t="s">
        <v>28</v>
      </c>
      <c r="D47" s="17" t="s">
        <v>28</v>
      </c>
      <c r="E47" s="17" t="s">
        <v>29</v>
      </c>
      <c r="F47" s="17" t="s">
        <v>30</v>
      </c>
      <c r="G47" s="17" t="s">
        <v>42</v>
      </c>
      <c r="H47" s="17" t="s">
        <v>32</v>
      </c>
      <c r="I47" s="17">
        <v>0.36</v>
      </c>
      <c r="J47" s="17">
        <v>0.35</v>
      </c>
      <c r="K47" s="17">
        <v>0.26</v>
      </c>
      <c r="L47" s="17">
        <v>0.34000000000000008</v>
      </c>
      <c r="M47" s="17">
        <v>0.33000000000000007</v>
      </c>
      <c r="N47" s="17">
        <v>0.31000000000000005</v>
      </c>
      <c r="O47" s="17">
        <v>0.25</v>
      </c>
      <c r="P47" s="17">
        <v>0.39</v>
      </c>
      <c r="Q47" s="17">
        <v>0.35</v>
      </c>
      <c r="R47" s="17">
        <v>0.25</v>
      </c>
      <c r="S47" s="17">
        <v>0.27</v>
      </c>
      <c r="T47" s="17">
        <v>0.25</v>
      </c>
      <c r="U47" s="19">
        <v>0.14999999999999991</v>
      </c>
    </row>
    <row r="48" spans="1:21" x14ac:dyDescent="0.35">
      <c r="A48" s="18" t="s">
        <v>15</v>
      </c>
      <c r="B48" s="18" t="s">
        <v>16</v>
      </c>
      <c r="C48" s="18" t="s">
        <v>28</v>
      </c>
      <c r="D48" s="18" t="s">
        <v>28</v>
      </c>
      <c r="E48" s="18" t="s">
        <v>28</v>
      </c>
      <c r="F48" s="18" t="s">
        <v>30</v>
      </c>
      <c r="G48" s="18" t="s">
        <v>31</v>
      </c>
      <c r="H48" s="18" t="s">
        <v>32</v>
      </c>
      <c r="I48" s="18">
        <v>0.32999999999999996</v>
      </c>
      <c r="J48" s="18">
        <v>0.18000000000000005</v>
      </c>
      <c r="K48" s="18">
        <v>0.20000000000000007</v>
      </c>
      <c r="L48" s="18">
        <v>0.18999999999999995</v>
      </c>
      <c r="M48" s="18">
        <v>0.22000000000000003</v>
      </c>
      <c r="N48" s="18">
        <v>0.28999999999999998</v>
      </c>
      <c r="O48" s="18">
        <v>0.27</v>
      </c>
      <c r="P48" s="18">
        <v>0.26</v>
      </c>
      <c r="Q48" s="18">
        <v>0.16999999999999998</v>
      </c>
      <c r="R48" s="18">
        <v>0.16000000000000003</v>
      </c>
      <c r="S48" s="18">
        <v>0.31</v>
      </c>
      <c r="T48" s="18">
        <v>0.21999999999999997</v>
      </c>
      <c r="U48" s="20">
        <v>0.19999999999999996</v>
      </c>
    </row>
    <row r="49" spans="1:21" x14ac:dyDescent="0.35">
      <c r="A49" s="18" t="s">
        <v>18</v>
      </c>
      <c r="B49" t="s">
        <v>17</v>
      </c>
      <c r="C49" s="18" t="s">
        <v>28</v>
      </c>
      <c r="D49" s="18" t="s">
        <v>28</v>
      </c>
      <c r="E49" s="18" t="s">
        <v>28</v>
      </c>
      <c r="F49" s="18" t="s">
        <v>34</v>
      </c>
      <c r="G49" s="17" t="s">
        <v>42</v>
      </c>
      <c r="H49" s="18" t="s">
        <v>32</v>
      </c>
      <c r="I49" s="18">
        <v>0.46000000000000008</v>
      </c>
      <c r="J49" s="18">
        <v>0.27</v>
      </c>
      <c r="K49" s="18">
        <v>0.21999999999999997</v>
      </c>
      <c r="L49" s="18">
        <v>0.25999999999999995</v>
      </c>
      <c r="M49" s="18">
        <v>0.19999999999999996</v>
      </c>
      <c r="N49" s="18">
        <v>0.27</v>
      </c>
      <c r="O49" s="18">
        <v>0.17</v>
      </c>
      <c r="P49" s="18">
        <v>0.21999999999999997</v>
      </c>
      <c r="Q49" s="18">
        <v>6.9999999999999979E-2</v>
      </c>
      <c r="R49" s="18">
        <v>7.0000000000000007E-2</v>
      </c>
      <c r="S49" s="18">
        <v>9.9999999999999978E-2</v>
      </c>
      <c r="T49" s="18">
        <v>0.17</v>
      </c>
      <c r="U49" s="20">
        <v>5.0000000000000044E-2</v>
      </c>
    </row>
    <row r="50" spans="1:21" x14ac:dyDescent="0.35">
      <c r="A50" s="17" t="s">
        <v>18</v>
      </c>
      <c r="B50" t="s">
        <v>17</v>
      </c>
      <c r="C50" s="17" t="s">
        <v>28</v>
      </c>
      <c r="D50" s="17" t="s">
        <v>28</v>
      </c>
      <c r="E50" s="17" t="s">
        <v>28</v>
      </c>
      <c r="F50" s="17" t="s">
        <v>30</v>
      </c>
      <c r="G50" s="17" t="s">
        <v>36</v>
      </c>
      <c r="H50" s="17" t="s">
        <v>32</v>
      </c>
      <c r="I50" s="17">
        <v>0.4</v>
      </c>
      <c r="J50" s="17">
        <v>0.45999999999999996</v>
      </c>
      <c r="K50" s="17">
        <v>0.35000000000000003</v>
      </c>
      <c r="L50" s="17">
        <v>0.4</v>
      </c>
      <c r="M50" s="17">
        <v>0.29000000000000004</v>
      </c>
      <c r="N50" s="17">
        <v>0.32999999999999996</v>
      </c>
      <c r="O50" s="17">
        <v>0.32999999999999996</v>
      </c>
      <c r="P50" s="17">
        <v>0.32999999999999996</v>
      </c>
      <c r="Q50" s="17">
        <v>0.35</v>
      </c>
      <c r="R50" s="17">
        <v>0.28999999999999998</v>
      </c>
      <c r="S50" s="17">
        <v>0.27</v>
      </c>
      <c r="T50" s="17">
        <v>0.22999999999999998</v>
      </c>
      <c r="U50" s="19">
        <v>0.16999999999999993</v>
      </c>
    </row>
    <row r="51" spans="1:21" x14ac:dyDescent="0.35">
      <c r="A51" s="18" t="s">
        <v>18</v>
      </c>
      <c r="B51" t="s">
        <v>17</v>
      </c>
      <c r="C51" s="18" t="s">
        <v>28</v>
      </c>
      <c r="D51" s="18" t="s">
        <v>28</v>
      </c>
      <c r="E51" s="18" t="s">
        <v>28</v>
      </c>
      <c r="F51" s="18" t="s">
        <v>30</v>
      </c>
      <c r="G51" s="18" t="s">
        <v>36</v>
      </c>
      <c r="H51" s="18" t="s">
        <v>32</v>
      </c>
      <c r="I51" s="18">
        <v>9.000000000000008E-2</v>
      </c>
      <c r="J51" s="18">
        <v>0.21999999999999997</v>
      </c>
      <c r="K51" s="18">
        <v>0.14000000000000001</v>
      </c>
      <c r="L51" s="18">
        <v>0.24</v>
      </c>
      <c r="M51" s="18">
        <v>0.10999999999999999</v>
      </c>
      <c r="N51" s="18">
        <v>9.9999999999999978E-2</v>
      </c>
      <c r="O51" s="18">
        <v>0.21</v>
      </c>
      <c r="P51" s="18">
        <v>0.12</v>
      </c>
      <c r="Q51" s="18">
        <v>8.0000000000000016E-2</v>
      </c>
      <c r="R51" s="18">
        <v>0.16000000000000003</v>
      </c>
      <c r="S51" s="18">
        <v>0.06</v>
      </c>
      <c r="T51" s="18">
        <v>0.11000000000000004</v>
      </c>
      <c r="U51" s="20">
        <v>8.9999999999999969E-2</v>
      </c>
    </row>
    <row r="52" spans="1:21" x14ac:dyDescent="0.35">
      <c r="A52" s="17" t="s">
        <v>20</v>
      </c>
      <c r="B52" t="s">
        <v>17</v>
      </c>
      <c r="C52" s="17" t="s">
        <v>28</v>
      </c>
      <c r="D52" s="17" t="s">
        <v>29</v>
      </c>
      <c r="E52" s="17" t="s">
        <v>28</v>
      </c>
      <c r="F52" s="17" t="s">
        <v>30</v>
      </c>
      <c r="G52" s="17" t="s">
        <v>42</v>
      </c>
      <c r="H52" s="17" t="s">
        <v>32</v>
      </c>
      <c r="I52" s="17">
        <v>0.15000000000000002</v>
      </c>
      <c r="J52" s="17">
        <v>0.29000000000000004</v>
      </c>
      <c r="K52" s="17">
        <v>0.15000000000000002</v>
      </c>
      <c r="L52" s="17">
        <v>0.19</v>
      </c>
      <c r="M52" s="17">
        <v>0.16000000000000003</v>
      </c>
      <c r="N52" s="17">
        <v>0.23000000000000004</v>
      </c>
      <c r="O52" s="17">
        <v>3.999999999999998E-2</v>
      </c>
      <c r="P52" s="17">
        <v>1.0000000000000009E-2</v>
      </c>
      <c r="Q52" s="17">
        <v>0.14000000000000001</v>
      </c>
      <c r="R52" s="17">
        <v>9.9999999999999978E-2</v>
      </c>
      <c r="S52" s="17">
        <v>0.15999999999999998</v>
      </c>
      <c r="T52" s="17">
        <v>4.0000000000000036E-2</v>
      </c>
      <c r="U52" s="19">
        <v>0.13</v>
      </c>
    </row>
    <row r="53" spans="1:21" x14ac:dyDescent="0.35">
      <c r="A53" s="21" t="s">
        <v>18</v>
      </c>
      <c r="B53" t="s">
        <v>17</v>
      </c>
      <c r="C53" s="21" t="s">
        <v>28</v>
      </c>
      <c r="D53" s="21" t="s">
        <v>28</v>
      </c>
      <c r="E53" s="21" t="s">
        <v>28</v>
      </c>
      <c r="F53" s="21" t="s">
        <v>30</v>
      </c>
      <c r="G53" s="17" t="s">
        <v>42</v>
      </c>
      <c r="H53" s="21" t="s">
        <v>32</v>
      </c>
      <c r="I53" s="21">
        <v>0.39</v>
      </c>
      <c r="J53" s="21">
        <v>0.66999999999999993</v>
      </c>
      <c r="K53" s="21">
        <v>0.28999999999999998</v>
      </c>
      <c r="L53" s="21">
        <v>0.19</v>
      </c>
      <c r="M53" s="21">
        <v>8.0000000000000016E-2</v>
      </c>
      <c r="N53" s="21">
        <v>0.11000000000000004</v>
      </c>
      <c r="O53" s="21">
        <v>8.0000000000000071E-2</v>
      </c>
      <c r="P53" s="21">
        <v>1.9999999999999962E-2</v>
      </c>
      <c r="Q53" s="21">
        <v>6.9999999999999951E-2</v>
      </c>
      <c r="R53" s="21">
        <v>1.0000000000000009E-2</v>
      </c>
      <c r="S53" s="21">
        <v>0</v>
      </c>
      <c r="T53" s="21">
        <v>1.0000000000000009E-2</v>
      </c>
      <c r="U53" s="22">
        <v>9.9999999999998979E-3</v>
      </c>
    </row>
    <row r="54" spans="1:21" x14ac:dyDescent="0.35">
      <c r="A54" s="43" t="s">
        <v>18</v>
      </c>
      <c r="B54" s="43" t="s">
        <v>8928</v>
      </c>
      <c r="C54" s="43" t="s">
        <v>29</v>
      </c>
      <c r="D54" s="43" t="s">
        <v>29</v>
      </c>
      <c r="E54" s="50" t="s">
        <v>29</v>
      </c>
      <c r="F54" s="43" t="s">
        <v>30</v>
      </c>
      <c r="G54" s="43" t="s">
        <v>36</v>
      </c>
      <c r="H54" s="43" t="s">
        <v>35</v>
      </c>
      <c r="I54" s="43">
        <v>0.36</v>
      </c>
      <c r="J54" s="43">
        <v>0.4</v>
      </c>
      <c r="K54" s="43">
        <v>0.29000000000000004</v>
      </c>
      <c r="L54" s="43">
        <v>0.36</v>
      </c>
      <c r="M54" s="43">
        <v>0.31000000000000005</v>
      </c>
      <c r="N54" s="43">
        <v>0.31999999999999995</v>
      </c>
      <c r="O54" s="43">
        <v>0.47</v>
      </c>
      <c r="P54" s="43">
        <v>0.43</v>
      </c>
      <c r="Q54" s="43">
        <v>0.41000000000000003</v>
      </c>
      <c r="R54" s="43">
        <v>0.18000000000000005</v>
      </c>
      <c r="S54" s="43">
        <v>0.21999999999999997</v>
      </c>
      <c r="T54" s="43">
        <v>0.22999999999999998</v>
      </c>
      <c r="U54" s="43">
        <v>6.0000000000000053E-2</v>
      </c>
    </row>
    <row r="55" spans="1:21" x14ac:dyDescent="0.35">
      <c r="A55" s="43" t="s">
        <v>20</v>
      </c>
      <c r="B55" s="43" t="s">
        <v>8928</v>
      </c>
      <c r="C55" s="43" t="s">
        <v>29</v>
      </c>
      <c r="D55" s="43" t="s">
        <v>29</v>
      </c>
      <c r="E55" s="43" t="s">
        <v>29</v>
      </c>
      <c r="F55" s="43" t="s">
        <v>30</v>
      </c>
      <c r="G55" s="43" t="s">
        <v>31</v>
      </c>
      <c r="H55" s="43" t="s">
        <v>32</v>
      </c>
      <c r="I55" s="43">
        <v>0.25</v>
      </c>
      <c r="J55" s="43">
        <v>0.20999999999999996</v>
      </c>
      <c r="K55" s="43">
        <v>0.25</v>
      </c>
      <c r="L55" s="43">
        <v>0.3</v>
      </c>
      <c r="M55" s="43">
        <v>0.32</v>
      </c>
      <c r="N55" s="43">
        <v>0.41999999999999993</v>
      </c>
      <c r="O55" s="43">
        <v>0.34</v>
      </c>
      <c r="P55" s="43">
        <v>0.36000000000000004</v>
      </c>
      <c r="Q55" s="43">
        <v>0.33</v>
      </c>
      <c r="R55" s="43">
        <v>0.35000000000000003</v>
      </c>
      <c r="S55" s="43">
        <v>0.28999999999999998</v>
      </c>
      <c r="T55" s="43">
        <v>0.18</v>
      </c>
      <c r="U55" s="43">
        <v>0.39</v>
      </c>
    </row>
    <row r="56" spans="1:21" x14ac:dyDescent="0.35">
      <c r="A56" s="49" t="s">
        <v>18</v>
      </c>
      <c r="B56" s="49" t="s">
        <v>8928</v>
      </c>
      <c r="C56" s="49" t="s">
        <v>28</v>
      </c>
      <c r="D56" s="49" t="s">
        <v>28</v>
      </c>
      <c r="E56" s="47" t="s">
        <v>29</v>
      </c>
      <c r="F56" s="49" t="s">
        <v>30</v>
      </c>
      <c r="G56" s="49" t="s">
        <v>36</v>
      </c>
      <c r="H56" s="49" t="s">
        <v>32</v>
      </c>
      <c r="I56" s="49">
        <v>0.4</v>
      </c>
      <c r="J56" s="49">
        <v>0.38999999999999996</v>
      </c>
      <c r="K56" s="49">
        <v>0.41</v>
      </c>
      <c r="L56" s="49">
        <v>0.39</v>
      </c>
      <c r="M56" s="49">
        <v>0.36</v>
      </c>
      <c r="N56" s="49">
        <v>0.35</v>
      </c>
      <c r="O56" s="49">
        <v>0.28000000000000003</v>
      </c>
      <c r="P56" s="49">
        <v>0.23000000000000004</v>
      </c>
      <c r="Q56" s="49">
        <v>0.24</v>
      </c>
      <c r="R56" s="49">
        <v>0.10000000000000003</v>
      </c>
      <c r="S56" s="49">
        <v>0.15000000000000002</v>
      </c>
      <c r="T56" s="49">
        <v>1.0000000000000009E-2</v>
      </c>
      <c r="U56" s="49">
        <v>6.9999999999999951E-2</v>
      </c>
    </row>
    <row r="57" spans="1:21" x14ac:dyDescent="0.35">
      <c r="A57" s="3"/>
      <c r="B57" s="3"/>
      <c r="C57" s="3"/>
      <c r="D57" s="3"/>
      <c r="E57" s="3"/>
      <c r="F57" s="3"/>
      <c r="G57" s="3"/>
      <c r="H57" s="3"/>
      <c r="I57" s="3">
        <f>AVERAGE(Table12[100])</f>
        <v>0.29545454545454541</v>
      </c>
      <c r="J57" s="3">
        <f>SUBTOTAL(101,Table12[200])</f>
        <v>0.28745454545454552</v>
      </c>
      <c r="K57" s="3">
        <f>SUBTOTAL(101,Table12[400])</f>
        <v>0.27999999999999997</v>
      </c>
      <c r="L57" s="3">
        <f>SUBTOTAL(101,Table12[500])</f>
        <v>0.27109090909090905</v>
      </c>
      <c r="M57" s="3">
        <f>SUBTOTAL(101,Table12[800])</f>
        <v>0.2714545454545455</v>
      </c>
      <c r="N57" s="3">
        <f>SUBTOTAL(101,Table12[1000])</f>
        <v>0.28509090909090912</v>
      </c>
      <c r="O57" s="3">
        <f>SUBTOTAL(101,Table12[2000])</f>
        <v>0.28181818181818175</v>
      </c>
      <c r="P57" s="3">
        <f>SUBTOTAL(101,Table12[3000])</f>
        <v>0.24745454545454545</v>
      </c>
      <c r="Q57" s="3">
        <f>SUBTOTAL(101,Table12[4000])</f>
        <v>0.26763636363636367</v>
      </c>
      <c r="R57" s="3">
        <f>SUBTOTAL(101,Table12[6000])</f>
        <v>0.22690909090909081</v>
      </c>
      <c r="S57" s="3">
        <f>SUBTOTAL(101,Table12[8000])</f>
        <v>0.21145454545454542</v>
      </c>
      <c r="T57" s="3">
        <f>SUBTOTAL(101,Table12[10000])</f>
        <v>0.16709090909090912</v>
      </c>
      <c r="U57" s="3">
        <f>SUBTOTAL(101,Table12[12000])</f>
        <v>0.15527272727272731</v>
      </c>
    </row>
    <row r="58" spans="1:21" x14ac:dyDescent="0.35">
      <c r="I58" s="11">
        <f>STDEV(Table12[100])/(SQRT(COUNT(Table12[100])))</f>
        <v>2.7877580123158295E-2</v>
      </c>
      <c r="J58" s="11">
        <f>STDEV(Table12[200])/(SQRT(COUNT(Table12[100])))</f>
        <v>2.4886568499994679E-2</v>
      </c>
      <c r="K58" s="11">
        <f>STDEV(Table12[400])/(SQRT(COUNT(Table12[100])))</f>
        <v>2.3204550813389572E-2</v>
      </c>
      <c r="L58" s="11">
        <f>STDEV(Table12[500])/(SQRT(COUNT(Table12[100])))</f>
        <v>1.9282889132190728E-2</v>
      </c>
      <c r="M58" s="11">
        <f>STDEV(Table12[800])/(SQRT(COUNT(Table12[100])))</f>
        <v>2.3053762639526069E-2</v>
      </c>
      <c r="N58" s="11">
        <f>STDEV(Table12[1000])/(SQRT(COUNT(Table12[100])))</f>
        <v>1.9519260499723742E-2</v>
      </c>
      <c r="O58" s="11">
        <f>STDEV(Table12[2000])/(SQRT(COUNT(Table12[100])))</f>
        <v>2.3368070692398005E-2</v>
      </c>
      <c r="P58" s="11">
        <f>STDEV(Table12[3000])/(SQRT(COUNT(Table12[100])))</f>
        <v>2.1002193539146567E-2</v>
      </c>
      <c r="Q58" s="11">
        <f>STDEV(Table12[4000])/(SQRT(COUNT(Table12[100])))</f>
        <v>2.2756156729891727E-2</v>
      </c>
      <c r="R58" s="11">
        <f>STDEV(Table12[6000])/(SQRT(COUNT(Table12[100])))</f>
        <v>2.3033970999772627E-2</v>
      </c>
      <c r="S58" s="11">
        <f>STDEV(Table12[8000])/(SQRT(COUNT(Table12[100])))</f>
        <v>1.7176873854361032E-2</v>
      </c>
      <c r="T58" s="11">
        <f>STDEV(Table12[10000])/(SQRT(COUNT(Table12[100])))</f>
        <v>1.8469508455215805E-2</v>
      </c>
      <c r="U58" s="11">
        <f>STDEV(Table12[12000])/(SQRT(COUNT(Table12[100])))</f>
        <v>2.2294107789237749E-2</v>
      </c>
    </row>
    <row r="61" spans="1:21" x14ac:dyDescent="0.35">
      <c r="A61" s="47"/>
      <c r="B61" s="47"/>
      <c r="C61" s="47"/>
      <c r="D61" s="47"/>
      <c r="E61" s="47"/>
      <c r="F61" s="47"/>
      <c r="G61" s="47"/>
      <c r="H61" s="47"/>
      <c r="I61" s="47"/>
      <c r="J61" s="47"/>
      <c r="K61" s="47"/>
      <c r="L61" s="47"/>
      <c r="M61" s="47"/>
      <c r="N61" s="47"/>
      <c r="O61" s="47"/>
      <c r="P61" s="47"/>
      <c r="Q61" s="47"/>
      <c r="R61" s="47"/>
      <c r="S61" s="47"/>
      <c r="T61" s="47"/>
    </row>
    <row r="62" spans="1:21" x14ac:dyDescent="0.35">
      <c r="A62" s="47"/>
      <c r="B62" s="47"/>
      <c r="C62" s="47"/>
      <c r="D62" s="47"/>
      <c r="E62" s="47"/>
      <c r="F62" s="47"/>
      <c r="G62" s="47"/>
      <c r="H62" s="47"/>
      <c r="I62" s="47"/>
      <c r="J62" s="47"/>
      <c r="K62" s="47"/>
      <c r="L62" s="47"/>
      <c r="M62" s="47"/>
      <c r="N62" s="47"/>
      <c r="O62" s="47"/>
      <c r="P62" s="47"/>
      <c r="Q62" s="47"/>
      <c r="R62" s="47"/>
      <c r="S62" s="47"/>
      <c r="T62" s="47"/>
    </row>
    <row r="63" spans="1:21" x14ac:dyDescent="0.35">
      <c r="A63" s="51"/>
      <c r="B63" s="51"/>
      <c r="C63" s="51"/>
      <c r="D63" s="47"/>
      <c r="E63" s="51"/>
      <c r="F63" s="51"/>
      <c r="G63" s="51"/>
      <c r="H63" s="51"/>
      <c r="I63" s="51"/>
      <c r="J63" s="51"/>
      <c r="K63" s="51"/>
      <c r="L63" s="51"/>
      <c r="M63" s="51"/>
      <c r="N63" s="51"/>
      <c r="O63" s="51"/>
      <c r="P63" s="51"/>
      <c r="Q63" s="51"/>
      <c r="R63" s="51"/>
      <c r="S63" s="51"/>
      <c r="T63" s="5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D2A5-7345-47FC-98FE-EF571159699D}">
  <dimension ref="A1:G31"/>
  <sheetViews>
    <sheetView topLeftCell="F1" workbookViewId="0">
      <selection activeCell="S5" sqref="S5"/>
    </sheetView>
  </sheetViews>
  <sheetFormatPr defaultRowHeight="14.5" x14ac:dyDescent="0.35"/>
  <cols>
    <col min="4" max="4" width="39.453125" bestFit="1" customWidth="1"/>
    <col min="5" max="5" width="12.90625" bestFit="1" customWidth="1"/>
    <col min="6" max="6" width="11.81640625" bestFit="1" customWidth="1"/>
  </cols>
  <sheetData>
    <row r="1" spans="1:7" x14ac:dyDescent="0.35">
      <c r="G1" s="9" t="s">
        <v>114</v>
      </c>
    </row>
    <row r="3" spans="1:7" ht="15" thickBot="1" x14ac:dyDescent="0.4">
      <c r="A3" s="9" t="s">
        <v>9194</v>
      </c>
      <c r="B3" s="9" t="s">
        <v>9195</v>
      </c>
      <c r="D3" t="s">
        <v>47</v>
      </c>
    </row>
    <row r="4" spans="1:7" ht="15.5" thickTop="1" thickBot="1" x14ac:dyDescent="0.4">
      <c r="A4" s="52">
        <f>SUBTOTAL(101,Table13[100])</f>
        <v>0.29816326530612242</v>
      </c>
      <c r="B4" s="52">
        <f>AVERAGE(Table12[100])</f>
        <v>0.29545454545454541</v>
      </c>
    </row>
    <row r="5" spans="1:7" ht="15.5" thickTop="1" thickBot="1" x14ac:dyDescent="0.4">
      <c r="A5" s="52">
        <f>SUBTOTAL(101,Table13[200])</f>
        <v>0.35000000000000003</v>
      </c>
      <c r="B5" s="52">
        <f>SUBTOTAL(101,Table12[200])</f>
        <v>0.28745454545454552</v>
      </c>
      <c r="D5" s="6"/>
      <c r="E5" s="6" t="s">
        <v>65</v>
      </c>
      <c r="F5" s="6" t="s">
        <v>66</v>
      </c>
    </row>
    <row r="6" spans="1:7" ht="15.5" thickTop="1" thickBot="1" x14ac:dyDescent="0.4">
      <c r="A6" s="52">
        <f>SUBTOTAL(101,Table13[400])</f>
        <v>0.38142857142857162</v>
      </c>
      <c r="B6" s="52">
        <f>SUBTOTAL(101,Table12[400])</f>
        <v>0.27999999999999997</v>
      </c>
      <c r="D6" s="4" t="s">
        <v>48</v>
      </c>
      <c r="E6" s="4">
        <v>0.33992150706436419</v>
      </c>
      <c r="F6" s="4">
        <v>0.24986013986013986</v>
      </c>
    </row>
    <row r="7" spans="1:7" ht="15.5" thickTop="1" thickBot="1" x14ac:dyDescent="0.4">
      <c r="A7" s="52">
        <f>SUBTOTAL(101,Table13[500])</f>
        <v>0.38244897959183671</v>
      </c>
      <c r="B7" s="52">
        <f>SUBTOTAL(101,Table12[500])</f>
        <v>0.27109090909090905</v>
      </c>
      <c r="D7" s="4" t="s">
        <v>49</v>
      </c>
      <c r="E7" s="4">
        <v>2.7449919371202633E-3</v>
      </c>
      <c r="F7" s="4">
        <v>2.1417694426785296E-3</v>
      </c>
    </row>
    <row r="8" spans="1:7" ht="15.5" thickTop="1" thickBot="1" x14ac:dyDescent="0.4">
      <c r="A8" s="52">
        <f>SUBTOTAL(101,Table13[800])</f>
        <v>0.37632653061224491</v>
      </c>
      <c r="B8" s="52">
        <f>SUBTOTAL(101,Table12[800])</f>
        <v>0.2714545454545455</v>
      </c>
      <c r="D8" s="4" t="s">
        <v>50</v>
      </c>
      <c r="E8" s="4">
        <v>13</v>
      </c>
      <c r="F8" s="4">
        <v>13</v>
      </c>
    </row>
    <row r="9" spans="1:7" ht="15.5" thickTop="1" thickBot="1" x14ac:dyDescent="0.4">
      <c r="A9" s="52">
        <f>SUBTOTAL(101,Table13[1000])</f>
        <v>0.3638775510204082</v>
      </c>
      <c r="B9" s="52">
        <f>SUBTOTAL(101,Table12[1000])</f>
        <v>0.28509090909090912</v>
      </c>
      <c r="D9" s="4" t="s">
        <v>51</v>
      </c>
      <c r="E9" s="4">
        <v>2.4433806898993965E-3</v>
      </c>
      <c r="F9" s="4"/>
    </row>
    <row r="10" spans="1:7" ht="15.5" thickTop="1" thickBot="1" x14ac:dyDescent="0.4">
      <c r="A10" s="52">
        <f>SUBTOTAL(101,Table13[2000])</f>
        <v>0.39693877551020401</v>
      </c>
      <c r="B10" s="52">
        <f>SUBTOTAL(101,Table12[2000])</f>
        <v>0.28181818181818175</v>
      </c>
      <c r="D10" s="4" t="s">
        <v>52</v>
      </c>
      <c r="E10" s="4">
        <v>0</v>
      </c>
      <c r="F10" s="4"/>
    </row>
    <row r="11" spans="1:7" ht="15.5" thickTop="1" thickBot="1" x14ac:dyDescent="0.4">
      <c r="A11" s="52">
        <f>SUBTOTAL(101,Table13[3000])</f>
        <v>0.37204081632653063</v>
      </c>
      <c r="B11" s="52">
        <f>SUBTOTAL(101,Table12[3000])</f>
        <v>0.24745454545454545</v>
      </c>
      <c r="D11" s="4" t="s">
        <v>53</v>
      </c>
      <c r="E11" s="4">
        <v>24</v>
      </c>
      <c r="F11" s="4"/>
    </row>
    <row r="12" spans="1:7" ht="15.5" thickTop="1" thickBot="1" x14ac:dyDescent="0.4">
      <c r="A12" s="52">
        <f>SUBTOTAL(101,Table13[4000])</f>
        <v>0.3732653061224489</v>
      </c>
      <c r="B12" s="52">
        <f>SUBTOTAL(101,Table12[4000])</f>
        <v>0.26763636363636367</v>
      </c>
      <c r="D12" s="4" t="s">
        <v>54</v>
      </c>
      <c r="E12" s="4">
        <v>4.6451489582151497</v>
      </c>
      <c r="F12" s="4"/>
    </row>
    <row r="13" spans="1:7" ht="15.5" thickTop="1" thickBot="1" x14ac:dyDescent="0.4">
      <c r="A13" s="52">
        <f>SUBTOTAL(101,Table13[6000])</f>
        <v>0.32489795918367353</v>
      </c>
      <c r="B13" s="52">
        <f>SUBTOTAL(101,Table12[6000])</f>
        <v>0.22690909090909081</v>
      </c>
      <c r="D13" s="4" t="s">
        <v>55</v>
      </c>
      <c r="E13" s="55">
        <v>5.1188130466598163E-5</v>
      </c>
      <c r="F13" s="4"/>
    </row>
    <row r="14" spans="1:7" ht="15.5" thickTop="1" thickBot="1" x14ac:dyDescent="0.4">
      <c r="A14" s="52">
        <f>SUBTOTAL(101,Table13[8000])</f>
        <v>0.31326530612244902</v>
      </c>
      <c r="B14" s="52">
        <f>SUBTOTAL(101,Table12[8000])</f>
        <v>0.21145454545454542</v>
      </c>
      <c r="D14" s="4" t="s">
        <v>56</v>
      </c>
      <c r="E14" s="4">
        <v>1.7108820799094284</v>
      </c>
      <c r="F14" s="4"/>
    </row>
    <row r="15" spans="1:7" ht="15.5" thickTop="1" thickBot="1" x14ac:dyDescent="0.4">
      <c r="A15" s="52">
        <f>SUBTOTAL(101,Table13[10000])</f>
        <v>0.26061224489795914</v>
      </c>
      <c r="B15" s="52">
        <f>SUBTOTAL(101,Table12[10000])</f>
        <v>0.16709090909090912</v>
      </c>
      <c r="D15" s="4" t="s">
        <v>57</v>
      </c>
      <c r="E15" s="54">
        <v>1.0237626093319633E-4</v>
      </c>
      <c r="F15" s="4"/>
    </row>
    <row r="16" spans="1:7" ht="15.5" thickTop="1" thickBot="1" x14ac:dyDescent="0.4">
      <c r="A16" s="53">
        <f>SUBTOTAL(101,Table13[12000])</f>
        <v>0.22571428571428565</v>
      </c>
      <c r="B16" s="53">
        <f>SUBTOTAL(101,Table12[12000])</f>
        <v>0.15527272727272731</v>
      </c>
      <c r="D16" s="5" t="s">
        <v>58</v>
      </c>
      <c r="E16" s="5">
        <v>2.0638985616280254</v>
      </c>
      <c r="F16" s="5"/>
    </row>
    <row r="18" spans="1:2" x14ac:dyDescent="0.35">
      <c r="A18" t="s">
        <v>67</v>
      </c>
      <c r="B18" t="s">
        <v>68</v>
      </c>
    </row>
    <row r="19" spans="1:2" x14ac:dyDescent="0.35">
      <c r="A19" s="56">
        <f>STDEV(Table13[100])/SQRT(COUNT(Table13[100]))</f>
        <v>2.2832340467119048E-2</v>
      </c>
      <c r="B19" s="56">
        <f>STDEV(Table12[100])/(SQRT(COUNT(Table12[100])))</f>
        <v>2.7877580123158295E-2</v>
      </c>
    </row>
    <row r="20" spans="1:2" x14ac:dyDescent="0.35">
      <c r="A20" s="56">
        <f>STDEV(Table13[200])/SQRT(COUNT(Table13[100]))</f>
        <v>2.3059004468424682E-2</v>
      </c>
      <c r="B20" s="56">
        <f>STDEV(Table12[200])/(SQRT(COUNT(Table12[100])))</f>
        <v>2.4886568499994679E-2</v>
      </c>
    </row>
    <row r="21" spans="1:2" x14ac:dyDescent="0.35">
      <c r="A21" s="56">
        <f>STDEV(Table13[400])/SQRT(COUNT(Table13[100]))</f>
        <v>2.3656052999970499E-2</v>
      </c>
      <c r="B21" s="56">
        <f>STDEV(Table12[400])/(SQRT(COUNT(Table12[100])))</f>
        <v>2.3204550813389572E-2</v>
      </c>
    </row>
    <row r="22" spans="1:2" x14ac:dyDescent="0.35">
      <c r="A22" s="56">
        <f>STDEV(Table13[500])/SQRT(COUNT(Table13[100]))</f>
        <v>2.4450648983924982E-2</v>
      </c>
      <c r="B22" s="56">
        <f>STDEV(Table12[500])/(SQRT(COUNT(Table12[100])))</f>
        <v>1.9282889132190728E-2</v>
      </c>
    </row>
    <row r="23" spans="1:2" x14ac:dyDescent="0.35">
      <c r="A23" s="56">
        <f>STDEV(Table13[800])/SQRT(COUNT(Table13[100]))</f>
        <v>2.4997778604626091E-2</v>
      </c>
      <c r="B23" s="56">
        <f>STDEV(Table12[800])/(SQRT(COUNT(Table12[100])))</f>
        <v>2.3053762639526069E-2</v>
      </c>
    </row>
    <row r="24" spans="1:2" x14ac:dyDescent="0.35">
      <c r="A24" s="56">
        <f>STDEV(Table13[1000])/SQRT(COUNT(Table13[100]))</f>
        <v>2.4076155263164509E-2</v>
      </c>
      <c r="B24" s="56">
        <f>STDEV(Table12[1000])/(SQRT(COUNT(Table12[100])))</f>
        <v>1.9519260499723742E-2</v>
      </c>
    </row>
    <row r="25" spans="1:2" x14ac:dyDescent="0.35">
      <c r="A25" s="56">
        <f>STDEV(Table13[2000])/SQRT(COUNT(Table13[100]))</f>
        <v>2.5222149188018097E-2</v>
      </c>
      <c r="B25" s="56">
        <f>STDEV(Table12[2000])/(SQRT(COUNT(Table12[100])))</f>
        <v>2.3368070692398005E-2</v>
      </c>
    </row>
    <row r="26" spans="1:2" x14ac:dyDescent="0.35">
      <c r="A26" s="56">
        <f>STDEV(Table13[3000])/SQRT(COUNT(Table13[100]))</f>
        <v>2.7023515194280427E-2</v>
      </c>
      <c r="B26" s="56">
        <f>STDEV(Table12[3000])/(SQRT(COUNT(Table12[100])))</f>
        <v>2.1002193539146567E-2</v>
      </c>
    </row>
    <row r="27" spans="1:2" x14ac:dyDescent="0.35">
      <c r="A27" s="56">
        <f>STDEV(Table13[4000])/SQRT(COUNT(Table13[100]))</f>
        <v>2.7215422665761147E-2</v>
      </c>
      <c r="B27" s="56">
        <f>STDEV(Table12[4000])/(SQRT(COUNT(Table12[100])))</f>
        <v>2.2756156729891727E-2</v>
      </c>
    </row>
    <row r="28" spans="1:2" x14ac:dyDescent="0.35">
      <c r="A28" s="56">
        <f>STDEV(Table13[6000])/SQRT(COUNT(Table13[100]))</f>
        <v>2.3488531086475056E-2</v>
      </c>
      <c r="B28" s="56">
        <f>STDEV(Table12[6000])/(SQRT(COUNT(Table12[100])))</f>
        <v>2.3033970999772627E-2</v>
      </c>
    </row>
    <row r="29" spans="1:2" x14ac:dyDescent="0.35">
      <c r="A29" s="56">
        <f>STDEV(Table13[8000])/SQRT(COUNT(Table13[100]))</f>
        <v>2.3232388097790619E-2</v>
      </c>
      <c r="B29" s="56">
        <f>STDEV(Table12[8000])/(SQRT(COUNT(Table12[100])))</f>
        <v>1.7176873854361032E-2</v>
      </c>
    </row>
    <row r="30" spans="1:2" x14ac:dyDescent="0.35">
      <c r="A30" s="56">
        <f>STDEV(Table13[10000])/SQRT(COUNT(Table13[100]))</f>
        <v>2.2772178699602769E-2</v>
      </c>
      <c r="B30" s="56">
        <f>STDEV(Table12[10000])/(SQRT(COUNT(Table12[100])))</f>
        <v>1.8469508455215805E-2</v>
      </c>
    </row>
    <row r="31" spans="1:2" x14ac:dyDescent="0.35">
      <c r="A31" s="56">
        <f>STDEV(Table13[12000])/SQRT(COUNT(Table13[100]))</f>
        <v>2.3623679461348048E-2</v>
      </c>
      <c r="B31" s="56">
        <f>STDEV(Table12[12000])/(SQRT(COUNT(Table12[100])))</f>
        <v>2.2294107789237749E-2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A1F-579C-4503-B512-10878677E544}">
  <dimension ref="A1:AB78"/>
  <sheetViews>
    <sheetView topLeftCell="A52" workbookViewId="0">
      <selection activeCell="U4" sqref="U4"/>
    </sheetView>
  </sheetViews>
  <sheetFormatPr defaultRowHeight="14.5" x14ac:dyDescent="0.35"/>
  <sheetData>
    <row r="1" spans="1:28" x14ac:dyDescent="0.35">
      <c r="A1" t="s">
        <v>47</v>
      </c>
      <c r="F1" t="s">
        <v>47</v>
      </c>
      <c r="K1" t="s">
        <v>47</v>
      </c>
    </row>
    <row r="2" spans="1:28" ht="15" thickBot="1" x14ac:dyDescent="0.4"/>
    <row r="3" spans="1:28" x14ac:dyDescent="0.35">
      <c r="A3" s="6"/>
      <c r="B3" s="6" t="s">
        <v>0</v>
      </c>
      <c r="C3" s="6" t="s">
        <v>0</v>
      </c>
      <c r="F3" s="6"/>
      <c r="G3" s="6" t="s">
        <v>1</v>
      </c>
      <c r="H3" s="6" t="s">
        <v>1</v>
      </c>
      <c r="K3" s="6"/>
      <c r="L3" s="6" t="s">
        <v>2</v>
      </c>
      <c r="M3" s="6" t="s">
        <v>2</v>
      </c>
    </row>
    <row r="4" spans="1:28" x14ac:dyDescent="0.35">
      <c r="A4" s="4" t="s">
        <v>48</v>
      </c>
      <c r="B4" s="4">
        <v>0.29816326530612242</v>
      </c>
      <c r="C4" s="4">
        <v>0.29545454545454541</v>
      </c>
      <c r="F4" s="4" t="s">
        <v>48</v>
      </c>
      <c r="G4" s="4">
        <v>0.35000000000000003</v>
      </c>
      <c r="H4" s="4">
        <v>0.28745454545454552</v>
      </c>
      <c r="K4" s="4" t="s">
        <v>48</v>
      </c>
      <c r="L4" s="4">
        <v>0.38142857142857162</v>
      </c>
      <c r="M4" s="4">
        <v>0.27999999999999997</v>
      </c>
    </row>
    <row r="5" spans="1:28" x14ac:dyDescent="0.35">
      <c r="A5" s="4" t="s">
        <v>49</v>
      </c>
      <c r="B5" s="4">
        <v>2.5544472789115664E-2</v>
      </c>
      <c r="C5" s="4">
        <v>4.2743771043771084E-2</v>
      </c>
      <c r="F5" s="4" t="s">
        <v>49</v>
      </c>
      <c r="G5" s="4">
        <v>2.6054166666666639E-2</v>
      </c>
      <c r="H5" s="4">
        <v>3.4063771043771014E-2</v>
      </c>
      <c r="K5" s="4" t="s">
        <v>49</v>
      </c>
      <c r="L5" s="4">
        <v>2.7420833333333245E-2</v>
      </c>
      <c r="M5" s="4">
        <v>2.9614814814814826E-2</v>
      </c>
    </row>
    <row r="6" spans="1:28" x14ac:dyDescent="0.35">
      <c r="A6" s="4" t="s">
        <v>50</v>
      </c>
      <c r="B6" s="4">
        <v>49</v>
      </c>
      <c r="C6" s="4">
        <v>55</v>
      </c>
      <c r="F6" s="4" t="s">
        <v>50</v>
      </c>
      <c r="G6" s="4">
        <v>49</v>
      </c>
      <c r="H6" s="4">
        <v>55</v>
      </c>
      <c r="K6" s="4" t="s">
        <v>50</v>
      </c>
      <c r="L6" s="4">
        <v>49</v>
      </c>
      <c r="M6" s="4">
        <v>55</v>
      </c>
    </row>
    <row r="7" spans="1:28" x14ac:dyDescent="0.35">
      <c r="A7" s="4" t="s">
        <v>51</v>
      </c>
      <c r="B7" s="4">
        <v>3.4649983629815591E-2</v>
      </c>
      <c r="C7" s="4"/>
      <c r="F7" s="4" t="s">
        <v>51</v>
      </c>
      <c r="G7" s="4">
        <v>3.0294545454545425E-2</v>
      </c>
      <c r="H7" s="4"/>
      <c r="K7" s="4" t="s">
        <v>51</v>
      </c>
      <c r="L7" s="4">
        <v>2.8582352941176437E-2</v>
      </c>
      <c r="M7" s="4"/>
    </row>
    <row r="8" spans="1:28" x14ac:dyDescent="0.35">
      <c r="A8" s="4" t="s">
        <v>52</v>
      </c>
      <c r="B8" s="4">
        <v>0</v>
      </c>
      <c r="C8" s="4"/>
      <c r="F8" s="4" t="s">
        <v>52</v>
      </c>
      <c r="G8" s="4">
        <v>0</v>
      </c>
      <c r="H8" s="4"/>
      <c r="K8" s="4" t="s">
        <v>52</v>
      </c>
      <c r="L8" s="4">
        <v>0</v>
      </c>
      <c r="M8" s="4"/>
      <c r="T8" t="s">
        <v>9188</v>
      </c>
    </row>
    <row r="9" spans="1:28" x14ac:dyDescent="0.35">
      <c r="A9" s="4" t="s">
        <v>53</v>
      </c>
      <c r="B9" s="4">
        <v>102</v>
      </c>
      <c r="C9" s="4"/>
      <c r="F9" s="4" t="s">
        <v>53</v>
      </c>
      <c r="G9" s="4">
        <v>102</v>
      </c>
      <c r="H9" s="4"/>
      <c r="K9" s="4" t="s">
        <v>53</v>
      </c>
      <c r="L9" s="4">
        <v>102</v>
      </c>
      <c r="M9" s="4"/>
      <c r="P9" t="s">
        <v>0</v>
      </c>
      <c r="Q9" t="s">
        <v>1</v>
      </c>
      <c r="R9" t="s">
        <v>2</v>
      </c>
      <c r="S9" t="s">
        <v>3</v>
      </c>
      <c r="T9" t="s">
        <v>4</v>
      </c>
      <c r="U9" t="s">
        <v>5</v>
      </c>
      <c r="V9" t="s">
        <v>6</v>
      </c>
      <c r="W9" t="s">
        <v>7</v>
      </c>
      <c r="X9" t="s">
        <v>8</v>
      </c>
      <c r="Y9" t="s">
        <v>9</v>
      </c>
      <c r="Z9" t="s">
        <v>10</v>
      </c>
      <c r="AA9" t="s">
        <v>11</v>
      </c>
      <c r="AB9" t="s">
        <v>12</v>
      </c>
    </row>
    <row r="10" spans="1:28" x14ac:dyDescent="0.35">
      <c r="A10" s="4" t="s">
        <v>54</v>
      </c>
      <c r="B10" s="4">
        <v>7.4075618923639591E-2</v>
      </c>
      <c r="C10" s="4"/>
      <c r="F10" s="4" t="s">
        <v>54</v>
      </c>
      <c r="G10" s="4">
        <v>1.8292634117600399</v>
      </c>
      <c r="H10" s="4"/>
      <c r="K10" s="4" t="s">
        <v>54</v>
      </c>
      <c r="L10" s="4">
        <v>3.0540351765275742</v>
      </c>
      <c r="M10" s="4"/>
      <c r="P10" s="4">
        <v>0.47054764621992184</v>
      </c>
      <c r="Q10" s="4">
        <v>3.5140780695108155E-2</v>
      </c>
      <c r="R10" s="4">
        <v>1.4402201052548245E-3</v>
      </c>
      <c r="S10" s="4">
        <v>2.3560615002412452E-4</v>
      </c>
      <c r="T10" s="4">
        <v>1.2973412216441655E-3</v>
      </c>
      <c r="U10" s="4">
        <v>5.8961098970122328E-3</v>
      </c>
      <c r="V10" s="4">
        <v>5.636142978471683E-4</v>
      </c>
      <c r="W10" s="4">
        <v>1.8662464527382605E-4</v>
      </c>
      <c r="X10" s="4">
        <v>1.7042817245121232E-3</v>
      </c>
      <c r="Y10" s="4">
        <v>1.8457315555635363E-3</v>
      </c>
      <c r="Z10" s="4">
        <v>2.7005152742367444E-4</v>
      </c>
      <c r="AA10" s="4">
        <v>8.6622197937911277E-4</v>
      </c>
      <c r="AB10" s="4">
        <v>1.6217497272290323E-2</v>
      </c>
    </row>
    <row r="11" spans="1:28" x14ac:dyDescent="0.35">
      <c r="A11" s="4" t="s">
        <v>55</v>
      </c>
      <c r="B11" s="4">
        <v>0.47054764621992184</v>
      </c>
      <c r="C11" s="4"/>
      <c r="F11" s="4" t="s">
        <v>55</v>
      </c>
      <c r="G11" s="64">
        <v>3.5140780695108155E-2</v>
      </c>
      <c r="H11" s="4"/>
      <c r="K11" s="4" t="s">
        <v>55</v>
      </c>
      <c r="L11" s="64">
        <v>1.4402201052548245E-3</v>
      </c>
      <c r="M11" s="4"/>
      <c r="P11" t="s">
        <v>9180</v>
      </c>
      <c r="Q11" t="s">
        <v>9181</v>
      </c>
      <c r="R11" t="s">
        <v>9182</v>
      </c>
      <c r="S11" t="s">
        <v>9183</v>
      </c>
      <c r="T11" t="s">
        <v>9182</v>
      </c>
      <c r="U11" t="s">
        <v>9182</v>
      </c>
      <c r="V11" t="s">
        <v>9183</v>
      </c>
      <c r="W11" t="s">
        <v>9183</v>
      </c>
      <c r="X11" t="s">
        <v>9183</v>
      </c>
      <c r="Y11" t="s">
        <v>9182</v>
      </c>
      <c r="Z11" t="s">
        <v>9183</v>
      </c>
      <c r="AA11" t="s">
        <v>9183</v>
      </c>
      <c r="AB11" t="s">
        <v>9181</v>
      </c>
    </row>
    <row r="12" spans="1:28" x14ac:dyDescent="0.35">
      <c r="A12" s="4" t="s">
        <v>56</v>
      </c>
      <c r="B12" s="4">
        <v>1.6599299759703381</v>
      </c>
      <c r="C12" s="4"/>
      <c r="F12" s="4" t="s">
        <v>56</v>
      </c>
      <c r="G12" s="4">
        <v>1.6599299759703381</v>
      </c>
      <c r="H12" s="4"/>
      <c r="K12" s="4" t="s">
        <v>56</v>
      </c>
      <c r="L12" s="4">
        <v>1.6599299759703381</v>
      </c>
      <c r="M12" s="4"/>
      <c r="P12" t="s">
        <v>9184</v>
      </c>
      <c r="Q12" t="s">
        <v>9185</v>
      </c>
      <c r="R12" t="s">
        <v>9186</v>
      </c>
      <c r="S12" t="s">
        <v>9187</v>
      </c>
      <c r="T12" t="s">
        <v>9186</v>
      </c>
      <c r="U12" t="s">
        <v>9186</v>
      </c>
      <c r="V12" t="s">
        <v>9187</v>
      </c>
      <c r="W12" t="s">
        <v>9187</v>
      </c>
      <c r="X12" t="s">
        <v>9187</v>
      </c>
      <c r="Y12" t="s">
        <v>9186</v>
      </c>
      <c r="Z12" t="s">
        <v>9187</v>
      </c>
      <c r="AA12" t="s">
        <v>9187</v>
      </c>
      <c r="AB12" t="s">
        <v>9185</v>
      </c>
    </row>
    <row r="13" spans="1:28" x14ac:dyDescent="0.35">
      <c r="A13" s="4" t="s">
        <v>57</v>
      </c>
      <c r="B13" s="4">
        <v>0.94109529243984369</v>
      </c>
      <c r="C13" s="4"/>
      <c r="F13" s="4" t="s">
        <v>57</v>
      </c>
      <c r="G13" s="4">
        <v>7.028156139021631E-2</v>
      </c>
      <c r="H13" s="4"/>
      <c r="K13" s="4" t="s">
        <v>57</v>
      </c>
      <c r="L13" s="4">
        <v>2.8804402105096489E-3</v>
      </c>
      <c r="M13" s="4"/>
    </row>
    <row r="14" spans="1:28" ht="15" thickBot="1" x14ac:dyDescent="0.4">
      <c r="A14" s="5" t="s">
        <v>58</v>
      </c>
      <c r="B14" s="5">
        <v>1.9834952585628811</v>
      </c>
      <c r="C14" s="5"/>
      <c r="F14" s="5" t="s">
        <v>58</v>
      </c>
      <c r="G14" s="5">
        <v>1.9834952585628811</v>
      </c>
      <c r="H14" s="5"/>
      <c r="K14" s="5" t="s">
        <v>58</v>
      </c>
      <c r="L14" s="5">
        <v>1.9834952585628811</v>
      </c>
      <c r="M14" s="5"/>
    </row>
    <row r="17" spans="1:13" x14ac:dyDescent="0.35">
      <c r="A17" t="s">
        <v>47</v>
      </c>
      <c r="F17" t="s">
        <v>47</v>
      </c>
      <c r="K17" t="s">
        <v>47</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48</v>
      </c>
      <c r="B20" s="4">
        <v>0.38244897959183671</v>
      </c>
      <c r="C20" s="4">
        <v>0.27109090909090905</v>
      </c>
      <c r="F20" s="4" t="s">
        <v>48</v>
      </c>
      <c r="G20" s="4">
        <v>0.37632653061224491</v>
      </c>
      <c r="H20" s="4">
        <v>0.2714545454545455</v>
      </c>
      <c r="K20" s="4" t="s">
        <v>48</v>
      </c>
      <c r="L20" s="4">
        <v>0.3638775510204082</v>
      </c>
      <c r="M20" s="4">
        <v>0.28509090909090912</v>
      </c>
    </row>
    <row r="21" spans="1:13" x14ac:dyDescent="0.35">
      <c r="A21" s="4" t="s">
        <v>49</v>
      </c>
      <c r="B21" s="4">
        <v>2.9293877551020475E-2</v>
      </c>
      <c r="C21" s="4">
        <v>2.045063973063976E-2</v>
      </c>
      <c r="F21" s="4" t="s">
        <v>49</v>
      </c>
      <c r="G21" s="4">
        <v>3.0619557823129195E-2</v>
      </c>
      <c r="H21" s="4">
        <v>2.9231178451178442E-2</v>
      </c>
      <c r="K21" s="4" t="s">
        <v>49</v>
      </c>
      <c r="L21" s="4">
        <v>2.84034013605442E-2</v>
      </c>
      <c r="M21" s="4">
        <v>2.0955084175084154E-2</v>
      </c>
    </row>
    <row r="22" spans="1:13" x14ac:dyDescent="0.35">
      <c r="A22" s="4" t="s">
        <v>50</v>
      </c>
      <c r="B22" s="4">
        <v>49</v>
      </c>
      <c r="C22" s="4">
        <v>55</v>
      </c>
      <c r="F22" s="4" t="s">
        <v>50</v>
      </c>
      <c r="G22" s="4">
        <v>49</v>
      </c>
      <c r="H22" s="4">
        <v>55</v>
      </c>
      <c r="K22" s="4" t="s">
        <v>50</v>
      </c>
      <c r="L22" s="4">
        <v>49</v>
      </c>
      <c r="M22" s="4">
        <v>55</v>
      </c>
    </row>
    <row r="23" spans="1:13" x14ac:dyDescent="0.35">
      <c r="A23" s="4" t="s">
        <v>51</v>
      </c>
      <c r="B23" s="4">
        <v>2.461216341081892E-2</v>
      </c>
      <c r="C23" s="4"/>
      <c r="F23" s="4" t="s">
        <v>51</v>
      </c>
      <c r="G23" s="4">
        <v>2.9884533449743501E-2</v>
      </c>
      <c r="H23" s="4"/>
      <c r="K23" s="4" t="s">
        <v>51</v>
      </c>
      <c r="L23" s="4">
        <v>2.4460174615300645E-2</v>
      </c>
      <c r="M23" s="4"/>
    </row>
    <row r="24" spans="1:13" x14ac:dyDescent="0.35">
      <c r="A24" s="4" t="s">
        <v>52</v>
      </c>
      <c r="B24" s="4">
        <v>0</v>
      </c>
      <c r="C24" s="4"/>
      <c r="F24" s="4" t="s">
        <v>52</v>
      </c>
      <c r="G24" s="4">
        <v>0</v>
      </c>
      <c r="H24" s="4"/>
      <c r="K24" s="4" t="s">
        <v>52</v>
      </c>
      <c r="L24" s="4">
        <v>0</v>
      </c>
      <c r="M24" s="4"/>
    </row>
    <row r="25" spans="1:13" x14ac:dyDescent="0.35">
      <c r="A25" s="4" t="s">
        <v>53</v>
      </c>
      <c r="B25" s="4">
        <v>102</v>
      </c>
      <c r="C25" s="4"/>
      <c r="F25" s="4" t="s">
        <v>53</v>
      </c>
      <c r="G25" s="4">
        <v>102</v>
      </c>
      <c r="H25" s="4"/>
      <c r="K25" s="4" t="s">
        <v>53</v>
      </c>
      <c r="L25" s="4">
        <v>102</v>
      </c>
      <c r="M25" s="4"/>
    </row>
    <row r="26" spans="1:13" x14ac:dyDescent="0.35">
      <c r="A26" s="4" t="s">
        <v>54</v>
      </c>
      <c r="B26" s="4">
        <v>3.6133457301798311</v>
      </c>
      <c r="C26" s="4"/>
      <c r="F26" s="4" t="s">
        <v>54</v>
      </c>
      <c r="G26" s="4">
        <v>3.0881541027572994</v>
      </c>
      <c r="H26" s="4"/>
      <c r="K26" s="4" t="s">
        <v>54</v>
      </c>
      <c r="L26" s="4">
        <v>2.5643985864765262</v>
      </c>
      <c r="M26" s="4"/>
    </row>
    <row r="27" spans="1:13" x14ac:dyDescent="0.35">
      <c r="A27" s="4" t="s">
        <v>55</v>
      </c>
      <c r="B27" s="64">
        <v>2.3560615002412452E-4</v>
      </c>
      <c r="C27" s="4"/>
      <c r="F27" s="4" t="s">
        <v>55</v>
      </c>
      <c r="G27" s="64">
        <v>1.2973412216441655E-3</v>
      </c>
      <c r="H27" s="4"/>
      <c r="K27" s="4" t="s">
        <v>55</v>
      </c>
      <c r="L27" s="64">
        <v>5.8961098970122328E-3</v>
      </c>
      <c r="M27" s="4"/>
    </row>
    <row r="28" spans="1:13" x14ac:dyDescent="0.35">
      <c r="A28" s="4" t="s">
        <v>56</v>
      </c>
      <c r="B28" s="4">
        <v>1.6599299759703381</v>
      </c>
      <c r="C28" s="4"/>
      <c r="F28" s="4" t="s">
        <v>56</v>
      </c>
      <c r="G28" s="4">
        <v>1.6599299759703381</v>
      </c>
      <c r="H28" s="4"/>
      <c r="K28" s="4" t="s">
        <v>56</v>
      </c>
      <c r="L28" s="4">
        <v>1.6599299759703381</v>
      </c>
      <c r="M28" s="4"/>
    </row>
    <row r="29" spans="1:13" x14ac:dyDescent="0.35">
      <c r="A29" s="4" t="s">
        <v>57</v>
      </c>
      <c r="B29" s="4">
        <v>4.7121230004824904E-4</v>
      </c>
      <c r="C29" s="4"/>
      <c r="F29" s="4" t="s">
        <v>57</v>
      </c>
      <c r="G29" s="4">
        <v>2.594682443288331E-3</v>
      </c>
      <c r="H29" s="4"/>
      <c r="K29" s="4" t="s">
        <v>57</v>
      </c>
      <c r="L29" s="4">
        <v>1.1792219794024466E-2</v>
      </c>
      <c r="M29" s="4"/>
    </row>
    <row r="30" spans="1:13" ht="15" thickBot="1" x14ac:dyDescent="0.4">
      <c r="A30" s="5" t="s">
        <v>58</v>
      </c>
      <c r="B30" s="5">
        <v>1.9834952585628811</v>
      </c>
      <c r="C30" s="5"/>
      <c r="F30" s="5" t="s">
        <v>58</v>
      </c>
      <c r="G30" s="5">
        <v>1.9834952585628811</v>
      </c>
      <c r="H30" s="5"/>
      <c r="K30" s="5" t="s">
        <v>58</v>
      </c>
      <c r="L30" s="5">
        <v>1.9834952585628811</v>
      </c>
      <c r="M30" s="5"/>
    </row>
    <row r="33" spans="1:13" x14ac:dyDescent="0.35">
      <c r="A33" t="s">
        <v>47</v>
      </c>
      <c r="F33" t="s">
        <v>47</v>
      </c>
      <c r="K33" t="s">
        <v>47</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48</v>
      </c>
      <c r="B36" s="4">
        <v>0.39693877551020401</v>
      </c>
      <c r="C36" s="4">
        <v>0.28181818181818175</v>
      </c>
      <c r="F36" s="4" t="s">
        <v>48</v>
      </c>
      <c r="G36" s="4">
        <v>0.37204081632653063</v>
      </c>
      <c r="H36" s="4">
        <v>0.24745454545454545</v>
      </c>
      <c r="K36" s="4" t="s">
        <v>48</v>
      </c>
      <c r="L36" s="4">
        <v>0.3732653061224489</v>
      </c>
      <c r="M36" s="4">
        <v>0.26763636363636367</v>
      </c>
    </row>
    <row r="37" spans="1:13" x14ac:dyDescent="0.35">
      <c r="A37" s="4" t="s">
        <v>49</v>
      </c>
      <c r="B37" s="4">
        <v>3.1171683673469452E-2</v>
      </c>
      <c r="C37" s="4">
        <v>3.0033670033670086E-2</v>
      </c>
      <c r="F37" s="4" t="s">
        <v>49</v>
      </c>
      <c r="G37" s="4">
        <v>3.5783248299319746E-2</v>
      </c>
      <c r="H37" s="4">
        <v>2.4260067340067339E-2</v>
      </c>
      <c r="K37" s="4" t="s">
        <v>49</v>
      </c>
      <c r="L37" s="4">
        <v>3.6293282312925244E-2</v>
      </c>
      <c r="M37" s="4">
        <v>2.8481346801346813E-2</v>
      </c>
    </row>
    <row r="38" spans="1:13" x14ac:dyDescent="0.35">
      <c r="A38" s="4" t="s">
        <v>50</v>
      </c>
      <c r="B38" s="4">
        <v>49</v>
      </c>
      <c r="C38" s="4">
        <v>55</v>
      </c>
      <c r="F38" s="4" t="s">
        <v>50</v>
      </c>
      <c r="G38" s="4">
        <v>49</v>
      </c>
      <c r="H38" s="4">
        <v>55</v>
      </c>
      <c r="K38" s="4" t="s">
        <v>50</v>
      </c>
      <c r="L38" s="4">
        <v>49</v>
      </c>
      <c r="M38" s="4">
        <v>55</v>
      </c>
    </row>
    <row r="39" spans="1:13" x14ac:dyDescent="0.35">
      <c r="A39" s="4" t="s">
        <v>51</v>
      </c>
      <c r="B39" s="4">
        <v>3.0569205864163906E-2</v>
      </c>
      <c r="C39" s="4"/>
      <c r="F39" s="4" t="s">
        <v>51</v>
      </c>
      <c r="G39" s="4">
        <v>2.9682740732656705E-2</v>
      </c>
      <c r="H39" s="4"/>
      <c r="K39" s="4" t="s">
        <v>51</v>
      </c>
      <c r="L39" s="4">
        <v>3.2157551747971955E-2</v>
      </c>
      <c r="M39" s="4"/>
    </row>
    <row r="40" spans="1:13" x14ac:dyDescent="0.35">
      <c r="A40" s="4" t="s">
        <v>52</v>
      </c>
      <c r="B40" s="4">
        <v>0</v>
      </c>
      <c r="C40" s="4"/>
      <c r="F40" s="4" t="s">
        <v>52</v>
      </c>
      <c r="G40" s="4">
        <v>0</v>
      </c>
      <c r="H40" s="4"/>
      <c r="K40" s="4" t="s">
        <v>52</v>
      </c>
      <c r="L40" s="4">
        <v>0</v>
      </c>
      <c r="M40" s="4"/>
    </row>
    <row r="41" spans="1:13" x14ac:dyDescent="0.35">
      <c r="A41" s="4" t="s">
        <v>53</v>
      </c>
      <c r="B41" s="4">
        <v>102</v>
      </c>
      <c r="C41" s="4"/>
      <c r="F41" s="4" t="s">
        <v>53</v>
      </c>
      <c r="G41" s="4">
        <v>102</v>
      </c>
      <c r="H41" s="4"/>
      <c r="K41" s="4" t="s">
        <v>53</v>
      </c>
      <c r="L41" s="4">
        <v>102</v>
      </c>
      <c r="M41" s="4"/>
    </row>
    <row r="42" spans="1:13" x14ac:dyDescent="0.35">
      <c r="A42" s="4" t="s">
        <v>54</v>
      </c>
      <c r="B42" s="4">
        <v>3.3517657393898577</v>
      </c>
      <c r="C42" s="4"/>
      <c r="F42" s="4" t="s">
        <v>54</v>
      </c>
      <c r="G42" s="4">
        <v>3.681127859867614</v>
      </c>
      <c r="H42" s="4"/>
      <c r="K42" s="4" t="s">
        <v>54</v>
      </c>
      <c r="L42" s="4">
        <v>2.9985007262054553</v>
      </c>
      <c r="M42" s="4"/>
    </row>
    <row r="43" spans="1:13" x14ac:dyDescent="0.35">
      <c r="A43" s="4" t="s">
        <v>55</v>
      </c>
      <c r="B43" s="64">
        <v>5.636142978471683E-4</v>
      </c>
      <c r="C43" s="4"/>
      <c r="F43" s="4" t="s">
        <v>55</v>
      </c>
      <c r="G43" s="64">
        <v>1.8662464527382605E-4</v>
      </c>
      <c r="H43" s="4"/>
      <c r="K43" s="4" t="s">
        <v>55</v>
      </c>
      <c r="L43" s="64">
        <v>1.7042817245121232E-3</v>
      </c>
      <c r="M43" s="4"/>
    </row>
    <row r="44" spans="1:13" x14ac:dyDescent="0.35">
      <c r="A44" s="4" t="s">
        <v>56</v>
      </c>
      <c r="B44" s="4">
        <v>1.6599299759703381</v>
      </c>
      <c r="C44" s="4"/>
      <c r="F44" s="4" t="s">
        <v>56</v>
      </c>
      <c r="G44" s="4">
        <v>1.6599299759703381</v>
      </c>
      <c r="H44" s="4"/>
      <c r="K44" s="4" t="s">
        <v>56</v>
      </c>
      <c r="L44" s="4">
        <v>1.6599299759703381</v>
      </c>
      <c r="M44" s="4"/>
    </row>
    <row r="45" spans="1:13" x14ac:dyDescent="0.35">
      <c r="A45" s="4" t="s">
        <v>57</v>
      </c>
      <c r="B45" s="4">
        <v>1.1272285956943366E-3</v>
      </c>
      <c r="C45" s="4"/>
      <c r="F45" s="4" t="s">
        <v>57</v>
      </c>
      <c r="G45" s="4">
        <v>3.732492905476521E-4</v>
      </c>
      <c r="H45" s="4"/>
      <c r="K45" s="4" t="s">
        <v>57</v>
      </c>
      <c r="L45" s="4">
        <v>3.4085634490242465E-3</v>
      </c>
      <c r="M45" s="4"/>
    </row>
    <row r="46" spans="1:13" ht="15" thickBot="1" x14ac:dyDescent="0.4">
      <c r="A46" s="5" t="s">
        <v>58</v>
      </c>
      <c r="B46" s="5">
        <v>1.9834952585628811</v>
      </c>
      <c r="C46" s="5"/>
      <c r="F46" s="5" t="s">
        <v>58</v>
      </c>
      <c r="G46" s="5">
        <v>1.9834952585628811</v>
      </c>
      <c r="H46" s="5"/>
      <c r="K46" s="5" t="s">
        <v>58</v>
      </c>
      <c r="L46" s="5">
        <v>1.9834952585628811</v>
      </c>
      <c r="M46" s="5"/>
    </row>
    <row r="49" spans="1:13" x14ac:dyDescent="0.35">
      <c r="A49" t="s">
        <v>47</v>
      </c>
      <c r="F49" t="s">
        <v>47</v>
      </c>
      <c r="K49" t="s">
        <v>47</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48</v>
      </c>
      <c r="B52" s="4">
        <v>0.32489795918367353</v>
      </c>
      <c r="C52" s="4">
        <v>0.22690909090909081</v>
      </c>
      <c r="F52" s="4" t="s">
        <v>48</v>
      </c>
      <c r="G52" s="4">
        <v>0.31326530612244902</v>
      </c>
      <c r="H52" s="4">
        <v>0.21145454545454542</v>
      </c>
      <c r="K52" s="4" t="s">
        <v>48</v>
      </c>
      <c r="L52" s="4">
        <v>0.26061224489795914</v>
      </c>
      <c r="M52" s="4">
        <v>0.16709090909090912</v>
      </c>
    </row>
    <row r="53" spans="1:13" x14ac:dyDescent="0.35">
      <c r="A53" s="4" t="s">
        <v>49</v>
      </c>
      <c r="B53" s="4">
        <v>2.7033843537414948E-2</v>
      </c>
      <c r="C53" s="4">
        <v>2.9181010101010152E-2</v>
      </c>
      <c r="F53" s="4" t="s">
        <v>49</v>
      </c>
      <c r="G53" s="4">
        <v>2.6447448979591798E-2</v>
      </c>
      <c r="H53" s="4">
        <v>1.6227474747474741E-2</v>
      </c>
      <c r="K53" s="4" t="s">
        <v>49</v>
      </c>
      <c r="L53" s="4">
        <v>2.5410034013605459E-2</v>
      </c>
      <c r="M53" s="4">
        <v>1.8761750841750847E-2</v>
      </c>
    </row>
    <row r="54" spans="1:13" x14ac:dyDescent="0.35">
      <c r="A54" s="4" t="s">
        <v>50</v>
      </c>
      <c r="B54" s="4">
        <v>49</v>
      </c>
      <c r="C54" s="4">
        <v>55</v>
      </c>
      <c r="F54" s="4" t="s">
        <v>50</v>
      </c>
      <c r="G54" s="4">
        <v>49</v>
      </c>
      <c r="H54" s="4">
        <v>55</v>
      </c>
      <c r="K54" s="4" t="s">
        <v>50</v>
      </c>
      <c r="L54" s="4">
        <v>49</v>
      </c>
      <c r="M54" s="4">
        <v>55</v>
      </c>
    </row>
    <row r="55" spans="1:13" x14ac:dyDescent="0.35">
      <c r="A55" s="4" t="s">
        <v>51</v>
      </c>
      <c r="B55" s="4">
        <v>2.8170578776965351E-2</v>
      </c>
      <c r="C55" s="4"/>
      <c r="F55" s="4" t="s">
        <v>51</v>
      </c>
      <c r="G55" s="4">
        <v>2.1036874386118062E-2</v>
      </c>
      <c r="H55" s="4"/>
      <c r="K55" s="4" t="s">
        <v>51</v>
      </c>
      <c r="L55" s="4">
        <v>2.1890354687329486E-2</v>
      </c>
      <c r="M55" s="4"/>
    </row>
    <row r="56" spans="1:13" x14ac:dyDescent="0.35">
      <c r="A56" s="4" t="s">
        <v>52</v>
      </c>
      <c r="B56" s="4">
        <v>0</v>
      </c>
      <c r="C56" s="4"/>
      <c r="F56" s="4" t="s">
        <v>52</v>
      </c>
      <c r="G56" s="4">
        <v>0</v>
      </c>
      <c r="H56" s="4"/>
      <c r="K56" s="4" t="s">
        <v>52</v>
      </c>
      <c r="L56" s="4">
        <v>0</v>
      </c>
      <c r="M56" s="4"/>
    </row>
    <row r="57" spans="1:13" x14ac:dyDescent="0.35">
      <c r="A57" s="4" t="s">
        <v>53</v>
      </c>
      <c r="B57" s="4">
        <v>102</v>
      </c>
      <c r="C57" s="4"/>
      <c r="F57" s="4" t="s">
        <v>53</v>
      </c>
      <c r="G57" s="4">
        <v>102</v>
      </c>
      <c r="H57" s="4"/>
      <c r="K57" s="4" t="s">
        <v>53</v>
      </c>
      <c r="L57" s="4">
        <v>102</v>
      </c>
      <c r="M57" s="4"/>
    </row>
    <row r="58" spans="1:13" x14ac:dyDescent="0.35">
      <c r="A58" s="4" t="s">
        <v>54</v>
      </c>
      <c r="B58" s="4">
        <v>2.9719505022516892</v>
      </c>
      <c r="C58" s="4"/>
      <c r="F58" s="4" t="s">
        <v>54</v>
      </c>
      <c r="G58" s="4">
        <v>3.5732696487097182</v>
      </c>
      <c r="H58" s="4"/>
      <c r="K58" s="4" t="s">
        <v>54</v>
      </c>
      <c r="L58" s="4">
        <v>3.2177108675391479</v>
      </c>
      <c r="M58" s="4"/>
    </row>
    <row r="59" spans="1:13" x14ac:dyDescent="0.35">
      <c r="A59" s="4" t="s">
        <v>55</v>
      </c>
      <c r="B59" s="64">
        <v>1.8457315555635363E-3</v>
      </c>
      <c r="C59" s="4"/>
      <c r="F59" s="4" t="s">
        <v>55</v>
      </c>
      <c r="G59" s="64">
        <v>2.7005152742367444E-4</v>
      </c>
      <c r="H59" s="4"/>
      <c r="K59" s="4" t="s">
        <v>55</v>
      </c>
      <c r="L59" s="64">
        <v>8.6622197937911277E-4</v>
      </c>
      <c r="M59" s="4"/>
    </row>
    <row r="60" spans="1:13" x14ac:dyDescent="0.35">
      <c r="A60" s="4" t="s">
        <v>56</v>
      </c>
      <c r="B60" s="4">
        <v>1.6599299759703381</v>
      </c>
      <c r="C60" s="4"/>
      <c r="F60" s="4" t="s">
        <v>56</v>
      </c>
      <c r="G60" s="4">
        <v>1.6599299759703381</v>
      </c>
      <c r="H60" s="4"/>
      <c r="K60" s="4" t="s">
        <v>56</v>
      </c>
      <c r="L60" s="4">
        <v>1.6599299759703381</v>
      </c>
      <c r="M60" s="4"/>
    </row>
    <row r="61" spans="1:13" x14ac:dyDescent="0.35">
      <c r="A61" s="4" t="s">
        <v>57</v>
      </c>
      <c r="B61" s="4">
        <v>3.6914631111270727E-3</v>
      </c>
      <c r="C61" s="4"/>
      <c r="F61" s="4" t="s">
        <v>57</v>
      </c>
      <c r="G61" s="4">
        <v>5.4010305484734889E-4</v>
      </c>
      <c r="H61" s="4"/>
      <c r="K61" s="4" t="s">
        <v>57</v>
      </c>
      <c r="L61" s="4">
        <v>1.7324439587582255E-3</v>
      </c>
      <c r="M61" s="4"/>
    </row>
    <row r="62" spans="1:13" ht="15" thickBot="1" x14ac:dyDescent="0.4">
      <c r="A62" s="5" t="s">
        <v>58</v>
      </c>
      <c r="B62" s="5">
        <v>1.9834952585628811</v>
      </c>
      <c r="C62" s="5"/>
      <c r="F62" s="5" t="s">
        <v>58</v>
      </c>
      <c r="G62" s="5">
        <v>1.9834952585628811</v>
      </c>
      <c r="H62" s="5"/>
      <c r="K62" s="5" t="s">
        <v>58</v>
      </c>
      <c r="L62" s="5">
        <v>1.9834952585628811</v>
      </c>
      <c r="M62" s="5"/>
    </row>
    <row r="65" spans="1:3" x14ac:dyDescent="0.35">
      <c r="A65" t="s">
        <v>47</v>
      </c>
    </row>
    <row r="66" spans="1:3" ht="15" thickBot="1" x14ac:dyDescent="0.4"/>
    <row r="67" spans="1:3" x14ac:dyDescent="0.35">
      <c r="A67" s="6"/>
      <c r="B67" s="6" t="s">
        <v>12</v>
      </c>
      <c r="C67" s="6" t="s">
        <v>12</v>
      </c>
    </row>
    <row r="68" spans="1:3" x14ac:dyDescent="0.35">
      <c r="A68" s="4" t="s">
        <v>48</v>
      </c>
      <c r="B68" s="4">
        <v>0.22571428571428565</v>
      </c>
      <c r="C68" s="4">
        <v>0.15527272727272731</v>
      </c>
    </row>
    <row r="69" spans="1:3" x14ac:dyDescent="0.35">
      <c r="A69" s="4" t="s">
        <v>49</v>
      </c>
      <c r="B69" s="4">
        <v>2.7345833333333357E-2</v>
      </c>
      <c r="C69" s="4">
        <v>2.7336498316498318E-2</v>
      </c>
    </row>
    <row r="70" spans="1:3" x14ac:dyDescent="0.35">
      <c r="A70" s="4" t="s">
        <v>50</v>
      </c>
      <c r="B70" s="4">
        <v>49</v>
      </c>
      <c r="C70" s="4">
        <v>55</v>
      </c>
    </row>
    <row r="71" spans="1:3" x14ac:dyDescent="0.35">
      <c r="A71" s="4" t="s">
        <v>51</v>
      </c>
      <c r="B71" s="4">
        <v>2.7340891265597161E-2</v>
      </c>
      <c r="C71" s="4"/>
    </row>
    <row r="72" spans="1:3" x14ac:dyDescent="0.35">
      <c r="A72" s="4" t="s">
        <v>52</v>
      </c>
      <c r="B72" s="4">
        <v>0</v>
      </c>
      <c r="C72" s="4"/>
    </row>
    <row r="73" spans="1:3" x14ac:dyDescent="0.35">
      <c r="A73" s="4" t="s">
        <v>53</v>
      </c>
      <c r="B73" s="4">
        <v>102</v>
      </c>
      <c r="C73" s="4"/>
    </row>
    <row r="74" spans="1:3" x14ac:dyDescent="0.35">
      <c r="A74" s="4" t="s">
        <v>54</v>
      </c>
      <c r="B74" s="4">
        <v>2.1686293788189634</v>
      </c>
      <c r="C74" s="4"/>
    </row>
    <row r="75" spans="1:3" x14ac:dyDescent="0.35">
      <c r="A75" s="4" t="s">
        <v>55</v>
      </c>
      <c r="B75" s="64">
        <v>1.6217497272290323E-2</v>
      </c>
      <c r="C75" s="4"/>
    </row>
    <row r="76" spans="1:3" x14ac:dyDescent="0.35">
      <c r="A76" s="4" t="s">
        <v>56</v>
      </c>
      <c r="B76" s="4">
        <v>1.6599299759703381</v>
      </c>
      <c r="C76" s="4"/>
    </row>
    <row r="77" spans="1:3" x14ac:dyDescent="0.35">
      <c r="A77" s="4" t="s">
        <v>57</v>
      </c>
      <c r="B77" s="4">
        <v>3.2434994544580646E-2</v>
      </c>
      <c r="C77" s="4"/>
    </row>
    <row r="78" spans="1:3" ht="15" thickBot="1" x14ac:dyDescent="0.4">
      <c r="A78" s="5" t="s">
        <v>58</v>
      </c>
      <c r="B78" s="5">
        <v>1.9834952585628811</v>
      </c>
      <c r="C78"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18E9-04AF-4D11-B043-4DF36F86CFBC}">
  <dimension ref="A1:M48"/>
  <sheetViews>
    <sheetView workbookViewId="0">
      <selection activeCell="A47" sqref="A2:A47"/>
    </sheetView>
  </sheetViews>
  <sheetFormatPr defaultRowHeight="14.5" x14ac:dyDescent="0.35"/>
  <sheetData>
    <row r="1" spans="1:13" x14ac:dyDescent="0.35">
      <c r="A1" s="70" t="s">
        <v>0</v>
      </c>
      <c r="B1" s="70" t="s">
        <v>1</v>
      </c>
      <c r="C1" s="70" t="s">
        <v>2</v>
      </c>
      <c r="D1" s="70" t="s">
        <v>3</v>
      </c>
      <c r="E1" s="70" t="s">
        <v>4</v>
      </c>
      <c r="F1" s="70" t="s">
        <v>5</v>
      </c>
      <c r="G1" s="70" t="s">
        <v>6</v>
      </c>
      <c r="H1" s="70" t="s">
        <v>7</v>
      </c>
      <c r="I1" s="70" t="s">
        <v>8</v>
      </c>
      <c r="J1" s="70" t="s">
        <v>9</v>
      </c>
      <c r="K1" s="70" t="s">
        <v>10</v>
      </c>
      <c r="L1" s="70" t="s">
        <v>11</v>
      </c>
      <c r="M1" s="71"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69">
        <v>0.26</v>
      </c>
    </row>
    <row r="3" spans="1:13" x14ac:dyDescent="0.35">
      <c r="A3" s="2">
        <v>1</v>
      </c>
      <c r="B3" s="2">
        <v>1</v>
      </c>
      <c r="C3" s="2">
        <v>1</v>
      </c>
      <c r="D3" s="2">
        <v>0.5</v>
      </c>
      <c r="E3" s="2">
        <v>0.5</v>
      </c>
      <c r="F3" s="2">
        <v>0.5</v>
      </c>
      <c r="G3" s="2">
        <v>0.5</v>
      </c>
      <c r="H3" s="2">
        <v>0.5</v>
      </c>
      <c r="I3" s="2">
        <v>1</v>
      </c>
      <c r="J3" s="2">
        <v>1</v>
      </c>
      <c r="K3" s="2">
        <v>0.5</v>
      </c>
      <c r="L3" s="2">
        <v>0.5</v>
      </c>
      <c r="M3" s="68">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69">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68">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69">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68">
        <v>0.12000000000000005</v>
      </c>
    </row>
    <row r="8" spans="1:13" x14ac:dyDescent="0.35">
      <c r="A8" s="1">
        <v>1</v>
      </c>
      <c r="B8" s="1">
        <v>0</v>
      </c>
      <c r="C8" s="1">
        <v>0</v>
      </c>
      <c r="D8" s="1">
        <v>0</v>
      </c>
      <c r="E8" s="1">
        <v>0</v>
      </c>
      <c r="F8" s="1">
        <v>0.5</v>
      </c>
      <c r="G8" s="1">
        <v>0.5</v>
      </c>
      <c r="H8" s="1">
        <v>0</v>
      </c>
      <c r="I8" s="1">
        <v>0.5</v>
      </c>
      <c r="J8" s="1">
        <v>0.5</v>
      </c>
      <c r="K8" s="1">
        <v>0</v>
      </c>
      <c r="L8" s="1">
        <v>0</v>
      </c>
      <c r="M8" s="69">
        <v>0</v>
      </c>
    </row>
    <row r="9" spans="1:13" x14ac:dyDescent="0.35">
      <c r="A9" s="2">
        <v>0.35000000000000003</v>
      </c>
      <c r="B9" s="2">
        <v>0.35000000000000003</v>
      </c>
      <c r="C9" s="2">
        <v>0.33</v>
      </c>
      <c r="D9" s="2">
        <v>0.4</v>
      </c>
      <c r="E9" s="2">
        <v>0.35000000000000003</v>
      </c>
      <c r="F9" s="2">
        <v>0.38</v>
      </c>
      <c r="G9" s="2">
        <v>0.33</v>
      </c>
      <c r="H9" s="2">
        <v>0.35000000000000003</v>
      </c>
      <c r="I9" s="2">
        <v>0.33</v>
      </c>
      <c r="J9" s="2">
        <v>0.15000000000000002</v>
      </c>
      <c r="K9" s="2">
        <v>0.1399999999999999</v>
      </c>
      <c r="L9" s="2">
        <v>0.56000000000000005</v>
      </c>
      <c r="M9" s="68">
        <v>0.10000000000000009</v>
      </c>
    </row>
    <row r="10" spans="1:13" x14ac:dyDescent="0.35">
      <c r="A10" s="1">
        <v>0</v>
      </c>
      <c r="B10" s="1">
        <v>0.39</v>
      </c>
      <c r="C10" s="1">
        <v>0.33999999999999997</v>
      </c>
      <c r="D10" s="1">
        <v>0.28999999999999992</v>
      </c>
      <c r="E10" s="1">
        <v>0.32999999999999996</v>
      </c>
      <c r="F10" s="1">
        <v>0.25999999999999995</v>
      </c>
      <c r="G10" s="1">
        <v>0.32999999999999996</v>
      </c>
      <c r="H10" s="1">
        <v>0.35</v>
      </c>
      <c r="I10" s="1">
        <v>0.35000000000000003</v>
      </c>
      <c r="J10" s="1">
        <v>0.14000000000000001</v>
      </c>
      <c r="K10" s="1">
        <v>0.24999999999999994</v>
      </c>
      <c r="L10" s="1">
        <v>8.0000000000000071E-2</v>
      </c>
      <c r="M10" s="69">
        <v>0.14999999999999997</v>
      </c>
    </row>
    <row r="11" spans="1:13" x14ac:dyDescent="0.35">
      <c r="A11" s="2">
        <v>0</v>
      </c>
      <c r="B11" s="2">
        <v>0</v>
      </c>
      <c r="C11" s="2">
        <v>0</v>
      </c>
      <c r="D11" s="2">
        <v>0</v>
      </c>
      <c r="E11" s="2">
        <v>0</v>
      </c>
      <c r="F11" s="2">
        <v>0.5</v>
      </c>
      <c r="G11" s="2">
        <v>0.5</v>
      </c>
      <c r="H11" s="2">
        <v>0.5</v>
      </c>
      <c r="I11" s="2">
        <v>0.5</v>
      </c>
      <c r="J11" s="2">
        <v>0.5</v>
      </c>
      <c r="K11" s="2">
        <v>0.5</v>
      </c>
      <c r="L11" s="2">
        <v>0</v>
      </c>
      <c r="M11" s="68">
        <v>0</v>
      </c>
    </row>
    <row r="12" spans="1:13" x14ac:dyDescent="0.35">
      <c r="A12" s="1">
        <v>0.19999999999999996</v>
      </c>
      <c r="B12" s="1">
        <v>5.9999999999999942E-2</v>
      </c>
      <c r="C12" s="1">
        <v>0.18000000000000005</v>
      </c>
      <c r="D12" s="1">
        <v>0.44999999999999996</v>
      </c>
      <c r="E12" s="1">
        <v>0.26</v>
      </c>
      <c r="F12" s="1">
        <v>0.36</v>
      </c>
      <c r="G12" s="1">
        <v>0.47</v>
      </c>
      <c r="H12" s="1">
        <v>0.26</v>
      </c>
      <c r="I12" s="1">
        <v>0.20999999999999996</v>
      </c>
      <c r="J12" s="1">
        <v>7.999999999999996E-2</v>
      </c>
      <c r="K12" s="1">
        <v>1.0000000000000009E-2</v>
      </c>
      <c r="L12" s="1">
        <v>0</v>
      </c>
      <c r="M12" s="69">
        <v>0</v>
      </c>
    </row>
    <row r="13" spans="1:13" x14ac:dyDescent="0.35">
      <c r="A13" s="2">
        <v>0.21000000000000002</v>
      </c>
      <c r="B13" s="2">
        <v>0.18</v>
      </c>
      <c r="C13" s="2">
        <v>4.9999999999999989E-2</v>
      </c>
      <c r="D13" s="2">
        <v>7.0000000000000007E-2</v>
      </c>
      <c r="E13" s="2">
        <v>0.12</v>
      </c>
      <c r="F13" s="2">
        <v>0.10000000000000003</v>
      </c>
      <c r="G13" s="2">
        <v>4.0000000000000008E-2</v>
      </c>
      <c r="H13" s="2">
        <v>9.9999999999999992E-2</v>
      </c>
      <c r="I13" s="2">
        <v>1.0000000000000009E-2</v>
      </c>
      <c r="J13" s="2">
        <v>0.09</v>
      </c>
      <c r="K13" s="2">
        <v>5.0000000000000044E-2</v>
      </c>
      <c r="L13" s="2">
        <v>8.0000000000000016E-2</v>
      </c>
      <c r="M13" s="68">
        <v>3.999999999999998E-2</v>
      </c>
    </row>
    <row r="14" spans="1:13" x14ac:dyDescent="0.35">
      <c r="A14" s="1">
        <v>0.13</v>
      </c>
      <c r="B14" s="1">
        <v>0.10000000000000009</v>
      </c>
      <c r="C14" s="1">
        <v>0.38</v>
      </c>
      <c r="D14" s="1">
        <v>0.25999999999999995</v>
      </c>
      <c r="E14" s="1">
        <v>0.21999999999999997</v>
      </c>
      <c r="F14" s="1">
        <v>0.10999999999999999</v>
      </c>
      <c r="G14" s="1">
        <v>0.13</v>
      </c>
      <c r="H14" s="1">
        <v>0.10000000000000003</v>
      </c>
      <c r="I14" s="1">
        <v>0.15000000000000002</v>
      </c>
      <c r="J14" s="1">
        <v>1.0000000000000009E-2</v>
      </c>
      <c r="K14" s="1">
        <v>9.9999999999999978E-2</v>
      </c>
      <c r="L14" s="1">
        <v>8.9999999999999969E-2</v>
      </c>
      <c r="M14" s="69">
        <v>0.15000000000000002</v>
      </c>
    </row>
    <row r="15" spans="1:13" x14ac:dyDescent="0.35">
      <c r="A15" s="2">
        <v>0.33000000000000007</v>
      </c>
      <c r="B15" s="2">
        <v>0.53</v>
      </c>
      <c r="C15" s="2">
        <v>0.51</v>
      </c>
      <c r="D15" s="2">
        <v>0.5</v>
      </c>
      <c r="E15" s="2">
        <v>0.57999999999999996</v>
      </c>
      <c r="F15" s="2">
        <v>0.54</v>
      </c>
      <c r="G15" s="2">
        <v>0.45</v>
      </c>
      <c r="H15" s="2">
        <v>0.36</v>
      </c>
      <c r="I15" s="2">
        <v>0.38000000000000006</v>
      </c>
      <c r="J15" s="2">
        <v>0.26000000000000006</v>
      </c>
      <c r="K15" s="2">
        <v>0.28999999999999998</v>
      </c>
      <c r="L15" s="2">
        <v>0.21000000000000008</v>
      </c>
      <c r="M15" s="68">
        <v>0.24</v>
      </c>
    </row>
    <row r="16" spans="1:13" x14ac:dyDescent="0.35">
      <c r="A16" s="1">
        <v>0.31999999999999995</v>
      </c>
      <c r="B16" s="1">
        <v>0.56000000000000005</v>
      </c>
      <c r="C16" s="1">
        <v>0.48</v>
      </c>
      <c r="D16" s="1">
        <v>0.59000000000000008</v>
      </c>
      <c r="E16" s="1">
        <v>0.45999999999999996</v>
      </c>
      <c r="F16" s="1">
        <v>0.38999999999999996</v>
      </c>
      <c r="G16" s="1">
        <v>0.28999999999999998</v>
      </c>
      <c r="H16" s="1">
        <v>0.25</v>
      </c>
      <c r="I16" s="1">
        <v>0.27</v>
      </c>
      <c r="J16" s="1">
        <v>0.24</v>
      </c>
      <c r="K16" s="1">
        <v>0.18999999999999995</v>
      </c>
      <c r="L16" s="1">
        <v>0.20999999999999996</v>
      </c>
      <c r="M16" s="69">
        <v>0.12000000000000011</v>
      </c>
    </row>
    <row r="17" spans="1:13" x14ac:dyDescent="0.35">
      <c r="A17" s="2">
        <v>0.28000000000000003</v>
      </c>
      <c r="B17" s="2">
        <v>0.26</v>
      </c>
      <c r="C17" s="2">
        <v>0.31000000000000005</v>
      </c>
      <c r="D17" s="2">
        <v>0.16999999999999998</v>
      </c>
      <c r="E17" s="2">
        <v>0.34</v>
      </c>
      <c r="F17" s="2">
        <v>0.17000000000000004</v>
      </c>
      <c r="G17" s="2">
        <v>0.22999999999999998</v>
      </c>
      <c r="H17" s="2">
        <v>0.16000000000000003</v>
      </c>
      <c r="I17" s="2">
        <v>0.31</v>
      </c>
      <c r="J17" s="2">
        <v>0.14000000000000001</v>
      </c>
      <c r="K17" s="2">
        <v>0.22999999999999998</v>
      </c>
      <c r="L17" s="2">
        <v>0.14999999999999991</v>
      </c>
      <c r="M17" s="68">
        <v>0.15000000000000002</v>
      </c>
    </row>
    <row r="18" spans="1:13" x14ac:dyDescent="0.35">
      <c r="A18" s="1">
        <v>0.37000000000000005</v>
      </c>
      <c r="B18" s="1">
        <v>0.37000000000000005</v>
      </c>
      <c r="C18" s="1">
        <v>0.33999999999999997</v>
      </c>
      <c r="D18" s="1">
        <v>0.32999999999999996</v>
      </c>
      <c r="E18" s="1">
        <v>0.3</v>
      </c>
      <c r="F18" s="1">
        <v>0.31</v>
      </c>
      <c r="G18" s="1">
        <v>0.20999999999999996</v>
      </c>
      <c r="H18" s="1">
        <v>0.21999999999999997</v>
      </c>
      <c r="I18" s="1">
        <v>0.35</v>
      </c>
      <c r="J18" s="1">
        <v>0.26999999999999996</v>
      </c>
      <c r="K18" s="1">
        <v>0.18</v>
      </c>
      <c r="L18" s="1">
        <v>0.20000000000000007</v>
      </c>
      <c r="M18" s="69">
        <v>0.21999999999999997</v>
      </c>
    </row>
    <row r="19" spans="1:13" x14ac:dyDescent="0.35">
      <c r="A19" s="12">
        <v>0.48000000000000004</v>
      </c>
      <c r="B19" s="12">
        <v>0.51</v>
      </c>
      <c r="C19" s="12">
        <v>0.49</v>
      </c>
      <c r="D19" s="12">
        <v>0.33999999999999997</v>
      </c>
      <c r="E19" s="12">
        <v>0.39</v>
      </c>
      <c r="F19" s="12">
        <v>0.37000000000000005</v>
      </c>
      <c r="G19" s="12">
        <v>0.47</v>
      </c>
      <c r="H19" s="12">
        <v>0.43000000000000005</v>
      </c>
      <c r="I19" s="12">
        <v>0.26999999999999996</v>
      </c>
      <c r="J19" s="12">
        <v>0.3</v>
      </c>
      <c r="K19" s="12">
        <v>0.31</v>
      </c>
      <c r="L19" s="12">
        <v>0.27</v>
      </c>
      <c r="M19" s="72">
        <v>0.20999999999999996</v>
      </c>
    </row>
    <row r="20" spans="1:13" x14ac:dyDescent="0.35">
      <c r="A20" s="12">
        <v>0.21999999999999997</v>
      </c>
      <c r="B20" s="12">
        <v>0.27</v>
      </c>
      <c r="C20" s="12">
        <v>0.22999999999999998</v>
      </c>
      <c r="D20" s="12">
        <v>0.19999999999999996</v>
      </c>
      <c r="E20" s="12">
        <v>0.23000000000000004</v>
      </c>
      <c r="F20" s="12">
        <v>0.36</v>
      </c>
      <c r="G20" s="12">
        <v>0.38</v>
      </c>
      <c r="H20" s="12">
        <v>0.28000000000000003</v>
      </c>
      <c r="I20" s="12">
        <v>0.26999999999999996</v>
      </c>
      <c r="J20" s="12">
        <v>0.11000000000000004</v>
      </c>
      <c r="K20" s="12">
        <v>0.25000000000000006</v>
      </c>
      <c r="L20" s="12">
        <v>0.15000000000000002</v>
      </c>
      <c r="M20" s="72">
        <v>0.10999999999999999</v>
      </c>
    </row>
    <row r="21" spans="1:13" x14ac:dyDescent="0.35">
      <c r="A21" s="12">
        <v>0.52</v>
      </c>
      <c r="B21" s="12">
        <v>0.36000000000000004</v>
      </c>
      <c r="C21" s="12">
        <v>0.24000000000000005</v>
      </c>
      <c r="D21" s="12">
        <v>0.25</v>
      </c>
      <c r="E21" s="12">
        <v>0.18</v>
      </c>
      <c r="F21" s="12">
        <v>0.13</v>
      </c>
      <c r="G21" s="12">
        <v>2.0000000000000018E-2</v>
      </c>
      <c r="H21" s="12">
        <v>0.12000000000000002</v>
      </c>
      <c r="I21" s="12">
        <v>0.12999999999999998</v>
      </c>
      <c r="J21" s="12">
        <v>8.9999999999999969E-2</v>
      </c>
      <c r="K21" s="12">
        <v>9.0000000000000024E-2</v>
      </c>
      <c r="L21" s="12">
        <v>7.0000000000000007E-2</v>
      </c>
      <c r="M21" s="72">
        <v>0.18000000000000005</v>
      </c>
    </row>
    <row r="22" spans="1:13" x14ac:dyDescent="0.35">
      <c r="A22" s="12">
        <v>0.19999999999999996</v>
      </c>
      <c r="B22" s="12">
        <v>0.24</v>
      </c>
      <c r="C22" s="12">
        <v>0.37000000000000005</v>
      </c>
      <c r="D22" s="12">
        <v>0.23000000000000004</v>
      </c>
      <c r="E22" s="12">
        <v>0.30999999999999994</v>
      </c>
      <c r="F22" s="12">
        <v>0.16999999999999993</v>
      </c>
      <c r="G22" s="12">
        <v>0.14000000000000001</v>
      </c>
      <c r="H22" s="12">
        <v>0.19999999999999996</v>
      </c>
      <c r="I22" s="12">
        <v>0.18</v>
      </c>
      <c r="J22" s="12">
        <v>8.9999999999999969E-2</v>
      </c>
      <c r="K22" s="12">
        <v>0.14000000000000001</v>
      </c>
      <c r="L22" s="12">
        <v>9.9999999999999978E-2</v>
      </c>
      <c r="M22" s="72">
        <v>0.14000000000000001</v>
      </c>
    </row>
    <row r="23" spans="1:13" x14ac:dyDescent="0.35">
      <c r="A23" s="12">
        <v>0</v>
      </c>
      <c r="B23" s="12">
        <v>0.24</v>
      </c>
      <c r="C23" s="12">
        <v>0.35000000000000003</v>
      </c>
      <c r="D23" s="12">
        <v>0.23000000000000004</v>
      </c>
      <c r="E23" s="12">
        <v>0.2</v>
      </c>
      <c r="F23" s="12">
        <v>0.23000000000000004</v>
      </c>
      <c r="G23" s="12">
        <v>0.20999999999999996</v>
      </c>
      <c r="H23" s="12">
        <v>0.12000000000000002</v>
      </c>
      <c r="I23" s="12">
        <v>0.17</v>
      </c>
      <c r="J23" s="12">
        <v>0.09</v>
      </c>
      <c r="K23" s="12">
        <v>0.15999999999999998</v>
      </c>
      <c r="L23" s="12">
        <v>7.999999999999996E-2</v>
      </c>
      <c r="M23" s="72">
        <v>0.22999999999999998</v>
      </c>
    </row>
    <row r="24" spans="1:13" x14ac:dyDescent="0.35">
      <c r="A24" s="12">
        <v>0.45999999999999996</v>
      </c>
      <c r="B24" s="12">
        <v>0.47</v>
      </c>
      <c r="C24" s="12">
        <v>0.43000000000000005</v>
      </c>
      <c r="D24" s="12">
        <v>0.33000000000000007</v>
      </c>
      <c r="E24" s="12">
        <v>0.44000000000000006</v>
      </c>
      <c r="F24" s="12">
        <v>0.36000000000000004</v>
      </c>
      <c r="G24" s="12">
        <v>0.33</v>
      </c>
      <c r="H24" s="12">
        <v>0.19</v>
      </c>
      <c r="I24" s="12">
        <v>0.24000000000000002</v>
      </c>
      <c r="J24" s="12">
        <v>0.22000000000000003</v>
      </c>
      <c r="K24" s="12">
        <v>0.24000000000000002</v>
      </c>
      <c r="L24" s="12">
        <v>0.18000000000000002</v>
      </c>
      <c r="M24" s="72">
        <v>0.19</v>
      </c>
    </row>
    <row r="25" spans="1:13" x14ac:dyDescent="0.35">
      <c r="A25" s="12">
        <v>0.27</v>
      </c>
      <c r="B25" s="12">
        <v>0.20999999999999996</v>
      </c>
      <c r="C25" s="12">
        <v>0.25000000000000006</v>
      </c>
      <c r="D25" s="12">
        <v>0.18999999999999995</v>
      </c>
      <c r="E25" s="12">
        <v>0.14000000000000007</v>
      </c>
      <c r="F25" s="12">
        <v>0.17999999999999994</v>
      </c>
      <c r="G25" s="12">
        <v>0.19999999999999996</v>
      </c>
      <c r="H25" s="12">
        <v>0.15000000000000002</v>
      </c>
      <c r="I25" s="12">
        <v>0.18</v>
      </c>
      <c r="J25" s="12">
        <v>8.0000000000000016E-2</v>
      </c>
      <c r="K25" s="12">
        <v>0.10000000000000003</v>
      </c>
      <c r="L25" s="12">
        <v>8.0000000000000071E-2</v>
      </c>
      <c r="M25" s="72">
        <v>8.9999999999999969E-2</v>
      </c>
    </row>
    <row r="26" spans="1:13" x14ac:dyDescent="0.35">
      <c r="A26" s="12">
        <v>0.27999999999999992</v>
      </c>
      <c r="B26" s="12">
        <v>0.16999999999999993</v>
      </c>
      <c r="C26" s="12">
        <v>0.14999999999999991</v>
      </c>
      <c r="D26" s="12">
        <v>0.21999999999999997</v>
      </c>
      <c r="E26" s="12">
        <v>0.27</v>
      </c>
      <c r="F26" s="12">
        <v>0.15000000000000002</v>
      </c>
      <c r="G26" s="12">
        <v>0.14999999999999991</v>
      </c>
      <c r="H26" s="12">
        <v>0.10999999999999999</v>
      </c>
      <c r="I26" s="12">
        <v>0.17999999999999994</v>
      </c>
      <c r="J26" s="12">
        <v>0.22999999999999998</v>
      </c>
      <c r="K26" s="12">
        <v>0.19000000000000006</v>
      </c>
      <c r="L26" s="12">
        <v>6.0000000000000053E-2</v>
      </c>
      <c r="M26" s="72">
        <v>0</v>
      </c>
    </row>
    <row r="27" spans="1:13" x14ac:dyDescent="0.35">
      <c r="A27" s="12">
        <v>0.28000000000000003</v>
      </c>
      <c r="B27" s="12">
        <v>0.28999999999999992</v>
      </c>
      <c r="C27" s="12">
        <v>0.36</v>
      </c>
      <c r="D27" s="12">
        <v>0.42000000000000004</v>
      </c>
      <c r="E27" s="12">
        <v>0.41000000000000003</v>
      </c>
      <c r="F27" s="12">
        <v>0.32</v>
      </c>
      <c r="G27" s="12">
        <v>0.35</v>
      </c>
      <c r="H27" s="12">
        <v>0.21999999999999997</v>
      </c>
      <c r="I27" s="12">
        <v>0.37</v>
      </c>
      <c r="J27" s="12">
        <v>0.35000000000000003</v>
      </c>
      <c r="K27" s="12">
        <v>0.24</v>
      </c>
      <c r="L27" s="12">
        <v>0.31000000000000005</v>
      </c>
      <c r="M27" s="72">
        <v>3.0000000000000027E-2</v>
      </c>
    </row>
    <row r="28" spans="1:13" x14ac:dyDescent="0.35">
      <c r="A28" s="12">
        <v>0.22999999999999998</v>
      </c>
      <c r="B28" s="12">
        <v>4.0000000000000036E-2</v>
      </c>
      <c r="C28" s="12">
        <v>7.0000000000000062E-2</v>
      </c>
      <c r="D28" s="12">
        <v>0</v>
      </c>
      <c r="E28" s="12">
        <v>8.0000000000000071E-2</v>
      </c>
      <c r="F28" s="12">
        <v>9.0000000000000024E-2</v>
      </c>
      <c r="G28" s="12">
        <v>8.0000000000000016E-2</v>
      </c>
      <c r="H28" s="12">
        <v>4.9999999999999989E-2</v>
      </c>
      <c r="I28" s="12">
        <v>0.12</v>
      </c>
      <c r="J28" s="12">
        <v>9.9999999999999534E-3</v>
      </c>
      <c r="K28" s="12">
        <v>7.999999999999996E-2</v>
      </c>
      <c r="L28" s="12">
        <v>6.0000000000000053E-2</v>
      </c>
      <c r="M28" s="72">
        <v>5.9999999999999942E-2</v>
      </c>
    </row>
    <row r="29" spans="1:13" x14ac:dyDescent="0.35">
      <c r="A29" s="12">
        <v>0.37</v>
      </c>
      <c r="B29" s="12">
        <v>0.36000000000000004</v>
      </c>
      <c r="C29" s="12">
        <v>0.21000000000000002</v>
      </c>
      <c r="D29" s="12">
        <v>0.2</v>
      </c>
      <c r="E29" s="12">
        <v>0.14000000000000007</v>
      </c>
      <c r="F29" s="12">
        <v>0.15000000000000002</v>
      </c>
      <c r="G29" s="12">
        <v>0.16999999999999998</v>
      </c>
      <c r="H29" s="12">
        <v>0.21999999999999997</v>
      </c>
      <c r="I29" s="12">
        <v>0.24</v>
      </c>
      <c r="J29" s="12">
        <v>0.2</v>
      </c>
      <c r="K29" s="12">
        <v>0.25999999999999995</v>
      </c>
      <c r="L29" s="12">
        <v>0.33000000000000007</v>
      </c>
      <c r="M29" s="72">
        <v>0.19999999999999996</v>
      </c>
    </row>
    <row r="30" spans="1:13" x14ac:dyDescent="0.35">
      <c r="A30" s="12">
        <v>0.27</v>
      </c>
      <c r="B30" s="12">
        <v>0.35000000000000003</v>
      </c>
      <c r="C30" s="12">
        <v>0.33999999999999997</v>
      </c>
      <c r="D30" s="12">
        <v>0.34999999999999992</v>
      </c>
      <c r="E30" s="12">
        <v>0.35</v>
      </c>
      <c r="F30" s="12">
        <v>0.38</v>
      </c>
      <c r="G30" s="12">
        <v>0.36</v>
      </c>
      <c r="H30" s="12">
        <v>0.45</v>
      </c>
      <c r="I30" s="12">
        <v>0.47</v>
      </c>
      <c r="J30" s="12">
        <v>0.45999999999999996</v>
      </c>
      <c r="K30" s="12">
        <v>0.4</v>
      </c>
      <c r="L30" s="12">
        <v>0.44999999999999996</v>
      </c>
      <c r="M30" s="72">
        <v>0.47</v>
      </c>
    </row>
    <row r="31" spans="1:13" x14ac:dyDescent="0.35">
      <c r="A31" s="12">
        <v>0.20999999999999996</v>
      </c>
      <c r="B31" s="12">
        <v>0.16999999999999998</v>
      </c>
      <c r="C31" s="12">
        <v>0.23999999999999994</v>
      </c>
      <c r="D31" s="12">
        <v>0.27999999999999997</v>
      </c>
      <c r="E31" s="12">
        <v>0.17000000000000004</v>
      </c>
      <c r="F31" s="12">
        <v>0.21999999999999997</v>
      </c>
      <c r="G31" s="12">
        <v>7.0000000000000007E-2</v>
      </c>
      <c r="H31" s="12">
        <v>0.22999999999999998</v>
      </c>
      <c r="I31" s="12">
        <v>0.21</v>
      </c>
      <c r="J31" s="12">
        <v>0.16</v>
      </c>
      <c r="K31" s="12">
        <v>0.24999999999999997</v>
      </c>
      <c r="L31" s="12">
        <v>0.10999999999999999</v>
      </c>
      <c r="M31" s="72">
        <v>0.06</v>
      </c>
    </row>
    <row r="32" spans="1:13" x14ac:dyDescent="0.35">
      <c r="A32" s="12">
        <v>0.13</v>
      </c>
      <c r="B32" s="12">
        <v>0.22999999999999998</v>
      </c>
      <c r="C32" s="12">
        <v>0.12</v>
      </c>
      <c r="D32" s="12">
        <v>0.17999999999999994</v>
      </c>
      <c r="E32" s="12">
        <v>0.14000000000000001</v>
      </c>
      <c r="F32" s="12">
        <v>0.28999999999999998</v>
      </c>
      <c r="G32" s="12">
        <v>0.38</v>
      </c>
      <c r="H32" s="12">
        <v>0.25</v>
      </c>
      <c r="I32" s="12">
        <v>0.15000000000000002</v>
      </c>
      <c r="J32" s="12">
        <v>0.19</v>
      </c>
      <c r="K32" s="12">
        <v>0.10999999999999999</v>
      </c>
      <c r="L32" s="12">
        <v>0.20999999999999996</v>
      </c>
      <c r="M32" s="72">
        <v>0.19999999999999996</v>
      </c>
    </row>
    <row r="33" spans="1:13" x14ac:dyDescent="0.35">
      <c r="A33" s="12">
        <v>0.18999999999999995</v>
      </c>
      <c r="B33" s="12">
        <v>7.999999999999996E-2</v>
      </c>
      <c r="C33" s="12">
        <v>0.17000000000000004</v>
      </c>
      <c r="D33" s="12">
        <v>0.15000000000000002</v>
      </c>
      <c r="E33" s="12">
        <v>0.20999999999999996</v>
      </c>
      <c r="F33" s="12">
        <v>0.15000000000000002</v>
      </c>
      <c r="G33" s="12">
        <v>0.13</v>
      </c>
      <c r="H33" s="12">
        <v>2.9999999999999971E-2</v>
      </c>
      <c r="I33" s="12">
        <v>5.0000000000000017E-2</v>
      </c>
      <c r="J33" s="12">
        <v>3.999999999999998E-2</v>
      </c>
      <c r="K33" s="12">
        <v>8.0000000000000016E-2</v>
      </c>
      <c r="L33" s="12">
        <v>9.0000000000000024E-2</v>
      </c>
      <c r="M33" s="72">
        <v>3.0000000000000027E-2</v>
      </c>
    </row>
    <row r="34" spans="1:13" x14ac:dyDescent="0.35">
      <c r="A34" s="12">
        <v>9.9999999999999978E-2</v>
      </c>
      <c r="B34" s="12">
        <v>0.12000000000000005</v>
      </c>
      <c r="C34" s="12">
        <v>0.10999999999999999</v>
      </c>
      <c r="D34" s="12">
        <v>9.9999999999999978E-2</v>
      </c>
      <c r="E34" s="12">
        <v>0.14000000000000001</v>
      </c>
      <c r="F34" s="12">
        <v>0.13</v>
      </c>
      <c r="G34" s="12">
        <v>0.12</v>
      </c>
      <c r="H34" s="12">
        <v>8.0000000000000016E-2</v>
      </c>
      <c r="I34" s="12">
        <v>8.0000000000000016E-2</v>
      </c>
      <c r="J34" s="12">
        <v>0.13</v>
      </c>
      <c r="K34" s="12">
        <v>9.9999999999999978E-2</v>
      </c>
      <c r="L34" s="12">
        <v>3.999999999999998E-2</v>
      </c>
      <c r="M34" s="72">
        <v>0.11000000000000004</v>
      </c>
    </row>
    <row r="35" spans="1:13" x14ac:dyDescent="0.35">
      <c r="A35" s="23">
        <v>0.24</v>
      </c>
      <c r="B35" s="23">
        <v>0.26</v>
      </c>
      <c r="C35" s="23">
        <v>0.26999999999999996</v>
      </c>
      <c r="D35" s="23">
        <v>0.33999999999999997</v>
      </c>
      <c r="E35" s="23">
        <v>0.21000000000000002</v>
      </c>
      <c r="F35" s="23">
        <v>0.14000000000000001</v>
      </c>
      <c r="G35" s="23">
        <v>0.19</v>
      </c>
      <c r="H35" s="23">
        <v>0.16000000000000003</v>
      </c>
      <c r="I35" s="23">
        <v>0.16999999999999998</v>
      </c>
      <c r="J35" s="23">
        <v>0.15999999999999998</v>
      </c>
      <c r="K35" s="23">
        <v>0.19</v>
      </c>
      <c r="L35" s="23">
        <v>0.16999999999999993</v>
      </c>
      <c r="M35" s="73">
        <v>4.0000000000000036E-2</v>
      </c>
    </row>
    <row r="36" spans="1:13" x14ac:dyDescent="0.35">
      <c r="A36" s="12">
        <v>3.0000000000000027E-2</v>
      </c>
      <c r="B36" s="12">
        <v>0.16000000000000003</v>
      </c>
      <c r="C36" s="12">
        <v>0.14000000000000001</v>
      </c>
      <c r="D36" s="12">
        <v>0.19000000000000006</v>
      </c>
      <c r="E36" s="12">
        <v>0.22999999999999993</v>
      </c>
      <c r="F36" s="12">
        <v>0.11000000000000004</v>
      </c>
      <c r="G36" s="12">
        <v>8.0000000000000016E-2</v>
      </c>
      <c r="H36" s="12">
        <v>4.9999999999999989E-2</v>
      </c>
      <c r="I36" s="12">
        <v>9.0000000000000024E-2</v>
      </c>
      <c r="J36" s="12">
        <v>1.0000000000000009E-2</v>
      </c>
      <c r="K36" s="12">
        <v>4.9999999999999933E-2</v>
      </c>
      <c r="L36" s="12">
        <v>0</v>
      </c>
      <c r="M36" s="72">
        <v>0</v>
      </c>
    </row>
    <row r="37" spans="1:13" x14ac:dyDescent="0.35">
      <c r="A37" s="23">
        <v>0.63</v>
      </c>
      <c r="B37" s="23">
        <v>0.25</v>
      </c>
      <c r="C37" s="23">
        <v>5.9999999999999942E-2</v>
      </c>
      <c r="D37" s="23">
        <v>7.999999999999996E-2</v>
      </c>
      <c r="E37" s="23">
        <v>0.26000000000000006</v>
      </c>
      <c r="F37" s="23">
        <v>0.7</v>
      </c>
      <c r="G37" s="23">
        <v>0.41999999999999993</v>
      </c>
      <c r="H37" s="23">
        <v>0.39</v>
      </c>
      <c r="I37" s="23">
        <v>0.45999999999999996</v>
      </c>
      <c r="J37" s="23">
        <v>0.39</v>
      </c>
      <c r="K37" s="23">
        <v>0.37999999999999995</v>
      </c>
      <c r="L37" s="23">
        <v>0.37</v>
      </c>
      <c r="M37" s="73">
        <v>0.33000000000000007</v>
      </c>
    </row>
    <row r="38" spans="1:13" x14ac:dyDescent="0.35">
      <c r="A38" s="12">
        <v>0.12</v>
      </c>
      <c r="B38" s="12">
        <v>0.4</v>
      </c>
      <c r="C38" s="12">
        <v>0.47</v>
      </c>
      <c r="D38" s="12">
        <v>0.44</v>
      </c>
      <c r="E38" s="12">
        <v>0.25999999999999995</v>
      </c>
      <c r="F38" s="12">
        <v>0.3</v>
      </c>
      <c r="G38" s="12">
        <v>0.27999999999999997</v>
      </c>
      <c r="H38" s="12">
        <v>0.38999999999999996</v>
      </c>
      <c r="I38" s="12">
        <v>0.32000000000000006</v>
      </c>
      <c r="J38" s="12">
        <v>0.37</v>
      </c>
      <c r="K38" s="12">
        <v>0.35</v>
      </c>
      <c r="L38" s="12">
        <v>0.48000000000000004</v>
      </c>
      <c r="M38" s="72">
        <v>0.4</v>
      </c>
    </row>
    <row r="39" spans="1:13" x14ac:dyDescent="0.35">
      <c r="A39" s="23">
        <v>0.19000000000000006</v>
      </c>
      <c r="B39" s="23">
        <v>0.16999999999999998</v>
      </c>
      <c r="C39" s="23">
        <v>0.19</v>
      </c>
      <c r="D39" s="23">
        <v>0.18</v>
      </c>
      <c r="E39" s="23">
        <v>0.16999999999999998</v>
      </c>
      <c r="F39" s="23">
        <v>0.15999999999999998</v>
      </c>
      <c r="G39" s="23">
        <v>0.22</v>
      </c>
      <c r="H39" s="23">
        <v>0.28000000000000003</v>
      </c>
      <c r="I39" s="23">
        <v>0.29000000000000004</v>
      </c>
      <c r="J39" s="23">
        <v>0.27</v>
      </c>
      <c r="K39" s="23">
        <v>0.22999999999999998</v>
      </c>
      <c r="L39" s="23">
        <v>0.29000000000000004</v>
      </c>
      <c r="M39" s="73">
        <v>0.27</v>
      </c>
    </row>
    <row r="40" spans="1:13" x14ac:dyDescent="0.35">
      <c r="A40" s="12">
        <v>0.36</v>
      </c>
      <c r="B40" s="12">
        <v>0.3</v>
      </c>
      <c r="C40" s="12">
        <v>0.21999999999999997</v>
      </c>
      <c r="D40" s="12">
        <v>0.34</v>
      </c>
      <c r="E40" s="12">
        <v>0.32</v>
      </c>
      <c r="F40" s="12">
        <v>0.3</v>
      </c>
      <c r="G40" s="12">
        <v>0.28999999999999998</v>
      </c>
      <c r="H40" s="12">
        <v>0.10999999999999999</v>
      </c>
      <c r="I40" s="12">
        <v>0.28999999999999998</v>
      </c>
      <c r="J40" s="12">
        <v>0.27000000000000007</v>
      </c>
      <c r="K40" s="12">
        <v>0.25000000000000006</v>
      </c>
      <c r="L40" s="12">
        <v>0.24999999999999994</v>
      </c>
      <c r="M40" s="72">
        <v>0.19000000000000006</v>
      </c>
    </row>
    <row r="41" spans="1:13" x14ac:dyDescent="0.35">
      <c r="A41" s="23">
        <v>0.21999999999999997</v>
      </c>
      <c r="B41" s="23">
        <v>2.0000000000000018E-2</v>
      </c>
      <c r="C41" s="23">
        <v>0.13</v>
      </c>
      <c r="D41" s="23">
        <v>0.1100000000000001</v>
      </c>
      <c r="E41" s="23">
        <v>5.0000000000000044E-2</v>
      </c>
      <c r="F41" s="23">
        <v>0.17999999999999994</v>
      </c>
      <c r="G41" s="23">
        <v>9.9999999999999978E-2</v>
      </c>
      <c r="H41" s="23">
        <v>0.16999999999999998</v>
      </c>
      <c r="I41" s="23">
        <v>0.34</v>
      </c>
      <c r="J41" s="23">
        <v>0.31999999999999995</v>
      </c>
      <c r="K41" s="23">
        <v>0.32</v>
      </c>
      <c r="L41" s="23">
        <v>3.0000000000000027E-2</v>
      </c>
      <c r="M41" s="73">
        <v>2.0000000000000018E-2</v>
      </c>
    </row>
    <row r="42" spans="1:13" x14ac:dyDescent="0.35">
      <c r="A42" s="12">
        <v>8.9999999999999969E-2</v>
      </c>
      <c r="B42" s="12">
        <v>0.13</v>
      </c>
      <c r="C42" s="12">
        <v>0.19</v>
      </c>
      <c r="D42" s="12">
        <v>0.24</v>
      </c>
      <c r="E42" s="12">
        <v>0.17000000000000004</v>
      </c>
      <c r="F42" s="12">
        <v>0.12000000000000005</v>
      </c>
      <c r="G42" s="12">
        <v>0.25</v>
      </c>
      <c r="H42" s="12">
        <v>0.26</v>
      </c>
      <c r="I42" s="12">
        <v>0.12999999999999995</v>
      </c>
      <c r="J42" s="12">
        <v>0.17000000000000004</v>
      </c>
      <c r="K42" s="12">
        <v>0.19</v>
      </c>
      <c r="L42" s="12">
        <v>0.14999999999999991</v>
      </c>
      <c r="M42" s="72">
        <v>3.9999999999999925E-2</v>
      </c>
    </row>
    <row r="43" spans="1:13" x14ac:dyDescent="0.35">
      <c r="A43" s="23">
        <v>0.46000000000000008</v>
      </c>
      <c r="B43" s="23">
        <v>0.27</v>
      </c>
      <c r="C43" s="23">
        <v>0.21999999999999997</v>
      </c>
      <c r="D43" s="23">
        <v>0.25999999999999995</v>
      </c>
      <c r="E43" s="23">
        <v>0.19999999999999996</v>
      </c>
      <c r="F43" s="23">
        <v>0.27</v>
      </c>
      <c r="G43" s="23">
        <v>0.17</v>
      </c>
      <c r="H43" s="23">
        <v>0.21999999999999997</v>
      </c>
      <c r="I43" s="23">
        <v>6.9999999999999979E-2</v>
      </c>
      <c r="J43" s="23">
        <v>7.0000000000000007E-2</v>
      </c>
      <c r="K43" s="23">
        <v>9.9999999999999978E-2</v>
      </c>
      <c r="L43" s="23">
        <v>0.17</v>
      </c>
      <c r="M43" s="73">
        <v>5.0000000000000044E-2</v>
      </c>
    </row>
    <row r="44" spans="1:13" x14ac:dyDescent="0.35">
      <c r="A44" s="12">
        <v>0.4</v>
      </c>
      <c r="B44" s="12">
        <v>0.45999999999999996</v>
      </c>
      <c r="C44" s="12">
        <v>0.35000000000000003</v>
      </c>
      <c r="D44" s="12">
        <v>0.4</v>
      </c>
      <c r="E44" s="12">
        <v>0.29000000000000004</v>
      </c>
      <c r="F44" s="12">
        <v>0.32999999999999996</v>
      </c>
      <c r="G44" s="12">
        <v>0.32999999999999996</v>
      </c>
      <c r="H44" s="12">
        <v>0.32999999999999996</v>
      </c>
      <c r="I44" s="12">
        <v>0.35</v>
      </c>
      <c r="J44" s="12">
        <v>0.28999999999999998</v>
      </c>
      <c r="K44" s="12">
        <v>0.27</v>
      </c>
      <c r="L44" s="12">
        <v>0.22999999999999998</v>
      </c>
      <c r="M44" s="72">
        <v>0.16999999999999993</v>
      </c>
    </row>
    <row r="45" spans="1:13" x14ac:dyDescent="0.35">
      <c r="A45" s="23">
        <v>9.000000000000008E-2</v>
      </c>
      <c r="B45" s="23">
        <v>0.21999999999999997</v>
      </c>
      <c r="C45" s="23">
        <v>0.14000000000000001</v>
      </c>
      <c r="D45" s="23">
        <v>0.24</v>
      </c>
      <c r="E45" s="23">
        <v>0.10999999999999999</v>
      </c>
      <c r="F45" s="23">
        <v>9.9999999999999978E-2</v>
      </c>
      <c r="G45" s="23">
        <v>0.21</v>
      </c>
      <c r="H45" s="23">
        <v>0.12</v>
      </c>
      <c r="I45" s="23">
        <v>8.0000000000000016E-2</v>
      </c>
      <c r="J45" s="23">
        <v>0.16000000000000003</v>
      </c>
      <c r="K45" s="23">
        <v>0.06</v>
      </c>
      <c r="L45" s="23">
        <v>0.11000000000000004</v>
      </c>
      <c r="M45" s="73">
        <v>8.9999999999999969E-2</v>
      </c>
    </row>
    <row r="46" spans="1:13" x14ac:dyDescent="0.35">
      <c r="A46" s="12">
        <v>0.15000000000000002</v>
      </c>
      <c r="B46" s="12">
        <v>0.29000000000000004</v>
      </c>
      <c r="C46" s="12">
        <v>0.15000000000000002</v>
      </c>
      <c r="D46" s="12">
        <v>0.19</v>
      </c>
      <c r="E46" s="12">
        <v>0.16000000000000003</v>
      </c>
      <c r="F46" s="12">
        <v>0.23000000000000004</v>
      </c>
      <c r="G46" s="12">
        <v>3.999999999999998E-2</v>
      </c>
      <c r="H46" s="12">
        <v>1.0000000000000009E-2</v>
      </c>
      <c r="I46" s="12">
        <v>0.14000000000000001</v>
      </c>
      <c r="J46" s="12">
        <v>9.9999999999999978E-2</v>
      </c>
      <c r="K46" s="12">
        <v>0.15999999999999998</v>
      </c>
      <c r="L46" s="12">
        <v>4.0000000000000036E-2</v>
      </c>
      <c r="M46" s="72">
        <v>0.13</v>
      </c>
    </row>
    <row r="47" spans="1:13" x14ac:dyDescent="0.35">
      <c r="A47" s="12">
        <v>0.39</v>
      </c>
      <c r="B47" s="12">
        <v>0.66999999999999993</v>
      </c>
      <c r="C47" s="12">
        <v>0.28999999999999998</v>
      </c>
      <c r="D47" s="12">
        <v>0.19</v>
      </c>
      <c r="E47" s="12">
        <v>8.0000000000000016E-2</v>
      </c>
      <c r="F47" s="12">
        <v>0.11000000000000004</v>
      </c>
      <c r="G47" s="12">
        <v>8.0000000000000071E-2</v>
      </c>
      <c r="H47" s="12">
        <v>1.9999999999999962E-2</v>
      </c>
      <c r="I47" s="12">
        <v>6.9999999999999951E-2</v>
      </c>
      <c r="J47" s="12">
        <v>1.0000000000000009E-2</v>
      </c>
      <c r="K47" s="12">
        <v>0</v>
      </c>
      <c r="L47" s="12">
        <v>1.0000000000000009E-2</v>
      </c>
      <c r="M47" s="72">
        <v>9.9999999999998979E-3</v>
      </c>
    </row>
    <row r="48" spans="1:13" x14ac:dyDescent="0.35">
      <c r="A48">
        <f>AVERAGE(A2:A47)</f>
        <v>0.30043478260869561</v>
      </c>
      <c r="B48">
        <f>AVERAGE(B2:B47)</f>
        <v>0.28913043478260875</v>
      </c>
      <c r="C48">
        <f t="shared" ref="C48:M48" si="0">AVERAGE(C2:C47)</f>
        <v>0.28326086956521745</v>
      </c>
      <c r="D48">
        <f t="shared" si="0"/>
        <v>0.26760869565217382</v>
      </c>
      <c r="E48">
        <f t="shared" si="0"/>
        <v>0.25434782608695655</v>
      </c>
      <c r="F48">
        <f t="shared" si="0"/>
        <v>0.27695652173913043</v>
      </c>
      <c r="G48">
        <f t="shared" si="0"/>
        <v>0.26499999999999996</v>
      </c>
      <c r="H48">
        <f t="shared" si="0"/>
        <v>0.23108695652173913</v>
      </c>
      <c r="I48">
        <f t="shared" si="0"/>
        <v>0.26326086956521744</v>
      </c>
      <c r="J48">
        <f t="shared" si="0"/>
        <v>0.22565217391304337</v>
      </c>
      <c r="K48">
        <f t="shared" si="0"/>
        <v>0.20065217391304349</v>
      </c>
      <c r="L48">
        <f t="shared" si="0"/>
        <v>0.17673913043478262</v>
      </c>
      <c r="M48">
        <f t="shared" si="0"/>
        <v>0.15500000000000003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N A F A A B Q S w M E F A A C A A g A y n n X 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y n n 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5 1 1 K 1 o 5 0 Y y g I A A L w v A A A T A B w A R m 9 y b X V s Y X M v U 2 V j d G l v b j E u b S C i G A A o o B Q A A A A A A A A A A A A A A A A A A A A A A A A A A A D t 1 9 1 r 2 l A c x v F 7 w f 8 h p D c t p H J O 3 r P h R b F 7 Y 2 O w 2 V 4 t Q z J 7 t G E x k Z w o k 9 L / f e m k 7 I V + t 4 5 R x t j P G / U X S c 4 n a v I 8 1 s y 7 s q m d 6 f 5 Z P x 4 O h g N 7 W b T m w j l w L 0 3 R l v V y u m m 3 Z m e P f e V r F a h M x y o I g t m z t 8 7 T F 6 9 P X r n O 2 K l M N x w 4 / W P a b N q 5 6 S c T u x 2 d N v P N y t T d 4 d O y M q N J U 3 f 9 G 3 v o T h 7 l 5 9 a 0 N j 9 Z L k 1 V 5 L e f s / n z 3 b q f m 9 q W X b k t u 5 0 z 7 T Y X u / x + C x n N 7 d Y 9 8 t 6 d m q p c l Z 1 p x 6 7 n e s 6 k q T a r 2 o 6 1 9 j 3 n S T 1 v L v p d j e N I K e 0 5 b z Z N Z 6 b d r j L j r y 9 H / e L f H 3 l 7 0 Y E 7 u S z q Z X 9 C z v r F 3 W D P i g / 9 Z 8 7 a o r a L p l 3 t 9 3 + z 0 R 7 u + d 7 V l b u f 6 v 7 4 X b / F 6 c y n 7 t p z b u c + z A O Y h z C P Y B 7 D P I F 5 C v M M 5 l r R B h J r I m s y a 0 J r U m t i a 3 J r g m u S + y T 3 8 b s m u U 9 y n + Q + y X 2 S + y T 3 S e 6 T P C B 5 Q P I A f + Y k D 0 g e k D w g e U D y g O Q B y U O S h y Q P S R 7 i P 5 z k I c l D k o c k D 0 k e k j w i e U T y i O Q R y S O 8 u J E 8 I n l E 8 o j k E c l j k s c k j 0 k e k z w m e Y z X d Z L H J I 9 J H p M 8 I X l C 8 o T k C c k T k i c k T / C W R v K E 5 A n J U 5 K n J E 9 J n p I 8 J X l K 8 p T k K d 7 N S Z 6 S P C N 5 R v K M 5 B n J M 5 J n J M 9 I n p E 8 w y D D S Q a j j M I s o z D M K E w z C u O M w j y j M N A o T D Q K I 4 3 C c / C T O I f n 4 I d A d 3 0 0 H J T 1 n Z H 5 3 q V C J b P z l 8 6 i r I v q 7 5 a K b x b y W 6 V C + 5 E v n U I 6 h X Q K 6 R T S K a R T S K e Q T i G d Q j q F d I q H 7 B Q L s y o q M 6 u b V b m c t c a u m 9 q a P + 8 P x n 7 s m n V + s + / j d d t U 5 a K c 5 3 c e 6 1 c d Q c X S E a Q j S E e Q j i A d Q T q C d A T p C N I R p C P 8 O x 3 h n j n 8 S z K + z c T 2 g Q L 4 9 w e R 5 C 3 J W 5 K 3 J G 9 J 3 p K 8 J X l L 8 p b k L c n 7 f 0 n e n w F Q S w E C L Q A U A A I A C A D K e d d S s R 7 Q B K Q A A A D 1 A A A A E g A A A A A A A A A A A A A A A A A A A A A A Q 2 9 u Z m l n L 1 B h Y 2 t h Z 2 U u e G 1 s U E s B A i 0 A F A A C A A g A y n n X U g / K 6 a u k A A A A 6 Q A A A B M A A A A A A A A A A A A A A A A A 8 A A A A F t D b 2 5 0 Z W 5 0 X 1 R 5 c G V z X S 5 4 b W x Q S w E C L Q A U A A I A C A D K e d d S t a O d G M o C A A C 8 L w 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X g E A A A A A A P p d 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m l u Z 1 N 1 c n Z l e X M t M j A y M T A z M D k x N j A z M z N f R 1 I l M j B G S U 5 B 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z M 1 9 H U l 9 G S U 5 B T 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Q 2 9 s d W 1 u Q 2 9 1 b n Q m c X V v d D s 6 M T E y L C Z x d W 9 0 O 0 t l e U N v b H V t b k 5 h b W V z J n F 1 b 3 Q 7 O l t d L C Z x d W 9 0 O 0 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T o y M y 4 y N D A x N j k w W i I g L z 4 8 R W 5 0 c n k g V H l w Z T 0 i R m l s b E V y c m 9 y Q 2 9 1 b n Q i I F Z h b H V l P S J s M C I g L z 4 8 R W 5 0 c n k g V H l w Z T 0 i R m l s b E V y c m 9 y Q 2 9 k Z S I g V m F s d W U 9 I n N V b m t u b 3 d u I i A v P j x F b n R y e S B U e X B l P S J G a W x s Q 2 9 1 b n Q i I F Z h b H V l P S J s M T M 2 I i A v P j x F b n R y e S B U e X B l P S J B Z G R l Z F R v R G F 0 Y U 1 v Z G V s I i B W Y W x 1 Z T 0 i b D A i I C 8 + P C 9 T d G F i b G V F b n R y a W V z P j w v S X R l b T 4 8 S X R l b T 4 8 S X R l b U x v Y 2 F 0 a W 9 u P j x J d G V t V H l w Z T 5 G b 3 J t d W x h P C 9 J d G V t V H l w Z T 4 8 S X R l b V B h d G g + U 2 V j d G l v b j E v a G V h c m l u Z 1 N 1 c n Z l e X M t M j A y M T A z M D k x N j A z M z N f R 1 I l M j B G S U 5 B T C 9 T b 3 V y Y 2 U 8 L 0 l 0 Z W 1 Q Y X R o P j w v S X R l b U x v Y 2 F 0 a W 9 u P j x T d G F i b G V F b n R y a W V z I C 8 + P C 9 J d G V t P j x J d G V t P j x J d G V t T G 9 j Y X R p b 2 4 + P E l 0 Z W 1 U e X B l P k Z v c m 1 1 b G E 8 L 0 l 0 Z W 1 U e X B l P j x J d G V t U G F 0 a D 5 T Z W N 0 a W 9 u M S 9 o Z W F y a W 5 n U 3 V y d m V 5 c y 0 y M D I x M D M w O T E 2 M D M z M 1 9 H U i U y M E Z J T k F M L 0 N o Y W 5 n Z W Q l M j B U e X B l P C 9 J d G V t U G F 0 a D 4 8 L 0 l 0 Z W 1 M b 2 N h d G l v b j 4 8 U 3 R h Y m x l R W 5 0 c m l l c y A v P j w v S X R l b T 4 8 S X R l b T 4 8 S X R l b U x v Y 2 F 0 a W 9 u P j x J d G V t V H l w Z T 5 G b 3 J t d W x h P C 9 J d G V t V H l w Z T 4 8 S X R l b V B h d G g + U 2 V j d G l v b j E v a G V h c m l u Z 1 N 1 c n Z l e X M t M j A y M T A z M D k x N j A z M D d f V U s l M j B 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w N 1 9 V S 1 9 m a W 5 h b 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Q 2 9 s d W 1 u Q 2 9 1 b n Q m c X V v d D s 6 M T E y L C Z x d W 9 0 O 0 t l e U N v b H V t b k 5 h b W V z J n F 1 b 3 Q 7 O l t d L C Z x d W 9 0 O 0 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j o 0 M i 4 w O T M z O T A 3 W i I g L z 4 8 R W 5 0 c n k g V H l w Z T 0 i R m l s b E V y c m 9 y Q 2 9 1 b n Q i I F Z h b H V l P S J s M C I g L z 4 8 R W 5 0 c n k g V H l w Z T 0 i R m l s b E V y c m 9 y Q 2 9 k Z S I g V m F s d W U 9 I n N V b m t u b 3 d u I i A v P j x F b n R y e S B U e X B l P S J G a W x s Q 2 9 1 b n Q i I F Z h b H V l P S J s N T c i I C 8 + P E V u d H J 5 I F R 5 c G U 9 I k F k Z G V k V G 9 E Y X R h T W 9 k Z W w i I F Z h b H V l P S J s M C I g L z 4 8 L 1 N 0 Y W J s Z U V u d H J p Z X M + P C 9 J d G V t P j x J d G V t P j x J d G V t T G 9 j Y X R p b 2 4 + P E l 0 Z W 1 U e X B l P k Z v c m 1 1 b G E 8 L 0 l 0 Z W 1 U e X B l P j x J d G V t U G F 0 a D 5 T Z W N 0 a W 9 u M S 9 o Z W F y a W 5 n U 3 V y d m V 5 c y 0 y M D I x M D M w O T E 2 M D M w N 1 9 V S y U y M G Z p b m F s L 1 N v d X J j Z T w v S X R l b V B h d G g + P C 9 J d G V t T G 9 j Y X R p b 2 4 + P F N 0 Y W J s Z U V u d H J p Z X M g L z 4 8 L 0 l 0 Z W 0 + P E l 0 Z W 0 + P E l 0 Z W 1 M b 2 N h d G l v b j 4 8 S X R l b V R 5 c G U + R m 9 y b X V s Y T w v S X R l b V R 5 c G U + P E l 0 Z W 1 Q Y X R o P l N l Y 3 R p b 2 4 x L 2 h l Y X J p b m d T d X J 2 Z X l z L T I w M j E w M z A 5 M T Y w M z A 3 X 1 V L J T I w Z m l u Y W w v Q 2 h h b m d l Z C U y M F R 5 c G U 8 L 0 l 0 Z W 1 Q Y X R o P j w v S X R l b U x v Y 2 F 0 a W 9 u P j x T d G F i b G V F b n R y a W V z I C 8 + P C 9 J d G V t P j x J d G V t P j x J d G V t T G 9 j Y X R p b 2 4 + P E l 0 Z W 1 U e X B l P k Z v c m 1 1 b G E 8 L 0 l 0 Z W 1 U e X B l P j x J d G V t U G F 0 a D 5 T Z W N 0 a W 9 u M S 9 m Z W 1 h b G V f b m 9 t a W d f c m V z c G 9 u 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1 h b G V f b m 9 t a W d f c m V z c G 9 u c 2 U 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E t M D Y t M j N U M T Q 6 M T M 6 M T Y u N j A 2 N T E y 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m Z W 1 h b G V f b m 9 t a W d f c m V z c G 9 u c 2 U v Q X V 0 b 1 J l b W 9 2 Z W R D b 2 x 1 b W 5 z M S 5 7 Q 2 9 s d W 1 u M S w w f S Z x d W 9 0 O y w m c X V v d D t T Z W N 0 a W 9 u M S 9 m Z W 1 h b G V f b m 9 t a W d f c m V z c G 9 u c 2 U v Q X V 0 b 1 J l b W 9 2 Z W R D b 2 x 1 b W 5 z M S 5 7 Q 2 9 s d W 1 u M i w x f S Z x d W 9 0 O y w m c X V v d D t T Z W N 0 a W 9 u M S 9 m Z W 1 h b G V f b m 9 t a W d f c m V z c G 9 u c 2 U v Q X V 0 b 1 J l b W 9 2 Z W R D b 2 x 1 b W 5 z M S 5 7 Q 2 9 s d W 1 u M y w y f S Z x d W 9 0 O y w m c X V v d D t T Z W N 0 a W 9 u M S 9 m Z W 1 h b G V f b m 9 t a W d f c m V z c G 9 u c 2 U v Q X V 0 b 1 J l b W 9 2 Z W R D b 2 x 1 b W 5 z M S 5 7 Q 2 9 s d W 1 u N C w z f S Z x d W 9 0 O y w m c X V v d D t T Z W N 0 a W 9 u M S 9 m Z W 1 h b G V f b m 9 t a W d f c m V z c G 9 u c 2 U v Q X V 0 b 1 J l b W 9 2 Z W R D b 2 x 1 b W 5 z M S 5 7 Q 2 9 s d W 1 u N S w 0 f S Z x d W 9 0 O y w m c X V v d D t T Z W N 0 a W 9 u M S 9 m Z W 1 h b G V f b m 9 t a W d f c m V z c G 9 u c 2 U v Q X V 0 b 1 J l b W 9 2 Z W R D b 2 x 1 b W 5 z M S 5 7 Q 2 9 s d W 1 u N i w 1 f S Z x d W 9 0 O y w m c X V v d D t T Z W N 0 a W 9 u M S 9 m Z W 1 h b G V f b m 9 t a W d f c m V z c G 9 u c 2 U v Q X V 0 b 1 J l b W 9 2 Z W R D b 2 x 1 b W 5 z M S 5 7 Q 2 9 s d W 1 u N y w 2 f S Z x d W 9 0 O y w m c X V v d D t T Z W N 0 a W 9 u M S 9 m Z W 1 h b G V f b m 9 t a W d f c m V z c G 9 u c 2 U v Q X V 0 b 1 J l b W 9 2 Z W R D b 2 x 1 b W 5 z M S 5 7 Q 2 9 s d W 1 u O C w 3 f S Z x d W 9 0 O y w m c X V v d D t T Z W N 0 a W 9 u M S 9 m Z W 1 h b G V f b m 9 t a W d f c m V z c G 9 u c 2 U v Q X V 0 b 1 J l b W 9 2 Z W R D b 2 x 1 b W 5 z M S 5 7 Q 2 9 s d W 1 u O S w 4 f S Z x d W 9 0 O y w m c X V v d D t T Z W N 0 a W 9 u M S 9 m Z W 1 h b G V f b m 9 t a W d f c m V z c G 9 u c 2 U v Q X V 0 b 1 J l b W 9 2 Z W R D b 2 x 1 b W 5 z M S 5 7 Q 2 9 s d W 1 u M T A s O X 0 m c X V v d D s s J n F 1 b 3 Q 7 U 2 V j d G l v b j E v Z m V t Y W x l X 2 5 v b W l n X 3 J l c 3 B v b n N l L 0 F 1 d G 9 S Z W 1 v d m V k Q 2 9 s d W 1 u c z E u e 0 N v b H V t b j E x L D E w f S Z x d W 9 0 O y w m c X V v d D t T Z W N 0 a W 9 u M S 9 m Z W 1 h b G V f b m 9 t a W d f c m V z c G 9 u c 2 U v Q X V 0 b 1 J l b W 9 2 Z W R D b 2 x 1 b W 5 z M S 5 7 Q 2 9 s d W 1 u M T I s M T F 9 J n F 1 b 3 Q 7 L C Z x d W 9 0 O 1 N l Y 3 R p b 2 4 x L 2 Z l b W F s Z V 9 u b 2 1 p Z 1 9 y Z X N w b 2 5 z Z S 9 B d X R v U m V t b 3 Z l Z E N v b H V t b n M x L n t D b 2 x 1 b W 4 x M y w x M n 0 m c X V v d D s s J n F 1 b 3 Q 7 U 2 V j d G l v b j E v Z m V t Y W x l X 2 5 v b W l n X 3 J l c 3 B v b n N l L 0 F 1 d G 9 S Z W 1 v d m V k Q 2 9 s d W 1 u c z E u e 0 N v b H V t b j E 0 L D E z f S Z x d W 9 0 O y w m c X V v d D t T Z W N 0 a W 9 u M S 9 m Z W 1 h b G V f b m 9 t a W d f c m V z c G 9 u c 2 U v Q X V 0 b 1 J l b W 9 2 Z W R D b 2 x 1 b W 5 z M S 5 7 Q 2 9 s d W 1 u M T U s M T R 9 J n F 1 b 3 Q 7 L C Z x d W 9 0 O 1 N l Y 3 R p b 2 4 x L 2 Z l b W F s Z V 9 u b 2 1 p Z 1 9 y Z X N w b 2 5 z Z S 9 B d X R v U m V t b 3 Z l Z E N v b H V t b n M x L n t D b 2 x 1 b W 4 x N i w x N X 0 m c X V v d D s s J n F 1 b 3 Q 7 U 2 V j d G l v b j E v Z m V t Y W x l X 2 5 v b W l n X 3 J l c 3 B v b n N l L 0 F 1 d G 9 S Z W 1 v d m V k Q 2 9 s d W 1 u c z E u e 0 N v b H V t b j E 3 L D E 2 f S Z x d W 9 0 O y w m c X V v d D t T Z W N 0 a W 9 u M S 9 m Z W 1 h b G V f b m 9 t a W d f c m V z c G 9 u c 2 U v Q X V 0 b 1 J l b W 9 2 Z W R D b 2 x 1 b W 5 z M S 5 7 Q 2 9 s d W 1 u M T g s M T d 9 J n F 1 b 3 Q 7 L C Z x d W 9 0 O 1 N l Y 3 R p b 2 4 x L 2 Z l b W F s Z V 9 u b 2 1 p Z 1 9 y Z X N w b 2 5 z Z S 9 B d X R v U m V t b 3 Z l Z E N v b H V t b n M x L n t D b 2 x 1 b W 4 x O S w x O H 0 m c X V v d D s s J n F 1 b 3 Q 7 U 2 V j d G l v b j E v Z m V t Y W x l X 2 5 v b W l n X 3 J l c 3 B v b n N l L 0 F 1 d G 9 S Z W 1 v d m V k Q 2 9 s d W 1 u c z E u e 0 N v b H V t b j I w L D E 5 f S Z x d W 9 0 O y w m c X V v d D t T Z W N 0 a W 9 u M S 9 m Z W 1 h b G V f b m 9 t a W d f c m V z c G 9 u c 2 U v Q X V 0 b 1 J l b W 9 2 Z W R D b 2 x 1 b W 5 z M S 5 7 Q 2 9 s d W 1 u M j E s M j B 9 J n F 1 b 3 Q 7 L C Z x d W 9 0 O 1 N l Y 3 R p b 2 4 x L 2 Z l b W F s Z V 9 u b 2 1 p Z 1 9 y Z X N w b 2 5 z Z S 9 B d X R v U m V t b 3 Z l Z E N v b H V t b n M x L n t D b 2 x 1 b W 4 y M i w y M X 0 m c X V v d D s s J n F 1 b 3 Q 7 U 2 V j d G l v b j E v Z m V t Y W x l X 2 5 v b W l n X 3 J l c 3 B v b n N l L 0 F 1 d G 9 S Z W 1 v d m V k Q 2 9 s d W 1 u c z E u e 0 N v b H V t b j I z L D I y f S Z x d W 9 0 O y w m c X V v d D t T Z W N 0 a W 9 u M S 9 m Z W 1 h b G V f b m 9 t a W d f c m V z c G 9 u c 2 U v Q X V 0 b 1 J l b W 9 2 Z W R D b 2 x 1 b W 5 z M S 5 7 Q 2 9 s d W 1 u M j Q s M j N 9 J n F 1 b 3 Q 7 L C Z x d W 9 0 O 1 N l Y 3 R p b 2 4 x L 2 Z l b W F s Z V 9 u b 2 1 p Z 1 9 y Z X N w b 2 5 z Z S 9 B d X R v U m V t b 3 Z l Z E N v b H V t b n M x L n t D b 2 x 1 b W 4 y N S w y N H 0 m c X V v d D s s J n F 1 b 3 Q 7 U 2 V j d G l v b j E v Z m V t Y W x l X 2 5 v b W l n X 3 J l c 3 B v b n N l L 0 F 1 d G 9 S Z W 1 v d m V k Q 2 9 s d W 1 u c z E u e 0 N v b H V t b j I 2 L D I 1 f S Z x d W 9 0 O y w m c X V v d D t T Z W N 0 a W 9 u M S 9 m Z W 1 h b G V f b m 9 t a W d f c m V z c G 9 u c 2 U v Q X V 0 b 1 J l b W 9 2 Z W R D b 2 x 1 b W 5 z M S 5 7 Q 2 9 s d W 1 u M j c s M j Z 9 J n F 1 b 3 Q 7 L C Z x d W 9 0 O 1 N l Y 3 R p b 2 4 x L 2 Z l b W F s Z V 9 u b 2 1 p Z 1 9 y Z X N w b 2 5 z Z S 9 B d X R v U m V t b 3 Z l Z E N v b H V t b n M x L n t D b 2 x 1 b W 4 y O C w y N 3 0 m c X V v d D s s J n F 1 b 3 Q 7 U 2 V j d G l v b j E v Z m V t Y W x l X 2 5 v b W l n X 3 J l c 3 B v b n N l L 0 F 1 d G 9 S Z W 1 v d m V k Q 2 9 s d W 1 u c z E u e 0 N v b H V t b j I 5 L D I 4 f S Z x d W 9 0 O y w m c X V v d D t T Z W N 0 a W 9 u M S 9 m Z W 1 h b G V f b m 9 t a W d f c m V z c G 9 u c 2 U v Q X V 0 b 1 J l b W 9 2 Z W R D b 2 x 1 b W 5 z M S 5 7 Q 2 9 s d W 1 u M z A s M j l 9 J n F 1 b 3 Q 7 L C Z x d W 9 0 O 1 N l Y 3 R p b 2 4 x L 2 Z l b W F s Z V 9 u b 2 1 p Z 1 9 y Z X N w b 2 5 z Z S 9 B d X R v U m V t b 3 Z l Z E N v b H V t b n M x L n t D b 2 x 1 b W 4 z M S w z M H 0 m c X V v d D s s J n F 1 b 3 Q 7 U 2 V j d G l v b j E v Z m V t Y W x l X 2 5 v b W l n X 3 J l c 3 B v b n N l L 0 F 1 d G 9 S Z W 1 v d m V k Q 2 9 s d W 1 u c z E u e 0 N v b H V t b j M y L D M x f S Z x d W 9 0 O y w m c X V v d D t T Z W N 0 a W 9 u M S 9 m Z W 1 h b G V f b m 9 t a W d f c m V z c G 9 u c 2 U v Q X V 0 b 1 J l b W 9 2 Z W R D b 2 x 1 b W 5 z M S 5 7 Q 2 9 s d W 1 u M z M s M z J 9 J n F 1 b 3 Q 7 L C Z x d W 9 0 O 1 N l Y 3 R p b 2 4 x L 2 Z l b W F s Z V 9 u b 2 1 p Z 1 9 y Z X N w b 2 5 z Z S 9 B d X R v U m V t b 3 Z l Z E N v b H V t b n M x L n t D b 2 x 1 b W 4 z N C w z M 3 0 m c X V v d D s s J n F 1 b 3 Q 7 U 2 V j d G l v b j E v Z m V t Y W x l X 2 5 v b W l n X 3 J l c 3 B v b n N l L 0 F 1 d G 9 S Z W 1 v d m V k Q 2 9 s d W 1 u c z E u e 0 N v b H V t b j M 1 L D M 0 f S Z x d W 9 0 O y w m c X V v d D t T Z W N 0 a W 9 u M S 9 m Z W 1 h b G V f b m 9 t a W d f c m V z c G 9 u c 2 U v Q X V 0 b 1 J l b W 9 2 Z W R D b 2 x 1 b W 5 z M S 5 7 Q 2 9 s d W 1 u M z Y s M z V 9 J n F 1 b 3 Q 7 L C Z x d W 9 0 O 1 N l Y 3 R p b 2 4 x L 2 Z l b W F s Z V 9 u b 2 1 p Z 1 9 y Z X N w b 2 5 z Z S 9 B d X R v U m V t b 3 Z l Z E N v b H V t b n M x L n t D b 2 x 1 b W 4 z N y w z N n 0 m c X V v d D s s J n F 1 b 3 Q 7 U 2 V j d G l v b j E v Z m V t Y W x l X 2 5 v b W l n X 3 J l c 3 B v b n N l L 0 F 1 d G 9 S Z W 1 v d m V k Q 2 9 s d W 1 u c z E u e 0 N v b H V t b j M 4 L D M 3 f S Z x d W 9 0 O y w m c X V v d D t T Z W N 0 a W 9 u M S 9 m Z W 1 h b G V f b m 9 t a W d f c m V z c G 9 u c 2 U v Q X V 0 b 1 J l b W 9 2 Z W R D b 2 x 1 b W 5 z M S 5 7 Q 2 9 s d W 1 u M z k s M z h 9 J n F 1 b 3 Q 7 L C Z x d W 9 0 O 1 N l Y 3 R p b 2 4 x L 2 Z l b W F s Z V 9 u b 2 1 p Z 1 9 y Z X N w b 2 5 z Z S 9 B d X R v U m V t b 3 Z l Z E N v b H V t b n M x L n t D b 2 x 1 b W 4 0 M C w z O X 0 m c X V v d D s s J n F 1 b 3 Q 7 U 2 V j d G l v b j E v Z m V t Y W x l X 2 5 v b W l n X 3 J l c 3 B v b n N l L 0 F 1 d G 9 S Z W 1 v d m V k Q 2 9 s d W 1 u c z E u e 0 N v b H V t b j Q x L D Q w f S Z x d W 9 0 O y w m c X V v d D t T Z W N 0 a W 9 u M S 9 m Z W 1 h b G V f b m 9 t a W d f c m V z c G 9 u c 2 U v Q X V 0 b 1 J l b W 9 2 Z W R D b 2 x 1 b W 5 z M S 5 7 Q 2 9 s d W 1 u N D I s N D F 9 J n F 1 b 3 Q 7 L C Z x d W 9 0 O 1 N l Y 3 R p b 2 4 x L 2 Z l b W F s Z V 9 u b 2 1 p Z 1 9 y Z X N w b 2 5 z Z S 9 B d X R v U m V t b 3 Z l Z E N v b H V t b n M x L n t D b 2 x 1 b W 4 0 M y w 0 M n 0 m c X V v d D s s J n F 1 b 3 Q 7 U 2 V j d G l v b j E v Z m V t Y W x l X 2 5 v b W l n X 3 J l c 3 B v b n N l L 0 F 1 d G 9 S Z W 1 v d m V k Q 2 9 s d W 1 u c z E u e 0 N v b H V t b j Q 0 L D Q z f S Z x d W 9 0 O y w m c X V v d D t T Z W N 0 a W 9 u M S 9 m Z W 1 h b G V f b m 9 t a W d f c m V z c G 9 u c 2 U v Q X V 0 b 1 J l b W 9 2 Z W R D b 2 x 1 b W 5 z M S 5 7 Q 2 9 s d W 1 u N D U s N D R 9 J n F 1 b 3 Q 7 L C Z x d W 9 0 O 1 N l Y 3 R p b 2 4 x L 2 Z l b W F s Z V 9 u b 2 1 p Z 1 9 y Z X N w b 2 5 z Z S 9 B d X R v U m V t b 3 Z l Z E N v b H V t b n M x L n t D b 2 x 1 b W 4 0 N i w 0 N X 0 m c X V v d D s s J n F 1 b 3 Q 7 U 2 V j d G l v b j E v Z m V t Y W x l X 2 5 v b W l n X 3 J l c 3 B v b n N l L 0 F 1 d G 9 S Z W 1 v d m V k Q 2 9 s d W 1 u c z E u e 0 N v b H V t b j Q 3 L D Q 2 f S Z x d W 9 0 O y w m c X V v d D t T Z W N 0 a W 9 u M S 9 m Z W 1 h b G V f b m 9 t a W d f c m V z c G 9 u c 2 U v Q X V 0 b 1 J l b W 9 2 Z W R D b 2 x 1 b W 5 z M S 5 7 Q 2 9 s d W 1 u N D g s N D d 9 J n F 1 b 3 Q 7 L C Z x d W 9 0 O 1 N l Y 3 R p b 2 4 x L 2 Z l b W F s Z V 9 u b 2 1 p Z 1 9 y Z X N w b 2 5 z Z S 9 B d X R v U m V t b 3 Z l Z E N v b H V t b n M x L n t D b 2 x 1 b W 4 0 O S w 0 O H 0 m c X V v d D s s J n F 1 b 3 Q 7 U 2 V j d G l v b j E v Z m V t Y W x l X 2 5 v b W l n X 3 J l c 3 B v b n N l L 0 F 1 d G 9 S Z W 1 v d m V k Q 2 9 s d W 1 u c z E u e 0 N v b H V t b j U w L D Q 5 f S Z x d W 9 0 O y w m c X V v d D t T Z W N 0 a W 9 u M S 9 m Z W 1 h b G V f b m 9 t a W d f c m V z c G 9 u c 2 U v Q X V 0 b 1 J l b W 9 2 Z W R D b 2 x 1 b W 5 z M S 5 7 Q 2 9 s d W 1 u N T E s N T B 9 J n F 1 b 3 Q 7 L C Z x d W 9 0 O 1 N l Y 3 R p b 2 4 x L 2 Z l b W F s Z V 9 u b 2 1 p Z 1 9 y Z X N w b 2 5 z Z S 9 B d X R v U m V t b 3 Z l Z E N v b H V t b n M x L n t D b 2 x 1 b W 4 1 M i w 1 M X 0 m c X V v d D s s J n F 1 b 3 Q 7 U 2 V j d G l v b j E v Z m V t Y W x l X 2 5 v b W l n X 3 J l c 3 B v b n N l L 0 F 1 d G 9 S Z W 1 v d m V k Q 2 9 s d W 1 u c z E u e 0 N v b H V t b j U z L D U y f S Z x d W 9 0 O y w m c X V v d D t T Z W N 0 a W 9 u M S 9 m Z W 1 h b G V f b m 9 t a W d f c m V z c G 9 u c 2 U v Q X V 0 b 1 J l b W 9 2 Z W R D b 2 x 1 b W 5 z M S 5 7 Q 2 9 s d W 1 u N T Q s N T N 9 J n F 1 b 3 Q 7 L C Z x d W 9 0 O 1 N l Y 3 R p b 2 4 x L 2 Z l b W F s Z V 9 u b 2 1 p Z 1 9 y Z X N w b 2 5 z Z S 9 B d X R v U m V t b 3 Z l Z E N v b H V t b n M x L n t D b 2 x 1 b W 4 1 N S w 1 N H 0 m c X V v d D s s J n F 1 b 3 Q 7 U 2 V j d G l v b j E v Z m V t Y W x l X 2 5 v b W l n X 3 J l c 3 B v b n N l L 0 F 1 d G 9 S Z W 1 v d m V k Q 2 9 s d W 1 u c z E u e 0 N v b H V t b j U 2 L D U 1 f S Z x d W 9 0 O y w m c X V v d D t T Z W N 0 a W 9 u M S 9 m Z W 1 h b G V f b m 9 t a W d f c m V z c G 9 u c 2 U v Q X V 0 b 1 J l b W 9 2 Z W R D b 2 x 1 b W 5 z M S 5 7 Q 2 9 s d W 1 u N T c s N T Z 9 J n F 1 b 3 Q 7 L C Z x d W 9 0 O 1 N l Y 3 R p b 2 4 x L 2 Z l b W F s Z V 9 u b 2 1 p Z 1 9 y Z X N w b 2 5 z Z S 9 B d X R v U m V t b 3 Z l Z E N v b H V t b n M x L n t D b 2 x 1 b W 4 1 O C w 1 N 3 0 m c X V v d D s s J n F 1 b 3 Q 7 U 2 V j d G l v b j E v Z m V t Y W x l X 2 5 v b W l n X 3 J l c 3 B v b n N l L 0 F 1 d G 9 S Z W 1 v d m V k Q 2 9 s d W 1 u c z E u e 0 N v b H V t b j U 5 L D U 4 f S Z x d W 9 0 O y w m c X V v d D t T Z W N 0 a W 9 u M S 9 m Z W 1 h b G V f b m 9 t a W d f c m V z c G 9 u c 2 U v Q X V 0 b 1 J l b W 9 2 Z W R D b 2 x 1 b W 5 z M S 5 7 Q 2 9 s d W 1 u N j A s N T l 9 J n F 1 b 3 Q 7 L C Z x d W 9 0 O 1 N l Y 3 R p b 2 4 x L 2 Z l b W F s Z V 9 u b 2 1 p Z 1 9 y Z X N w b 2 5 z Z S 9 B d X R v U m V t b 3 Z l Z E N v b H V t b n M x L n t D b 2 x 1 b W 4 2 M S w 2 M H 0 m c X V v d D s s J n F 1 b 3 Q 7 U 2 V j d G l v b j E v Z m V t Y W x l X 2 5 v b W l n X 3 J l c 3 B v b n N l L 0 F 1 d G 9 S Z W 1 v d m V k Q 2 9 s d W 1 u c z E u e 0 N v b H V t b j Y y L D Y x f S Z x d W 9 0 O y w m c X V v d D t T Z W N 0 a W 9 u M S 9 m Z W 1 h b G V f b m 9 t a W d f c m V z c G 9 u c 2 U v Q X V 0 b 1 J l b W 9 2 Z W R D b 2 x 1 b W 5 z M S 5 7 Q 2 9 s d W 1 u N j M s N j J 9 J n F 1 b 3 Q 7 L C Z x d W 9 0 O 1 N l Y 3 R p b 2 4 x L 2 Z l b W F s Z V 9 u b 2 1 p Z 1 9 y Z X N w b 2 5 z Z S 9 B d X R v U m V t b 3 Z l Z E N v b H V t b n M x L n t D b 2 x 1 b W 4 2 N C w 2 M 3 0 m c X V v d D s s J n F 1 b 3 Q 7 U 2 V j d G l v b j E v Z m V t Y W x l X 2 5 v b W l n X 3 J l c 3 B v b n N l L 0 F 1 d G 9 S Z W 1 v d m V k Q 2 9 s d W 1 u c z E u e 0 N v b H V t b j Y 1 L D Y 0 f S Z x d W 9 0 O y w m c X V v d D t T Z W N 0 a W 9 u M S 9 m Z W 1 h b G V f b m 9 t a W d f c m V z c G 9 u c 2 U v Q X V 0 b 1 J l b W 9 2 Z W R D b 2 x 1 b W 5 z M S 5 7 Q 2 9 s d W 1 u N j Y s N j V 9 J n F 1 b 3 Q 7 L C Z x d W 9 0 O 1 N l Y 3 R p b 2 4 x L 2 Z l b W F s Z V 9 u b 2 1 p Z 1 9 y Z X N w b 2 5 z Z S 9 B d X R v U m V t b 3 Z l Z E N v b H V t b n M x L n t D b 2 x 1 b W 4 2 N y w 2 N n 0 m c X V v d D s s J n F 1 b 3 Q 7 U 2 V j d G l v b j E v Z m V t Y W x l X 2 5 v b W l n X 3 J l c 3 B v b n N l L 0 F 1 d G 9 S Z W 1 v d m V k Q 2 9 s d W 1 u c z E u e 0 N v b H V t b j Y 4 L D Y 3 f S Z x d W 9 0 O y w m c X V v d D t T Z W N 0 a W 9 u M S 9 m Z W 1 h b G V f b m 9 t a W d f c m V z c G 9 u c 2 U v Q X V 0 b 1 J l b W 9 2 Z W R D b 2 x 1 b W 5 z M S 5 7 Q 2 9 s d W 1 u N j k s N j h 9 J n F 1 b 3 Q 7 L C Z x d W 9 0 O 1 N l Y 3 R p b 2 4 x L 2 Z l b W F s Z V 9 u b 2 1 p Z 1 9 y Z X N w b 2 5 z Z S 9 B d X R v U m V t b 3 Z l Z E N v b H V t b n M x L n t D b 2 x 1 b W 4 3 M C w 2 O X 0 m c X V v d D s s J n F 1 b 3 Q 7 U 2 V j d G l v b j E v Z m V t Y W x l X 2 5 v b W l n X 3 J l c 3 B v b n N l L 0 F 1 d G 9 S Z W 1 v d m V k Q 2 9 s d W 1 u c z E u e 0 N v b H V t b j c x L D c w f S Z x d W 9 0 O y w m c X V v d D t T Z W N 0 a W 9 u M S 9 m Z W 1 h b G V f b m 9 t a W d f c m V z c G 9 u c 2 U v Q X V 0 b 1 J l b W 9 2 Z W R D b 2 x 1 b W 5 z M S 5 7 Q 2 9 s d W 1 u N z I s N z F 9 J n F 1 b 3 Q 7 L C Z x d W 9 0 O 1 N l Y 3 R p b 2 4 x L 2 Z l b W F s Z V 9 u b 2 1 p Z 1 9 y Z X N w b 2 5 z Z S 9 B d X R v U m V t b 3 Z l Z E N v b H V t b n M x L n t D b 2 x 1 b W 4 3 M y w 3 M n 0 m c X V v d D s s J n F 1 b 3 Q 7 U 2 V j d G l v b j E v Z m V t Y W x l X 2 5 v b W l n X 3 J l c 3 B v b n N l L 0 F 1 d G 9 S Z W 1 v d m V k Q 2 9 s d W 1 u c z E u e 0 N v b H V t b j c 0 L D c z f S Z x d W 9 0 O y w m c X V v d D t T Z W N 0 a W 9 u M S 9 m Z W 1 h b G V f b m 9 t a W d f c m V z c G 9 u c 2 U v Q X V 0 b 1 J l b W 9 2 Z W R D b 2 x 1 b W 5 z M S 5 7 Q 2 9 s d W 1 u N z U s N z R 9 J n F 1 b 3 Q 7 L C Z x d W 9 0 O 1 N l Y 3 R p b 2 4 x L 2 Z l b W F s Z V 9 u b 2 1 p Z 1 9 y Z X N w b 2 5 z Z S 9 B d X R v U m V t b 3 Z l Z E N v b H V t b n M x L n t D b 2 x 1 b W 4 3 N i w 3 N X 0 m c X V v d D s s J n F 1 b 3 Q 7 U 2 V j d G l v b j E v Z m V t Y W x l X 2 5 v b W l n X 3 J l c 3 B v b n N l L 0 F 1 d G 9 S Z W 1 v d m V k Q 2 9 s d W 1 u c z E u e 0 N v b H V t b j c 3 L D c 2 f S Z x d W 9 0 O y w m c X V v d D t T Z W N 0 a W 9 u M S 9 m Z W 1 h b G V f b m 9 t a W d f c m V z c G 9 u c 2 U v Q X V 0 b 1 J l b W 9 2 Z W R D b 2 x 1 b W 5 z M S 5 7 Q 2 9 s d W 1 u N z g s N z d 9 J n F 1 b 3 Q 7 L C Z x d W 9 0 O 1 N l Y 3 R p b 2 4 x L 2 Z l b W F s Z V 9 u b 2 1 p Z 1 9 y Z X N w b 2 5 z Z S 9 B d X R v U m V t b 3 Z l Z E N v b H V t b n M x L n t D b 2 x 1 b W 4 3 O S w 3 O H 0 m c X V v d D s s J n F 1 b 3 Q 7 U 2 V j d G l v b j E v Z m V t Y W x l X 2 5 v b W l n X 3 J l c 3 B v b n N l L 0 F 1 d G 9 S Z W 1 v d m V k Q 2 9 s d W 1 u c z E u e 0 N v b H V t b j g w L D c 5 f S Z x d W 9 0 O y w m c X V v d D t T Z W N 0 a W 9 u M S 9 m Z W 1 h b G V f b m 9 t a W d f c m V z c G 9 u c 2 U v Q X V 0 b 1 J l b W 9 2 Z W R D b 2 x 1 b W 5 z M S 5 7 Q 2 9 s d W 1 u O D E s O D B 9 J n F 1 b 3 Q 7 L C Z x d W 9 0 O 1 N l Y 3 R p b 2 4 x L 2 Z l b W F s Z V 9 u b 2 1 p Z 1 9 y Z X N w b 2 5 z Z S 9 B d X R v U m V t b 3 Z l Z E N v b H V t b n M x L n t D b 2 x 1 b W 4 4 M i w 4 M X 0 m c X V v d D s s J n F 1 b 3 Q 7 U 2 V j d G l v b j E v Z m V t Y W x l X 2 5 v b W l n X 3 J l c 3 B v b n N l L 0 F 1 d G 9 S Z W 1 v d m V k Q 2 9 s d W 1 u c z E u e 0 N v b H V t b j g z L D g y f S Z x d W 9 0 O y w m c X V v d D t T Z W N 0 a W 9 u M S 9 m Z W 1 h b G V f b m 9 t a W d f c m V z c G 9 u c 2 U v Q X V 0 b 1 J l b W 9 2 Z W R D b 2 x 1 b W 5 z M S 5 7 Q 2 9 s d W 1 u O D Q s O D N 9 J n F 1 b 3 Q 7 L C Z x d W 9 0 O 1 N l Y 3 R p b 2 4 x L 2 Z l b W F s Z V 9 u b 2 1 p Z 1 9 y Z X N w b 2 5 z Z S 9 B d X R v U m V t b 3 Z l Z E N v b H V t b n M x L n t D b 2 x 1 b W 4 4 N S w 4 N H 0 m c X V v d D s s J n F 1 b 3 Q 7 U 2 V j d G l v b j E v Z m V t Y W x l X 2 5 v b W l n X 3 J l c 3 B v b n N l L 0 F 1 d G 9 S Z W 1 v d m V k Q 2 9 s d W 1 u c z E u e 0 N v b H V t b j g 2 L D g 1 f S Z x d W 9 0 O y w m c X V v d D t T Z W N 0 a W 9 u M S 9 m Z W 1 h b G V f b m 9 t a W d f c m V z c G 9 u c 2 U v Q X V 0 b 1 J l b W 9 2 Z W R D b 2 x 1 b W 5 z M S 5 7 Q 2 9 s d W 1 u O D c s O D Z 9 J n F 1 b 3 Q 7 L C Z x d W 9 0 O 1 N l Y 3 R p b 2 4 x L 2 Z l b W F s Z V 9 u b 2 1 p Z 1 9 y Z X N w b 2 5 z Z S 9 B d X R v U m V t b 3 Z l Z E N v b H V t b n M x L n t D b 2 x 1 b W 4 4 O C w 4 N 3 0 m c X V v d D s s J n F 1 b 3 Q 7 U 2 V j d G l v b j E v Z m V t Y W x l X 2 5 v b W l n X 3 J l c 3 B v b n N l L 0 F 1 d G 9 S Z W 1 v d m V k Q 2 9 s d W 1 u c z E u e 0 N v b H V t b j g 5 L D g 4 f S Z x d W 9 0 O y w m c X V v d D t T Z W N 0 a W 9 u M S 9 m Z W 1 h b G V f b m 9 t a W d f c m V z c G 9 u c 2 U v Q X V 0 b 1 J l b W 9 2 Z W R D b 2 x 1 b W 5 z M S 5 7 Q 2 9 s d W 1 u O T A s O D l 9 J n F 1 b 3 Q 7 L C Z x d W 9 0 O 1 N l Y 3 R p b 2 4 x L 2 Z l b W F s Z V 9 u b 2 1 p Z 1 9 y Z X N w b 2 5 z Z S 9 B d X R v U m V t b 3 Z l Z E N v b H V t b n M x L n t D b 2 x 1 b W 4 5 M S w 5 M H 0 m c X V v d D s s J n F 1 b 3 Q 7 U 2 V j d G l v b j E v Z m V t Y W x l X 2 5 v b W l n X 3 J l c 3 B v b n N l L 0 F 1 d G 9 S Z W 1 v d m V k Q 2 9 s d W 1 u c z E u e 0 N v b H V t b j k y L D k x f S Z x d W 9 0 O y w m c X V v d D t T Z W N 0 a W 9 u M S 9 m Z W 1 h b G V f b m 9 t a W d f c m V z c G 9 u c 2 U v Q X V 0 b 1 J l b W 9 2 Z W R D b 2 x 1 b W 5 z M S 5 7 Q 2 9 s d W 1 u O T M s O T J 9 J n F 1 b 3 Q 7 L C Z x d W 9 0 O 1 N l Y 3 R p b 2 4 x L 2 Z l b W F s Z V 9 u b 2 1 p Z 1 9 y Z X N w b 2 5 z Z S 9 B d X R v U m V t b 3 Z l Z E N v b H V t b n M x L n t D b 2 x 1 b W 4 5 N C w 5 M 3 0 m c X V v d D s s J n F 1 b 3 Q 7 U 2 V j d G l v b j E v Z m V t Y W x l X 2 5 v b W l n X 3 J l c 3 B v b n N l L 0 F 1 d G 9 S Z W 1 v d m V k Q 2 9 s d W 1 u c z E u e 0 N v b H V t b j k 1 L D k 0 f S Z x d W 9 0 O y w m c X V v d D t T Z W N 0 a W 9 u M S 9 m Z W 1 h b G V f b m 9 t a W d f c m V z c G 9 u c 2 U v Q X V 0 b 1 J l b W 9 2 Z W R D b 2 x 1 b W 5 z M S 5 7 Q 2 9 s d W 1 u O T Y s O T V 9 J n F 1 b 3 Q 7 L C Z x d W 9 0 O 1 N l Y 3 R p b 2 4 x L 2 Z l b W F s Z V 9 u b 2 1 p Z 1 9 y Z X N w b 2 5 z Z S 9 B d X R v U m V t b 3 Z l Z E N v b H V t b n M x L n t D b 2 x 1 b W 4 5 N y w 5 N n 0 m c X V v d D s s J n F 1 b 3 Q 7 U 2 V j d G l v b j E v Z m V t Y W x l X 2 5 v b W l n X 3 J l c 3 B v b n N l L 0 F 1 d G 9 S Z W 1 v d m V k Q 2 9 s d W 1 u c z E u e 0 N v b H V t b j k 4 L D k 3 f S Z x d W 9 0 O y w m c X V v d D t T Z W N 0 a W 9 u M S 9 m Z W 1 h b G V f b m 9 t a W d f c m V z c G 9 u c 2 U v Q X V 0 b 1 J l b W 9 2 Z W R D b 2 x 1 b W 5 z M S 5 7 Q 2 9 s d W 1 u O T k s O T h 9 J n F 1 b 3 Q 7 L C Z x d W 9 0 O 1 N l Y 3 R p b 2 4 x L 2 Z l b W F s Z V 9 u b 2 1 p Z 1 9 y Z X N w b 2 5 z Z S 9 B d X R v U m V t b 3 Z l Z E N v b H V t b n M x L n t D b 2 x 1 b W 4 x M D A s O T l 9 J n F 1 b 3 Q 7 L C Z x d W 9 0 O 1 N l Y 3 R p b 2 4 x L 2 Z l b W F s Z V 9 u b 2 1 p Z 1 9 y Z X N w b 2 5 z Z S 9 B d X R v U m V t b 3 Z l Z E N v b H V t b n M x L n t D b 2 x 1 b W 4 x M D E s M T A w f S Z x d W 9 0 O y w m c X V v d D t T Z W N 0 a W 9 u M S 9 m Z W 1 h b G V f b m 9 t a W d f c m V z c G 9 u c 2 U v Q X V 0 b 1 J l b W 9 2 Z W R D b 2 x 1 b W 5 z M S 5 7 Q 2 9 s d W 1 u M T A y L D E w M X 0 m c X V v d D s s J n F 1 b 3 Q 7 U 2 V j d G l v b j E v Z m V t Y W x l X 2 5 v b W l n X 3 J l c 3 B v b n N l L 0 F 1 d G 9 S Z W 1 v d m V k Q 2 9 s d W 1 u c z E u e 0 N v b H V t b j E w M y w x M D J 9 J n F 1 b 3 Q 7 L C Z x d W 9 0 O 1 N l Y 3 R p b 2 4 x L 2 Z l b W F s Z V 9 u b 2 1 p Z 1 9 y Z X N w b 2 5 z Z S 9 B d X R v U m V t b 3 Z l Z E N v b H V t b n M x L n t D b 2 x 1 b W 4 x M D Q s M T A z f S Z x d W 9 0 O y w m c X V v d D t T Z W N 0 a W 9 u M S 9 m Z W 1 h b G V f b m 9 t a W d f c m V z c G 9 u c 2 U v Q X V 0 b 1 J l b W 9 2 Z W R D b 2 x 1 b W 5 z M S 5 7 Q 2 9 s d W 1 u M T A 1 L D E w N H 0 m c X V v d D s s J n F 1 b 3 Q 7 U 2 V j d G l v b j E v Z m V t Y W x l X 2 5 v b W l n X 3 J l c 3 B v b n N l L 0 F 1 d G 9 S Z W 1 v d m V k Q 2 9 s d W 1 u c z E u e 0 N v b H V t b j E w N i w x M D V 9 J n F 1 b 3 Q 7 X S w m c X V v d D t D b 2 x 1 b W 5 D b 3 V u d C Z x d W 9 0 O z o x M D Y s J n F 1 b 3 Q 7 S 2 V 5 Q 2 9 s d W 1 u T m F t Z X M m c X V v d D s 6 W 1 0 s J n F 1 b 3 Q 7 Q 2 9 s d W 1 u S W R l b n R p d G l l c y Z x d W 9 0 O z p b J n F 1 b 3 Q 7 U 2 V j d G l v b j E v Z m V t Y W x l X 2 5 v b W l n X 3 J l c 3 B v b n N l L 0 F 1 d G 9 S Z W 1 v d m V k Q 2 9 s d W 1 u c z E u e 0 N v b H V t b j E s M H 0 m c X V v d D s s J n F 1 b 3 Q 7 U 2 V j d G l v b j E v Z m V t Y W x l X 2 5 v b W l n X 3 J l c 3 B v b n N l L 0 F 1 d G 9 S Z W 1 v d m V k Q 2 9 s d W 1 u c z E u e 0 N v b H V t b j I s M X 0 m c X V v d D s s J n F 1 b 3 Q 7 U 2 V j d G l v b j E v Z m V t Y W x l X 2 5 v b W l n X 3 J l c 3 B v b n N l L 0 F 1 d G 9 S Z W 1 v d m V k Q 2 9 s d W 1 u c z E u e 0 N v b H V t b j M s M n 0 m c X V v d D s s J n F 1 b 3 Q 7 U 2 V j d G l v b j E v Z m V t Y W x l X 2 5 v b W l n X 3 J l c 3 B v b n N l L 0 F 1 d G 9 S Z W 1 v d m V k Q 2 9 s d W 1 u c z E u e 0 N v b H V t b j Q s M 3 0 m c X V v d D s s J n F 1 b 3 Q 7 U 2 V j d G l v b j E v Z m V t Y W x l X 2 5 v b W l n X 3 J l c 3 B v b n N l L 0 F 1 d G 9 S Z W 1 v d m V k Q 2 9 s d W 1 u c z E u e 0 N v b H V t b j U s N H 0 m c X V v d D s s J n F 1 b 3 Q 7 U 2 V j d G l v b j E v Z m V t Y W x l X 2 5 v b W l n X 3 J l c 3 B v b n N l L 0 F 1 d G 9 S Z W 1 v d m V k Q 2 9 s d W 1 u c z E u e 0 N v b H V t b j Y s N X 0 m c X V v d D s s J n F 1 b 3 Q 7 U 2 V j d G l v b j E v Z m V t Y W x l X 2 5 v b W l n X 3 J l c 3 B v b n N l L 0 F 1 d G 9 S Z W 1 v d m V k Q 2 9 s d W 1 u c z E u e 0 N v b H V t b j c s N n 0 m c X V v d D s s J n F 1 b 3 Q 7 U 2 V j d G l v b j E v Z m V t Y W x l X 2 5 v b W l n X 3 J l c 3 B v b n N l L 0 F 1 d G 9 S Z W 1 v d m V k Q 2 9 s d W 1 u c z E u e 0 N v b H V t b j g s N 3 0 m c X V v d D s s J n F 1 b 3 Q 7 U 2 V j d G l v b j E v Z m V t Y W x l X 2 5 v b W l n X 3 J l c 3 B v b n N l L 0 F 1 d G 9 S Z W 1 v d m V k Q 2 9 s d W 1 u c z E u e 0 N v b H V t b j k s O H 0 m c X V v d D s s J n F 1 b 3 Q 7 U 2 V j d G l v b j E v Z m V t Y W x l X 2 5 v b W l n X 3 J l c 3 B v b n N l L 0 F 1 d G 9 S Z W 1 v d m V k Q 2 9 s d W 1 u c z E u e 0 N v b H V t b j E w L D l 9 J n F 1 b 3 Q 7 L C Z x d W 9 0 O 1 N l Y 3 R p b 2 4 x L 2 Z l b W F s Z V 9 u b 2 1 p Z 1 9 y Z X N w b 2 5 z Z S 9 B d X R v U m V t b 3 Z l Z E N v b H V t b n M x L n t D b 2 x 1 b W 4 x M S w x M H 0 m c X V v d D s s J n F 1 b 3 Q 7 U 2 V j d G l v b j E v Z m V t Y W x l X 2 5 v b W l n X 3 J l c 3 B v b n N l L 0 F 1 d G 9 S Z W 1 v d m V k Q 2 9 s d W 1 u c z E u e 0 N v b H V t b j E y L D E x f S Z x d W 9 0 O y w m c X V v d D t T Z W N 0 a W 9 u M S 9 m Z W 1 h b G V f b m 9 t a W d f c m V z c G 9 u c 2 U v Q X V 0 b 1 J l b W 9 2 Z W R D b 2 x 1 b W 5 z M S 5 7 Q 2 9 s d W 1 u M T M s M T J 9 J n F 1 b 3 Q 7 L C Z x d W 9 0 O 1 N l Y 3 R p b 2 4 x L 2 Z l b W F s Z V 9 u b 2 1 p Z 1 9 y Z X N w b 2 5 z Z S 9 B d X R v U m V t b 3 Z l Z E N v b H V t b n M x L n t D b 2 x 1 b W 4 x N C w x M 3 0 m c X V v d D s s J n F 1 b 3 Q 7 U 2 V j d G l v b j E v Z m V t Y W x l X 2 5 v b W l n X 3 J l c 3 B v b n N l L 0 F 1 d G 9 S Z W 1 v d m V k Q 2 9 s d W 1 u c z E u e 0 N v b H V t b j E 1 L D E 0 f S Z x d W 9 0 O y w m c X V v d D t T Z W N 0 a W 9 u M S 9 m Z W 1 h b G V f b m 9 t a W d f c m V z c G 9 u c 2 U v Q X V 0 b 1 J l b W 9 2 Z W R D b 2 x 1 b W 5 z M S 5 7 Q 2 9 s d W 1 u M T Y s M T V 9 J n F 1 b 3 Q 7 L C Z x d W 9 0 O 1 N l Y 3 R p b 2 4 x L 2 Z l b W F s Z V 9 u b 2 1 p Z 1 9 y Z X N w b 2 5 z Z S 9 B d X R v U m V t b 3 Z l Z E N v b H V t b n M x L n t D b 2 x 1 b W 4 x N y w x N n 0 m c X V v d D s s J n F 1 b 3 Q 7 U 2 V j d G l v b j E v Z m V t Y W x l X 2 5 v b W l n X 3 J l c 3 B v b n N l L 0 F 1 d G 9 S Z W 1 v d m V k Q 2 9 s d W 1 u c z E u e 0 N v b H V t b j E 4 L D E 3 f S Z x d W 9 0 O y w m c X V v d D t T Z W N 0 a W 9 u M S 9 m Z W 1 h b G V f b m 9 t a W d f c m V z c G 9 u c 2 U v Q X V 0 b 1 J l b W 9 2 Z W R D b 2 x 1 b W 5 z M S 5 7 Q 2 9 s d W 1 u M T k s M T h 9 J n F 1 b 3 Q 7 L C Z x d W 9 0 O 1 N l Y 3 R p b 2 4 x L 2 Z l b W F s Z V 9 u b 2 1 p Z 1 9 y Z X N w b 2 5 z Z S 9 B d X R v U m V t b 3 Z l Z E N v b H V t b n M x L n t D b 2 x 1 b W 4 y M C w x O X 0 m c X V v d D s s J n F 1 b 3 Q 7 U 2 V j d G l v b j E v Z m V t Y W x l X 2 5 v b W l n X 3 J l c 3 B v b n N l L 0 F 1 d G 9 S Z W 1 v d m V k Q 2 9 s d W 1 u c z E u e 0 N v b H V t b j I x L D I w f S Z x d W 9 0 O y w m c X V v d D t T Z W N 0 a W 9 u M S 9 m Z W 1 h b G V f b m 9 t a W d f c m V z c G 9 u c 2 U v Q X V 0 b 1 J l b W 9 2 Z W R D b 2 x 1 b W 5 z M S 5 7 Q 2 9 s d W 1 u M j I s M j F 9 J n F 1 b 3 Q 7 L C Z x d W 9 0 O 1 N l Y 3 R p b 2 4 x L 2 Z l b W F s Z V 9 u b 2 1 p Z 1 9 y Z X N w b 2 5 z Z S 9 B d X R v U m V t b 3 Z l Z E N v b H V t b n M x L n t D b 2 x 1 b W 4 y M y w y M n 0 m c X V v d D s s J n F 1 b 3 Q 7 U 2 V j d G l v b j E v Z m V t Y W x l X 2 5 v b W l n X 3 J l c 3 B v b n N l L 0 F 1 d G 9 S Z W 1 v d m V k Q 2 9 s d W 1 u c z E u e 0 N v b H V t b j I 0 L D I z f S Z x d W 9 0 O y w m c X V v d D t T Z W N 0 a W 9 u M S 9 m Z W 1 h b G V f b m 9 t a W d f c m V z c G 9 u c 2 U v Q X V 0 b 1 J l b W 9 2 Z W R D b 2 x 1 b W 5 z M S 5 7 Q 2 9 s d W 1 u M j U s M j R 9 J n F 1 b 3 Q 7 L C Z x d W 9 0 O 1 N l Y 3 R p b 2 4 x L 2 Z l b W F s Z V 9 u b 2 1 p Z 1 9 y Z X N w b 2 5 z Z S 9 B d X R v U m V t b 3 Z l Z E N v b H V t b n M x L n t D b 2 x 1 b W 4 y N i w y N X 0 m c X V v d D s s J n F 1 b 3 Q 7 U 2 V j d G l v b j E v Z m V t Y W x l X 2 5 v b W l n X 3 J l c 3 B v b n N l L 0 F 1 d G 9 S Z W 1 v d m V k Q 2 9 s d W 1 u c z E u e 0 N v b H V t b j I 3 L D I 2 f S Z x d W 9 0 O y w m c X V v d D t T Z W N 0 a W 9 u M S 9 m Z W 1 h b G V f b m 9 t a W d f c m V z c G 9 u c 2 U v Q X V 0 b 1 J l b W 9 2 Z W R D b 2 x 1 b W 5 z M S 5 7 Q 2 9 s d W 1 u M j g s M j d 9 J n F 1 b 3 Q 7 L C Z x d W 9 0 O 1 N l Y 3 R p b 2 4 x L 2 Z l b W F s Z V 9 u b 2 1 p Z 1 9 y Z X N w b 2 5 z Z S 9 B d X R v U m V t b 3 Z l Z E N v b H V t b n M x L n t D b 2 x 1 b W 4 y O S w y O H 0 m c X V v d D s s J n F 1 b 3 Q 7 U 2 V j d G l v b j E v Z m V t Y W x l X 2 5 v b W l n X 3 J l c 3 B v b n N l L 0 F 1 d G 9 S Z W 1 v d m V k Q 2 9 s d W 1 u c z E u e 0 N v b H V t b j M w L D I 5 f S Z x d W 9 0 O y w m c X V v d D t T Z W N 0 a W 9 u M S 9 m Z W 1 h b G V f b m 9 t a W d f c m V z c G 9 u c 2 U v Q X V 0 b 1 J l b W 9 2 Z W R D b 2 x 1 b W 5 z M S 5 7 Q 2 9 s d W 1 u M z E s M z B 9 J n F 1 b 3 Q 7 L C Z x d W 9 0 O 1 N l Y 3 R p b 2 4 x L 2 Z l b W F s Z V 9 u b 2 1 p Z 1 9 y Z X N w b 2 5 z Z S 9 B d X R v U m V t b 3 Z l Z E N v b H V t b n M x L n t D b 2 x 1 b W 4 z M i w z M X 0 m c X V v d D s s J n F 1 b 3 Q 7 U 2 V j d G l v b j E v Z m V t Y W x l X 2 5 v b W l n X 3 J l c 3 B v b n N l L 0 F 1 d G 9 S Z W 1 v d m V k Q 2 9 s d W 1 u c z E u e 0 N v b H V t b j M z L D M y f S Z x d W 9 0 O y w m c X V v d D t T Z W N 0 a W 9 u M S 9 m Z W 1 h b G V f b m 9 t a W d f c m V z c G 9 u c 2 U v Q X V 0 b 1 J l b W 9 2 Z W R D b 2 x 1 b W 5 z M S 5 7 Q 2 9 s d W 1 u M z Q s M z N 9 J n F 1 b 3 Q 7 L C Z x d W 9 0 O 1 N l Y 3 R p b 2 4 x L 2 Z l b W F s Z V 9 u b 2 1 p Z 1 9 y Z X N w b 2 5 z Z S 9 B d X R v U m V t b 3 Z l Z E N v b H V t b n M x L n t D b 2 x 1 b W 4 z N S w z N H 0 m c X V v d D s s J n F 1 b 3 Q 7 U 2 V j d G l v b j E v Z m V t Y W x l X 2 5 v b W l n X 3 J l c 3 B v b n N l L 0 F 1 d G 9 S Z W 1 v d m V k Q 2 9 s d W 1 u c z E u e 0 N v b H V t b j M 2 L D M 1 f S Z x d W 9 0 O y w m c X V v d D t T Z W N 0 a W 9 u M S 9 m Z W 1 h b G V f b m 9 t a W d f c m V z c G 9 u c 2 U v Q X V 0 b 1 J l b W 9 2 Z W R D b 2 x 1 b W 5 z M S 5 7 Q 2 9 s d W 1 u M z c s M z Z 9 J n F 1 b 3 Q 7 L C Z x d W 9 0 O 1 N l Y 3 R p b 2 4 x L 2 Z l b W F s Z V 9 u b 2 1 p Z 1 9 y Z X N w b 2 5 z Z S 9 B d X R v U m V t b 3 Z l Z E N v b H V t b n M x L n t D b 2 x 1 b W 4 z O C w z N 3 0 m c X V v d D s s J n F 1 b 3 Q 7 U 2 V j d G l v b j E v Z m V t Y W x l X 2 5 v b W l n X 3 J l c 3 B v b n N l L 0 F 1 d G 9 S Z W 1 v d m V k Q 2 9 s d W 1 u c z E u e 0 N v b H V t b j M 5 L D M 4 f S Z x d W 9 0 O y w m c X V v d D t T Z W N 0 a W 9 u M S 9 m Z W 1 h b G V f b m 9 t a W d f c m V z c G 9 u c 2 U v Q X V 0 b 1 J l b W 9 2 Z W R D b 2 x 1 b W 5 z M S 5 7 Q 2 9 s d W 1 u N D A s M z l 9 J n F 1 b 3 Q 7 L C Z x d W 9 0 O 1 N l Y 3 R p b 2 4 x L 2 Z l b W F s Z V 9 u b 2 1 p Z 1 9 y Z X N w b 2 5 z Z S 9 B d X R v U m V t b 3 Z l Z E N v b H V t b n M x L n t D b 2 x 1 b W 4 0 M S w 0 M H 0 m c X V v d D s s J n F 1 b 3 Q 7 U 2 V j d G l v b j E v Z m V t Y W x l X 2 5 v b W l n X 3 J l c 3 B v b n N l L 0 F 1 d G 9 S Z W 1 v d m V k Q 2 9 s d W 1 u c z E u e 0 N v b H V t b j Q y L D Q x f S Z x d W 9 0 O y w m c X V v d D t T Z W N 0 a W 9 u M S 9 m Z W 1 h b G V f b m 9 t a W d f c m V z c G 9 u c 2 U v Q X V 0 b 1 J l b W 9 2 Z W R D b 2 x 1 b W 5 z M S 5 7 Q 2 9 s d W 1 u N D M s N D J 9 J n F 1 b 3 Q 7 L C Z x d W 9 0 O 1 N l Y 3 R p b 2 4 x L 2 Z l b W F s Z V 9 u b 2 1 p Z 1 9 y Z X N w b 2 5 z Z S 9 B d X R v U m V t b 3 Z l Z E N v b H V t b n M x L n t D b 2 x 1 b W 4 0 N C w 0 M 3 0 m c X V v d D s s J n F 1 b 3 Q 7 U 2 V j d G l v b j E v Z m V t Y W x l X 2 5 v b W l n X 3 J l c 3 B v b n N l L 0 F 1 d G 9 S Z W 1 v d m V k Q 2 9 s d W 1 u c z E u e 0 N v b H V t b j Q 1 L D Q 0 f S Z x d W 9 0 O y w m c X V v d D t T Z W N 0 a W 9 u M S 9 m Z W 1 h b G V f b m 9 t a W d f c m V z c G 9 u c 2 U v Q X V 0 b 1 J l b W 9 2 Z W R D b 2 x 1 b W 5 z M S 5 7 Q 2 9 s d W 1 u N D Y s N D V 9 J n F 1 b 3 Q 7 L C Z x d W 9 0 O 1 N l Y 3 R p b 2 4 x L 2 Z l b W F s Z V 9 u b 2 1 p Z 1 9 y Z X N w b 2 5 z Z S 9 B d X R v U m V t b 3 Z l Z E N v b H V t b n M x L n t D b 2 x 1 b W 4 0 N y w 0 N n 0 m c X V v d D s s J n F 1 b 3 Q 7 U 2 V j d G l v b j E v Z m V t Y W x l X 2 5 v b W l n X 3 J l c 3 B v b n N l L 0 F 1 d G 9 S Z W 1 v d m V k Q 2 9 s d W 1 u c z E u e 0 N v b H V t b j Q 4 L D Q 3 f S Z x d W 9 0 O y w m c X V v d D t T Z W N 0 a W 9 u M S 9 m Z W 1 h b G V f b m 9 t a W d f c m V z c G 9 u c 2 U v Q X V 0 b 1 J l b W 9 2 Z W R D b 2 x 1 b W 5 z M S 5 7 Q 2 9 s d W 1 u N D k s N D h 9 J n F 1 b 3 Q 7 L C Z x d W 9 0 O 1 N l Y 3 R p b 2 4 x L 2 Z l b W F s Z V 9 u b 2 1 p Z 1 9 y Z X N w b 2 5 z Z S 9 B d X R v U m V t b 3 Z l Z E N v b H V t b n M x L n t D b 2 x 1 b W 4 1 M C w 0 O X 0 m c X V v d D s s J n F 1 b 3 Q 7 U 2 V j d G l v b j E v Z m V t Y W x l X 2 5 v b W l n X 3 J l c 3 B v b n N l L 0 F 1 d G 9 S Z W 1 v d m V k Q 2 9 s d W 1 u c z E u e 0 N v b H V t b j U x L D U w f S Z x d W 9 0 O y w m c X V v d D t T Z W N 0 a W 9 u M S 9 m Z W 1 h b G V f b m 9 t a W d f c m V z c G 9 u c 2 U v Q X V 0 b 1 J l b W 9 2 Z W R D b 2 x 1 b W 5 z M S 5 7 Q 2 9 s d W 1 u N T I s N T F 9 J n F 1 b 3 Q 7 L C Z x d W 9 0 O 1 N l Y 3 R p b 2 4 x L 2 Z l b W F s Z V 9 u b 2 1 p Z 1 9 y Z X N w b 2 5 z Z S 9 B d X R v U m V t b 3 Z l Z E N v b H V t b n M x L n t D b 2 x 1 b W 4 1 M y w 1 M n 0 m c X V v d D s s J n F 1 b 3 Q 7 U 2 V j d G l v b j E v Z m V t Y W x l X 2 5 v b W l n X 3 J l c 3 B v b n N l L 0 F 1 d G 9 S Z W 1 v d m V k Q 2 9 s d W 1 u c z E u e 0 N v b H V t b j U 0 L D U z f S Z x d W 9 0 O y w m c X V v d D t T Z W N 0 a W 9 u M S 9 m Z W 1 h b G V f b m 9 t a W d f c m V z c G 9 u c 2 U v Q X V 0 b 1 J l b W 9 2 Z W R D b 2 x 1 b W 5 z M S 5 7 Q 2 9 s d W 1 u N T U s N T R 9 J n F 1 b 3 Q 7 L C Z x d W 9 0 O 1 N l Y 3 R p b 2 4 x L 2 Z l b W F s Z V 9 u b 2 1 p Z 1 9 y Z X N w b 2 5 z Z S 9 B d X R v U m V t b 3 Z l Z E N v b H V t b n M x L n t D b 2 x 1 b W 4 1 N i w 1 N X 0 m c X V v d D s s J n F 1 b 3 Q 7 U 2 V j d G l v b j E v Z m V t Y W x l X 2 5 v b W l n X 3 J l c 3 B v b n N l L 0 F 1 d G 9 S Z W 1 v d m V k Q 2 9 s d W 1 u c z E u e 0 N v b H V t b j U 3 L D U 2 f S Z x d W 9 0 O y w m c X V v d D t T Z W N 0 a W 9 u M S 9 m Z W 1 h b G V f b m 9 t a W d f c m V z c G 9 u c 2 U v Q X V 0 b 1 J l b W 9 2 Z W R D b 2 x 1 b W 5 z M S 5 7 Q 2 9 s d W 1 u N T g s N T d 9 J n F 1 b 3 Q 7 L C Z x d W 9 0 O 1 N l Y 3 R p b 2 4 x L 2 Z l b W F s Z V 9 u b 2 1 p Z 1 9 y Z X N w b 2 5 z Z S 9 B d X R v U m V t b 3 Z l Z E N v b H V t b n M x L n t D b 2 x 1 b W 4 1 O S w 1 O H 0 m c X V v d D s s J n F 1 b 3 Q 7 U 2 V j d G l v b j E v Z m V t Y W x l X 2 5 v b W l n X 3 J l c 3 B v b n N l L 0 F 1 d G 9 S Z W 1 v d m V k Q 2 9 s d W 1 u c z E u e 0 N v b H V t b j Y w L D U 5 f S Z x d W 9 0 O y w m c X V v d D t T Z W N 0 a W 9 u M S 9 m Z W 1 h b G V f b m 9 t a W d f c m V z c G 9 u c 2 U v Q X V 0 b 1 J l b W 9 2 Z W R D b 2 x 1 b W 5 z M S 5 7 Q 2 9 s d W 1 u N j E s N j B 9 J n F 1 b 3 Q 7 L C Z x d W 9 0 O 1 N l Y 3 R p b 2 4 x L 2 Z l b W F s Z V 9 u b 2 1 p Z 1 9 y Z X N w b 2 5 z Z S 9 B d X R v U m V t b 3 Z l Z E N v b H V t b n M x L n t D b 2 x 1 b W 4 2 M i w 2 M X 0 m c X V v d D s s J n F 1 b 3 Q 7 U 2 V j d G l v b j E v Z m V t Y W x l X 2 5 v b W l n X 3 J l c 3 B v b n N l L 0 F 1 d G 9 S Z W 1 v d m V k Q 2 9 s d W 1 u c z E u e 0 N v b H V t b j Y z L D Y y f S Z x d W 9 0 O y w m c X V v d D t T Z W N 0 a W 9 u M S 9 m Z W 1 h b G V f b m 9 t a W d f c m V z c G 9 u c 2 U v Q X V 0 b 1 J l b W 9 2 Z W R D b 2 x 1 b W 5 z M S 5 7 Q 2 9 s d W 1 u N j Q s N j N 9 J n F 1 b 3 Q 7 L C Z x d W 9 0 O 1 N l Y 3 R p b 2 4 x L 2 Z l b W F s Z V 9 u b 2 1 p Z 1 9 y Z X N w b 2 5 z Z S 9 B d X R v U m V t b 3 Z l Z E N v b H V t b n M x L n t D b 2 x 1 b W 4 2 N S w 2 N H 0 m c X V v d D s s J n F 1 b 3 Q 7 U 2 V j d G l v b j E v Z m V t Y W x l X 2 5 v b W l n X 3 J l c 3 B v b n N l L 0 F 1 d G 9 S Z W 1 v d m V k Q 2 9 s d W 1 u c z E u e 0 N v b H V t b j Y 2 L D Y 1 f S Z x d W 9 0 O y w m c X V v d D t T Z W N 0 a W 9 u M S 9 m Z W 1 h b G V f b m 9 t a W d f c m V z c G 9 u c 2 U v Q X V 0 b 1 J l b W 9 2 Z W R D b 2 x 1 b W 5 z M S 5 7 Q 2 9 s d W 1 u N j c s N j Z 9 J n F 1 b 3 Q 7 L C Z x d W 9 0 O 1 N l Y 3 R p b 2 4 x L 2 Z l b W F s Z V 9 u b 2 1 p Z 1 9 y Z X N w b 2 5 z Z S 9 B d X R v U m V t b 3 Z l Z E N v b H V t b n M x L n t D b 2 x 1 b W 4 2 O C w 2 N 3 0 m c X V v d D s s J n F 1 b 3 Q 7 U 2 V j d G l v b j E v Z m V t Y W x l X 2 5 v b W l n X 3 J l c 3 B v b n N l L 0 F 1 d G 9 S Z W 1 v d m V k Q 2 9 s d W 1 u c z E u e 0 N v b H V t b j Y 5 L D Y 4 f S Z x d W 9 0 O y w m c X V v d D t T Z W N 0 a W 9 u M S 9 m Z W 1 h b G V f b m 9 t a W d f c m V z c G 9 u c 2 U v Q X V 0 b 1 J l b W 9 2 Z W R D b 2 x 1 b W 5 z M S 5 7 Q 2 9 s d W 1 u N z A s N j l 9 J n F 1 b 3 Q 7 L C Z x d W 9 0 O 1 N l Y 3 R p b 2 4 x L 2 Z l b W F s Z V 9 u b 2 1 p Z 1 9 y Z X N w b 2 5 z Z S 9 B d X R v U m V t b 3 Z l Z E N v b H V t b n M x L n t D b 2 x 1 b W 4 3 M S w 3 M H 0 m c X V v d D s s J n F 1 b 3 Q 7 U 2 V j d G l v b j E v Z m V t Y W x l X 2 5 v b W l n X 3 J l c 3 B v b n N l L 0 F 1 d G 9 S Z W 1 v d m V k Q 2 9 s d W 1 u c z E u e 0 N v b H V t b j c y L D c x f S Z x d W 9 0 O y w m c X V v d D t T Z W N 0 a W 9 u M S 9 m Z W 1 h b G V f b m 9 t a W d f c m V z c G 9 u c 2 U v Q X V 0 b 1 J l b W 9 2 Z W R D b 2 x 1 b W 5 z M S 5 7 Q 2 9 s d W 1 u N z M s N z J 9 J n F 1 b 3 Q 7 L C Z x d W 9 0 O 1 N l Y 3 R p b 2 4 x L 2 Z l b W F s Z V 9 u b 2 1 p Z 1 9 y Z X N w b 2 5 z Z S 9 B d X R v U m V t b 3 Z l Z E N v b H V t b n M x L n t D b 2 x 1 b W 4 3 N C w 3 M 3 0 m c X V v d D s s J n F 1 b 3 Q 7 U 2 V j d G l v b j E v Z m V t Y W x l X 2 5 v b W l n X 3 J l c 3 B v b n N l L 0 F 1 d G 9 S Z W 1 v d m V k Q 2 9 s d W 1 u c z E u e 0 N v b H V t b j c 1 L D c 0 f S Z x d W 9 0 O y w m c X V v d D t T Z W N 0 a W 9 u M S 9 m Z W 1 h b G V f b m 9 t a W d f c m V z c G 9 u c 2 U v Q X V 0 b 1 J l b W 9 2 Z W R D b 2 x 1 b W 5 z M S 5 7 Q 2 9 s d W 1 u N z Y s N z V 9 J n F 1 b 3 Q 7 L C Z x d W 9 0 O 1 N l Y 3 R p b 2 4 x L 2 Z l b W F s Z V 9 u b 2 1 p Z 1 9 y Z X N w b 2 5 z Z S 9 B d X R v U m V t b 3 Z l Z E N v b H V t b n M x L n t D b 2 x 1 b W 4 3 N y w 3 N n 0 m c X V v d D s s J n F 1 b 3 Q 7 U 2 V j d G l v b j E v Z m V t Y W x l X 2 5 v b W l n X 3 J l c 3 B v b n N l L 0 F 1 d G 9 S Z W 1 v d m V k Q 2 9 s d W 1 u c z E u e 0 N v b H V t b j c 4 L D c 3 f S Z x d W 9 0 O y w m c X V v d D t T Z W N 0 a W 9 u M S 9 m Z W 1 h b G V f b m 9 t a W d f c m V z c G 9 u c 2 U v Q X V 0 b 1 J l b W 9 2 Z W R D b 2 x 1 b W 5 z M S 5 7 Q 2 9 s d W 1 u N z k s N z h 9 J n F 1 b 3 Q 7 L C Z x d W 9 0 O 1 N l Y 3 R p b 2 4 x L 2 Z l b W F s Z V 9 u b 2 1 p Z 1 9 y Z X N w b 2 5 z Z S 9 B d X R v U m V t b 3 Z l Z E N v b H V t b n M x L n t D b 2 x 1 b W 4 4 M C w 3 O X 0 m c X V v d D s s J n F 1 b 3 Q 7 U 2 V j d G l v b j E v Z m V t Y W x l X 2 5 v b W l n X 3 J l c 3 B v b n N l L 0 F 1 d G 9 S Z W 1 v d m V k Q 2 9 s d W 1 u c z E u e 0 N v b H V t b j g x L D g w f S Z x d W 9 0 O y w m c X V v d D t T Z W N 0 a W 9 u M S 9 m Z W 1 h b G V f b m 9 t a W d f c m V z c G 9 u c 2 U v Q X V 0 b 1 J l b W 9 2 Z W R D b 2 x 1 b W 5 z M S 5 7 Q 2 9 s d W 1 u O D I s O D F 9 J n F 1 b 3 Q 7 L C Z x d W 9 0 O 1 N l Y 3 R p b 2 4 x L 2 Z l b W F s Z V 9 u b 2 1 p Z 1 9 y Z X N w b 2 5 z Z S 9 B d X R v U m V t b 3 Z l Z E N v b H V t b n M x L n t D b 2 x 1 b W 4 4 M y w 4 M n 0 m c X V v d D s s J n F 1 b 3 Q 7 U 2 V j d G l v b j E v Z m V t Y W x l X 2 5 v b W l n X 3 J l c 3 B v b n N l L 0 F 1 d G 9 S Z W 1 v d m V k Q 2 9 s d W 1 u c z E u e 0 N v b H V t b j g 0 L D g z f S Z x d W 9 0 O y w m c X V v d D t T Z W N 0 a W 9 u M S 9 m Z W 1 h b G V f b m 9 t a W d f c m V z c G 9 u c 2 U v Q X V 0 b 1 J l b W 9 2 Z W R D b 2 x 1 b W 5 z M S 5 7 Q 2 9 s d W 1 u O D U s O D R 9 J n F 1 b 3 Q 7 L C Z x d W 9 0 O 1 N l Y 3 R p b 2 4 x L 2 Z l b W F s Z V 9 u b 2 1 p Z 1 9 y Z X N w b 2 5 z Z S 9 B d X R v U m V t b 3 Z l Z E N v b H V t b n M x L n t D b 2 x 1 b W 4 4 N i w 4 N X 0 m c X V v d D s s J n F 1 b 3 Q 7 U 2 V j d G l v b j E v Z m V t Y W x l X 2 5 v b W l n X 3 J l c 3 B v b n N l L 0 F 1 d G 9 S Z W 1 v d m V k Q 2 9 s d W 1 u c z E u e 0 N v b H V t b j g 3 L D g 2 f S Z x d W 9 0 O y w m c X V v d D t T Z W N 0 a W 9 u M S 9 m Z W 1 h b G V f b m 9 t a W d f c m V z c G 9 u c 2 U v Q X V 0 b 1 J l b W 9 2 Z W R D b 2 x 1 b W 5 z M S 5 7 Q 2 9 s d W 1 u O D g s O D d 9 J n F 1 b 3 Q 7 L C Z x d W 9 0 O 1 N l Y 3 R p b 2 4 x L 2 Z l b W F s Z V 9 u b 2 1 p Z 1 9 y Z X N w b 2 5 z Z S 9 B d X R v U m V t b 3 Z l Z E N v b H V t b n M x L n t D b 2 x 1 b W 4 4 O S w 4 O H 0 m c X V v d D s s J n F 1 b 3 Q 7 U 2 V j d G l v b j E v Z m V t Y W x l X 2 5 v b W l n X 3 J l c 3 B v b n N l L 0 F 1 d G 9 S Z W 1 v d m V k Q 2 9 s d W 1 u c z E u e 0 N v b H V t b j k w L D g 5 f S Z x d W 9 0 O y w m c X V v d D t T Z W N 0 a W 9 u M S 9 m Z W 1 h b G V f b m 9 t a W d f c m V z c G 9 u c 2 U v Q X V 0 b 1 J l b W 9 2 Z W R D b 2 x 1 b W 5 z M S 5 7 Q 2 9 s d W 1 u O T E s O T B 9 J n F 1 b 3 Q 7 L C Z x d W 9 0 O 1 N l Y 3 R p b 2 4 x L 2 Z l b W F s Z V 9 u b 2 1 p Z 1 9 y Z X N w b 2 5 z Z S 9 B d X R v U m V t b 3 Z l Z E N v b H V t b n M x L n t D b 2 x 1 b W 4 5 M i w 5 M X 0 m c X V v d D s s J n F 1 b 3 Q 7 U 2 V j d G l v b j E v Z m V t Y W x l X 2 5 v b W l n X 3 J l c 3 B v b n N l L 0 F 1 d G 9 S Z W 1 v d m V k Q 2 9 s d W 1 u c z E u e 0 N v b H V t b j k z L D k y f S Z x d W 9 0 O y w m c X V v d D t T Z W N 0 a W 9 u M S 9 m Z W 1 h b G V f b m 9 t a W d f c m V z c G 9 u c 2 U v Q X V 0 b 1 J l b W 9 2 Z W R D b 2 x 1 b W 5 z M S 5 7 Q 2 9 s d W 1 u O T Q s O T N 9 J n F 1 b 3 Q 7 L C Z x d W 9 0 O 1 N l Y 3 R p b 2 4 x L 2 Z l b W F s Z V 9 u b 2 1 p Z 1 9 y Z X N w b 2 5 z Z S 9 B d X R v U m V t b 3 Z l Z E N v b H V t b n M x L n t D b 2 x 1 b W 4 5 N S w 5 N H 0 m c X V v d D s s J n F 1 b 3 Q 7 U 2 V j d G l v b j E v Z m V t Y W x l X 2 5 v b W l n X 3 J l c 3 B v b n N l L 0 F 1 d G 9 S Z W 1 v d m V k Q 2 9 s d W 1 u c z E u e 0 N v b H V t b j k 2 L D k 1 f S Z x d W 9 0 O y w m c X V v d D t T Z W N 0 a W 9 u M S 9 m Z W 1 h b G V f b m 9 t a W d f c m V z c G 9 u c 2 U v Q X V 0 b 1 J l b W 9 2 Z W R D b 2 x 1 b W 5 z M S 5 7 Q 2 9 s d W 1 u O T c s O T Z 9 J n F 1 b 3 Q 7 L C Z x d W 9 0 O 1 N l Y 3 R p b 2 4 x L 2 Z l b W F s Z V 9 u b 2 1 p Z 1 9 y Z X N w b 2 5 z Z S 9 B d X R v U m V t b 3 Z l Z E N v b H V t b n M x L n t D b 2 x 1 b W 4 5 O C w 5 N 3 0 m c X V v d D s s J n F 1 b 3 Q 7 U 2 V j d G l v b j E v Z m V t Y W x l X 2 5 v b W l n X 3 J l c 3 B v b n N l L 0 F 1 d G 9 S Z W 1 v d m V k Q 2 9 s d W 1 u c z E u e 0 N v b H V t b j k 5 L D k 4 f S Z x d W 9 0 O y w m c X V v d D t T Z W N 0 a W 9 u M S 9 m Z W 1 h b G V f b m 9 t a W d f c m V z c G 9 u c 2 U v Q X V 0 b 1 J l b W 9 2 Z W R D b 2 x 1 b W 5 z M S 5 7 Q 2 9 s d W 1 u M T A w L D k 5 f S Z x d W 9 0 O y w m c X V v d D t T Z W N 0 a W 9 u M S 9 m Z W 1 h b G V f b m 9 t a W d f c m V z c G 9 u c 2 U v Q X V 0 b 1 J l b W 9 2 Z W R D b 2 x 1 b W 5 z M S 5 7 Q 2 9 s d W 1 u M T A x L D E w M H 0 m c X V v d D s s J n F 1 b 3 Q 7 U 2 V j d G l v b j E v Z m V t Y W x l X 2 5 v b W l n X 3 J l c 3 B v b n N l L 0 F 1 d G 9 S Z W 1 v d m V k Q 2 9 s d W 1 u c z E u e 0 N v b H V t b j E w M i w x M D F 9 J n F 1 b 3 Q 7 L C Z x d W 9 0 O 1 N l Y 3 R p b 2 4 x L 2 Z l b W F s Z V 9 u b 2 1 p Z 1 9 y Z X N w b 2 5 z Z S 9 B d X R v U m V t b 3 Z l Z E N v b H V t b n M x L n t D b 2 x 1 b W 4 x M D M s M T A y f S Z x d W 9 0 O y w m c X V v d D t T Z W N 0 a W 9 u M S 9 m Z W 1 h b G V f b m 9 t a W d f c m V z c G 9 u c 2 U v Q X V 0 b 1 J l b W 9 2 Z W R D b 2 x 1 b W 5 z M S 5 7 Q 2 9 s d W 1 u M T A 0 L D E w M 3 0 m c X V v d D s s J n F 1 b 3 Q 7 U 2 V j d G l v b j E v Z m V t Y W x l X 2 5 v b W l n X 3 J l c 3 B v b n N l L 0 F 1 d G 9 S Z W 1 v d m V k Q 2 9 s d W 1 u c z E u e 0 N v b H V t b j E w N S w x M D R 9 J n F 1 b 3 Q 7 L C Z x d W 9 0 O 1 N l Y 3 R p b 2 4 x L 2 Z l b W F s Z V 9 u b 2 1 p Z 1 9 y Z X N w b 2 5 z Z S 9 B d X R v U m V t b 3 Z l Z E N v b H V t b n M x L n t D b 2 x 1 b W 4 x M D Y s M T A 1 f S Z x d W 9 0 O 1 0 s J n F 1 b 3 Q 7 U m V s Y X R p b 2 5 z a G l w S W 5 m b y Z x d W 9 0 O z p b X X 0 i I C 8 + P C 9 T d G F i b G V F b n R y a W V z P j w v S X R l b T 4 8 S X R l b T 4 8 S X R l b U x v Y 2 F 0 a W 9 u P j x J d G V t V H l w Z T 5 G b 3 J t d W x h P C 9 J d G V t V H l w Z T 4 8 S X R l b V B h d G g + U 2 V j d G l v b j E v Z m V t Y W x l X 2 5 v b W l n X 3 J l c 3 B v b n N l L 1 N v d X J j Z T w v S X R l b V B h d G g + P C 9 J d G V t T G 9 j Y X R p b 2 4 + P F N 0 Y W J s Z U V u d H J p Z X M g L z 4 8 L 0 l 0 Z W 0 + P E l 0 Z W 0 + P E l 0 Z W 1 M b 2 N h d G l v b j 4 8 S X R l b V R 5 c G U + R m 9 y b X V s Y T w v S X R l b V R 5 c G U + P E l 0 Z W 1 Q Y X R o P l N l Y 3 R p b 2 4 x L 2 Z l b W F s Z V 9 u b 2 1 p Z 1 9 y Z X N w b 2 5 z Z S 9 D a G F u Z 2 V k J T I w V H l w Z T w v S X R l b V B h d G g + P C 9 J d G V t T G 9 j Y X R p b 2 4 + P F N 0 Y W J s Z U V u d H J p Z X M g L z 4 8 L 0 l 0 Z W 0 + P E l 0 Z W 0 + P E l 0 Z W 1 M b 2 N h d G l v b j 4 8 S X R l b V R 5 c G U + R m 9 y b X V s Y T w v S X R l b V R 5 c G U + P E l 0 Z W 1 Q Y X R o P l N l Y 3 R p b 2 4 x L 2 1 h b G V f c m V z c G 9 u 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E t M D Y t M j N U M T Q 6 M T M 6 N D A u O T A 3 M z k 3 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0 N v b H V t b k N v d W 5 0 J n F 1 b 3 Q 7 O j E w N i w m c X V v d D t L Z X l D b 2 x 1 b W 5 O Y W 1 l c y Z x d W 9 0 O z p b X S w m c X V v d D t D 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1 J l b G F 0 a W 9 u c 2 h p c E l u Z m 8 m c X V v d D s 6 W 1 1 9 I i A v P j w v U 3 R h Y m x l R W 5 0 c m l l c z 4 8 L 0 l 0 Z W 0 + P E l 0 Z W 0 + P E l 0 Z W 1 M b 2 N h d G l v b j 4 8 S X R l b V R 5 c G U + R m 9 y b X V s Y T w v S X R l b V R 5 c G U + P E l 0 Z W 1 Q Y X R o P l N l Y 3 R p b 2 4 x L 2 1 h b G V f c m V z c G 9 u c 2 V z L 1 N v d X J j Z T w v S X R l b V B h d G g + P C 9 J d G V t T G 9 j Y X R p b 2 4 + P F N 0 Y W J s Z U V u d H J p Z X M g L z 4 8 L 0 l 0 Z W 0 + P E l 0 Z W 0 + P E l 0 Z W 1 M b 2 N h d G l v b j 4 8 S X R l b V R 5 c G U + R m 9 y b X V s Y T w v S X R l b V R 5 c G U + P E l 0 Z W 1 Q Y X R o P l N l Y 3 R p b 2 4 x L 2 1 h b G V f c m V z c G 9 u c 2 V z L 0 N o Y W 5 n Z W Q l M j B U e X B l P C 9 J d G V t U G F 0 a D 4 8 L 0 l 0 Z W 1 M b 2 N h d G l v b j 4 8 U 3 R h Y m x l R W 5 0 c m l l c y A v P j w v S X R l b T 4 8 L 0 l 0 Z W 1 z P j w v T G 9 j Y W x Q Y W N r Y W d l T W V 0 Y W R h d G F G a W x l P h Y A A A B Q S w U G A A A A A A A A A A A A A A A A A A A A A A A A J g E A A A E A A A D Q j J 3 f A R X R E Y x 6 A M B P w p f r A Q A A A N U r M e D 2 G x F L k P Q F t P U h V 7 Q A A A A A A g A A A A A A E G Y A A A A B A A A g A A A A f 0 m q R 3 s / N G 6 Z A p Y 3 0 d Y k H o 2 i D 8 9 H T l 1 6 u 3 r n g n t y u g A A A A A A D o A A A A A C A A A g A A A A V K l u q H F h E D V c H V Z u u 8 E l t W 9 2 v v x H t Z l i c B s x s I l B 1 Z l Q A A A A z h 8 i g c e h M O u k a 6 b p 1 i B B 8 e F 6 8 O d w s S I 8 w g N / F O B C 1 N K K B y V 9 R q r o + d A o 2 N v c r e M w O S T D J N r I B g s V s S L N 7 3 F T y F w Q v y l D R D 0 Z c a S j 1 F D N q S Z A A A A A B T O U W 9 / l W T i v p w T V f q F l 9 T J 6 q m 6 C D 1 u B 2 Y 9 g X G A h X Z a 6 m D 7 v / U s Y 2 W 0 N u H U Q j c L E B 7 I c Y q o U w i J l g r 8 j 6 W 9 4 p 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6077AA-63D9-4065-9EA9-D7968642EAF4}">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d52c1969-973c-4e1a-bb2d-ced17c283ecc"/>
    <ds:schemaRef ds:uri="57210112-a41a-495d-84b4-241f75b8c8e0"/>
    <ds:schemaRef ds:uri="http://www.w3.org/XML/1998/namespace"/>
  </ds:schemaRefs>
</ds:datastoreItem>
</file>

<file path=customXml/itemProps2.xml><?xml version="1.0" encoding="utf-8"?>
<ds:datastoreItem xmlns:ds="http://schemas.openxmlformats.org/officeDocument/2006/customXml" ds:itemID="{854FA9E3-5425-4147-9498-BAA5B7568BA3}">
  <ds:schemaRefs>
    <ds:schemaRef ds:uri="http://schemas.microsoft.com/sharepoint/v3/contenttype/forms"/>
  </ds:schemaRefs>
</ds:datastoreItem>
</file>

<file path=customXml/itemProps3.xml><?xml version="1.0" encoding="utf-8"?>
<ds:datastoreItem xmlns:ds="http://schemas.openxmlformats.org/officeDocument/2006/customXml" ds:itemID="{9508D956-D8A9-42CB-B333-E4811DAADFF1}">
  <ds:schemaRefs>
    <ds:schemaRef ds:uri="http://schemas.microsoft.com/DataMashup"/>
  </ds:schemaRefs>
</ds:datastoreItem>
</file>

<file path=customXml/itemProps4.xml><?xml version="1.0" encoding="utf-8"?>
<ds:datastoreItem xmlns:ds="http://schemas.openxmlformats.org/officeDocument/2006/customXml" ds:itemID="{80402902-6299-4E2B-A8B8-426AA8D0A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UK Raw Data</vt:lpstr>
      <vt:lpstr>GR Raw Data</vt:lpstr>
      <vt:lpstr>Prolific Raw Data</vt:lpstr>
      <vt:lpstr>All Responses</vt:lpstr>
      <vt:lpstr>All Non - Migraineur</vt:lpstr>
      <vt:lpstr>All Migraineur</vt:lpstr>
      <vt:lpstr>NM - M Analysis</vt:lpstr>
      <vt:lpstr>M-NM Analysis P-values</vt:lpstr>
      <vt:lpstr>All Female Migraineur</vt:lpstr>
      <vt:lpstr>All Male Migraineur</vt:lpstr>
      <vt:lpstr>Female-Male Migraineur Analysis</vt:lpstr>
      <vt:lpstr>GR only - Non Migraineur</vt:lpstr>
      <vt:lpstr>GR only - Migraineur</vt:lpstr>
      <vt:lpstr>GR only M-NM analysis</vt:lpstr>
      <vt:lpstr>Prolific Non-Migraineur Group </vt:lpstr>
      <vt:lpstr>Prolific Migraineur Group </vt:lpstr>
      <vt:lpstr>UK+ Prolific -Non Migraineur</vt:lpstr>
      <vt:lpstr>UK + Prolific - Migraineur</vt:lpstr>
      <vt:lpstr>UK +Prolific NM-M analysis</vt:lpstr>
      <vt:lpstr>All Migraineur On attack</vt:lpstr>
      <vt:lpstr>All Migraineur Off attack</vt:lpstr>
      <vt:lpstr>On Attack Off Attack Analysis</vt:lpstr>
      <vt:lpstr>On Attack -Off attack P-values</vt:lpstr>
      <vt:lpstr>All Migraineur Low Sev</vt:lpstr>
      <vt:lpstr>All Migraineur High Sev</vt:lpstr>
      <vt:lpstr>All Migraineur Hi-Lo S Analysis</vt:lpstr>
      <vt:lpstr>All Migr Hi-Lo sever p-values</vt:lpstr>
      <vt:lpstr>All Migraineur chronic</vt:lpstr>
      <vt:lpstr>All Migraineur episodic</vt:lpstr>
      <vt:lpstr>All Migraineur C-E Analysis</vt:lpstr>
      <vt:lpstr>All Migraineur On Med</vt:lpstr>
      <vt:lpstr>All Migraineur No Med</vt:lpstr>
      <vt:lpstr>All Migrain Med-No Med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Aggela</dc:creator>
  <cp:keywords/>
  <dc:description/>
  <cp:lastModifiedBy>Aggela</cp:lastModifiedBy>
  <cp:revision/>
  <dcterms:created xsi:type="dcterms:W3CDTF">2021-03-23T22:28:54Z</dcterms:created>
  <dcterms:modified xsi:type="dcterms:W3CDTF">2022-05-11T15:43:42Z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